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7.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8.xml" ContentType="application/vnd.openxmlformats-officedocument.drawing+xml"/>
  <Override PartName="/xl/ctrlProps/ctrlProp74.xml" ContentType="application/vnd.ms-excel.controlproperties+xml"/>
  <Override PartName="/xl/ctrlProps/ctrlProp7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O:\Estimates\25-800_ENFRA - Columbia Gorge\"/>
    </mc:Choice>
  </mc:AlternateContent>
  <xr:revisionPtr revIDLastSave="0" documentId="13_ncr:1_{CFFCFF17-321D-4B9E-95DB-2EED8EDE94F7}" xr6:coauthVersionLast="47" xr6:coauthVersionMax="47" xr10:uidLastSave="{00000000-0000-0000-0000-000000000000}"/>
  <bookViews>
    <workbookView xWindow="-28920" yWindow="-120" windowWidth="29040" windowHeight="15720" firstSheet="8" activeTab="16" xr2:uid="{41CF6B7F-C07C-4EBA-A5AE-55B46AE0540D}"/>
  </bookViews>
  <sheets>
    <sheet name="Booking CSV" sheetId="16" r:id="rId1"/>
    <sheet name="Pivot" sheetId="10" r:id="rId2"/>
    <sheet name="QP SM Audit Trail" sheetId="15" r:id="rId3"/>
    <sheet name="SM Audit Trail" sheetId="9" r:id="rId4"/>
    <sheet name="Phase Codes" sheetId="8" r:id="rId5"/>
    <sheet name="SM Schedule" sheetId="23" r:id="rId6"/>
    <sheet name="Work Recovery" sheetId="32" r:id="rId7"/>
    <sheet name="EMO" sheetId="24" r:id="rId8"/>
    <sheet name="Permits" sheetId="25" r:id="rId9"/>
    <sheet name="OCIP" sheetId="20" r:id="rId10"/>
    <sheet name="Bond" sheetId="6" r:id="rId11"/>
    <sheet name="Breakdown" sheetId="14" state="veryHidden" r:id="rId12"/>
    <sheet name="Takeoff Notes" sheetId="7" r:id="rId13"/>
    <sheet name="SM Import" sheetId="2" r:id="rId14"/>
    <sheet name="Crew Mix" sheetId="5" r:id="rId15"/>
    <sheet name="TakeOff" sheetId="13" r:id="rId16"/>
    <sheet name="MCAA RECAP" sheetId="1" r:id="rId17"/>
    <sheet name="Proposal" sheetId="17" r:id="rId18"/>
    <sheet name="Price Breakdown" sheetId="31" r:id="rId19"/>
    <sheet name="Booking Report" sheetId="11" r:id="rId20"/>
    <sheet name="Macros" sheetId="12" state="veryHidden" r:id="rId21"/>
  </sheets>
  <functionGroups builtInGroupCount="19"/>
  <definedNames>
    <definedName name="_xlnm._FilterDatabase" localSheetId="2" hidden="1">'QP SM Audit Trail'!$A$1:$AC$731</definedName>
    <definedName name="_xlnm._FilterDatabase" localSheetId="3" hidden="1">'SM Audit Trail'!$A$1:$AD$1</definedName>
    <definedName name="_xlnm._FilterDatabase" localSheetId="13" hidden="1">'SM Import'!$A$8:$E$9</definedName>
    <definedName name="_xlnm._FilterDatabase" localSheetId="12" hidden="1">'Takeoff Notes'!$B$6:$I$6</definedName>
    <definedName name="Bond">Bond!$E$9</definedName>
    <definedName name="Bond_Req">'MCAA RECAP'!$A$66</definedName>
    <definedName name="Booking_Field_Codes">'Booking Report'!$A$234:$A$332</definedName>
    <definedName name="Booking_Field_Codes_Arch">'Booking Report'!$A$764:$A$862</definedName>
    <definedName name="Booking_Shop_Codes">'Booking Report'!$A$128:$A$226</definedName>
    <definedName name="Booking_Status">'Booking Report'!$M$10</definedName>
    <definedName name="Booking_Status_Hours">'Booking Report'!$M$13</definedName>
    <definedName name="Booking_Type">'Booking Report'!$B$16</definedName>
    <definedName name="Breakdown_FieldLaborCost_1">TakeOff!$AG$41:$AG$69</definedName>
    <definedName name="Breakdown_FieldLaborCost_10">TakeOff!$AG$329:$AG$354</definedName>
    <definedName name="Breakdown_FieldLaborCost_11">TakeOff!$AG$360:$AG$385</definedName>
    <definedName name="Breakdown_FieldLaborCost_12">TakeOff!$AG$391:$AG$416</definedName>
    <definedName name="Breakdown_FieldLaborCost_13">TakeOff!$AG$422:$AG$447</definedName>
    <definedName name="Breakdown_FieldLaborCost_14">TakeOff!$AG$453:$AG$478</definedName>
    <definedName name="Breakdown_FieldLaborCost_15">TakeOff!$AG$484:$AG$509</definedName>
    <definedName name="Breakdown_FieldLaborCost_16">TakeOff!$AG$515:$AG$540</definedName>
    <definedName name="Breakdown_FieldLaborCost_17">TakeOff!$AG$546:$AG$571</definedName>
    <definedName name="Breakdown_FieldLaborCost_18">TakeOff!$AG$577:$AG$602</definedName>
    <definedName name="Breakdown_FieldLaborCost_19">TakeOff!$AG$608:$AG$633</definedName>
    <definedName name="Breakdown_FieldLaborCost_2">TakeOff!$AG$75:$AG$100</definedName>
    <definedName name="Breakdown_FieldLaborCost_20">TakeOff!$AG$639:$AG$664</definedName>
    <definedName name="Breakdown_FieldLaborCost_21">TakeOff!$AG$670:$AG$695</definedName>
    <definedName name="Breakdown_FieldLaborCost_22">TakeOff!$AG$701:$AG$726</definedName>
    <definedName name="Breakdown_FieldLaborCost_23">TakeOff!$AG$732:$AG$757</definedName>
    <definedName name="Breakdown_FieldLaborCost_24">TakeOff!$AG$763:$AG$788</definedName>
    <definedName name="Breakdown_FieldLaborCost_25">TakeOff!$AG$794:$AG$819</definedName>
    <definedName name="Breakdown_FieldLaborCost_26">TakeOff!$AG$825:$AG$850</definedName>
    <definedName name="Breakdown_FieldLaborCost_27">TakeOff!$AG$856:$AG$881</definedName>
    <definedName name="Breakdown_FieldLaborCost_28">TakeOff!$AG$887:$AG$912</definedName>
    <definedName name="Breakdown_FieldLaborCost_29">TakeOff!$AG$918:$AG$943</definedName>
    <definedName name="Breakdown_FieldLaborCost_3">TakeOff!$AG$106:$AG$133</definedName>
    <definedName name="Breakdown_FieldLaborCost_30">TakeOff!$AG$949:$AG$974</definedName>
    <definedName name="Breakdown_FieldLaborCost_31">TakeOff!$AG$980:$AG$1005</definedName>
    <definedName name="Breakdown_FieldLaborCost_4">TakeOff!$AG$139:$AG$168</definedName>
    <definedName name="Breakdown_FieldLaborCost_5">TakeOff!$AG$174:$AG$199</definedName>
    <definedName name="Breakdown_FieldLaborCost_6">TakeOff!$AG$205:$AG$230</definedName>
    <definedName name="Breakdown_FieldLaborCost_7">TakeOff!$AG$236:$AG$261</definedName>
    <definedName name="Breakdown_FieldLaborCost_8">TakeOff!$AG$267:$AG$292</definedName>
    <definedName name="Breakdown_FieldLaborCost_9">TakeOff!$AG$298:$AG$323</definedName>
    <definedName name="Breakdown_FieldLaborCost_CAE">TakeOff!$AG$10:$AG$35</definedName>
    <definedName name="Breakdown_ShopLaborCost_1">TakeOff!$AH$41:$AH$69</definedName>
    <definedName name="Breakdown_ShopLaborCost_10">TakeOff!$AH$329:$AH$354</definedName>
    <definedName name="Breakdown_ShopLaborCost_11">TakeOff!$AH$360:$AH$385</definedName>
    <definedName name="Breakdown_ShopLaborCost_12">TakeOff!$AH$391:$AH$416</definedName>
    <definedName name="Breakdown_ShopLaborCost_13">TakeOff!$AH$422:$AH$447</definedName>
    <definedName name="Breakdown_ShopLaborCost_14">TakeOff!$AH$453:$AH$478</definedName>
    <definedName name="Breakdown_ShopLaborCost_15">TakeOff!$AH$484:$AH$509</definedName>
    <definedName name="Breakdown_ShopLaborCost_16">TakeOff!$AH$515:$AH$539</definedName>
    <definedName name="Breakdown_ShopLaborCost_17">TakeOff!$AH$546:$AH$571</definedName>
    <definedName name="Breakdown_ShopLaborCost_18">TakeOff!$AH$577:$AH$602</definedName>
    <definedName name="Breakdown_ShopLaborCost_19">TakeOff!$AH$608:$AH$633</definedName>
    <definedName name="Breakdown_ShopLaborCost_2">TakeOff!$AH$75:$AH$100</definedName>
    <definedName name="Breakdown_ShopLaborCost_20">TakeOff!$AH$639:$AH$664</definedName>
    <definedName name="Breakdown_ShopLaborCost_21">TakeOff!$AH$670:$AH$695</definedName>
    <definedName name="Breakdown_ShopLaborCost_22">TakeOff!$AH$701:$AH$726</definedName>
    <definedName name="Breakdown_ShopLaborCost_23">TakeOff!$AH$732:$AH$757</definedName>
    <definedName name="Breakdown_ShopLaborCost_24">TakeOff!$AH$763:$AH$788</definedName>
    <definedName name="Breakdown_ShopLaborCost_25">TakeOff!$AH$794:$AH$819</definedName>
    <definedName name="Breakdown_ShopLaborCost_26">TakeOff!$AH$825:$AH$850</definedName>
    <definedName name="Breakdown_ShopLaborCost_27">TakeOff!$AH$856:$AH$881</definedName>
    <definedName name="Breakdown_ShopLaborCost_28">TakeOff!$AH$887:$AH$912</definedName>
    <definedName name="Breakdown_ShopLaborCost_29">TakeOff!$AH$918:$AH$943</definedName>
    <definedName name="Breakdown_ShopLaborCost_3">TakeOff!$AH$106:$AH$133</definedName>
    <definedName name="Breakdown_ShopLaborCost_30">TakeOff!$AH$949:$AH$974</definedName>
    <definedName name="Breakdown_ShopLaborCost_31">TakeOff!$AH$980:$AH$1005</definedName>
    <definedName name="Breakdown_ShopLaborCost_4">TakeOff!$AH$139:$AH$168</definedName>
    <definedName name="Breakdown_ShopLaborCost_5">TakeOff!$AH$174:$AH$199</definedName>
    <definedName name="Breakdown_ShopLaborCost_6">TakeOff!$AH$205:$AH$230</definedName>
    <definedName name="Breakdown_ShopLaborCost_7">TakeOff!$AH$236:$AH$261</definedName>
    <definedName name="Breakdown_ShopLaborCost_8">TakeOff!$AH$267:$AH$292</definedName>
    <definedName name="Breakdown_ShopLaborCost_9">TakeOff!$AH$298:$AH$323</definedName>
    <definedName name="Breakdown_ShopLaborCost_CAE">TakeOff!$AH$10:$AH$35</definedName>
    <definedName name="Breakdown_SM_Field_1">TakeOff!$H$70</definedName>
    <definedName name="Breakdown_SM_Field_10">TakeOff!$H$355</definedName>
    <definedName name="Breakdown_SM_Field_11">TakeOff!$H$386</definedName>
    <definedName name="Breakdown_SM_Field_12">TakeOff!$H$417</definedName>
    <definedName name="Breakdown_SM_Field_13">TakeOff!$H$448</definedName>
    <definedName name="Breakdown_SM_Field_14">TakeOff!$H$479</definedName>
    <definedName name="Breakdown_SM_Field_15">TakeOff!$H$510</definedName>
    <definedName name="Breakdown_SM_Field_16">TakeOff!$H$541</definedName>
    <definedName name="Breakdown_SM_Field_17">TakeOff!$H$572</definedName>
    <definedName name="Breakdown_SM_Field_18">TakeOff!$H$603</definedName>
    <definedName name="Breakdown_SM_Field_19">TakeOff!$H$634</definedName>
    <definedName name="Breakdown_SM_Field_2">TakeOff!$H$101</definedName>
    <definedName name="Breakdown_SM_Field_20">TakeOff!$H$665</definedName>
    <definedName name="Breakdown_SM_Field_21">TakeOff!$H$696</definedName>
    <definedName name="Breakdown_SM_Field_22">TakeOff!$H$727</definedName>
    <definedName name="Breakdown_SM_Field_23">TakeOff!$H$758</definedName>
    <definedName name="Breakdown_SM_Field_24">TakeOff!$H$789</definedName>
    <definedName name="Breakdown_SM_Field_25">TakeOff!$H$820</definedName>
    <definedName name="Breakdown_SM_Field_26">TakeOff!$H$851</definedName>
    <definedName name="Breakdown_SM_Field_27">TakeOff!$H$882</definedName>
    <definedName name="Breakdown_SM_Field_28">TakeOff!$H$913</definedName>
    <definedName name="Breakdown_SM_Field_29">TakeOff!$H$944</definedName>
    <definedName name="Breakdown_SM_Field_3">TakeOff!$H$134</definedName>
    <definedName name="Breakdown_SM_Field_30">TakeOff!$H$975</definedName>
    <definedName name="Breakdown_SM_Field_31">TakeOff!$H$1006</definedName>
    <definedName name="Breakdown_SM_Field_4">TakeOff!$H$169</definedName>
    <definedName name="Breakdown_SM_Field_5">TakeOff!$H$200</definedName>
    <definedName name="Breakdown_SM_Field_6">TakeOff!$H$231</definedName>
    <definedName name="Breakdown_SM_Field_7">TakeOff!$H$262</definedName>
    <definedName name="Breakdown_SM_Field_8">TakeOff!$H$293</definedName>
    <definedName name="Breakdown_SM_Field_9">TakeOff!$H$324</definedName>
    <definedName name="Breakdown_SM_Field_CAE">TakeOff!$H$36</definedName>
    <definedName name="Breakdown_SM_Material_1">TakeOff!$M$70</definedName>
    <definedName name="Breakdown_SM_Material_10">TakeOff!$M$355</definedName>
    <definedName name="Breakdown_SM_Material_11">TakeOff!$M$386</definedName>
    <definedName name="Breakdown_SM_Material_12">TakeOff!$M$417</definedName>
    <definedName name="Breakdown_SM_Material_13">TakeOff!$M$448</definedName>
    <definedName name="Breakdown_SM_Material_14">TakeOff!$M$479</definedName>
    <definedName name="Breakdown_SM_Material_15">TakeOff!$M$510</definedName>
    <definedName name="Breakdown_SM_Material_16">TakeOff!$M$541</definedName>
    <definedName name="Breakdown_SM_Material_17">TakeOff!$M$572</definedName>
    <definedName name="Breakdown_SM_Material_18">TakeOff!$M$603</definedName>
    <definedName name="Breakdown_SM_Material_19">TakeOff!$M$634</definedName>
    <definedName name="Breakdown_SM_Material_2">TakeOff!$M$101</definedName>
    <definedName name="Breakdown_SM_Material_20">TakeOff!$M$665</definedName>
    <definedName name="Breakdown_SM_Material_21">TakeOff!$M$696</definedName>
    <definedName name="Breakdown_SM_Material_22">TakeOff!$M$727</definedName>
    <definedName name="Breakdown_SM_Material_23">TakeOff!$M$758</definedName>
    <definedName name="Breakdown_SM_Material_24">TakeOff!$M$789</definedName>
    <definedName name="Breakdown_SM_Material_25">TakeOff!$M$820</definedName>
    <definedName name="Breakdown_SM_Material_26">TakeOff!$M$851</definedName>
    <definedName name="Breakdown_SM_Material_27">TakeOff!$M$882</definedName>
    <definedName name="Breakdown_SM_Material_28">TakeOff!$M$913</definedName>
    <definedName name="Breakdown_SM_Material_29">TakeOff!$M$944</definedName>
    <definedName name="Breakdown_SM_Material_3">TakeOff!$M$134</definedName>
    <definedName name="Breakdown_SM_Material_30">TakeOff!$M$975</definedName>
    <definedName name="Breakdown_SM_Material_31">TakeOff!$M$1006</definedName>
    <definedName name="Breakdown_SM_Material_4">TakeOff!$M$169</definedName>
    <definedName name="Breakdown_SM_Material_5">TakeOff!$M$200</definedName>
    <definedName name="Breakdown_SM_Material_6">TakeOff!$M$231</definedName>
    <definedName name="Breakdown_SM_Material_7">TakeOff!$M$262</definedName>
    <definedName name="Breakdown_SM_Material_8">TakeOff!$M$293</definedName>
    <definedName name="Breakdown_SM_Material_9">TakeOff!$M$324</definedName>
    <definedName name="Breakdown_SM_Material_CAE">TakeOff!$M$36</definedName>
    <definedName name="Breakdown_SM_Shop_1">TakeOff!$K$70</definedName>
    <definedName name="Breakdown_SM_Shop_10">TakeOff!$K$355</definedName>
    <definedName name="Breakdown_SM_Shop_11">TakeOff!$K$386</definedName>
    <definedName name="Breakdown_SM_Shop_12">TakeOff!$K$417</definedName>
    <definedName name="Breakdown_SM_Shop_13">TakeOff!$K$448</definedName>
    <definedName name="Breakdown_SM_Shop_14">TakeOff!$K$479</definedName>
    <definedName name="Breakdown_SM_Shop_15">TakeOff!$K$510</definedName>
    <definedName name="Breakdown_SM_Shop_16">TakeOff!$K$541</definedName>
    <definedName name="Breakdown_SM_Shop_17">TakeOff!$K$572</definedName>
    <definedName name="Breakdown_SM_Shop_18">TakeOff!$K$603</definedName>
    <definedName name="Breakdown_SM_Shop_19">TakeOff!$K$634</definedName>
    <definedName name="Breakdown_SM_Shop_2">TakeOff!$K$101</definedName>
    <definedName name="Breakdown_SM_Shop_20">TakeOff!$K$665</definedName>
    <definedName name="Breakdown_SM_Shop_21">TakeOff!$K$696</definedName>
    <definedName name="Breakdown_SM_Shop_22">TakeOff!$K$727</definedName>
    <definedName name="Breakdown_SM_Shop_23">TakeOff!$K$758</definedName>
    <definedName name="Breakdown_SM_Shop_24">TakeOff!$K$789</definedName>
    <definedName name="Breakdown_SM_Shop_25">TakeOff!$K$820</definedName>
    <definedName name="Breakdown_SM_Shop_26">TakeOff!$K$851</definedName>
    <definedName name="Breakdown_SM_Shop_27">TakeOff!$K$882</definedName>
    <definedName name="Breakdown_SM_Shop_28">TakeOff!$K$913</definedName>
    <definedName name="Breakdown_SM_Shop_29">TakeOff!$K$944</definedName>
    <definedName name="Breakdown_SM_Shop_3">TakeOff!$K$134</definedName>
    <definedName name="Breakdown_SM_Shop_30">TakeOff!$K$975</definedName>
    <definedName name="Breakdown_SM_Shop_31">TakeOff!$K$1006</definedName>
    <definedName name="Breakdown_SM_Shop_4">TakeOff!$K$169</definedName>
    <definedName name="Breakdown_SM_Shop_5">TakeOff!$K$200</definedName>
    <definedName name="Breakdown_SM_Shop_6">TakeOff!$K$231</definedName>
    <definedName name="Breakdown_SM_Shop_7">TakeOff!$K$262</definedName>
    <definedName name="Breakdown_SM_Shop_8">TakeOff!$K$293</definedName>
    <definedName name="Breakdown_SM_Shop_9">TakeOff!$K$324</definedName>
    <definedName name="Breakdown_SM_Shop_CAE">TakeOff!$K$36</definedName>
    <definedName name="Breakdown_SM1">TakeOff!$D$40</definedName>
    <definedName name="Breakdown_SM10">TakeOff!$D$328</definedName>
    <definedName name="Breakdown_SM11">TakeOff!$D$359</definedName>
    <definedName name="Breakdown_SM12">TakeOff!$D$390</definedName>
    <definedName name="Breakdown_SM13">TakeOff!$D$421</definedName>
    <definedName name="Breakdown_SM14">TakeOff!$D$452</definedName>
    <definedName name="Breakdown_SM15">TakeOff!$D$483</definedName>
    <definedName name="Breakdown_SM16">TakeOff!$D$514</definedName>
    <definedName name="Breakdown_SM17">TakeOff!$D$545</definedName>
    <definedName name="Breakdown_SM18">TakeOff!$D$576</definedName>
    <definedName name="Breakdown_SM19">TakeOff!$D$607</definedName>
    <definedName name="Breakdown_SM2">TakeOff!$D$74</definedName>
    <definedName name="Breakdown_SM20">TakeOff!$D$638</definedName>
    <definedName name="Breakdown_SM21">TakeOff!$D$669</definedName>
    <definedName name="Breakdown_SM22">TakeOff!$D$700</definedName>
    <definedName name="Breakdown_SM23">TakeOff!$D$731</definedName>
    <definedName name="Breakdown_SM24">TakeOff!$D$762</definedName>
    <definedName name="Breakdown_SM25">TakeOff!$D$793</definedName>
    <definedName name="Breakdown_SM26">TakeOff!$D$824</definedName>
    <definedName name="Breakdown_SM27">TakeOff!$D$855</definedName>
    <definedName name="Breakdown_SM28">TakeOff!$D$886</definedName>
    <definedName name="Breakdown_SM29">TakeOff!$D$917</definedName>
    <definedName name="Breakdown_SM3">TakeOff!$D$105</definedName>
    <definedName name="Breakdown_SM30">TakeOff!$D$948</definedName>
    <definedName name="Breakdown_SM31">TakeOff!$D$979</definedName>
    <definedName name="Breakdown_SM4">TakeOff!$D$138</definedName>
    <definedName name="Breakdown_SM5">TakeOff!$D$173</definedName>
    <definedName name="Breakdown_SM6">TakeOff!$D$204</definedName>
    <definedName name="Breakdown_SM7">TakeOff!$D$235</definedName>
    <definedName name="Breakdown_SM8">TakeOff!$D$266</definedName>
    <definedName name="Breakdown_SM9">TakeOff!$D$297</definedName>
    <definedName name="Breakdown_SMCAE">TakeOff!$D$9</definedName>
    <definedName name="CAE_Field_Hours_Total">'SM Import'!$H$7</definedName>
    <definedName name="CAE_Material_Cost_Total">'SM Import'!$K$7</definedName>
    <definedName name="CAE_Shop_Hours_Total">'SM Import'!$J$7</definedName>
    <definedName name="CAT_TAX">'MCAA RECAP'!$H$68</definedName>
    <definedName name="Certified_Payrole">'Booking Report'!$C$10</definedName>
    <definedName name="Codes_GC">'Phase Codes'!$B$4:$B$102</definedName>
    <definedName name="Codes_Subcontractor">'Phase Codes'!$H$4:$H$102</definedName>
    <definedName name="ComputerName">'MCAA RECAP'!$M$3</definedName>
    <definedName name="CrewRate_Pipe">'MCAA RECAP'!$F$22</definedName>
    <definedName name="CrewRate_Plumb">'MCAA RECAP'!$E$21</definedName>
    <definedName name="CrewRate_PlumbFitter_DoubleTime">'Crew Mix'!$I$188</definedName>
    <definedName name="CrewRate_PlumbFitter_GraveLOP">'Crew Mix'!$F$148</definedName>
    <definedName name="CrewRate_PlumbFitter_Overtime">'Crew Mix'!$I$168</definedName>
    <definedName name="CrewRate_PlumbFitter_Straight">'Crew Mix'!$I$148</definedName>
    <definedName name="CrewRate_PlumbFitter_Swing">'Crew Mix'!$G$146</definedName>
    <definedName name="CrewRate_PlumbFitter_SwingLOP">'Crew Mix'!$F$147</definedName>
    <definedName name="CrewRate_SMField">'MCAA RECAP'!$G$23</definedName>
    <definedName name="CrewRate_SMField_DoubleTime">'Crew Mix'!$I$65</definedName>
    <definedName name="CrewRate_SMField_Grave">'Crew Mix'!$G$22</definedName>
    <definedName name="CrewRate_SMField_Overtime">'Crew Mix'!$I$44</definedName>
    <definedName name="CrewRate_SMField_Special">'Crew Mix'!$G$23</definedName>
    <definedName name="CrewRate_SMField_Straight">'Crew Mix'!$I$23</definedName>
    <definedName name="CrewRate_SMField_Swing">'Crew Mix'!$G$21</definedName>
    <definedName name="CrewRate_SMShop">'MCAA RECAP'!$H$24</definedName>
    <definedName name="CrewRate_SMShop_DoubleTime">'Crew Mix'!$I$128</definedName>
    <definedName name="CrewRate_SMShop_Grave">'Crew Mix'!$G$85</definedName>
    <definedName name="CrewRate_SMShop_Overtime">'Crew Mix'!$I$107</definedName>
    <definedName name="CrewRate_SMShop_Special">'Crew Mix'!$G$86</definedName>
    <definedName name="CrewRate_SMShop_Straight">'Crew Mix'!$I$86</definedName>
    <definedName name="CrewRate_SMShop_Swing">'Crew Mix'!$G$84</definedName>
    <definedName name="Driver_Rate">'Crew Mix'!$D$19:$G$19</definedName>
    <definedName name="Ext_Insul">Pivot!$J$8:$J$65</definedName>
    <definedName name="Ext_Insul_Cost">Pivot!$K$8:$K$65</definedName>
    <definedName name="Info_Address">'Booking Report'!$C$5</definedName>
    <definedName name="Info_Bid_Date">'MCAA RECAP'!$E$7</definedName>
    <definedName name="Info_Bid_Time">'MCAA RECAP'!$F$7</definedName>
    <definedName name="Info_City">'Booking Report'!$C$6</definedName>
    <definedName name="Info_Est_No">'MCAA RECAP'!$B$7</definedName>
    <definedName name="Info_Job_Name">'MCAA RECAP'!$H$6</definedName>
    <definedName name="Info_Job_Number">'Booking Report'!$F$2</definedName>
    <definedName name="Info_Location">'MCAA RECAP'!$H$7</definedName>
    <definedName name="Info_Market_Recovery">'MCAA RECAP'!$H$64</definedName>
    <definedName name="Info_Schedule_End_Date">'Crew Mix'!$I$7</definedName>
    <definedName name="Info_Schedule_Start_Date">'Crew Mix'!$I$5</definedName>
    <definedName name="Info_State">'Booking Report'!$D$6</definedName>
    <definedName name="Info_Total_Bid">'MCAA RECAP'!$H$70</definedName>
    <definedName name="Info_Total_Bid_Stored">'MCAA RECAP'!$N$70</definedName>
    <definedName name="Info_Total_Bid_Stored_Difference">'MCAA RECAP'!$P$70</definedName>
    <definedName name="Info_Total_Bid_Stored_Time">'MCAA RECAP'!$O$70</definedName>
    <definedName name="Info_Zip">'Booking Report'!$E$6</definedName>
    <definedName name="Labor_Cost_Field_Double">TakeOff!$W$7</definedName>
    <definedName name="Labor_Cost_Field_OT">TakeOff!$V$7</definedName>
    <definedName name="Labor_Cost_Field_Straight">TakeOff!$U$7</definedName>
    <definedName name="Labor_Cost_Shop_Double">TakeOff!$AC$7</definedName>
    <definedName name="Labor_Cost_Shop_OT">TakeOff!$AB$7</definedName>
    <definedName name="Labor_Cost_Shop_Straight">TakeOff!$AA$7</definedName>
    <definedName name="OCIP_Deduct">'Crew Mix'!$N$27</definedName>
    <definedName name="OCIP_Deduct_Total">OCIP!$O$174</definedName>
    <definedName name="OCIP_GL_Toggle">'MCAA RECAP'!$B$26</definedName>
    <definedName name="OCIP_Req">'MCAA RECAP'!$C$26</definedName>
    <definedName name="PC_SM_Field">TakeOff!$C:$C</definedName>
    <definedName name="PC_SM_Material">TakeOff!$A:$A</definedName>
    <definedName name="PC_SM_Shop">TakeOff!$B:$B</definedName>
    <definedName name="Phase_Code_List_Field">'Phase Codes'!$O$4:$O$696</definedName>
    <definedName name="Phase_Code_List_Material">'Phase Codes'!$S$4:$S$795</definedName>
    <definedName name="Phase_Code_List_Shop">'Phase Codes'!$Q$4:$Q$102</definedName>
    <definedName name="_xlnm.Print_Area" localSheetId="10">Bond!$A$1:$E$10</definedName>
    <definedName name="_xlnm.Print_Area" localSheetId="19">'Booking Report'!$A$1:$I$865</definedName>
    <definedName name="_xlnm.Print_Area" localSheetId="11">Breakdown!$A$1:$I$92</definedName>
    <definedName name="_xlnm.Print_Area" localSheetId="14">'Crew Mix'!$B$1:$S$124</definedName>
    <definedName name="_xlnm.Print_Area" localSheetId="16">'MCAA RECAP'!$A$1:$J$132</definedName>
    <definedName name="_xlnm.Print_Area" localSheetId="9">OCIP!$A$1:$R$177</definedName>
    <definedName name="_xlnm.Print_Area" localSheetId="8">Permits!$A$1:$Q$58</definedName>
    <definedName name="_xlnm.Print_Area" localSheetId="4">'Phase Codes'!$A$1:$I$102</definedName>
    <definedName name="_xlnm.Print_Area" localSheetId="17">Proposal!$A$1:$T$64</definedName>
    <definedName name="_xlnm.Print_Area" localSheetId="13">'SM Import'!$A$1:$M$9</definedName>
    <definedName name="_xlnm.Print_Area" localSheetId="5">'SM Schedule'!$A$1:$IR$212</definedName>
    <definedName name="_xlnm.Print_Area" localSheetId="15">TakeOff!$A$1:$Q$1006</definedName>
    <definedName name="_xlnm.Print_Area" localSheetId="12">'Takeoff Notes'!$B$2:$I$46</definedName>
    <definedName name="_xlnm.Print_Area" localSheetId="6">'Work Recovery'!$A$1:$H$36</definedName>
    <definedName name="_xlnm.Print_Titles" localSheetId="11">Breakdown!$1:$4</definedName>
    <definedName name="_xlnm.Print_Titles" localSheetId="14">'Crew Mix'!$1:$1</definedName>
    <definedName name="_xlnm.Print_Titles" localSheetId="16">'MCAA RECAP'!$1:$8</definedName>
    <definedName name="_xlnm.Print_Titles" localSheetId="18">'Price Breakdown'!$1:$11</definedName>
    <definedName name="_xlnm.Print_Titles" localSheetId="13">'SM Import'!$1:$8</definedName>
    <definedName name="_xlnm.Print_Titles" localSheetId="5">'SM Schedule'!$1:$3</definedName>
    <definedName name="_xlnm.Print_Titles" localSheetId="15">TakeOff!$1:$6</definedName>
    <definedName name="QP_SM_Audit_Trail">OFFSET('QP SM Audit Trail'!$A$1,0,0,COUNTA('QP SM Audit Trail'!$K:$K)+1,COUNTA('QP SM Audit Trail'!$1:$1))</definedName>
    <definedName name="Schedule_Type">'MCAA RECAP'!$C$17</definedName>
    <definedName name="SM_ExludeGroup1">TakeOff!$K$38</definedName>
    <definedName name="SM_ExludeGroup10">TakeOff!$K$326</definedName>
    <definedName name="SM_ExludeGroup11">TakeOff!$K$357</definedName>
    <definedName name="SM_ExludeGroup12">TakeOff!$K$388</definedName>
    <definedName name="SM_ExludeGroup13">TakeOff!$K$419</definedName>
    <definedName name="SM_ExludeGroup14">TakeOff!$K$450</definedName>
    <definedName name="SM_ExludeGroup15">TakeOff!$K$481</definedName>
    <definedName name="SM_ExludeGroup16">TakeOff!$K$512</definedName>
    <definedName name="SM_ExludeGroup17">TakeOff!$K$543</definedName>
    <definedName name="SM_ExludeGroup18">TakeOff!$K$574</definedName>
    <definedName name="SM_ExludeGroup19">TakeOff!$K$605</definedName>
    <definedName name="SM_ExludeGroup2">TakeOff!$K$72</definedName>
    <definedName name="SM_ExludeGroup20">TakeOff!$K$636</definedName>
    <definedName name="SM_ExludeGroup21">TakeOff!$K$667</definedName>
    <definedName name="SM_ExludeGroup22">TakeOff!$K$698</definedName>
    <definedName name="SM_ExludeGroup23">TakeOff!$K$729</definedName>
    <definedName name="SM_ExludeGroup24">TakeOff!$K$760</definedName>
    <definedName name="SM_ExludeGroup25">TakeOff!$K$791</definedName>
    <definedName name="SM_ExludeGroup26">TakeOff!$K$822</definedName>
    <definedName name="SM_ExludeGroup27">TakeOff!$K$853</definedName>
    <definedName name="SM_ExludeGroup28">TakeOff!$K$884</definedName>
    <definedName name="SM_ExludeGroup29">TakeOff!$K$915</definedName>
    <definedName name="SM_ExludeGroup3">TakeOff!$K$103</definedName>
    <definedName name="SM_ExludeGroup30">TakeOff!$K$946</definedName>
    <definedName name="SM_ExludeGroup31">TakeOff!$K$977</definedName>
    <definedName name="SM_ExludeGroup4">TakeOff!$K$136</definedName>
    <definedName name="SM_ExludeGroup5">TakeOff!$K$171</definedName>
    <definedName name="SM_ExludeGroup6">TakeOff!$K$202</definedName>
    <definedName name="SM_ExludeGroup7">TakeOff!$K$233</definedName>
    <definedName name="SM_ExludeGroup8">TakeOff!$K$264</definedName>
    <definedName name="SM_ExludeGroup9">TakeOff!$K$295</definedName>
    <definedName name="SM_Field_Labor">TakeOff!$H$7</definedName>
    <definedName name="SM_FieldLaborColumn">TakeOff!$H:$H</definedName>
    <definedName name="SM_Material">TakeOff!$M$7</definedName>
    <definedName name="SM_MaterialColumn">TakeOff!$M:$M</definedName>
    <definedName name="SM_OvertimeColumn">TakeOff!$Q:$Q</definedName>
    <definedName name="SM_Shop_Labor">TakeOff!$K$7</definedName>
    <definedName name="SM_ShopLaborColumn">TakeOff!$K:$K</definedName>
    <definedName name="SMAuditTrail">OFFSET('SM Audit Trail'!$A$1,0,0,COUNTA('SM Audit Trail'!$H:$H)+1,COUNTA('SM Audit Trail'!$1:$1))</definedName>
    <definedName name="SMImport_CalcFieldHours">'SM Import'!$H$9:$H$78</definedName>
    <definedName name="SMImport_CalcShopHours">'SM Import'!$J$9:$J$78</definedName>
    <definedName name="SMImport_CutType">'SM Import'!$E$9:$E$78</definedName>
    <definedName name="SMImport_Material">'SM Import'!$D$9:$D$78</definedName>
    <definedName name="SMImport_MaterialCost">'SM Import'!$K$9:$K$78</definedName>
    <definedName name="SMImport_Qty">'SM Import'!$F$9:$F$78</definedName>
    <definedName name="SMImport_Type">'SM Import'!$C$9:$C$78</definedName>
    <definedName name="Subsistence">'MCAA RECAP'!$H$92:$H$95</definedName>
    <definedName name="Takeoff_PayType">TakeOff!$T:$T</definedName>
    <definedName name="Takeoff_Total_Field_Labor_Cost">TakeOff!$AG:$AG</definedName>
    <definedName name="Takeoff_Total_Labor_Cost">TakeOff!$AI:$AI</definedName>
    <definedName name="Takeoff_Total_Shop_Labor_Cost">TakeOff!$AH:$AH</definedName>
    <definedName name="Takeoff_Total_Straight_Field_Labor_Cost">TakeOff!$U:$U</definedName>
    <definedName name="Takeoff_Type">TakeOff!$E$5</definedName>
    <definedName name="Total_Arch_DoubleTime">'Crew Mix'!#REF!</definedName>
    <definedName name="Total_Arch_OverTime">'Crew Mix'!#REF!</definedName>
    <definedName name="Total_Arch_StraightTime">'Crew Mix'!#REF!</definedName>
    <definedName name="Total_ArchField_Hours">'Crew Mix'!#REF!</definedName>
    <definedName name="Total_PipeField_DoubleTime">'Crew Mix'!$F$171</definedName>
    <definedName name="Total_PipeField_Hours">'Crew Mix'!$F$134</definedName>
    <definedName name="Total_PipeField_OverTime">'Crew Mix'!$F$151</definedName>
    <definedName name="Total_PlumbField_DoubleTime">'Crew Mix'!$D$171</definedName>
    <definedName name="Total_PlumbField_Hours">'Crew Mix'!$D$134</definedName>
    <definedName name="Total_PlumbField_OverTime">'Crew Mix'!$D$151</definedName>
    <definedName name="Total_PlumbField_StraightTime">'Crew Mix'!$D$131</definedName>
    <definedName name="Total_SMField_DoubleTime">'Crew Mix'!$D$47</definedName>
    <definedName name="Total_SMField_Hours">'Crew Mix'!$D$8</definedName>
    <definedName name="Total_SMField_OverTime">'Crew Mix'!$D$26</definedName>
    <definedName name="Total_SMField_StraightTime">'Crew Mix'!$D$5</definedName>
    <definedName name="Total_SMShop_DoubleTime">'Crew Mix'!$D$110</definedName>
    <definedName name="Total_SMShop_Hours">'Crew Mix'!$D$71</definedName>
    <definedName name="Total_SMShop_OverTime">'Crew Mix'!$D$89</definedName>
    <definedName name="Total_SMShop_StraightTime">'Crew Mix'!$D$68</definedName>
    <definedName name="Trucking_Hrs">'MCAA RECAP'!$E$81</definedName>
    <definedName name="Trucking_Loads">'MCAA RECAP'!$F$81</definedName>
    <definedName name="Trucking_Rate">'MCAA RECAP'!$G$81</definedName>
    <definedName name="Trucking_Total">'MCAA RECAP'!$H$81</definedName>
    <definedName name="Type_Of_Work">'Booking Report'!$R$1:$R$15</definedName>
    <definedName name="Username">'MCAA RECAP'!$M$2</definedName>
    <definedName name="Version">'MCAA RECAP'!$M$1</definedName>
    <definedName name="WorkRecovery_Arch">'Work Recovery'!$H$8</definedName>
    <definedName name="WorkRecovery_Pipe">'Work Recovery'!$H$10:$H$12</definedName>
    <definedName name="WorkRecovery_SM">'Work Recovery'!$H$4:$H$6</definedName>
    <definedName name="wrn.Estimate." hidden="1">{#N/A,#N/A,TRUE,"Admin";#N/A,#N/A,TRUE,"Summary";#N/A,#N/A,TRUE,"Fab &amp; Install";#N/A,#N/A,TRUE,"Miscl Lbr";#N/A,#N/A,TRUE,"Equip";#N/A,#N/A,TRUE,"SubCon";#N/A,#N/A,TRUE,"ODC"}</definedName>
    <definedName name="wrnwhat" hidden="1">{#N/A,#N/A,TRUE,"Admin";#N/A,#N/A,TRUE,"Summary";#N/A,#N/A,TRUE,"Fab &amp; Install";#N/A,#N/A,TRUE,"Miscl Lbr";#N/A,#N/A,TRUE,"Equip";#N/A,#N/A,TRUE,"SubCon";#N/A,#N/A,TRUE,"ODC"}</definedName>
  </definedNames>
  <calcPr calcId="191029"/>
  <pivotCaches>
    <pivotCache cacheId="0" r:id="rId22"/>
    <pivotCache cacheId="1" r:id="rId2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54" i="13" l="1"/>
  <c r="M54" i="13"/>
  <c r="T54" i="13"/>
  <c r="S54" i="13" s="1"/>
  <c r="H54" i="13" s="1"/>
  <c r="AB54" i="13"/>
  <c r="AC54" i="13"/>
  <c r="AD54" i="13"/>
  <c r="AE54" i="13"/>
  <c r="AF54" i="13"/>
  <c r="K65" i="13"/>
  <c r="M65" i="13"/>
  <c r="T65" i="13"/>
  <c r="S65" i="13" s="1"/>
  <c r="H65" i="13" s="1"/>
  <c r="AB65" i="13"/>
  <c r="AC65" i="13"/>
  <c r="AD65" i="13"/>
  <c r="AE65" i="13"/>
  <c r="AF65" i="13"/>
  <c r="K66" i="13"/>
  <c r="M66" i="13"/>
  <c r="T66" i="13"/>
  <c r="S66" i="13" s="1"/>
  <c r="H66" i="13" s="1"/>
  <c r="AB66" i="13"/>
  <c r="AC66" i="13"/>
  <c r="AD66" i="13"/>
  <c r="AE66" i="13"/>
  <c r="AF66" i="13"/>
  <c r="K155" i="13"/>
  <c r="M155" i="13"/>
  <c r="T155" i="13"/>
  <c r="S155" i="13" s="1"/>
  <c r="H155" i="13" s="1"/>
  <c r="AB155" i="13"/>
  <c r="AC155" i="13"/>
  <c r="AD155" i="13"/>
  <c r="AE155" i="13"/>
  <c r="AF155" i="13"/>
  <c r="K156" i="13"/>
  <c r="M156" i="13"/>
  <c r="T156" i="13"/>
  <c r="AB156" i="13"/>
  <c r="AC156" i="13"/>
  <c r="AD156" i="13"/>
  <c r="AE156" i="13"/>
  <c r="AF156" i="13"/>
  <c r="K151" i="13"/>
  <c r="M151" i="13"/>
  <c r="T151" i="13"/>
  <c r="S151" i="13" s="1"/>
  <c r="H151" i="13" s="1"/>
  <c r="AB151" i="13"/>
  <c r="AC151" i="13"/>
  <c r="AD151" i="13"/>
  <c r="AE151" i="13"/>
  <c r="AF151" i="13"/>
  <c r="K144" i="13"/>
  <c r="M144" i="13"/>
  <c r="T144" i="13"/>
  <c r="S144" i="13" s="1"/>
  <c r="H144" i="13" s="1"/>
  <c r="AB144" i="13"/>
  <c r="AC144" i="13"/>
  <c r="AD144" i="13"/>
  <c r="AE144" i="13"/>
  <c r="AF144" i="13"/>
  <c r="K116" i="13"/>
  <c r="M116" i="13"/>
  <c r="T116" i="13"/>
  <c r="S116" i="13" s="1"/>
  <c r="H116" i="13" s="1"/>
  <c r="AB116" i="13"/>
  <c r="AC116" i="13"/>
  <c r="AD116" i="13"/>
  <c r="AE116" i="13"/>
  <c r="AF116" i="13"/>
  <c r="K117" i="13"/>
  <c r="M117" i="13"/>
  <c r="T117" i="13"/>
  <c r="S117" i="13" s="1"/>
  <c r="H117" i="13" s="1"/>
  <c r="AB117" i="13"/>
  <c r="AC117" i="13"/>
  <c r="AD117" i="13"/>
  <c r="AE117" i="13"/>
  <c r="AF117" i="13"/>
  <c r="I68" i="1"/>
  <c r="B8" i="32"/>
  <c r="H8" i="32" s="1"/>
  <c r="V65" i="13" l="1"/>
  <c r="X54" i="13"/>
  <c r="Y54" i="13"/>
  <c r="Z65" i="13"/>
  <c r="V54" i="13"/>
  <c r="Y65" i="13"/>
  <c r="AM54" i="13"/>
  <c r="X65" i="13"/>
  <c r="W65" i="13"/>
  <c r="Z54" i="13"/>
  <c r="W54" i="13"/>
  <c r="AM66" i="13"/>
  <c r="AM65" i="13"/>
  <c r="Y66" i="13"/>
  <c r="X66" i="13"/>
  <c r="W66" i="13"/>
  <c r="Z66" i="13"/>
  <c r="V66" i="13"/>
  <c r="AM156" i="13"/>
  <c r="AM155" i="13"/>
  <c r="Z151" i="13"/>
  <c r="Y151" i="13"/>
  <c r="X151" i="13"/>
  <c r="W151" i="13"/>
  <c r="V151" i="13"/>
  <c r="S156" i="13"/>
  <c r="H156" i="13" s="1"/>
  <c r="Z155" i="13"/>
  <c r="V156" i="13"/>
  <c r="Z156" i="13"/>
  <c r="Y155" i="13"/>
  <c r="Y156" i="13"/>
  <c r="X155" i="13"/>
  <c r="X156" i="13"/>
  <c r="W155" i="13"/>
  <c r="W156" i="13"/>
  <c r="V155" i="13"/>
  <c r="AM144" i="13"/>
  <c r="AM151" i="13"/>
  <c r="Z144" i="13"/>
  <c r="AM117" i="13"/>
  <c r="Y144" i="13"/>
  <c r="Y116" i="13"/>
  <c r="X144" i="13"/>
  <c r="X116" i="13"/>
  <c r="W144" i="13"/>
  <c r="V144" i="13"/>
  <c r="Z117" i="13"/>
  <c r="Z116" i="13"/>
  <c r="Y117" i="13"/>
  <c r="X117" i="13"/>
  <c r="W117" i="13"/>
  <c r="W116" i="13"/>
  <c r="V116" i="13"/>
  <c r="AM116" i="13"/>
  <c r="V117" i="13"/>
  <c r="D57" i="1"/>
  <c r="E783" i="11"/>
  <c r="Q74" i="5"/>
  <c r="T74" i="5"/>
  <c r="U74" i="5"/>
  <c r="W74" i="5"/>
  <c r="N16" i="20"/>
  <c r="O146" i="20"/>
  <c r="M139" i="5"/>
  <c r="M76" i="5"/>
  <c r="W137" i="5"/>
  <c r="U137" i="5"/>
  <c r="T137" i="5"/>
  <c r="Q137" i="5"/>
  <c r="M1005" i="13"/>
  <c r="M1004" i="13"/>
  <c r="M1003" i="13"/>
  <c r="M1002" i="13"/>
  <c r="M1001" i="13"/>
  <c r="M1000" i="13"/>
  <c r="M999" i="13"/>
  <c r="M998" i="13"/>
  <c r="M997" i="13"/>
  <c r="M996" i="13"/>
  <c r="M995" i="13"/>
  <c r="M994" i="13"/>
  <c r="M993" i="13"/>
  <c r="M992" i="13"/>
  <c r="M991" i="13"/>
  <c r="M990" i="13"/>
  <c r="M989" i="13"/>
  <c r="M988" i="13"/>
  <c r="M987" i="13"/>
  <c r="M986" i="13"/>
  <c r="M985" i="13"/>
  <c r="M984" i="13"/>
  <c r="M983" i="13"/>
  <c r="M982" i="13"/>
  <c r="M981" i="13"/>
  <c r="M980" i="13"/>
  <c r="M974" i="13"/>
  <c r="M973" i="13"/>
  <c r="M972" i="13"/>
  <c r="M971" i="13"/>
  <c r="M970" i="13"/>
  <c r="M969" i="13"/>
  <c r="M968" i="13"/>
  <c r="M967" i="13"/>
  <c r="M966" i="13"/>
  <c r="M965" i="13"/>
  <c r="M964" i="13"/>
  <c r="M963" i="13"/>
  <c r="M962" i="13"/>
  <c r="M961" i="13"/>
  <c r="M960" i="13"/>
  <c r="M959" i="13"/>
  <c r="M958" i="13"/>
  <c r="M957" i="13"/>
  <c r="M956" i="13"/>
  <c r="M955" i="13"/>
  <c r="M954" i="13"/>
  <c r="M953" i="13"/>
  <c r="M952" i="13"/>
  <c r="M951" i="13"/>
  <c r="M950" i="13"/>
  <c r="M949" i="13"/>
  <c r="M943" i="13"/>
  <c r="M942" i="13"/>
  <c r="M941" i="13"/>
  <c r="M940" i="13"/>
  <c r="M939" i="13"/>
  <c r="M938" i="13"/>
  <c r="M937" i="13"/>
  <c r="M936" i="13"/>
  <c r="M935" i="13"/>
  <c r="M934" i="13"/>
  <c r="M933" i="13"/>
  <c r="M932" i="13"/>
  <c r="M931" i="13"/>
  <c r="M930" i="13"/>
  <c r="M929" i="13"/>
  <c r="M928" i="13"/>
  <c r="M927" i="13"/>
  <c r="M926" i="13"/>
  <c r="M925" i="13"/>
  <c r="M924" i="13"/>
  <c r="M923" i="13"/>
  <c r="M922" i="13"/>
  <c r="M921" i="13"/>
  <c r="M920" i="13"/>
  <c r="M919" i="13"/>
  <c r="M918" i="13"/>
  <c r="M912" i="13"/>
  <c r="M911" i="13"/>
  <c r="M910" i="13"/>
  <c r="M909" i="13"/>
  <c r="M908" i="13"/>
  <c r="M907" i="13"/>
  <c r="M906" i="13"/>
  <c r="M905" i="13"/>
  <c r="M904" i="13"/>
  <c r="M903" i="13"/>
  <c r="M902" i="13"/>
  <c r="M901" i="13"/>
  <c r="M900" i="13"/>
  <c r="M899" i="13"/>
  <c r="M898" i="13"/>
  <c r="M897" i="13"/>
  <c r="M896" i="13"/>
  <c r="M895" i="13"/>
  <c r="M894" i="13"/>
  <c r="M893" i="13"/>
  <c r="M892" i="13"/>
  <c r="M891" i="13"/>
  <c r="M890" i="13"/>
  <c r="M889" i="13"/>
  <c r="M888" i="13"/>
  <c r="M887" i="13"/>
  <c r="M881" i="13"/>
  <c r="M880" i="13"/>
  <c r="M879" i="13"/>
  <c r="M878" i="13"/>
  <c r="M877" i="13"/>
  <c r="M876" i="13"/>
  <c r="M875" i="13"/>
  <c r="M874" i="13"/>
  <c r="M873" i="13"/>
  <c r="M872" i="13"/>
  <c r="M871" i="13"/>
  <c r="M870" i="13"/>
  <c r="M869" i="13"/>
  <c r="M868" i="13"/>
  <c r="M867" i="13"/>
  <c r="M866" i="13"/>
  <c r="M865" i="13"/>
  <c r="M864" i="13"/>
  <c r="M863" i="13"/>
  <c r="M862" i="13"/>
  <c r="M861" i="13"/>
  <c r="M860" i="13"/>
  <c r="M859" i="13"/>
  <c r="M858" i="13"/>
  <c r="M857" i="13"/>
  <c r="M856" i="13"/>
  <c r="M850" i="13"/>
  <c r="M849" i="13"/>
  <c r="M848" i="13"/>
  <c r="M847" i="13"/>
  <c r="M846" i="13"/>
  <c r="M845" i="13"/>
  <c r="M844" i="13"/>
  <c r="M843" i="13"/>
  <c r="M842" i="13"/>
  <c r="M841" i="13"/>
  <c r="M840" i="13"/>
  <c r="M839" i="13"/>
  <c r="M838" i="13"/>
  <c r="M837" i="13"/>
  <c r="M836" i="13"/>
  <c r="M835" i="13"/>
  <c r="M834" i="13"/>
  <c r="M833" i="13"/>
  <c r="M832" i="13"/>
  <c r="M831" i="13"/>
  <c r="M830" i="13"/>
  <c r="M829" i="13"/>
  <c r="M828" i="13"/>
  <c r="M827" i="13"/>
  <c r="M826" i="13"/>
  <c r="M825" i="13"/>
  <c r="M819" i="13"/>
  <c r="M818" i="13"/>
  <c r="M817" i="13"/>
  <c r="M816" i="13"/>
  <c r="M815" i="13"/>
  <c r="M814" i="13"/>
  <c r="M813" i="13"/>
  <c r="M812" i="13"/>
  <c r="M811" i="13"/>
  <c r="M810" i="13"/>
  <c r="M809" i="13"/>
  <c r="M808" i="13"/>
  <c r="M807" i="13"/>
  <c r="M806" i="13"/>
  <c r="M805" i="13"/>
  <c r="M804" i="13"/>
  <c r="M803" i="13"/>
  <c r="M802" i="13"/>
  <c r="M801" i="13"/>
  <c r="M800" i="13"/>
  <c r="M799" i="13"/>
  <c r="M798" i="13"/>
  <c r="M797" i="13"/>
  <c r="M796" i="13"/>
  <c r="M795" i="13"/>
  <c r="M794" i="13"/>
  <c r="M788" i="13"/>
  <c r="M787" i="13"/>
  <c r="M786" i="13"/>
  <c r="M785" i="13"/>
  <c r="M784" i="13"/>
  <c r="M783" i="13"/>
  <c r="M782" i="13"/>
  <c r="M781" i="13"/>
  <c r="M780" i="13"/>
  <c r="M779" i="13"/>
  <c r="M778" i="13"/>
  <c r="M777" i="13"/>
  <c r="M776" i="13"/>
  <c r="M775" i="13"/>
  <c r="M774" i="13"/>
  <c r="M773" i="13"/>
  <c r="M772" i="13"/>
  <c r="M771" i="13"/>
  <c r="M770" i="13"/>
  <c r="M769" i="13"/>
  <c r="M768" i="13"/>
  <c r="M767" i="13"/>
  <c r="M766" i="13"/>
  <c r="M765" i="13"/>
  <c r="M764" i="13"/>
  <c r="M763" i="13"/>
  <c r="M757" i="13"/>
  <c r="M756" i="13"/>
  <c r="M755" i="13"/>
  <c r="M754" i="13"/>
  <c r="M753" i="13"/>
  <c r="M752" i="13"/>
  <c r="M751" i="13"/>
  <c r="M750" i="13"/>
  <c r="M749" i="13"/>
  <c r="M748" i="13"/>
  <c r="M747" i="13"/>
  <c r="M746" i="13"/>
  <c r="M745" i="13"/>
  <c r="M744" i="13"/>
  <c r="M743" i="13"/>
  <c r="M742" i="13"/>
  <c r="M741" i="13"/>
  <c r="M740" i="13"/>
  <c r="M739" i="13"/>
  <c r="M738" i="13"/>
  <c r="M737" i="13"/>
  <c r="M736" i="13"/>
  <c r="M735" i="13"/>
  <c r="M734" i="13"/>
  <c r="M733" i="13"/>
  <c r="M732" i="13"/>
  <c r="M726" i="13"/>
  <c r="M725" i="13"/>
  <c r="M724" i="13"/>
  <c r="M723" i="13"/>
  <c r="M722" i="13"/>
  <c r="M721" i="13"/>
  <c r="M720" i="13"/>
  <c r="M719" i="13"/>
  <c r="M718" i="13"/>
  <c r="M717" i="13"/>
  <c r="M716" i="13"/>
  <c r="M715" i="13"/>
  <c r="M714" i="13"/>
  <c r="M713" i="13"/>
  <c r="M712" i="13"/>
  <c r="M711" i="13"/>
  <c r="M710" i="13"/>
  <c r="M709" i="13"/>
  <c r="M708" i="13"/>
  <c r="M707" i="13"/>
  <c r="M706" i="13"/>
  <c r="M705" i="13"/>
  <c r="M704" i="13"/>
  <c r="M703" i="13"/>
  <c r="M702" i="13"/>
  <c r="M701" i="13"/>
  <c r="M695" i="13"/>
  <c r="M694" i="13"/>
  <c r="M693" i="13"/>
  <c r="M692" i="13"/>
  <c r="M691" i="13"/>
  <c r="M690" i="13"/>
  <c r="M689" i="13"/>
  <c r="M688" i="13"/>
  <c r="M687" i="13"/>
  <c r="M686" i="13"/>
  <c r="M685" i="13"/>
  <c r="M684" i="13"/>
  <c r="M683" i="13"/>
  <c r="M682" i="13"/>
  <c r="M681" i="13"/>
  <c r="M680" i="13"/>
  <c r="M679" i="13"/>
  <c r="M678" i="13"/>
  <c r="M677" i="13"/>
  <c r="M676" i="13"/>
  <c r="M675" i="13"/>
  <c r="M674" i="13"/>
  <c r="M673" i="13"/>
  <c r="M672" i="13"/>
  <c r="M671" i="13"/>
  <c r="M670" i="13"/>
  <c r="M664" i="13"/>
  <c r="M663" i="13"/>
  <c r="M662" i="13"/>
  <c r="M661" i="13"/>
  <c r="M660" i="13"/>
  <c r="M659" i="13"/>
  <c r="M658" i="13"/>
  <c r="M657" i="13"/>
  <c r="M656" i="13"/>
  <c r="M655" i="13"/>
  <c r="M654" i="13"/>
  <c r="M653" i="13"/>
  <c r="M652" i="13"/>
  <c r="M651" i="13"/>
  <c r="M650" i="13"/>
  <c r="M649" i="13"/>
  <c r="M648" i="13"/>
  <c r="M647" i="13"/>
  <c r="M646" i="13"/>
  <c r="M645" i="13"/>
  <c r="M644" i="13"/>
  <c r="M643" i="13"/>
  <c r="M642" i="13"/>
  <c r="M641" i="13"/>
  <c r="M640" i="13"/>
  <c r="M639" i="13"/>
  <c r="M633" i="13"/>
  <c r="M632" i="13"/>
  <c r="M631" i="13"/>
  <c r="M630" i="13"/>
  <c r="M629" i="13"/>
  <c r="M628" i="13"/>
  <c r="M627" i="13"/>
  <c r="M626" i="13"/>
  <c r="M625" i="13"/>
  <c r="M624" i="13"/>
  <c r="M623" i="13"/>
  <c r="M622" i="13"/>
  <c r="M621" i="13"/>
  <c r="M620" i="13"/>
  <c r="M619" i="13"/>
  <c r="M618" i="13"/>
  <c r="M617" i="13"/>
  <c r="M616" i="13"/>
  <c r="M615" i="13"/>
  <c r="M614" i="13"/>
  <c r="M613" i="13"/>
  <c r="M612" i="13"/>
  <c r="M611" i="13"/>
  <c r="M610" i="13"/>
  <c r="M609" i="13"/>
  <c r="M608" i="13"/>
  <c r="M602" i="13"/>
  <c r="M601" i="13"/>
  <c r="M600" i="13"/>
  <c r="M599" i="13"/>
  <c r="M598" i="13"/>
  <c r="M597" i="13"/>
  <c r="M596" i="13"/>
  <c r="M595" i="13"/>
  <c r="M594" i="13"/>
  <c r="M593" i="13"/>
  <c r="M592" i="13"/>
  <c r="M591" i="13"/>
  <c r="M590" i="13"/>
  <c r="M589" i="13"/>
  <c r="M588" i="13"/>
  <c r="M587" i="13"/>
  <c r="M586" i="13"/>
  <c r="M585" i="13"/>
  <c r="M584" i="13"/>
  <c r="M583" i="13"/>
  <c r="M582" i="13"/>
  <c r="M581" i="13"/>
  <c r="M580" i="13"/>
  <c r="M579" i="13"/>
  <c r="M578" i="13"/>
  <c r="M577" i="13"/>
  <c r="M571" i="13"/>
  <c r="M570" i="13"/>
  <c r="M569" i="13"/>
  <c r="M568" i="13"/>
  <c r="M567" i="13"/>
  <c r="M566" i="13"/>
  <c r="M565" i="13"/>
  <c r="M564" i="13"/>
  <c r="M563" i="13"/>
  <c r="M562" i="13"/>
  <c r="M561" i="13"/>
  <c r="M560" i="13"/>
  <c r="M559" i="13"/>
  <c r="M558" i="13"/>
  <c r="M557" i="13"/>
  <c r="M556" i="13"/>
  <c r="M555" i="13"/>
  <c r="M554" i="13"/>
  <c r="M553" i="13"/>
  <c r="M552" i="13"/>
  <c r="M551" i="13"/>
  <c r="M550" i="13"/>
  <c r="M549" i="13"/>
  <c r="M548" i="13"/>
  <c r="M547" i="13"/>
  <c r="M546" i="13"/>
  <c r="M540" i="13"/>
  <c r="M539" i="13"/>
  <c r="M538" i="13"/>
  <c r="M537" i="13"/>
  <c r="M536" i="13"/>
  <c r="M535" i="13"/>
  <c r="M534" i="13"/>
  <c r="M533" i="13"/>
  <c r="M532" i="13"/>
  <c r="M531" i="13"/>
  <c r="M530" i="13"/>
  <c r="M529" i="13"/>
  <c r="M528" i="13"/>
  <c r="M527" i="13"/>
  <c r="M526" i="13"/>
  <c r="M525" i="13"/>
  <c r="M524" i="13"/>
  <c r="M523" i="13"/>
  <c r="M522" i="13"/>
  <c r="M521" i="13"/>
  <c r="M520" i="13"/>
  <c r="M519" i="13"/>
  <c r="M518" i="13"/>
  <c r="M517" i="13"/>
  <c r="M516" i="13"/>
  <c r="M515" i="13"/>
  <c r="M509" i="13"/>
  <c r="M508" i="13"/>
  <c r="M507" i="13"/>
  <c r="M506" i="13"/>
  <c r="M505" i="13"/>
  <c r="M504" i="13"/>
  <c r="M503" i="13"/>
  <c r="M502" i="13"/>
  <c r="M501" i="13"/>
  <c r="M500" i="13"/>
  <c r="M499" i="13"/>
  <c r="M498" i="13"/>
  <c r="M497" i="13"/>
  <c r="M496" i="13"/>
  <c r="M495" i="13"/>
  <c r="M494" i="13"/>
  <c r="M493" i="13"/>
  <c r="M492" i="13"/>
  <c r="M491" i="13"/>
  <c r="M490" i="13"/>
  <c r="M489" i="13"/>
  <c r="M488" i="13"/>
  <c r="M487" i="13"/>
  <c r="M486" i="13"/>
  <c r="M485" i="13"/>
  <c r="M484" i="13"/>
  <c r="M478" i="13"/>
  <c r="M477" i="13"/>
  <c r="M476" i="13"/>
  <c r="M475" i="13"/>
  <c r="M474" i="13"/>
  <c r="M473" i="13"/>
  <c r="M472" i="13"/>
  <c r="M471" i="13"/>
  <c r="M470" i="13"/>
  <c r="M469" i="13"/>
  <c r="M468" i="13"/>
  <c r="M467" i="13"/>
  <c r="M466" i="13"/>
  <c r="M465" i="13"/>
  <c r="M464" i="13"/>
  <c r="M463" i="13"/>
  <c r="M462" i="13"/>
  <c r="M461" i="13"/>
  <c r="M460" i="13"/>
  <c r="M459" i="13"/>
  <c r="M458" i="13"/>
  <c r="M457" i="13"/>
  <c r="M456" i="13"/>
  <c r="M455" i="13"/>
  <c r="M454" i="13"/>
  <c r="M453" i="13"/>
  <c r="M447" i="13"/>
  <c r="M446" i="13"/>
  <c r="M445" i="13"/>
  <c r="M444" i="13"/>
  <c r="M443" i="13"/>
  <c r="M442" i="13"/>
  <c r="M441" i="13"/>
  <c r="M440" i="13"/>
  <c r="M439" i="13"/>
  <c r="M438" i="13"/>
  <c r="M437" i="13"/>
  <c r="M436" i="13"/>
  <c r="M435" i="13"/>
  <c r="M434" i="13"/>
  <c r="M433" i="13"/>
  <c r="M432" i="13"/>
  <c r="M431" i="13"/>
  <c r="M430" i="13"/>
  <c r="M429" i="13"/>
  <c r="M428" i="13"/>
  <c r="M427" i="13"/>
  <c r="M426" i="13"/>
  <c r="M425" i="13"/>
  <c r="M424" i="13"/>
  <c r="M423" i="13"/>
  <c r="M422" i="13"/>
  <c r="M416" i="13"/>
  <c r="M415" i="13"/>
  <c r="M414" i="13"/>
  <c r="M413" i="13"/>
  <c r="M412" i="13"/>
  <c r="M411" i="13"/>
  <c r="M410" i="13"/>
  <c r="M409" i="13"/>
  <c r="M408" i="13"/>
  <c r="M407" i="13"/>
  <c r="M406" i="13"/>
  <c r="M405" i="13"/>
  <c r="M404" i="13"/>
  <c r="M403" i="13"/>
  <c r="M402" i="13"/>
  <c r="M401" i="13"/>
  <c r="M400" i="13"/>
  <c r="M399" i="13"/>
  <c r="M398" i="13"/>
  <c r="M397" i="13"/>
  <c r="M396" i="13"/>
  <c r="M395" i="13"/>
  <c r="M394" i="13"/>
  <c r="M393" i="13"/>
  <c r="M392" i="13"/>
  <c r="M391" i="13"/>
  <c r="M385" i="13"/>
  <c r="M384" i="13"/>
  <c r="M383" i="13"/>
  <c r="M382" i="13"/>
  <c r="M381" i="13"/>
  <c r="M380" i="13"/>
  <c r="M379" i="13"/>
  <c r="M378" i="13"/>
  <c r="M377" i="13"/>
  <c r="M376" i="13"/>
  <c r="M375" i="13"/>
  <c r="M374" i="13"/>
  <c r="M373" i="13"/>
  <c r="M372" i="13"/>
  <c r="M371" i="13"/>
  <c r="M370" i="13"/>
  <c r="M369" i="13"/>
  <c r="M368" i="13"/>
  <c r="M367" i="13"/>
  <c r="M366" i="13"/>
  <c r="M365" i="13"/>
  <c r="M364" i="13"/>
  <c r="M363" i="13"/>
  <c r="M362" i="13"/>
  <c r="M361" i="13"/>
  <c r="M360" i="13"/>
  <c r="M354" i="13"/>
  <c r="M353" i="13"/>
  <c r="M352" i="13"/>
  <c r="M351" i="13"/>
  <c r="M350" i="13"/>
  <c r="M349" i="13"/>
  <c r="M348" i="13"/>
  <c r="M347" i="13"/>
  <c r="M346" i="13"/>
  <c r="M345" i="13"/>
  <c r="M344" i="13"/>
  <c r="M343" i="13"/>
  <c r="M342" i="13"/>
  <c r="M341" i="13"/>
  <c r="M340" i="13"/>
  <c r="M339" i="13"/>
  <c r="M338" i="13"/>
  <c r="M337" i="13"/>
  <c r="M336" i="13"/>
  <c r="M335" i="13"/>
  <c r="M334" i="13"/>
  <c r="M333" i="13"/>
  <c r="M332" i="13"/>
  <c r="M331" i="13"/>
  <c r="M330" i="13"/>
  <c r="M329" i="13"/>
  <c r="M323" i="13"/>
  <c r="M322" i="13"/>
  <c r="M321" i="13"/>
  <c r="M320" i="13"/>
  <c r="M319" i="13"/>
  <c r="M318" i="13"/>
  <c r="M317" i="13"/>
  <c r="M316" i="13"/>
  <c r="M315" i="13"/>
  <c r="M314" i="13"/>
  <c r="M313" i="13"/>
  <c r="M312" i="13"/>
  <c r="M311" i="13"/>
  <c r="M310" i="13"/>
  <c r="M309" i="13"/>
  <c r="M308" i="13"/>
  <c r="M307" i="13"/>
  <c r="M306" i="13"/>
  <c r="M305" i="13"/>
  <c r="M304" i="13"/>
  <c r="M303" i="13"/>
  <c r="M302" i="13"/>
  <c r="M301" i="13"/>
  <c r="M300" i="13"/>
  <c r="M299" i="13"/>
  <c r="M298" i="13"/>
  <c r="M292" i="13"/>
  <c r="M291" i="13"/>
  <c r="M290" i="13"/>
  <c r="M289" i="13"/>
  <c r="M288" i="13"/>
  <c r="M287" i="13"/>
  <c r="M286" i="13"/>
  <c r="M285" i="13"/>
  <c r="M284" i="13"/>
  <c r="M283" i="13"/>
  <c r="M282" i="13"/>
  <c r="M281" i="13"/>
  <c r="M280" i="13"/>
  <c r="M279" i="13"/>
  <c r="M278" i="13"/>
  <c r="M277" i="13"/>
  <c r="M276" i="13"/>
  <c r="M275" i="13"/>
  <c r="M274" i="13"/>
  <c r="M273" i="13"/>
  <c r="M272" i="13"/>
  <c r="M271" i="13"/>
  <c r="M270" i="13"/>
  <c r="M269" i="13"/>
  <c r="M268" i="13"/>
  <c r="M267" i="13"/>
  <c r="M261" i="13"/>
  <c r="M260" i="13"/>
  <c r="M259" i="13"/>
  <c r="M258" i="13"/>
  <c r="M257" i="13"/>
  <c r="M256" i="13"/>
  <c r="M255" i="13"/>
  <c r="M254" i="13"/>
  <c r="M253" i="13"/>
  <c r="M252" i="13"/>
  <c r="M251" i="13"/>
  <c r="M250" i="13"/>
  <c r="M249" i="13"/>
  <c r="M248" i="13"/>
  <c r="M247" i="13"/>
  <c r="M246" i="13"/>
  <c r="M245" i="13"/>
  <c r="M244" i="13"/>
  <c r="M243" i="13"/>
  <c r="M242" i="13"/>
  <c r="M241" i="13"/>
  <c r="M240" i="13"/>
  <c r="M239" i="13"/>
  <c r="M238" i="13"/>
  <c r="M237" i="13"/>
  <c r="M236" i="13"/>
  <c r="M230" i="13"/>
  <c r="M229" i="13"/>
  <c r="M228" i="13"/>
  <c r="M227" i="13"/>
  <c r="M226" i="13"/>
  <c r="M225" i="13"/>
  <c r="M224" i="13"/>
  <c r="M223" i="13"/>
  <c r="M222" i="13"/>
  <c r="M221" i="13"/>
  <c r="M220" i="13"/>
  <c r="M219" i="13"/>
  <c r="M218" i="13"/>
  <c r="M217" i="13"/>
  <c r="M216" i="13"/>
  <c r="M215" i="13"/>
  <c r="M214" i="13"/>
  <c r="M213" i="13"/>
  <c r="M212" i="13"/>
  <c r="M211" i="13"/>
  <c r="M210" i="13"/>
  <c r="M209" i="13"/>
  <c r="M208" i="13"/>
  <c r="M207" i="13"/>
  <c r="M206" i="13"/>
  <c r="M205" i="13"/>
  <c r="M199" i="13"/>
  <c r="M198" i="13"/>
  <c r="M197" i="13"/>
  <c r="M196" i="13"/>
  <c r="M195" i="13"/>
  <c r="M194" i="13"/>
  <c r="M193" i="13"/>
  <c r="M192" i="13"/>
  <c r="M191" i="13"/>
  <c r="M190" i="13"/>
  <c r="M189" i="13"/>
  <c r="M188" i="13"/>
  <c r="M187" i="13"/>
  <c r="M186" i="13"/>
  <c r="M185" i="13"/>
  <c r="M184" i="13"/>
  <c r="M183" i="13"/>
  <c r="M182" i="13"/>
  <c r="M181" i="13"/>
  <c r="M180" i="13"/>
  <c r="M179" i="13"/>
  <c r="M178" i="13"/>
  <c r="M177" i="13"/>
  <c r="M176" i="13"/>
  <c r="M175" i="13"/>
  <c r="M174" i="13"/>
  <c r="M168" i="13"/>
  <c r="M167" i="13"/>
  <c r="M166" i="13"/>
  <c r="M165" i="13"/>
  <c r="M164" i="13"/>
  <c r="M163" i="13"/>
  <c r="M162" i="13"/>
  <c r="M161" i="13"/>
  <c r="M160" i="13"/>
  <c r="M159" i="13"/>
  <c r="M158" i="13"/>
  <c r="M157" i="13"/>
  <c r="M154" i="13"/>
  <c r="M153" i="13"/>
  <c r="M152" i="13"/>
  <c r="M150" i="13"/>
  <c r="M149" i="13"/>
  <c r="M148" i="13"/>
  <c r="M147" i="13"/>
  <c r="M146" i="13"/>
  <c r="M145" i="13"/>
  <c r="M143" i="13"/>
  <c r="M142" i="13"/>
  <c r="M141" i="13"/>
  <c r="M140" i="13"/>
  <c r="M139" i="13"/>
  <c r="M133" i="13"/>
  <c r="M132" i="13"/>
  <c r="M131" i="13"/>
  <c r="M130" i="13"/>
  <c r="M129" i="13"/>
  <c r="M128" i="13"/>
  <c r="M127" i="13"/>
  <c r="M126" i="13"/>
  <c r="M125" i="13"/>
  <c r="M124" i="13"/>
  <c r="M123" i="13"/>
  <c r="M122" i="13"/>
  <c r="M121" i="13"/>
  <c r="M120" i="13"/>
  <c r="M119" i="13"/>
  <c r="M118" i="13"/>
  <c r="M115" i="13"/>
  <c r="M114" i="13"/>
  <c r="M113" i="13"/>
  <c r="M112" i="13"/>
  <c r="M111" i="13"/>
  <c r="M110" i="13"/>
  <c r="M109" i="13"/>
  <c r="M108" i="13"/>
  <c r="M107" i="13"/>
  <c r="M106" i="13"/>
  <c r="M100" i="13"/>
  <c r="M99" i="13"/>
  <c r="M98" i="13"/>
  <c r="M97" i="13"/>
  <c r="M96" i="13"/>
  <c r="M95" i="13"/>
  <c r="M94" i="13"/>
  <c r="M93" i="13"/>
  <c r="M92" i="13"/>
  <c r="M91" i="13"/>
  <c r="M90" i="13"/>
  <c r="M89" i="13"/>
  <c r="M88" i="13"/>
  <c r="M87" i="13"/>
  <c r="M86" i="13"/>
  <c r="M85" i="13"/>
  <c r="M84" i="13"/>
  <c r="M83" i="13"/>
  <c r="M82" i="13"/>
  <c r="M81" i="13"/>
  <c r="M80" i="13"/>
  <c r="M79" i="13"/>
  <c r="M78" i="13"/>
  <c r="M77" i="13"/>
  <c r="M76" i="13"/>
  <c r="M75" i="13"/>
  <c r="M69" i="13"/>
  <c r="M68" i="13"/>
  <c r="M67" i="13"/>
  <c r="M64" i="13"/>
  <c r="M63" i="13"/>
  <c r="M62" i="13"/>
  <c r="M61" i="13"/>
  <c r="M60" i="13"/>
  <c r="M59" i="13"/>
  <c r="M58" i="13"/>
  <c r="M57" i="13"/>
  <c r="M56" i="13"/>
  <c r="M55" i="13"/>
  <c r="M53" i="13"/>
  <c r="M52" i="13"/>
  <c r="M51" i="13"/>
  <c r="M50" i="13"/>
  <c r="M49" i="13"/>
  <c r="M48" i="13"/>
  <c r="M47" i="13"/>
  <c r="M46" i="13"/>
  <c r="M45" i="13"/>
  <c r="M44" i="13"/>
  <c r="M43" i="13"/>
  <c r="M42" i="13"/>
  <c r="M41" i="13"/>
  <c r="K1005" i="13"/>
  <c r="K1004" i="13"/>
  <c r="K1003" i="13"/>
  <c r="K1002" i="13"/>
  <c r="K1001" i="13"/>
  <c r="K1000" i="13"/>
  <c r="K999" i="13"/>
  <c r="K998" i="13"/>
  <c r="K997" i="13"/>
  <c r="K996" i="13"/>
  <c r="K995" i="13"/>
  <c r="K994" i="13"/>
  <c r="K993" i="13"/>
  <c r="K992" i="13"/>
  <c r="K991" i="13"/>
  <c r="K990" i="13"/>
  <c r="K989" i="13"/>
  <c r="K988" i="13"/>
  <c r="K987" i="13"/>
  <c r="K986" i="13"/>
  <c r="K985" i="13"/>
  <c r="K984" i="13"/>
  <c r="K983" i="13"/>
  <c r="K982" i="13"/>
  <c r="K981" i="13"/>
  <c r="K980" i="13"/>
  <c r="K974" i="13"/>
  <c r="K973" i="13"/>
  <c r="K972" i="13"/>
  <c r="K971" i="13"/>
  <c r="K970" i="13"/>
  <c r="K969" i="13"/>
  <c r="K968" i="13"/>
  <c r="K967" i="13"/>
  <c r="K966" i="13"/>
  <c r="K965" i="13"/>
  <c r="K964" i="13"/>
  <c r="K963" i="13"/>
  <c r="K962" i="13"/>
  <c r="K961" i="13"/>
  <c r="K960" i="13"/>
  <c r="K959" i="13"/>
  <c r="K958" i="13"/>
  <c r="K957" i="13"/>
  <c r="K956" i="13"/>
  <c r="K955" i="13"/>
  <c r="K954" i="13"/>
  <c r="K953" i="13"/>
  <c r="K952" i="13"/>
  <c r="K951" i="13"/>
  <c r="K950" i="13"/>
  <c r="K949" i="13"/>
  <c r="K943" i="13"/>
  <c r="K942" i="13"/>
  <c r="K941" i="13"/>
  <c r="K940" i="13"/>
  <c r="K939" i="13"/>
  <c r="K938" i="13"/>
  <c r="K937" i="13"/>
  <c r="K936" i="13"/>
  <c r="K935" i="13"/>
  <c r="K934" i="13"/>
  <c r="K933" i="13"/>
  <c r="K932" i="13"/>
  <c r="K931" i="13"/>
  <c r="K930" i="13"/>
  <c r="K929" i="13"/>
  <c r="K928" i="13"/>
  <c r="K927" i="13"/>
  <c r="K926" i="13"/>
  <c r="K925" i="13"/>
  <c r="K924" i="13"/>
  <c r="K923" i="13"/>
  <c r="K922" i="13"/>
  <c r="K921" i="13"/>
  <c r="K920" i="13"/>
  <c r="K919" i="13"/>
  <c r="K918" i="13"/>
  <c r="K912" i="13"/>
  <c r="K911" i="13"/>
  <c r="K910" i="13"/>
  <c r="K909" i="13"/>
  <c r="K908" i="13"/>
  <c r="K907" i="13"/>
  <c r="K906" i="13"/>
  <c r="K905" i="13"/>
  <c r="K904" i="13"/>
  <c r="K903" i="13"/>
  <c r="K902" i="13"/>
  <c r="K901" i="13"/>
  <c r="K900" i="13"/>
  <c r="K899" i="13"/>
  <c r="K898" i="13"/>
  <c r="K897" i="13"/>
  <c r="K896" i="13"/>
  <c r="K895" i="13"/>
  <c r="K894" i="13"/>
  <c r="K893" i="13"/>
  <c r="K892" i="13"/>
  <c r="K891" i="13"/>
  <c r="K890" i="13"/>
  <c r="K889" i="13"/>
  <c r="K888" i="13"/>
  <c r="K887" i="13"/>
  <c r="K881" i="13"/>
  <c r="K880" i="13"/>
  <c r="K879" i="13"/>
  <c r="K878" i="13"/>
  <c r="K877" i="13"/>
  <c r="K876" i="13"/>
  <c r="K875" i="13"/>
  <c r="K874" i="13"/>
  <c r="K873" i="13"/>
  <c r="K872" i="13"/>
  <c r="K871" i="13"/>
  <c r="K870" i="13"/>
  <c r="K869" i="13"/>
  <c r="K868" i="13"/>
  <c r="K867" i="13"/>
  <c r="K866" i="13"/>
  <c r="K865" i="13"/>
  <c r="K864" i="13"/>
  <c r="K863" i="13"/>
  <c r="K862" i="13"/>
  <c r="K861" i="13"/>
  <c r="K860" i="13"/>
  <c r="K859" i="13"/>
  <c r="K858" i="13"/>
  <c r="K857" i="13"/>
  <c r="K856" i="13"/>
  <c r="K850" i="13"/>
  <c r="K849" i="13"/>
  <c r="K848" i="13"/>
  <c r="K847" i="13"/>
  <c r="K846" i="13"/>
  <c r="K845" i="13"/>
  <c r="K844" i="13"/>
  <c r="K843" i="13"/>
  <c r="K842" i="13"/>
  <c r="K841" i="13"/>
  <c r="K840" i="13"/>
  <c r="K839" i="13"/>
  <c r="K838" i="13"/>
  <c r="K837" i="13"/>
  <c r="K836" i="13"/>
  <c r="K835" i="13"/>
  <c r="K834" i="13"/>
  <c r="K833" i="13"/>
  <c r="K832" i="13"/>
  <c r="K831" i="13"/>
  <c r="K830" i="13"/>
  <c r="K829" i="13"/>
  <c r="K828" i="13"/>
  <c r="K827" i="13"/>
  <c r="K826" i="13"/>
  <c r="K825" i="13"/>
  <c r="K819" i="13"/>
  <c r="K818" i="13"/>
  <c r="K817" i="13"/>
  <c r="K816" i="13"/>
  <c r="K815" i="13"/>
  <c r="K814" i="13"/>
  <c r="K813" i="13"/>
  <c r="K812" i="13"/>
  <c r="K811" i="13"/>
  <c r="K810" i="13"/>
  <c r="K809" i="13"/>
  <c r="K808" i="13"/>
  <c r="K807" i="13"/>
  <c r="K806" i="13"/>
  <c r="K805" i="13"/>
  <c r="K804" i="13"/>
  <c r="K803" i="13"/>
  <c r="K802" i="13"/>
  <c r="K801" i="13"/>
  <c r="K800" i="13"/>
  <c r="K799" i="13"/>
  <c r="K798" i="13"/>
  <c r="K797" i="13"/>
  <c r="K796" i="13"/>
  <c r="K795" i="13"/>
  <c r="K794" i="13"/>
  <c r="K788" i="13"/>
  <c r="K787" i="13"/>
  <c r="K786" i="13"/>
  <c r="K785" i="13"/>
  <c r="K784" i="13"/>
  <c r="K783" i="13"/>
  <c r="K782" i="13"/>
  <c r="K781" i="13"/>
  <c r="K780" i="13"/>
  <c r="K779" i="13"/>
  <c r="K778" i="13"/>
  <c r="K777" i="13"/>
  <c r="K776" i="13"/>
  <c r="K775" i="13"/>
  <c r="K774" i="13"/>
  <c r="K773" i="13"/>
  <c r="K772" i="13"/>
  <c r="K771" i="13"/>
  <c r="K770" i="13"/>
  <c r="K769" i="13"/>
  <c r="K768" i="13"/>
  <c r="K767" i="13"/>
  <c r="K766" i="13"/>
  <c r="K765" i="13"/>
  <c r="K764" i="13"/>
  <c r="K763" i="13"/>
  <c r="K757" i="13"/>
  <c r="K756" i="13"/>
  <c r="K755" i="13"/>
  <c r="K754" i="13"/>
  <c r="K753" i="13"/>
  <c r="K752" i="13"/>
  <c r="K751" i="13"/>
  <c r="K750" i="13"/>
  <c r="K749" i="13"/>
  <c r="K748" i="13"/>
  <c r="K747" i="13"/>
  <c r="K746" i="13"/>
  <c r="K745" i="13"/>
  <c r="K744" i="13"/>
  <c r="K743" i="13"/>
  <c r="K742" i="13"/>
  <c r="K741" i="13"/>
  <c r="K740" i="13"/>
  <c r="K739" i="13"/>
  <c r="K738" i="13"/>
  <c r="K737" i="13"/>
  <c r="K736" i="13"/>
  <c r="K735" i="13"/>
  <c r="K734" i="13"/>
  <c r="K733" i="13"/>
  <c r="K732" i="13"/>
  <c r="K726" i="13"/>
  <c r="K725" i="13"/>
  <c r="K724" i="13"/>
  <c r="K723" i="13"/>
  <c r="K722" i="13"/>
  <c r="K721" i="13"/>
  <c r="K720" i="13"/>
  <c r="K719" i="13"/>
  <c r="K718" i="13"/>
  <c r="K717" i="13"/>
  <c r="K716" i="13"/>
  <c r="K715" i="13"/>
  <c r="K714" i="13"/>
  <c r="K713" i="13"/>
  <c r="K712" i="13"/>
  <c r="K711" i="13"/>
  <c r="K710" i="13"/>
  <c r="K709" i="13"/>
  <c r="K708" i="13"/>
  <c r="K707" i="13"/>
  <c r="K706" i="13"/>
  <c r="K705" i="13"/>
  <c r="K704" i="13"/>
  <c r="K703" i="13"/>
  <c r="K702" i="13"/>
  <c r="K701" i="13"/>
  <c r="K695" i="13"/>
  <c r="K694" i="13"/>
  <c r="K693" i="13"/>
  <c r="K692" i="13"/>
  <c r="K691" i="13"/>
  <c r="K690" i="13"/>
  <c r="K689" i="13"/>
  <c r="K688" i="13"/>
  <c r="K687" i="13"/>
  <c r="K686" i="13"/>
  <c r="K685" i="13"/>
  <c r="K684" i="13"/>
  <c r="K683" i="13"/>
  <c r="K682" i="13"/>
  <c r="K681" i="13"/>
  <c r="K680" i="13"/>
  <c r="K679" i="13"/>
  <c r="K678" i="13"/>
  <c r="K677" i="13"/>
  <c r="K676" i="13"/>
  <c r="K675" i="13"/>
  <c r="K674" i="13"/>
  <c r="K673" i="13"/>
  <c r="K672" i="13"/>
  <c r="K671" i="13"/>
  <c r="K670" i="13"/>
  <c r="K664" i="13"/>
  <c r="K663" i="13"/>
  <c r="K662" i="13"/>
  <c r="K661" i="13"/>
  <c r="K660" i="13"/>
  <c r="K659" i="13"/>
  <c r="K658" i="13"/>
  <c r="K657" i="13"/>
  <c r="K656" i="13"/>
  <c r="K655" i="13"/>
  <c r="K654" i="13"/>
  <c r="K653" i="13"/>
  <c r="K652" i="13"/>
  <c r="K651" i="13"/>
  <c r="K650" i="13"/>
  <c r="K649" i="13"/>
  <c r="K648" i="13"/>
  <c r="K647" i="13"/>
  <c r="K646" i="13"/>
  <c r="K645" i="13"/>
  <c r="K644" i="13"/>
  <c r="K643" i="13"/>
  <c r="K642" i="13"/>
  <c r="K641" i="13"/>
  <c r="K640" i="13"/>
  <c r="K639" i="13"/>
  <c r="K633" i="13"/>
  <c r="K632" i="13"/>
  <c r="K631" i="13"/>
  <c r="K630" i="13"/>
  <c r="K629" i="13"/>
  <c r="K628" i="13"/>
  <c r="K627" i="13"/>
  <c r="K626" i="13"/>
  <c r="K625" i="13"/>
  <c r="K624" i="13"/>
  <c r="K623" i="13"/>
  <c r="K622" i="13"/>
  <c r="K621" i="13"/>
  <c r="K620" i="13"/>
  <c r="K619" i="13"/>
  <c r="K618" i="13"/>
  <c r="K617" i="13"/>
  <c r="K616" i="13"/>
  <c r="K615" i="13"/>
  <c r="K614" i="13"/>
  <c r="K613" i="13"/>
  <c r="K612" i="13"/>
  <c r="K611" i="13"/>
  <c r="K610" i="13"/>
  <c r="K609" i="13"/>
  <c r="K608" i="13"/>
  <c r="K602" i="13"/>
  <c r="K601" i="13"/>
  <c r="K600" i="13"/>
  <c r="K599" i="13"/>
  <c r="K598" i="13"/>
  <c r="K597" i="13"/>
  <c r="K596" i="13"/>
  <c r="K595" i="13"/>
  <c r="K594" i="13"/>
  <c r="K593" i="13"/>
  <c r="K592" i="13"/>
  <c r="K591" i="13"/>
  <c r="K590" i="13"/>
  <c r="K589" i="13"/>
  <c r="K588" i="13"/>
  <c r="K587" i="13"/>
  <c r="K586" i="13"/>
  <c r="K585" i="13"/>
  <c r="K584" i="13"/>
  <c r="K583" i="13"/>
  <c r="K582" i="13"/>
  <c r="K581" i="13"/>
  <c r="K580" i="13"/>
  <c r="K579" i="13"/>
  <c r="K578" i="13"/>
  <c r="K577" i="13"/>
  <c r="K571" i="13"/>
  <c r="K570" i="13"/>
  <c r="K569" i="13"/>
  <c r="K568" i="13"/>
  <c r="K567" i="13"/>
  <c r="K566" i="13"/>
  <c r="K565" i="13"/>
  <c r="K564" i="13"/>
  <c r="K563" i="13"/>
  <c r="K562" i="13"/>
  <c r="K561" i="13"/>
  <c r="K560" i="13"/>
  <c r="K559" i="13"/>
  <c r="K558" i="13"/>
  <c r="K557" i="13"/>
  <c r="K556" i="13"/>
  <c r="K555" i="13"/>
  <c r="K554" i="13"/>
  <c r="K553" i="13"/>
  <c r="K552" i="13"/>
  <c r="K551" i="13"/>
  <c r="K550" i="13"/>
  <c r="K549" i="13"/>
  <c r="K548" i="13"/>
  <c r="K547" i="13"/>
  <c r="K546" i="13"/>
  <c r="K540" i="13"/>
  <c r="K539" i="13"/>
  <c r="K538" i="13"/>
  <c r="K537" i="13"/>
  <c r="K536" i="13"/>
  <c r="K535" i="13"/>
  <c r="K534" i="13"/>
  <c r="K533" i="13"/>
  <c r="K532" i="13"/>
  <c r="K531" i="13"/>
  <c r="K530" i="13"/>
  <c r="K529" i="13"/>
  <c r="K528" i="13"/>
  <c r="K527" i="13"/>
  <c r="K526" i="13"/>
  <c r="K525" i="13"/>
  <c r="K524" i="13"/>
  <c r="K523" i="13"/>
  <c r="K522" i="13"/>
  <c r="K521" i="13"/>
  <c r="K520" i="13"/>
  <c r="K519" i="13"/>
  <c r="K518" i="13"/>
  <c r="K517" i="13"/>
  <c r="K516" i="13"/>
  <c r="K515" i="13"/>
  <c r="K509" i="13"/>
  <c r="K508" i="13"/>
  <c r="K507" i="13"/>
  <c r="K506" i="13"/>
  <c r="K505" i="13"/>
  <c r="K504" i="13"/>
  <c r="K503" i="13"/>
  <c r="K502" i="13"/>
  <c r="K501" i="13"/>
  <c r="K500" i="13"/>
  <c r="K499" i="13"/>
  <c r="K498" i="13"/>
  <c r="K497" i="13"/>
  <c r="K496" i="13"/>
  <c r="K495" i="13"/>
  <c r="K494" i="13"/>
  <c r="K493" i="13"/>
  <c r="K492" i="13"/>
  <c r="K491" i="13"/>
  <c r="K490" i="13"/>
  <c r="K489" i="13"/>
  <c r="K488" i="13"/>
  <c r="K487" i="13"/>
  <c r="K486" i="13"/>
  <c r="K485" i="13"/>
  <c r="K484" i="13"/>
  <c r="K478" i="13"/>
  <c r="K477" i="13"/>
  <c r="K476" i="13"/>
  <c r="K475" i="13"/>
  <c r="K474" i="13"/>
  <c r="K473" i="13"/>
  <c r="K472" i="13"/>
  <c r="K471" i="13"/>
  <c r="K470" i="13"/>
  <c r="K469" i="13"/>
  <c r="K468" i="13"/>
  <c r="K467" i="13"/>
  <c r="K466" i="13"/>
  <c r="K465" i="13"/>
  <c r="K464" i="13"/>
  <c r="K463" i="13"/>
  <c r="K462" i="13"/>
  <c r="K461" i="13"/>
  <c r="K460" i="13"/>
  <c r="K459" i="13"/>
  <c r="K458" i="13"/>
  <c r="K457" i="13"/>
  <c r="K456" i="13"/>
  <c r="K455" i="13"/>
  <c r="K454" i="13"/>
  <c r="K453" i="13"/>
  <c r="K447" i="13"/>
  <c r="K446" i="13"/>
  <c r="K445" i="13"/>
  <c r="K444" i="13"/>
  <c r="K443" i="13"/>
  <c r="K442" i="13"/>
  <c r="K441" i="13"/>
  <c r="K440" i="13"/>
  <c r="K439" i="13"/>
  <c r="K438" i="13"/>
  <c r="K437" i="13"/>
  <c r="K436" i="13"/>
  <c r="K435" i="13"/>
  <c r="K434" i="13"/>
  <c r="K433" i="13"/>
  <c r="K432" i="13"/>
  <c r="K431" i="13"/>
  <c r="K430" i="13"/>
  <c r="K429" i="13"/>
  <c r="K428" i="13"/>
  <c r="K427" i="13"/>
  <c r="K426" i="13"/>
  <c r="K425" i="13"/>
  <c r="K424" i="13"/>
  <c r="K423" i="13"/>
  <c r="K422" i="13"/>
  <c r="K416" i="13"/>
  <c r="K415" i="13"/>
  <c r="K414" i="13"/>
  <c r="K413" i="13"/>
  <c r="K412" i="13"/>
  <c r="K411" i="13"/>
  <c r="K410" i="13"/>
  <c r="K409" i="13"/>
  <c r="K408" i="13"/>
  <c r="K407" i="13"/>
  <c r="K406" i="13"/>
  <c r="K405" i="13"/>
  <c r="K404" i="13"/>
  <c r="K403" i="13"/>
  <c r="K402" i="13"/>
  <c r="K401" i="13"/>
  <c r="K400" i="13"/>
  <c r="K399" i="13"/>
  <c r="K398" i="13"/>
  <c r="K397" i="13"/>
  <c r="K396" i="13"/>
  <c r="K395" i="13"/>
  <c r="K394" i="13"/>
  <c r="K393" i="13"/>
  <c r="K392" i="13"/>
  <c r="K391" i="13"/>
  <c r="K385" i="13"/>
  <c r="K384" i="13"/>
  <c r="K383" i="13"/>
  <c r="K382" i="13"/>
  <c r="K381" i="13"/>
  <c r="K380" i="13"/>
  <c r="K379" i="13"/>
  <c r="K378" i="13"/>
  <c r="K377" i="13"/>
  <c r="K376" i="13"/>
  <c r="K375" i="13"/>
  <c r="K374" i="13"/>
  <c r="K373" i="13"/>
  <c r="K372" i="13"/>
  <c r="K371" i="13"/>
  <c r="K370" i="13"/>
  <c r="K369" i="13"/>
  <c r="K368" i="13"/>
  <c r="K367" i="13"/>
  <c r="K366" i="13"/>
  <c r="K365" i="13"/>
  <c r="K364" i="13"/>
  <c r="K363" i="13"/>
  <c r="K362" i="13"/>
  <c r="K361" i="13"/>
  <c r="K360" i="13"/>
  <c r="K354" i="13"/>
  <c r="K353" i="13"/>
  <c r="K352" i="13"/>
  <c r="K351" i="13"/>
  <c r="K350" i="13"/>
  <c r="K349" i="13"/>
  <c r="K348" i="13"/>
  <c r="K347" i="13"/>
  <c r="K346" i="13"/>
  <c r="K345" i="13"/>
  <c r="K344" i="13"/>
  <c r="K343" i="13"/>
  <c r="K342" i="13"/>
  <c r="K341" i="13"/>
  <c r="K340" i="13"/>
  <c r="K339" i="13"/>
  <c r="K338" i="13"/>
  <c r="K337" i="13"/>
  <c r="K336" i="13"/>
  <c r="K335" i="13"/>
  <c r="K334" i="13"/>
  <c r="K333" i="13"/>
  <c r="K332" i="13"/>
  <c r="K331" i="13"/>
  <c r="K330" i="13"/>
  <c r="K329" i="13"/>
  <c r="K323" i="13"/>
  <c r="K322" i="13"/>
  <c r="K321" i="13"/>
  <c r="K320" i="13"/>
  <c r="K319" i="13"/>
  <c r="K318" i="13"/>
  <c r="K317" i="13"/>
  <c r="K316" i="13"/>
  <c r="K315" i="13"/>
  <c r="K314" i="13"/>
  <c r="K313" i="13"/>
  <c r="K312" i="13"/>
  <c r="K311" i="13"/>
  <c r="K310" i="13"/>
  <c r="K309" i="13"/>
  <c r="K308" i="13"/>
  <c r="K307" i="13"/>
  <c r="K306" i="13"/>
  <c r="K305" i="13"/>
  <c r="K304" i="13"/>
  <c r="K303" i="13"/>
  <c r="K302" i="13"/>
  <c r="K301" i="13"/>
  <c r="K300" i="13"/>
  <c r="K299" i="13"/>
  <c r="K298" i="13"/>
  <c r="K292" i="13"/>
  <c r="K291" i="13"/>
  <c r="K290" i="13"/>
  <c r="K289" i="13"/>
  <c r="K288" i="13"/>
  <c r="K287" i="13"/>
  <c r="K286" i="13"/>
  <c r="K285" i="13"/>
  <c r="K284" i="13"/>
  <c r="K283" i="13"/>
  <c r="K282" i="13"/>
  <c r="K281" i="13"/>
  <c r="K280" i="13"/>
  <c r="K279" i="13"/>
  <c r="K278" i="13"/>
  <c r="K277" i="13"/>
  <c r="K276" i="13"/>
  <c r="K275" i="13"/>
  <c r="K274" i="13"/>
  <c r="K273" i="13"/>
  <c r="K272" i="13"/>
  <c r="K271" i="13"/>
  <c r="K270" i="13"/>
  <c r="K269" i="13"/>
  <c r="K268" i="13"/>
  <c r="K267" i="13"/>
  <c r="K261" i="13"/>
  <c r="K260" i="13"/>
  <c r="K259" i="13"/>
  <c r="K258" i="13"/>
  <c r="K257" i="13"/>
  <c r="K256" i="13"/>
  <c r="K255" i="13"/>
  <c r="K254" i="13"/>
  <c r="K253" i="13"/>
  <c r="K252" i="13"/>
  <c r="K251" i="13"/>
  <c r="K250" i="13"/>
  <c r="K249" i="13"/>
  <c r="K248" i="13"/>
  <c r="K247" i="13"/>
  <c r="K246" i="13"/>
  <c r="K245" i="13"/>
  <c r="K244" i="13"/>
  <c r="K243" i="13"/>
  <c r="K242" i="13"/>
  <c r="K241" i="13"/>
  <c r="K240" i="13"/>
  <c r="K239" i="13"/>
  <c r="K238" i="13"/>
  <c r="K237" i="13"/>
  <c r="K236" i="13"/>
  <c r="K230" i="13"/>
  <c r="K229" i="13"/>
  <c r="K228" i="13"/>
  <c r="K227" i="13"/>
  <c r="K226" i="13"/>
  <c r="K225" i="13"/>
  <c r="K224" i="13"/>
  <c r="K223" i="13"/>
  <c r="K222" i="13"/>
  <c r="K221" i="13"/>
  <c r="K220" i="13"/>
  <c r="K219" i="13"/>
  <c r="K218" i="13"/>
  <c r="K217" i="13"/>
  <c r="K216" i="13"/>
  <c r="K215" i="13"/>
  <c r="K214" i="13"/>
  <c r="K213" i="13"/>
  <c r="K212" i="13"/>
  <c r="K211" i="13"/>
  <c r="K210" i="13"/>
  <c r="K209" i="13"/>
  <c r="K208" i="13"/>
  <c r="K207" i="13"/>
  <c r="K206" i="13"/>
  <c r="K205" i="13"/>
  <c r="K199" i="13"/>
  <c r="K198" i="13"/>
  <c r="K197" i="13"/>
  <c r="K196" i="13"/>
  <c r="K195" i="13"/>
  <c r="K194" i="13"/>
  <c r="K193" i="13"/>
  <c r="K192" i="13"/>
  <c r="K191" i="13"/>
  <c r="K190" i="13"/>
  <c r="K189" i="13"/>
  <c r="K188" i="13"/>
  <c r="K187" i="13"/>
  <c r="K186" i="13"/>
  <c r="K185" i="13"/>
  <c r="K184" i="13"/>
  <c r="K183" i="13"/>
  <c r="K182" i="13"/>
  <c r="K181" i="13"/>
  <c r="K180" i="13"/>
  <c r="K179" i="13"/>
  <c r="K178" i="13"/>
  <c r="K177" i="13"/>
  <c r="K176" i="13"/>
  <c r="K175" i="13"/>
  <c r="K174" i="13"/>
  <c r="K168" i="13"/>
  <c r="K167" i="13"/>
  <c r="K166" i="13"/>
  <c r="K165" i="13"/>
  <c r="K164" i="13"/>
  <c r="K163" i="13"/>
  <c r="K162" i="13"/>
  <c r="K161" i="13"/>
  <c r="K160" i="13"/>
  <c r="K159" i="13"/>
  <c r="K158" i="13"/>
  <c r="K157" i="13"/>
  <c r="K154" i="13"/>
  <c r="K153" i="13"/>
  <c r="K152" i="13"/>
  <c r="K150" i="13"/>
  <c r="K149" i="13"/>
  <c r="K148" i="13"/>
  <c r="K147" i="13"/>
  <c r="K146" i="13"/>
  <c r="K145" i="13"/>
  <c r="K143" i="13"/>
  <c r="K142" i="13"/>
  <c r="K141" i="13"/>
  <c r="K140" i="13"/>
  <c r="K139" i="13"/>
  <c r="K133" i="13"/>
  <c r="K132" i="13"/>
  <c r="K131" i="13"/>
  <c r="K130" i="13"/>
  <c r="K129" i="13"/>
  <c r="K128" i="13"/>
  <c r="K127" i="13"/>
  <c r="K126" i="13"/>
  <c r="K125" i="13"/>
  <c r="K124" i="13"/>
  <c r="K123" i="13"/>
  <c r="K122" i="13"/>
  <c r="K121" i="13"/>
  <c r="K120" i="13"/>
  <c r="K119" i="13"/>
  <c r="K118" i="13"/>
  <c r="K115" i="13"/>
  <c r="K114" i="13"/>
  <c r="K113" i="13"/>
  <c r="K112" i="13"/>
  <c r="K111" i="13"/>
  <c r="K110" i="13"/>
  <c r="K109" i="13"/>
  <c r="K108" i="13"/>
  <c r="K107" i="13"/>
  <c r="K106" i="13"/>
  <c r="K100" i="13"/>
  <c r="K99" i="13"/>
  <c r="K98" i="13"/>
  <c r="K97" i="13"/>
  <c r="K96" i="13"/>
  <c r="K95" i="13"/>
  <c r="K94" i="13"/>
  <c r="K93" i="13"/>
  <c r="K92" i="13"/>
  <c r="K91" i="13"/>
  <c r="K90" i="13"/>
  <c r="K89" i="13"/>
  <c r="K88" i="13"/>
  <c r="K87" i="13"/>
  <c r="K86" i="13"/>
  <c r="K85" i="13"/>
  <c r="K84" i="13"/>
  <c r="K83" i="13"/>
  <c r="K82" i="13"/>
  <c r="K81" i="13"/>
  <c r="K80" i="13"/>
  <c r="K79" i="13"/>
  <c r="K78" i="13"/>
  <c r="K77" i="13"/>
  <c r="K76" i="13"/>
  <c r="K75" i="13"/>
  <c r="K69" i="13"/>
  <c r="K68" i="13"/>
  <c r="K67" i="13"/>
  <c r="K64" i="13"/>
  <c r="K63" i="13"/>
  <c r="K62" i="13"/>
  <c r="K61" i="13"/>
  <c r="K60" i="13"/>
  <c r="K59" i="13"/>
  <c r="K58" i="13"/>
  <c r="K57" i="13"/>
  <c r="K56" i="13"/>
  <c r="K55" i="13"/>
  <c r="K53" i="13"/>
  <c r="K52" i="13"/>
  <c r="K51" i="13"/>
  <c r="K50" i="13"/>
  <c r="K49" i="13"/>
  <c r="K48" i="13"/>
  <c r="K47" i="13"/>
  <c r="K46" i="13"/>
  <c r="K45" i="13"/>
  <c r="K44" i="13"/>
  <c r="K43" i="13"/>
  <c r="K42" i="13"/>
  <c r="K41" i="13"/>
  <c r="M12" i="5"/>
  <c r="AL65" i="13" l="1"/>
  <c r="AL54" i="13"/>
  <c r="AL66" i="13"/>
  <c r="AL151" i="13"/>
  <c r="AL116" i="13"/>
  <c r="AL156" i="13"/>
  <c r="AL155" i="13"/>
  <c r="AL144" i="13"/>
  <c r="AL117" i="13"/>
  <c r="M138" i="5"/>
  <c r="E226" i="11" l="1"/>
  <c r="E225" i="11"/>
  <c r="E224" i="11"/>
  <c r="E223"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8" i="11"/>
  <c r="E197" i="11"/>
  <c r="E196" i="11"/>
  <c r="E195" i="11"/>
  <c r="E194" i="11"/>
  <c r="E193" i="11"/>
  <c r="E192" i="11"/>
  <c r="E191" i="11"/>
  <c r="E190" i="11"/>
  <c r="E189" i="11"/>
  <c r="E188" i="11"/>
  <c r="E187" i="11"/>
  <c r="E186" i="11"/>
  <c r="E185" i="11"/>
  <c r="E184" i="11"/>
  <c r="E183" i="11"/>
  <c r="E182" i="11"/>
  <c r="E181" i="11"/>
  <c r="E180" i="11"/>
  <c r="E179" i="11"/>
  <c r="E178" i="11"/>
  <c r="E177" i="11"/>
  <c r="E176" i="11"/>
  <c r="E175" i="11"/>
  <c r="E174" i="11"/>
  <c r="E173" i="11"/>
  <c r="E172" i="11"/>
  <c r="E171" i="11"/>
  <c r="E170" i="11"/>
  <c r="E169" i="11"/>
  <c r="E168" i="11"/>
  <c r="E167" i="11"/>
  <c r="E166" i="11"/>
  <c r="E165" i="11"/>
  <c r="E164" i="11"/>
  <c r="E163" i="11"/>
  <c r="E162" i="11"/>
  <c r="E161" i="11"/>
  <c r="E160" i="11"/>
  <c r="E159" i="11"/>
  <c r="E158" i="11"/>
  <c r="E157" i="11"/>
  <c r="E156" i="11"/>
  <c r="E155" i="11"/>
  <c r="E154" i="11"/>
  <c r="E153" i="11"/>
  <c r="E152" i="11"/>
  <c r="E151" i="11"/>
  <c r="E150" i="11"/>
  <c r="E149" i="11"/>
  <c r="E148" i="11"/>
  <c r="E147" i="11"/>
  <c r="E146" i="11"/>
  <c r="E145" i="11"/>
  <c r="E144" i="11"/>
  <c r="E143" i="11"/>
  <c r="E142" i="11"/>
  <c r="E141" i="11"/>
  <c r="E140" i="11"/>
  <c r="E139" i="11"/>
  <c r="E138" i="11"/>
  <c r="E129" i="11"/>
  <c r="E862" i="11"/>
  <c r="E861" i="11"/>
  <c r="E860" i="11"/>
  <c r="E859" i="11"/>
  <c r="E858" i="11"/>
  <c r="E857" i="11"/>
  <c r="E856" i="11"/>
  <c r="E855" i="11"/>
  <c r="E854" i="11"/>
  <c r="E853" i="11"/>
  <c r="E852" i="11"/>
  <c r="E851" i="11"/>
  <c r="E850" i="11"/>
  <c r="E849" i="11"/>
  <c r="E848" i="11"/>
  <c r="E847" i="11"/>
  <c r="E846" i="11"/>
  <c r="E845" i="11"/>
  <c r="E844" i="11"/>
  <c r="E843" i="11"/>
  <c r="E842" i="11"/>
  <c r="E841" i="11"/>
  <c r="E840" i="11"/>
  <c r="E839" i="11"/>
  <c r="E838" i="11"/>
  <c r="E837" i="11"/>
  <c r="E836" i="11"/>
  <c r="E835" i="11"/>
  <c r="E834" i="11"/>
  <c r="E833" i="11"/>
  <c r="E832" i="11"/>
  <c r="E831" i="11"/>
  <c r="E830" i="11"/>
  <c r="E829" i="11"/>
  <c r="E828" i="11"/>
  <c r="E827" i="11"/>
  <c r="E826" i="11"/>
  <c r="E825" i="11"/>
  <c r="E824" i="11"/>
  <c r="E823" i="11"/>
  <c r="E822" i="11"/>
  <c r="E821" i="11"/>
  <c r="E820" i="11"/>
  <c r="E819" i="11"/>
  <c r="E818" i="11"/>
  <c r="E817" i="11"/>
  <c r="E816" i="11"/>
  <c r="E815" i="11"/>
  <c r="E814" i="11"/>
  <c r="E813" i="11"/>
  <c r="E812" i="11"/>
  <c r="E811" i="11"/>
  <c r="E810" i="11"/>
  <c r="E809" i="11"/>
  <c r="E808" i="11"/>
  <c r="E807" i="11"/>
  <c r="E806" i="11"/>
  <c r="E805" i="11"/>
  <c r="E804" i="11"/>
  <c r="E803" i="11"/>
  <c r="E802" i="11"/>
  <c r="E801" i="11"/>
  <c r="E800" i="11"/>
  <c r="E799" i="11"/>
  <c r="E798" i="11"/>
  <c r="E797" i="11"/>
  <c r="E796" i="11"/>
  <c r="E795" i="11"/>
  <c r="E794" i="11"/>
  <c r="E793" i="11"/>
  <c r="E792" i="11"/>
  <c r="E791" i="11"/>
  <c r="E790" i="11"/>
  <c r="E789" i="11"/>
  <c r="E788" i="11"/>
  <c r="E787" i="11"/>
  <c r="E786" i="11"/>
  <c r="E785" i="11"/>
  <c r="E784" i="11"/>
  <c r="E782" i="11"/>
  <c r="E781" i="11"/>
  <c r="E780" i="11"/>
  <c r="E779" i="11"/>
  <c r="E778" i="11"/>
  <c r="E777" i="11"/>
  <c r="E776" i="11"/>
  <c r="E775" i="11"/>
  <c r="E774" i="11"/>
  <c r="E773" i="11"/>
  <c r="E772" i="11"/>
  <c r="E771" i="11"/>
  <c r="E770" i="11"/>
  <c r="E769" i="11"/>
  <c r="E768" i="11"/>
  <c r="E767" i="11"/>
  <c r="E766" i="11"/>
  <c r="E765" i="11"/>
  <c r="E756" i="11"/>
  <c r="E755" i="11"/>
  <c r="E754" i="11"/>
  <c r="E753" i="11"/>
  <c r="E752" i="11"/>
  <c r="E751" i="11"/>
  <c r="E750" i="11"/>
  <c r="E749" i="11"/>
  <c r="E748" i="11"/>
  <c r="E747" i="11"/>
  <c r="E746" i="11"/>
  <c r="E745" i="11"/>
  <c r="E744" i="11"/>
  <c r="E743" i="11"/>
  <c r="E742" i="11"/>
  <c r="E741" i="11"/>
  <c r="E740" i="11"/>
  <c r="E739" i="11"/>
  <c r="E738" i="11"/>
  <c r="E737" i="11"/>
  <c r="E736" i="11"/>
  <c r="E735" i="11"/>
  <c r="E734" i="11"/>
  <c r="E733" i="11"/>
  <c r="E732" i="11"/>
  <c r="E731" i="11"/>
  <c r="E730" i="11"/>
  <c r="E729" i="11"/>
  <c r="E728" i="11"/>
  <c r="E727" i="11"/>
  <c r="E726" i="11"/>
  <c r="E725" i="11"/>
  <c r="E724" i="11"/>
  <c r="E723" i="11"/>
  <c r="E722" i="11"/>
  <c r="E721" i="11"/>
  <c r="E720" i="11"/>
  <c r="E719" i="11"/>
  <c r="E718" i="11"/>
  <c r="E717" i="11"/>
  <c r="E716" i="11"/>
  <c r="E715" i="11"/>
  <c r="E714" i="11"/>
  <c r="E713" i="11"/>
  <c r="E712" i="11"/>
  <c r="E711" i="11"/>
  <c r="E710" i="11"/>
  <c r="E709" i="11"/>
  <c r="E708" i="11"/>
  <c r="E707" i="11"/>
  <c r="E706" i="11"/>
  <c r="E705" i="11"/>
  <c r="E704" i="11"/>
  <c r="E703" i="11"/>
  <c r="E702" i="11"/>
  <c r="E701" i="11"/>
  <c r="E700" i="11"/>
  <c r="E699" i="11"/>
  <c r="E698" i="11"/>
  <c r="E697" i="11"/>
  <c r="E696" i="11"/>
  <c r="E695" i="11"/>
  <c r="E694" i="11"/>
  <c r="E693" i="11"/>
  <c r="E692" i="11"/>
  <c r="E691" i="11"/>
  <c r="E690" i="11"/>
  <c r="E689" i="11"/>
  <c r="E688" i="11"/>
  <c r="E687" i="11"/>
  <c r="E686" i="11"/>
  <c r="E685" i="11"/>
  <c r="E684" i="11"/>
  <c r="E683" i="11"/>
  <c r="E682" i="11"/>
  <c r="E681" i="11"/>
  <c r="E680" i="11"/>
  <c r="E679" i="11"/>
  <c r="E678" i="11"/>
  <c r="E677" i="11"/>
  <c r="E676" i="11"/>
  <c r="E675" i="11"/>
  <c r="E674" i="11"/>
  <c r="E673" i="11"/>
  <c r="E672" i="11"/>
  <c r="E671" i="11"/>
  <c r="E670" i="11"/>
  <c r="E669" i="11"/>
  <c r="E668" i="11"/>
  <c r="E667" i="11"/>
  <c r="E666" i="11"/>
  <c r="E665" i="11"/>
  <c r="E664" i="11"/>
  <c r="E663" i="11"/>
  <c r="E662" i="11"/>
  <c r="E661" i="11"/>
  <c r="E660" i="11"/>
  <c r="E659" i="11"/>
  <c r="E658" i="11"/>
  <c r="E650" i="11"/>
  <c r="E649" i="11"/>
  <c r="E648" i="11"/>
  <c r="E647" i="11"/>
  <c r="E646" i="11"/>
  <c r="E645" i="11"/>
  <c r="E644" i="11"/>
  <c r="E643" i="11"/>
  <c r="E642" i="11"/>
  <c r="E641" i="11"/>
  <c r="E640" i="11"/>
  <c r="E639" i="11"/>
  <c r="E638" i="11"/>
  <c r="E637" i="11"/>
  <c r="E636" i="11"/>
  <c r="E635" i="11"/>
  <c r="E634" i="11"/>
  <c r="E633" i="11"/>
  <c r="E632" i="11"/>
  <c r="E631" i="11"/>
  <c r="E630" i="11"/>
  <c r="E629" i="11"/>
  <c r="E628" i="11"/>
  <c r="E627" i="11"/>
  <c r="E626" i="11"/>
  <c r="E625" i="11"/>
  <c r="E624" i="11"/>
  <c r="E623" i="11"/>
  <c r="E622" i="11"/>
  <c r="E621" i="11"/>
  <c r="E620" i="11"/>
  <c r="E619" i="11"/>
  <c r="E618" i="11"/>
  <c r="E617" i="11"/>
  <c r="E616" i="11"/>
  <c r="E615" i="11"/>
  <c r="E614" i="11"/>
  <c r="E613" i="11"/>
  <c r="E612" i="11"/>
  <c r="E611" i="11"/>
  <c r="E610" i="11"/>
  <c r="E609" i="11"/>
  <c r="E608" i="11"/>
  <c r="E607" i="11"/>
  <c r="E606" i="11"/>
  <c r="E605" i="11"/>
  <c r="E604" i="11"/>
  <c r="E603" i="11"/>
  <c r="E602" i="11"/>
  <c r="E601" i="11"/>
  <c r="E600" i="11"/>
  <c r="E599" i="11"/>
  <c r="E598" i="11"/>
  <c r="E597" i="11"/>
  <c r="E596" i="11"/>
  <c r="E595" i="11"/>
  <c r="E594" i="11"/>
  <c r="E593" i="11"/>
  <c r="E592" i="11"/>
  <c r="E591" i="11"/>
  <c r="E590" i="11"/>
  <c r="E589" i="11"/>
  <c r="E588" i="11"/>
  <c r="E587" i="11"/>
  <c r="E586" i="11"/>
  <c r="E585" i="11"/>
  <c r="E584" i="11"/>
  <c r="E583" i="11"/>
  <c r="E582" i="11"/>
  <c r="E581" i="11"/>
  <c r="E580" i="11"/>
  <c r="E579" i="11"/>
  <c r="E578" i="11"/>
  <c r="E577" i="11"/>
  <c r="E576" i="11"/>
  <c r="E575" i="11"/>
  <c r="E574" i="11"/>
  <c r="E573" i="11"/>
  <c r="E572" i="11"/>
  <c r="E571" i="11"/>
  <c r="E570" i="11"/>
  <c r="E569" i="11"/>
  <c r="E568" i="11"/>
  <c r="E567" i="11"/>
  <c r="E566" i="11"/>
  <c r="E565" i="11"/>
  <c r="E564" i="11"/>
  <c r="E563" i="11"/>
  <c r="E562" i="11"/>
  <c r="E558" i="11"/>
  <c r="E556" i="11"/>
  <c r="E554" i="11"/>
  <c r="E553" i="11"/>
  <c r="E544" i="11"/>
  <c r="E543" i="11"/>
  <c r="E542" i="11"/>
  <c r="E541" i="11"/>
  <c r="E540" i="11"/>
  <c r="E539" i="11"/>
  <c r="E538" i="11"/>
  <c r="E537" i="11"/>
  <c r="E536" i="11"/>
  <c r="E535" i="11"/>
  <c r="E534" i="11"/>
  <c r="E533" i="11"/>
  <c r="E532" i="11"/>
  <c r="E531" i="11"/>
  <c r="E530" i="11"/>
  <c r="E529" i="11"/>
  <c r="E528" i="11"/>
  <c r="E527" i="11"/>
  <c r="E526" i="11"/>
  <c r="E525" i="11"/>
  <c r="E524" i="11"/>
  <c r="E523" i="11"/>
  <c r="E522" i="11"/>
  <c r="E521" i="11"/>
  <c r="E520" i="11"/>
  <c r="E519" i="11"/>
  <c r="E518" i="11"/>
  <c r="E517" i="11"/>
  <c r="E516" i="11"/>
  <c r="E515" i="11"/>
  <c r="E514" i="11"/>
  <c r="E513" i="11"/>
  <c r="E512" i="11"/>
  <c r="E511" i="11"/>
  <c r="E510" i="11"/>
  <c r="E509" i="11"/>
  <c r="E508" i="11"/>
  <c r="E507" i="11"/>
  <c r="E506" i="11"/>
  <c r="E505" i="11"/>
  <c r="E504" i="11"/>
  <c r="E503" i="11"/>
  <c r="E502" i="11"/>
  <c r="E501" i="11"/>
  <c r="E500" i="11"/>
  <c r="E499" i="11"/>
  <c r="E498" i="11"/>
  <c r="E497" i="11"/>
  <c r="E496" i="11"/>
  <c r="E495" i="11"/>
  <c r="E494" i="11"/>
  <c r="E493" i="11"/>
  <c r="E492" i="11"/>
  <c r="E491" i="11"/>
  <c r="E490" i="11"/>
  <c r="E489" i="11"/>
  <c r="E488" i="11"/>
  <c r="E487" i="11"/>
  <c r="E486" i="11"/>
  <c r="E485" i="11"/>
  <c r="E484" i="11"/>
  <c r="E483" i="11"/>
  <c r="E482" i="11"/>
  <c r="E481" i="11"/>
  <c r="E480" i="11"/>
  <c r="E479" i="11"/>
  <c r="E478" i="11"/>
  <c r="E477" i="11"/>
  <c r="E476" i="11"/>
  <c r="E475" i="11"/>
  <c r="E474" i="11"/>
  <c r="E473" i="11"/>
  <c r="E472" i="11"/>
  <c r="E471" i="11"/>
  <c r="E470" i="11"/>
  <c r="E469" i="11"/>
  <c r="E468" i="11"/>
  <c r="E467" i="11"/>
  <c r="E466" i="11"/>
  <c r="E465" i="11"/>
  <c r="E464" i="11"/>
  <c r="E463" i="11"/>
  <c r="E462" i="11"/>
  <c r="E461" i="11"/>
  <c r="E460" i="11"/>
  <c r="E459" i="11"/>
  <c r="E458" i="11"/>
  <c r="E457" i="11"/>
  <c r="E456" i="11"/>
  <c r="E452" i="11"/>
  <c r="E450" i="11"/>
  <c r="E448" i="11"/>
  <c r="E447" i="11"/>
  <c r="E438" i="11"/>
  <c r="E437" i="11"/>
  <c r="E436" i="11"/>
  <c r="E435" i="11"/>
  <c r="E434" i="11"/>
  <c r="E433" i="11"/>
  <c r="E432" i="11"/>
  <c r="E431" i="11"/>
  <c r="E430" i="11"/>
  <c r="E429" i="11"/>
  <c r="E428" i="11"/>
  <c r="E427" i="11"/>
  <c r="E426" i="11"/>
  <c r="E425" i="11"/>
  <c r="E424" i="11"/>
  <c r="E423" i="11"/>
  <c r="E422" i="11"/>
  <c r="E421" i="11"/>
  <c r="E420" i="11"/>
  <c r="E419" i="11"/>
  <c r="E418" i="11"/>
  <c r="E417" i="11"/>
  <c r="E416" i="11"/>
  <c r="E415" i="11"/>
  <c r="E414" i="11"/>
  <c r="E413" i="11"/>
  <c r="E412" i="11"/>
  <c r="E411" i="11"/>
  <c r="E410" i="11"/>
  <c r="E409" i="11"/>
  <c r="E408" i="11"/>
  <c r="E407" i="11"/>
  <c r="E406" i="11"/>
  <c r="E405" i="11"/>
  <c r="E404" i="11"/>
  <c r="E403" i="11"/>
  <c r="E402" i="11"/>
  <c r="E401" i="11"/>
  <c r="E400" i="11"/>
  <c r="E399" i="11"/>
  <c r="E398" i="11"/>
  <c r="E397" i="11"/>
  <c r="E396" i="11"/>
  <c r="E395" i="11"/>
  <c r="E394" i="11"/>
  <c r="E393" i="11"/>
  <c r="E392" i="11"/>
  <c r="E391" i="11"/>
  <c r="E390" i="11"/>
  <c r="E389" i="11"/>
  <c r="E388" i="11"/>
  <c r="E387" i="11"/>
  <c r="E386" i="11"/>
  <c r="E385" i="11"/>
  <c r="E384" i="11"/>
  <c r="E383" i="11"/>
  <c r="E382" i="11"/>
  <c r="E381" i="11"/>
  <c r="E380" i="11"/>
  <c r="E379" i="11"/>
  <c r="E378" i="11"/>
  <c r="E377" i="11"/>
  <c r="E376" i="11"/>
  <c r="E375" i="11"/>
  <c r="E374" i="11"/>
  <c r="E373" i="11"/>
  <c r="E372" i="11"/>
  <c r="E371" i="11"/>
  <c r="E370" i="11"/>
  <c r="E369" i="11"/>
  <c r="E368" i="11"/>
  <c r="E367" i="11"/>
  <c r="E366" i="11"/>
  <c r="E365" i="11"/>
  <c r="E364" i="11"/>
  <c r="E363" i="11"/>
  <c r="E362" i="11"/>
  <c r="E361" i="11"/>
  <c r="E360" i="11"/>
  <c r="E359" i="11"/>
  <c r="E358" i="11"/>
  <c r="E357" i="11"/>
  <c r="E356" i="11"/>
  <c r="E355" i="11"/>
  <c r="E354" i="11"/>
  <c r="E353" i="11"/>
  <c r="E352" i="11"/>
  <c r="E351" i="11"/>
  <c r="E350" i="11"/>
  <c r="E349" i="11"/>
  <c r="E348" i="11"/>
  <c r="E347" i="11"/>
  <c r="E346" i="11"/>
  <c r="E345" i="11"/>
  <c r="E344" i="11"/>
  <c r="E343" i="11"/>
  <c r="E342" i="11"/>
  <c r="E341" i="11"/>
  <c r="E331" i="11"/>
  <c r="E330" i="11"/>
  <c r="E329" i="11"/>
  <c r="E328" i="11"/>
  <c r="E327" i="11"/>
  <c r="E326" i="11"/>
  <c r="E325" i="11"/>
  <c r="E324" i="11"/>
  <c r="E323" i="11"/>
  <c r="E322" i="11"/>
  <c r="E321" i="11"/>
  <c r="E320" i="11"/>
  <c r="E319" i="11"/>
  <c r="E318" i="11"/>
  <c r="E317" i="11"/>
  <c r="E316" i="11"/>
  <c r="E315" i="11"/>
  <c r="E314" i="11"/>
  <c r="E313" i="11"/>
  <c r="E312" i="11"/>
  <c r="E311" i="11"/>
  <c r="E310" i="11"/>
  <c r="E309" i="11"/>
  <c r="E308" i="11"/>
  <c r="E307" i="11"/>
  <c r="E306" i="11"/>
  <c r="E305" i="11"/>
  <c r="E304" i="11"/>
  <c r="E303" i="11"/>
  <c r="E302" i="11"/>
  <c r="E301" i="11"/>
  <c r="E300" i="11"/>
  <c r="E299" i="11"/>
  <c r="E298" i="11"/>
  <c r="E297" i="11"/>
  <c r="E296" i="11"/>
  <c r="E295" i="11"/>
  <c r="E294"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3" i="11"/>
  <c r="E261" i="11"/>
  <c r="E260" i="11"/>
  <c r="E259" i="11"/>
  <c r="E253" i="11"/>
  <c r="E252" i="11"/>
  <c r="E250" i="11"/>
  <c r="E249" i="11"/>
  <c r="E238" i="11"/>
  <c r="E120" i="11"/>
  <c r="E119" i="11"/>
  <c r="E118" i="11"/>
  <c r="E117" i="11"/>
  <c r="E116" i="11"/>
  <c r="E115" i="11"/>
  <c r="E114" i="11"/>
  <c r="E113" i="11"/>
  <c r="E112" i="11"/>
  <c r="E111" i="11"/>
  <c r="E110" i="11"/>
  <c r="E109" i="11"/>
  <c r="E108" i="11"/>
  <c r="E107" i="11"/>
  <c r="E106" i="11"/>
  <c r="E105" i="11"/>
  <c r="E104" i="11"/>
  <c r="E103" i="11"/>
  <c r="E102" i="11"/>
  <c r="E101" i="11"/>
  <c r="E100" i="11"/>
  <c r="E99" i="11"/>
  <c r="E98" i="11"/>
  <c r="E97" i="11"/>
  <c r="E96" i="11"/>
  <c r="E95" i="11"/>
  <c r="E94" i="11"/>
  <c r="E93" i="11"/>
  <c r="E92" i="11"/>
  <c r="E91" i="11"/>
  <c r="E90" i="11"/>
  <c r="E89" i="11"/>
  <c r="E88" i="11"/>
  <c r="E87" i="11"/>
  <c r="E86" i="11"/>
  <c r="E85" i="11"/>
  <c r="E84" i="11"/>
  <c r="E83" i="11"/>
  <c r="E82" i="11"/>
  <c r="E81" i="11"/>
  <c r="E80" i="11"/>
  <c r="E79" i="11"/>
  <c r="E78" i="11"/>
  <c r="E77" i="11"/>
  <c r="E76" i="11"/>
  <c r="E75" i="11"/>
  <c r="E74" i="11"/>
  <c r="E73" i="11"/>
  <c r="E72" i="11"/>
  <c r="E71" i="11"/>
  <c r="E70" i="11"/>
  <c r="E69" i="11"/>
  <c r="E68" i="11"/>
  <c r="E67" i="11"/>
  <c r="E66" i="11"/>
  <c r="E65" i="11"/>
  <c r="E64" i="11"/>
  <c r="E63" i="11"/>
  <c r="E62" i="11"/>
  <c r="E61" i="11"/>
  <c r="E60" i="11"/>
  <c r="E59" i="11"/>
  <c r="E58" i="11"/>
  <c r="E57" i="11"/>
  <c r="E56" i="11"/>
  <c r="E55" i="11"/>
  <c r="E54" i="11"/>
  <c r="E53" i="11"/>
  <c r="E52" i="11"/>
  <c r="E51" i="11"/>
  <c r="E50" i="11"/>
  <c r="E49" i="11"/>
  <c r="E48" i="11"/>
  <c r="E47" i="11"/>
  <c r="E45" i="11"/>
  <c r="E42" i="11"/>
  <c r="E41" i="11"/>
  <c r="E40" i="11"/>
  <c r="E39" i="11"/>
  <c r="E38" i="11"/>
  <c r="E37" i="11"/>
  <c r="E36" i="11"/>
  <c r="E35" i="11"/>
  <c r="E34" i="11"/>
  <c r="E33" i="11"/>
  <c r="E32" i="11"/>
  <c r="E31" i="11"/>
  <c r="E30" i="11"/>
  <c r="E29" i="11"/>
  <c r="E28" i="11"/>
  <c r="AF1005" i="13"/>
  <c r="AE1005" i="13"/>
  <c r="AD1005" i="13"/>
  <c r="AC1005" i="13"/>
  <c r="AB1005" i="13"/>
  <c r="AF1004" i="13"/>
  <c r="AE1004" i="13"/>
  <c r="AD1004" i="13"/>
  <c r="AC1004" i="13"/>
  <c r="AB1004" i="13"/>
  <c r="AF1003" i="13"/>
  <c r="AE1003" i="13"/>
  <c r="AD1003" i="13"/>
  <c r="AC1003" i="13"/>
  <c r="AB1003" i="13"/>
  <c r="AF1002" i="13"/>
  <c r="AE1002" i="13"/>
  <c r="AD1002" i="13"/>
  <c r="AC1002" i="13"/>
  <c r="AB1002" i="13"/>
  <c r="AF1001" i="13"/>
  <c r="AE1001" i="13"/>
  <c r="AD1001" i="13"/>
  <c r="AC1001" i="13"/>
  <c r="AB1001" i="13"/>
  <c r="AF1000" i="13"/>
  <c r="AE1000" i="13"/>
  <c r="AD1000" i="13"/>
  <c r="AC1000" i="13"/>
  <c r="AB1000" i="13"/>
  <c r="AF999" i="13"/>
  <c r="AE999" i="13"/>
  <c r="AD999" i="13"/>
  <c r="AC999" i="13"/>
  <c r="AB999" i="13"/>
  <c r="AF998" i="13"/>
  <c r="AE998" i="13"/>
  <c r="AD998" i="13"/>
  <c r="AC998" i="13"/>
  <c r="AB998" i="13"/>
  <c r="AF997" i="13"/>
  <c r="AE997" i="13"/>
  <c r="AD997" i="13"/>
  <c r="AC997" i="13"/>
  <c r="AB997" i="13"/>
  <c r="AF996" i="13"/>
  <c r="AE996" i="13"/>
  <c r="AD996" i="13"/>
  <c r="AC996" i="13"/>
  <c r="AB996" i="13"/>
  <c r="AF995" i="13"/>
  <c r="AE995" i="13"/>
  <c r="AD995" i="13"/>
  <c r="AC995" i="13"/>
  <c r="AB995" i="13"/>
  <c r="AF994" i="13"/>
  <c r="AE994" i="13"/>
  <c r="AD994" i="13"/>
  <c r="AC994" i="13"/>
  <c r="AB994" i="13"/>
  <c r="AF993" i="13"/>
  <c r="AE993" i="13"/>
  <c r="AD993" i="13"/>
  <c r="AC993" i="13"/>
  <c r="AB993" i="13"/>
  <c r="AF992" i="13"/>
  <c r="AE992" i="13"/>
  <c r="AD992" i="13"/>
  <c r="AC992" i="13"/>
  <c r="AB992" i="13"/>
  <c r="AF991" i="13"/>
  <c r="AE991" i="13"/>
  <c r="AD991" i="13"/>
  <c r="AC991" i="13"/>
  <c r="AB991" i="13"/>
  <c r="AF990" i="13"/>
  <c r="AE990" i="13"/>
  <c r="AD990" i="13"/>
  <c r="AC990" i="13"/>
  <c r="AB990" i="13"/>
  <c r="AF989" i="13"/>
  <c r="AE989" i="13"/>
  <c r="AD989" i="13"/>
  <c r="AC989" i="13"/>
  <c r="AB989" i="13"/>
  <c r="AF988" i="13"/>
  <c r="AE988" i="13"/>
  <c r="AD988" i="13"/>
  <c r="AC988" i="13"/>
  <c r="AB988" i="13"/>
  <c r="AF987" i="13"/>
  <c r="AE987" i="13"/>
  <c r="AD987" i="13"/>
  <c r="AC987" i="13"/>
  <c r="AB987" i="13"/>
  <c r="AF986" i="13"/>
  <c r="AE986" i="13"/>
  <c r="AD986" i="13"/>
  <c r="AC986" i="13"/>
  <c r="AB986" i="13"/>
  <c r="AF985" i="13"/>
  <c r="AE985" i="13"/>
  <c r="AD985" i="13"/>
  <c r="AC985" i="13"/>
  <c r="AB985" i="13"/>
  <c r="AF984" i="13"/>
  <c r="AE984" i="13"/>
  <c r="AD984" i="13"/>
  <c r="AC984" i="13"/>
  <c r="AB984" i="13"/>
  <c r="AF983" i="13"/>
  <c r="AC983" i="13"/>
  <c r="AF982" i="13"/>
  <c r="AE982" i="13"/>
  <c r="AD982" i="13"/>
  <c r="AC982" i="13"/>
  <c r="AB982" i="13"/>
  <c r="AF981" i="13"/>
  <c r="AE981" i="13"/>
  <c r="AD981" i="13"/>
  <c r="AC981" i="13"/>
  <c r="AB981" i="13"/>
  <c r="AF980" i="13"/>
  <c r="AE980" i="13"/>
  <c r="AD980" i="13"/>
  <c r="AC980" i="13"/>
  <c r="AB980" i="13"/>
  <c r="AF974" i="13"/>
  <c r="AE974" i="13"/>
  <c r="AD974" i="13"/>
  <c r="AC974" i="13"/>
  <c r="AB974" i="13"/>
  <c r="AF973" i="13"/>
  <c r="AE973" i="13"/>
  <c r="AD973" i="13"/>
  <c r="AC973" i="13"/>
  <c r="AB973" i="13"/>
  <c r="AF972" i="13"/>
  <c r="AE972" i="13"/>
  <c r="AD972" i="13"/>
  <c r="AC972" i="13"/>
  <c r="AB972" i="13"/>
  <c r="AF971" i="13"/>
  <c r="AE971" i="13"/>
  <c r="AD971" i="13"/>
  <c r="AC971" i="13"/>
  <c r="AB971" i="13"/>
  <c r="AF970" i="13"/>
  <c r="AE970" i="13"/>
  <c r="AD970" i="13"/>
  <c r="AC970" i="13"/>
  <c r="AB970" i="13"/>
  <c r="AF969" i="13"/>
  <c r="AE969" i="13"/>
  <c r="AD969" i="13"/>
  <c r="AC969" i="13"/>
  <c r="AB969" i="13"/>
  <c r="AF968" i="13"/>
  <c r="AE968" i="13"/>
  <c r="AD968" i="13"/>
  <c r="AC968" i="13"/>
  <c r="AB968" i="13"/>
  <c r="AF967" i="13"/>
  <c r="AE967" i="13"/>
  <c r="AD967" i="13"/>
  <c r="AC967" i="13"/>
  <c r="AB967" i="13"/>
  <c r="AF966" i="13"/>
  <c r="AE966" i="13"/>
  <c r="AD966" i="13"/>
  <c r="AC966" i="13"/>
  <c r="AB966" i="13"/>
  <c r="AF965" i="13"/>
  <c r="AE965" i="13"/>
  <c r="AD965" i="13"/>
  <c r="AC965" i="13"/>
  <c r="AB965" i="13"/>
  <c r="AF964" i="13"/>
  <c r="AE964" i="13"/>
  <c r="AD964" i="13"/>
  <c r="AC964" i="13"/>
  <c r="AB964" i="13"/>
  <c r="AF963" i="13"/>
  <c r="AE963" i="13"/>
  <c r="AD963" i="13"/>
  <c r="AC963" i="13"/>
  <c r="AB963" i="13"/>
  <c r="AF962" i="13"/>
  <c r="AE962" i="13"/>
  <c r="AD962" i="13"/>
  <c r="AC962" i="13"/>
  <c r="AB962" i="13"/>
  <c r="AF961" i="13"/>
  <c r="AE961" i="13"/>
  <c r="AD961" i="13"/>
  <c r="AC961" i="13"/>
  <c r="AB961" i="13"/>
  <c r="AF960" i="13"/>
  <c r="AE960" i="13"/>
  <c r="AD960" i="13"/>
  <c r="AC960" i="13"/>
  <c r="AB960" i="13"/>
  <c r="AF959" i="13"/>
  <c r="AE959" i="13"/>
  <c r="AD959" i="13"/>
  <c r="AC959" i="13"/>
  <c r="AB959" i="13"/>
  <c r="AF958" i="13"/>
  <c r="AE958" i="13"/>
  <c r="AD958" i="13"/>
  <c r="AC958" i="13"/>
  <c r="AB958" i="13"/>
  <c r="AF957" i="13"/>
  <c r="AE957" i="13"/>
  <c r="AD957" i="13"/>
  <c r="AC957" i="13"/>
  <c r="AB957" i="13"/>
  <c r="AF956" i="13"/>
  <c r="AE956" i="13"/>
  <c r="AD956" i="13"/>
  <c r="AC956" i="13"/>
  <c r="AB956" i="13"/>
  <c r="AF955" i="13"/>
  <c r="AE955" i="13"/>
  <c r="AD955" i="13"/>
  <c r="AC955" i="13"/>
  <c r="AB955" i="13"/>
  <c r="AF954" i="13"/>
  <c r="AE954" i="13"/>
  <c r="AD954" i="13"/>
  <c r="AC954" i="13"/>
  <c r="AB954" i="13"/>
  <c r="AF953" i="13"/>
  <c r="AE953" i="13"/>
  <c r="AD953" i="13"/>
  <c r="AC953" i="13"/>
  <c r="AB953" i="13"/>
  <c r="AF952" i="13"/>
  <c r="AE952" i="13"/>
  <c r="AD952" i="13"/>
  <c r="AC952" i="13"/>
  <c r="AB952" i="13"/>
  <c r="AF951" i="13"/>
  <c r="AE951" i="13"/>
  <c r="AD951" i="13"/>
  <c r="AC951" i="13"/>
  <c r="AB951" i="13"/>
  <c r="AF950" i="13"/>
  <c r="AE950" i="13"/>
  <c r="AD950" i="13"/>
  <c r="AC950" i="13"/>
  <c r="AB950" i="13"/>
  <c r="AF949" i="13"/>
  <c r="AE949" i="13"/>
  <c r="AD949" i="13"/>
  <c r="AC949" i="13"/>
  <c r="AB949" i="13"/>
  <c r="AF943" i="13"/>
  <c r="AE943" i="13"/>
  <c r="AD943" i="13"/>
  <c r="AC943" i="13"/>
  <c r="AB943" i="13"/>
  <c r="AF942" i="13"/>
  <c r="AE942" i="13"/>
  <c r="AD942" i="13"/>
  <c r="AC942" i="13"/>
  <c r="AB942" i="13"/>
  <c r="AF941" i="13"/>
  <c r="AE941" i="13"/>
  <c r="AD941" i="13"/>
  <c r="AC941" i="13"/>
  <c r="AB941" i="13"/>
  <c r="AF940" i="13"/>
  <c r="AE940" i="13"/>
  <c r="AD940" i="13"/>
  <c r="AC940" i="13"/>
  <c r="AB940" i="13"/>
  <c r="AF939" i="13"/>
  <c r="AE939" i="13"/>
  <c r="AD939" i="13"/>
  <c r="AC939" i="13"/>
  <c r="AB939" i="13"/>
  <c r="AF938" i="13"/>
  <c r="AE938" i="13"/>
  <c r="AD938" i="13"/>
  <c r="AC938" i="13"/>
  <c r="AB938" i="13"/>
  <c r="AF937" i="13"/>
  <c r="AE937" i="13"/>
  <c r="AD937" i="13"/>
  <c r="AC937" i="13"/>
  <c r="AB937" i="13"/>
  <c r="AF936" i="13"/>
  <c r="AE936" i="13"/>
  <c r="AD936" i="13"/>
  <c r="AC936" i="13"/>
  <c r="AB936" i="13"/>
  <c r="AF935" i="13"/>
  <c r="AE935" i="13"/>
  <c r="AD935" i="13"/>
  <c r="AC935" i="13"/>
  <c r="AB935" i="13"/>
  <c r="AF934" i="13"/>
  <c r="AE934" i="13"/>
  <c r="AD934" i="13"/>
  <c r="AC934" i="13"/>
  <c r="AB934" i="13"/>
  <c r="AF933" i="13"/>
  <c r="AE933" i="13"/>
  <c r="AD933" i="13"/>
  <c r="AC933" i="13"/>
  <c r="AB933" i="13"/>
  <c r="AF932" i="13"/>
  <c r="AE932" i="13"/>
  <c r="AD932" i="13"/>
  <c r="AC932" i="13"/>
  <c r="AB932" i="13"/>
  <c r="AF931" i="13"/>
  <c r="AE931" i="13"/>
  <c r="AD931" i="13"/>
  <c r="AC931" i="13"/>
  <c r="AB931" i="13"/>
  <c r="AF930" i="13"/>
  <c r="AE930" i="13"/>
  <c r="AD930" i="13"/>
  <c r="AC930" i="13"/>
  <c r="AB930" i="13"/>
  <c r="AF929" i="13"/>
  <c r="AE929" i="13"/>
  <c r="AD929" i="13"/>
  <c r="AC929" i="13"/>
  <c r="AB929" i="13"/>
  <c r="AF928" i="13"/>
  <c r="AE928" i="13"/>
  <c r="AD928" i="13"/>
  <c r="AC928" i="13"/>
  <c r="AB928" i="13"/>
  <c r="AF927" i="13"/>
  <c r="AE927" i="13"/>
  <c r="AD927" i="13"/>
  <c r="AC927" i="13"/>
  <c r="AB927" i="13"/>
  <c r="AF926" i="13"/>
  <c r="AE926" i="13"/>
  <c r="AD926" i="13"/>
  <c r="AC926" i="13"/>
  <c r="AB926" i="13"/>
  <c r="AF925" i="13"/>
  <c r="AE925" i="13"/>
  <c r="AD925" i="13"/>
  <c r="AC925" i="13"/>
  <c r="AB925" i="13"/>
  <c r="AF924" i="13"/>
  <c r="AE924" i="13"/>
  <c r="AD924" i="13"/>
  <c r="AC924" i="13"/>
  <c r="AB924" i="13"/>
  <c r="AF923" i="13"/>
  <c r="AE923" i="13"/>
  <c r="AD923" i="13"/>
  <c r="AC923" i="13"/>
  <c r="AB923" i="13"/>
  <c r="AF922" i="13"/>
  <c r="AE922" i="13"/>
  <c r="AD922" i="13"/>
  <c r="AC922" i="13"/>
  <c r="AB922" i="13"/>
  <c r="AF921" i="13"/>
  <c r="AE921" i="13"/>
  <c r="AD921" i="13"/>
  <c r="AC921" i="13"/>
  <c r="AB921" i="13"/>
  <c r="AF920" i="13"/>
  <c r="AE920" i="13"/>
  <c r="AD920" i="13"/>
  <c r="AC920" i="13"/>
  <c r="AB920" i="13"/>
  <c r="AF919" i="13"/>
  <c r="AE919" i="13"/>
  <c r="AD919" i="13"/>
  <c r="AC919" i="13"/>
  <c r="AB919" i="13"/>
  <c r="AF918" i="13"/>
  <c r="AE918" i="13"/>
  <c r="AD918" i="13"/>
  <c r="AC918" i="13"/>
  <c r="AB918" i="13"/>
  <c r="AF912" i="13"/>
  <c r="AE912" i="13"/>
  <c r="AD912" i="13"/>
  <c r="AC912" i="13"/>
  <c r="AB912" i="13"/>
  <c r="AF911" i="13"/>
  <c r="AE911" i="13"/>
  <c r="AD911" i="13"/>
  <c r="AC911" i="13"/>
  <c r="AB911" i="13"/>
  <c r="AF910" i="13"/>
  <c r="AE910" i="13"/>
  <c r="AD910" i="13"/>
  <c r="AC910" i="13"/>
  <c r="AB910" i="13"/>
  <c r="AF909" i="13"/>
  <c r="AE909" i="13"/>
  <c r="AD909" i="13"/>
  <c r="AC909" i="13"/>
  <c r="AB909" i="13"/>
  <c r="AF908" i="13"/>
  <c r="AE908" i="13"/>
  <c r="AD908" i="13"/>
  <c r="AC908" i="13"/>
  <c r="AB908" i="13"/>
  <c r="AF907" i="13"/>
  <c r="AE907" i="13"/>
  <c r="AD907" i="13"/>
  <c r="AC907" i="13"/>
  <c r="AB907" i="13"/>
  <c r="AF906" i="13"/>
  <c r="AE906" i="13"/>
  <c r="AD906" i="13"/>
  <c r="AC906" i="13"/>
  <c r="AB906" i="13"/>
  <c r="AF905" i="13"/>
  <c r="AE905" i="13"/>
  <c r="AD905" i="13"/>
  <c r="AC905" i="13"/>
  <c r="AB905" i="13"/>
  <c r="AF904" i="13"/>
  <c r="AE904" i="13"/>
  <c r="AD904" i="13"/>
  <c r="AC904" i="13"/>
  <c r="AB904" i="13"/>
  <c r="AF903" i="13"/>
  <c r="AE903" i="13"/>
  <c r="AD903" i="13"/>
  <c r="AC903" i="13"/>
  <c r="AB903" i="13"/>
  <c r="AF902" i="13"/>
  <c r="AE902" i="13"/>
  <c r="AD902" i="13"/>
  <c r="AC902" i="13"/>
  <c r="AB902" i="13"/>
  <c r="AF901" i="13"/>
  <c r="AE901" i="13"/>
  <c r="AD901" i="13"/>
  <c r="AC901" i="13"/>
  <c r="AB901" i="13"/>
  <c r="AF900" i="13"/>
  <c r="AE900" i="13"/>
  <c r="AD900" i="13"/>
  <c r="AC900" i="13"/>
  <c r="AB900" i="13"/>
  <c r="AF899" i="13"/>
  <c r="AE899" i="13"/>
  <c r="AD899" i="13"/>
  <c r="AC899" i="13"/>
  <c r="AB899" i="13"/>
  <c r="AF898" i="13"/>
  <c r="AE898" i="13"/>
  <c r="AD898" i="13"/>
  <c r="AC898" i="13"/>
  <c r="AB898" i="13"/>
  <c r="AF897" i="13"/>
  <c r="AE897" i="13"/>
  <c r="AD897" i="13"/>
  <c r="AC897" i="13"/>
  <c r="AB897" i="13"/>
  <c r="AF896" i="13"/>
  <c r="AE896" i="13"/>
  <c r="AD896" i="13"/>
  <c r="AC896" i="13"/>
  <c r="AB896" i="13"/>
  <c r="AF895" i="13"/>
  <c r="AE895" i="13"/>
  <c r="AD895" i="13"/>
  <c r="AC895" i="13"/>
  <c r="AB895" i="13"/>
  <c r="AF894" i="13"/>
  <c r="AE894" i="13"/>
  <c r="AD894" i="13"/>
  <c r="AC894" i="13"/>
  <c r="AB894" i="13"/>
  <c r="AF893" i="13"/>
  <c r="AE893" i="13"/>
  <c r="AD893" i="13"/>
  <c r="AC893" i="13"/>
  <c r="AB893" i="13"/>
  <c r="AF892" i="13"/>
  <c r="AE892" i="13"/>
  <c r="AD892" i="13"/>
  <c r="AC892" i="13"/>
  <c r="AB892" i="13"/>
  <c r="AF891" i="13"/>
  <c r="AE891" i="13"/>
  <c r="AD891" i="13"/>
  <c r="AC891" i="13"/>
  <c r="AB891" i="13"/>
  <c r="AF890" i="13"/>
  <c r="AE890" i="13"/>
  <c r="AD890" i="13"/>
  <c r="AC890" i="13"/>
  <c r="AB890" i="13"/>
  <c r="AF889" i="13"/>
  <c r="AE889" i="13"/>
  <c r="AD889" i="13"/>
  <c r="AC889" i="13"/>
  <c r="AB889" i="13"/>
  <c r="AF888" i="13"/>
  <c r="AE888" i="13"/>
  <c r="AD888" i="13"/>
  <c r="AC888" i="13"/>
  <c r="AB888" i="13"/>
  <c r="AF887" i="13"/>
  <c r="AE887" i="13"/>
  <c r="AD887" i="13"/>
  <c r="AC887" i="13"/>
  <c r="AB887" i="13"/>
  <c r="AF881" i="13"/>
  <c r="AE881" i="13"/>
  <c r="AD881" i="13"/>
  <c r="AC881" i="13"/>
  <c r="AB881" i="13"/>
  <c r="AF880" i="13"/>
  <c r="AE880" i="13"/>
  <c r="AD880" i="13"/>
  <c r="AC880" i="13"/>
  <c r="AB880" i="13"/>
  <c r="AF879" i="13"/>
  <c r="AE879" i="13"/>
  <c r="AD879" i="13"/>
  <c r="AC879" i="13"/>
  <c r="AB879" i="13"/>
  <c r="AF878" i="13"/>
  <c r="AE878" i="13"/>
  <c r="AD878" i="13"/>
  <c r="AC878" i="13"/>
  <c r="AB878" i="13"/>
  <c r="AF877" i="13"/>
  <c r="AE877" i="13"/>
  <c r="AD877" i="13"/>
  <c r="AC877" i="13"/>
  <c r="AB877" i="13"/>
  <c r="AF876" i="13"/>
  <c r="AE876" i="13"/>
  <c r="AD876" i="13"/>
  <c r="AC876" i="13"/>
  <c r="AB876" i="13"/>
  <c r="AF875" i="13"/>
  <c r="AE875" i="13"/>
  <c r="AD875" i="13"/>
  <c r="AC875" i="13"/>
  <c r="AB875" i="13"/>
  <c r="AF874" i="13"/>
  <c r="AE874" i="13"/>
  <c r="AD874" i="13"/>
  <c r="AC874" i="13"/>
  <c r="AB874" i="13"/>
  <c r="AF873" i="13"/>
  <c r="AE873" i="13"/>
  <c r="AD873" i="13"/>
  <c r="AC873" i="13"/>
  <c r="AB873" i="13"/>
  <c r="AF872" i="13"/>
  <c r="AE872" i="13"/>
  <c r="AD872" i="13"/>
  <c r="AC872" i="13"/>
  <c r="AB872" i="13"/>
  <c r="AF871" i="13"/>
  <c r="AE871" i="13"/>
  <c r="AD871" i="13"/>
  <c r="AC871" i="13"/>
  <c r="AB871" i="13"/>
  <c r="AF870" i="13"/>
  <c r="AE870" i="13"/>
  <c r="AD870" i="13"/>
  <c r="AC870" i="13"/>
  <c r="AB870" i="13"/>
  <c r="AF869" i="13"/>
  <c r="AE869" i="13"/>
  <c r="AD869" i="13"/>
  <c r="AC869" i="13"/>
  <c r="AB869" i="13"/>
  <c r="AF868" i="13"/>
  <c r="AE868" i="13"/>
  <c r="AD868" i="13"/>
  <c r="AC868" i="13"/>
  <c r="AB868" i="13"/>
  <c r="AF867" i="13"/>
  <c r="AE867" i="13"/>
  <c r="AD867" i="13"/>
  <c r="AC867" i="13"/>
  <c r="AB867" i="13"/>
  <c r="AF866" i="13"/>
  <c r="AE866" i="13"/>
  <c r="AD866" i="13"/>
  <c r="AC866" i="13"/>
  <c r="AB866" i="13"/>
  <c r="AF865" i="13"/>
  <c r="AE865" i="13"/>
  <c r="AD865" i="13"/>
  <c r="AC865" i="13"/>
  <c r="AB865" i="13"/>
  <c r="AF864" i="13"/>
  <c r="AE864" i="13"/>
  <c r="AD864" i="13"/>
  <c r="AC864" i="13"/>
  <c r="AB864" i="13"/>
  <c r="AF863" i="13"/>
  <c r="AE863" i="13"/>
  <c r="AD863" i="13"/>
  <c r="AC863" i="13"/>
  <c r="AB863" i="13"/>
  <c r="AF862" i="13"/>
  <c r="AE862" i="13"/>
  <c r="AD862" i="13"/>
  <c r="AC862" i="13"/>
  <c r="AB862" i="13"/>
  <c r="AF861" i="13"/>
  <c r="AE861" i="13"/>
  <c r="AD861" i="13"/>
  <c r="AC861" i="13"/>
  <c r="AB861" i="13"/>
  <c r="AF860" i="13"/>
  <c r="AE860" i="13"/>
  <c r="AD860" i="13"/>
  <c r="AC860" i="13"/>
  <c r="AB860" i="13"/>
  <c r="AF859" i="13"/>
  <c r="AE859" i="13"/>
  <c r="AD859" i="13"/>
  <c r="AC859" i="13"/>
  <c r="AB859" i="13"/>
  <c r="AF858" i="13"/>
  <c r="AE858" i="13"/>
  <c r="AD858" i="13"/>
  <c r="AC858" i="13"/>
  <c r="AB858" i="13"/>
  <c r="AF857" i="13"/>
  <c r="AE857" i="13"/>
  <c r="AD857" i="13"/>
  <c r="AC857" i="13"/>
  <c r="AB857" i="13"/>
  <c r="AF856" i="13"/>
  <c r="AE856" i="13"/>
  <c r="AD856" i="13"/>
  <c r="AC856" i="13"/>
  <c r="AB856" i="13"/>
  <c r="AF850" i="13"/>
  <c r="AE850" i="13"/>
  <c r="AD850" i="13"/>
  <c r="AC850" i="13"/>
  <c r="AB850" i="13"/>
  <c r="AF849" i="13"/>
  <c r="AE849" i="13"/>
  <c r="AD849" i="13"/>
  <c r="AC849" i="13"/>
  <c r="AB849" i="13"/>
  <c r="AF848" i="13"/>
  <c r="AE848" i="13"/>
  <c r="AD848" i="13"/>
  <c r="AC848" i="13"/>
  <c r="AB848" i="13"/>
  <c r="AF847" i="13"/>
  <c r="AE847" i="13"/>
  <c r="AD847" i="13"/>
  <c r="AC847" i="13"/>
  <c r="AB847" i="13"/>
  <c r="AF846" i="13"/>
  <c r="AE846" i="13"/>
  <c r="AD846" i="13"/>
  <c r="AC846" i="13"/>
  <c r="AB846" i="13"/>
  <c r="AF845" i="13"/>
  <c r="AE845" i="13"/>
  <c r="AD845" i="13"/>
  <c r="AC845" i="13"/>
  <c r="AB845" i="13"/>
  <c r="AF844" i="13"/>
  <c r="AE844" i="13"/>
  <c r="AD844" i="13"/>
  <c r="AC844" i="13"/>
  <c r="AB844" i="13"/>
  <c r="AF843" i="13"/>
  <c r="AE843" i="13"/>
  <c r="AD843" i="13"/>
  <c r="AC843" i="13"/>
  <c r="AB843" i="13"/>
  <c r="AF842" i="13"/>
  <c r="AE842" i="13"/>
  <c r="AD842" i="13"/>
  <c r="AC842" i="13"/>
  <c r="AB842" i="13"/>
  <c r="AF841" i="13"/>
  <c r="AE841" i="13"/>
  <c r="AD841" i="13"/>
  <c r="AC841" i="13"/>
  <c r="AB841" i="13"/>
  <c r="AF840" i="13"/>
  <c r="AE840" i="13"/>
  <c r="AD840" i="13"/>
  <c r="AC840" i="13"/>
  <c r="AB840" i="13"/>
  <c r="AF839" i="13"/>
  <c r="AE839" i="13"/>
  <c r="AD839" i="13"/>
  <c r="AC839" i="13"/>
  <c r="AB839" i="13"/>
  <c r="AF838" i="13"/>
  <c r="AE838" i="13"/>
  <c r="AD838" i="13"/>
  <c r="AC838" i="13"/>
  <c r="AB838" i="13"/>
  <c r="AF837" i="13"/>
  <c r="AE837" i="13"/>
  <c r="AD837" i="13"/>
  <c r="AC837" i="13"/>
  <c r="AB837" i="13"/>
  <c r="AF836" i="13"/>
  <c r="AE836" i="13"/>
  <c r="AD836" i="13"/>
  <c r="AC836" i="13"/>
  <c r="AB836" i="13"/>
  <c r="AF835" i="13"/>
  <c r="AE835" i="13"/>
  <c r="AD835" i="13"/>
  <c r="AC835" i="13"/>
  <c r="AB835" i="13"/>
  <c r="AF834" i="13"/>
  <c r="AE834" i="13"/>
  <c r="AD834" i="13"/>
  <c r="AC834" i="13"/>
  <c r="AB834" i="13"/>
  <c r="AF833" i="13"/>
  <c r="AE833" i="13"/>
  <c r="AD833" i="13"/>
  <c r="AC833" i="13"/>
  <c r="AB833" i="13"/>
  <c r="AF832" i="13"/>
  <c r="AE832" i="13"/>
  <c r="AD832" i="13"/>
  <c r="AC832" i="13"/>
  <c r="AB832" i="13"/>
  <c r="AF831" i="13"/>
  <c r="AE831" i="13"/>
  <c r="AD831" i="13"/>
  <c r="AC831" i="13"/>
  <c r="AB831" i="13"/>
  <c r="AF830" i="13"/>
  <c r="AE830" i="13"/>
  <c r="AD830" i="13"/>
  <c r="AC830" i="13"/>
  <c r="AB830" i="13"/>
  <c r="AF829" i="13"/>
  <c r="AE829" i="13"/>
  <c r="AD829" i="13"/>
  <c r="AC829" i="13"/>
  <c r="AB829" i="13"/>
  <c r="AF828" i="13"/>
  <c r="AE828" i="13"/>
  <c r="AD828" i="13"/>
  <c r="AC828" i="13"/>
  <c r="AB828" i="13"/>
  <c r="AF827" i="13"/>
  <c r="AE827" i="13"/>
  <c r="AD827" i="13"/>
  <c r="AC827" i="13"/>
  <c r="AB827" i="13"/>
  <c r="AF826" i="13"/>
  <c r="AE826" i="13"/>
  <c r="AD826" i="13"/>
  <c r="AC826" i="13"/>
  <c r="AB826" i="13"/>
  <c r="AF825" i="13"/>
  <c r="AE825" i="13"/>
  <c r="AD825" i="13"/>
  <c r="AC825" i="13"/>
  <c r="AB825" i="13"/>
  <c r="AF819" i="13"/>
  <c r="AE819" i="13"/>
  <c r="AD819" i="13"/>
  <c r="AC819" i="13"/>
  <c r="AB819" i="13"/>
  <c r="AF818" i="13"/>
  <c r="AE818" i="13"/>
  <c r="AD818" i="13"/>
  <c r="AC818" i="13"/>
  <c r="AB818" i="13"/>
  <c r="AF817" i="13"/>
  <c r="AE817" i="13"/>
  <c r="AD817" i="13"/>
  <c r="AC817" i="13"/>
  <c r="AB817" i="13"/>
  <c r="AF816" i="13"/>
  <c r="AE816" i="13"/>
  <c r="AD816" i="13"/>
  <c r="AC816" i="13"/>
  <c r="AB816" i="13"/>
  <c r="AF815" i="13"/>
  <c r="AE815" i="13"/>
  <c r="AD815" i="13"/>
  <c r="AC815" i="13"/>
  <c r="AB815" i="13"/>
  <c r="AF814" i="13"/>
  <c r="AE814" i="13"/>
  <c r="AD814" i="13"/>
  <c r="AC814" i="13"/>
  <c r="AB814" i="13"/>
  <c r="AF813" i="13"/>
  <c r="AE813" i="13"/>
  <c r="AD813" i="13"/>
  <c r="AC813" i="13"/>
  <c r="AB813" i="13"/>
  <c r="AF812" i="13"/>
  <c r="AE812" i="13"/>
  <c r="AD812" i="13"/>
  <c r="AC812" i="13"/>
  <c r="AB812" i="13"/>
  <c r="AF811" i="13"/>
  <c r="AE811" i="13"/>
  <c r="AD811" i="13"/>
  <c r="AC811" i="13"/>
  <c r="AB811" i="13"/>
  <c r="AF810" i="13"/>
  <c r="AE810" i="13"/>
  <c r="AD810" i="13"/>
  <c r="AC810" i="13"/>
  <c r="AB810" i="13"/>
  <c r="AF809" i="13"/>
  <c r="AE809" i="13"/>
  <c r="AD809" i="13"/>
  <c r="AC809" i="13"/>
  <c r="AB809" i="13"/>
  <c r="AF808" i="13"/>
  <c r="AE808" i="13"/>
  <c r="AD808" i="13"/>
  <c r="AC808" i="13"/>
  <c r="AB808" i="13"/>
  <c r="AF807" i="13"/>
  <c r="AE807" i="13"/>
  <c r="AD807" i="13"/>
  <c r="AC807" i="13"/>
  <c r="AB807" i="13"/>
  <c r="AF806" i="13"/>
  <c r="AE806" i="13"/>
  <c r="AD806" i="13"/>
  <c r="AC806" i="13"/>
  <c r="AB806" i="13"/>
  <c r="AF805" i="13"/>
  <c r="AE805" i="13"/>
  <c r="AD805" i="13"/>
  <c r="AC805" i="13"/>
  <c r="AB805" i="13"/>
  <c r="AF804" i="13"/>
  <c r="AE804" i="13"/>
  <c r="AD804" i="13"/>
  <c r="AC804" i="13"/>
  <c r="AB804" i="13"/>
  <c r="AF803" i="13"/>
  <c r="AE803" i="13"/>
  <c r="AD803" i="13"/>
  <c r="AC803" i="13"/>
  <c r="AB803" i="13"/>
  <c r="AF802" i="13"/>
  <c r="AE802" i="13"/>
  <c r="AD802" i="13"/>
  <c r="AC802" i="13"/>
  <c r="AB802" i="13"/>
  <c r="AF801" i="13"/>
  <c r="AE801" i="13"/>
  <c r="AD801" i="13"/>
  <c r="AC801" i="13"/>
  <c r="AB801" i="13"/>
  <c r="AF800" i="13"/>
  <c r="AE800" i="13"/>
  <c r="AD800" i="13"/>
  <c r="AC800" i="13"/>
  <c r="AB800" i="13"/>
  <c r="AF799" i="13"/>
  <c r="AE799" i="13"/>
  <c r="AD799" i="13"/>
  <c r="AC799" i="13"/>
  <c r="AB799" i="13"/>
  <c r="AF798" i="13"/>
  <c r="AE798" i="13"/>
  <c r="AD798" i="13"/>
  <c r="AC798" i="13"/>
  <c r="AB798" i="13"/>
  <c r="AF797" i="13"/>
  <c r="AE797" i="13"/>
  <c r="AD797" i="13"/>
  <c r="AC797" i="13"/>
  <c r="AB797" i="13"/>
  <c r="AF796" i="13"/>
  <c r="AE796" i="13"/>
  <c r="AD796" i="13"/>
  <c r="AC796" i="13"/>
  <c r="AB796" i="13"/>
  <c r="AF795" i="13"/>
  <c r="AE795" i="13"/>
  <c r="AD795" i="13"/>
  <c r="AC795" i="13"/>
  <c r="AB795" i="13"/>
  <c r="AF794" i="13"/>
  <c r="AE794" i="13"/>
  <c r="AD794" i="13"/>
  <c r="AC794" i="13"/>
  <c r="AB794" i="13"/>
  <c r="AF788" i="13"/>
  <c r="AE788" i="13"/>
  <c r="AD788" i="13"/>
  <c r="AC788" i="13"/>
  <c r="AB788" i="13"/>
  <c r="AF787" i="13"/>
  <c r="AE787" i="13"/>
  <c r="AD787" i="13"/>
  <c r="AC787" i="13"/>
  <c r="AB787" i="13"/>
  <c r="AF786" i="13"/>
  <c r="AE786" i="13"/>
  <c r="AD786" i="13"/>
  <c r="AC786" i="13"/>
  <c r="AB786" i="13"/>
  <c r="AF785" i="13"/>
  <c r="AE785" i="13"/>
  <c r="AD785" i="13"/>
  <c r="AC785" i="13"/>
  <c r="AB785" i="13"/>
  <c r="AF784" i="13"/>
  <c r="AE784" i="13"/>
  <c r="AD784" i="13"/>
  <c r="AC784" i="13"/>
  <c r="AB784" i="13"/>
  <c r="AF783" i="13"/>
  <c r="AE783" i="13"/>
  <c r="AD783" i="13"/>
  <c r="AC783" i="13"/>
  <c r="AB783" i="13"/>
  <c r="AF782" i="13"/>
  <c r="AE782" i="13"/>
  <c r="AD782" i="13"/>
  <c r="AC782" i="13"/>
  <c r="AB782" i="13"/>
  <c r="AF781" i="13"/>
  <c r="AE781" i="13"/>
  <c r="AD781" i="13"/>
  <c r="AC781" i="13"/>
  <c r="AB781" i="13"/>
  <c r="AF780" i="13"/>
  <c r="AE780" i="13"/>
  <c r="AD780" i="13"/>
  <c r="AC780" i="13"/>
  <c r="AB780" i="13"/>
  <c r="AF779" i="13"/>
  <c r="AE779" i="13"/>
  <c r="AD779" i="13"/>
  <c r="AC779" i="13"/>
  <c r="AB779" i="13"/>
  <c r="AF778" i="13"/>
  <c r="AE778" i="13"/>
  <c r="AD778" i="13"/>
  <c r="AC778" i="13"/>
  <c r="AB778" i="13"/>
  <c r="AF777" i="13"/>
  <c r="AE777" i="13"/>
  <c r="AD777" i="13"/>
  <c r="AC777" i="13"/>
  <c r="AB777" i="13"/>
  <c r="AF776" i="13"/>
  <c r="AE776" i="13"/>
  <c r="AD776" i="13"/>
  <c r="AC776" i="13"/>
  <c r="AB776" i="13"/>
  <c r="AF775" i="13"/>
  <c r="AE775" i="13"/>
  <c r="AD775" i="13"/>
  <c r="AC775" i="13"/>
  <c r="AB775" i="13"/>
  <c r="AF774" i="13"/>
  <c r="AE774" i="13"/>
  <c r="AD774" i="13"/>
  <c r="AC774" i="13"/>
  <c r="AB774" i="13"/>
  <c r="AF773" i="13"/>
  <c r="AE773" i="13"/>
  <c r="AD773" i="13"/>
  <c r="AC773" i="13"/>
  <c r="AB773" i="13"/>
  <c r="AF772" i="13"/>
  <c r="AE772" i="13"/>
  <c r="AD772" i="13"/>
  <c r="AC772" i="13"/>
  <c r="AB772" i="13"/>
  <c r="AF771" i="13"/>
  <c r="AE771" i="13"/>
  <c r="AD771" i="13"/>
  <c r="AC771" i="13"/>
  <c r="AB771" i="13"/>
  <c r="AF770" i="13"/>
  <c r="AE770" i="13"/>
  <c r="AD770" i="13"/>
  <c r="AC770" i="13"/>
  <c r="AB770" i="13"/>
  <c r="AF769" i="13"/>
  <c r="AE769" i="13"/>
  <c r="AD769" i="13"/>
  <c r="AC769" i="13"/>
  <c r="AB769" i="13"/>
  <c r="AF768" i="13"/>
  <c r="AE768" i="13"/>
  <c r="AD768" i="13"/>
  <c r="AC768" i="13"/>
  <c r="AB768" i="13"/>
  <c r="AF767" i="13"/>
  <c r="AE767" i="13"/>
  <c r="AD767" i="13"/>
  <c r="AC767" i="13"/>
  <c r="AB767" i="13"/>
  <c r="AF766" i="13"/>
  <c r="AE766" i="13"/>
  <c r="AD766" i="13"/>
  <c r="AC766" i="13"/>
  <c r="AB766" i="13"/>
  <c r="AF765" i="13"/>
  <c r="AE765" i="13"/>
  <c r="AD765" i="13"/>
  <c r="AC765" i="13"/>
  <c r="AB765" i="13"/>
  <c r="AF764" i="13"/>
  <c r="AE764" i="13"/>
  <c r="AD764" i="13"/>
  <c r="AC764" i="13"/>
  <c r="AB764" i="13"/>
  <c r="AF763" i="13"/>
  <c r="AE763" i="13"/>
  <c r="AD763" i="13"/>
  <c r="AC763" i="13"/>
  <c r="AB763" i="13"/>
  <c r="AF757" i="13"/>
  <c r="AE757" i="13"/>
  <c r="AD757" i="13"/>
  <c r="AC757" i="13"/>
  <c r="AB757" i="13"/>
  <c r="AF756" i="13"/>
  <c r="AE756" i="13"/>
  <c r="AD756" i="13"/>
  <c r="AC756" i="13"/>
  <c r="AB756" i="13"/>
  <c r="AF755" i="13"/>
  <c r="AE755" i="13"/>
  <c r="AD755" i="13"/>
  <c r="AC755" i="13"/>
  <c r="AB755" i="13"/>
  <c r="AF754" i="13"/>
  <c r="AE754" i="13"/>
  <c r="AD754" i="13"/>
  <c r="AC754" i="13"/>
  <c r="AB754" i="13"/>
  <c r="AF753" i="13"/>
  <c r="AE753" i="13"/>
  <c r="AD753" i="13"/>
  <c r="AC753" i="13"/>
  <c r="AB753" i="13"/>
  <c r="AF752" i="13"/>
  <c r="AE752" i="13"/>
  <c r="AD752" i="13"/>
  <c r="AC752" i="13"/>
  <c r="AB752" i="13"/>
  <c r="AF751" i="13"/>
  <c r="AE751" i="13"/>
  <c r="AD751" i="13"/>
  <c r="AC751" i="13"/>
  <c r="AB751" i="13"/>
  <c r="AF750" i="13"/>
  <c r="AE750" i="13"/>
  <c r="AD750" i="13"/>
  <c r="AC750" i="13"/>
  <c r="AB750" i="13"/>
  <c r="AF749" i="13"/>
  <c r="AE749" i="13"/>
  <c r="AD749" i="13"/>
  <c r="AC749" i="13"/>
  <c r="AB749" i="13"/>
  <c r="AF748" i="13"/>
  <c r="AE748" i="13"/>
  <c r="AD748" i="13"/>
  <c r="AC748" i="13"/>
  <c r="AB748" i="13"/>
  <c r="AF747" i="13"/>
  <c r="AE747" i="13"/>
  <c r="AD747" i="13"/>
  <c r="AC747" i="13"/>
  <c r="AB747" i="13"/>
  <c r="AF746" i="13"/>
  <c r="AE746" i="13"/>
  <c r="AD746" i="13"/>
  <c r="AC746" i="13"/>
  <c r="AB746" i="13"/>
  <c r="AF745" i="13"/>
  <c r="AE745" i="13"/>
  <c r="AD745" i="13"/>
  <c r="AC745" i="13"/>
  <c r="AB745" i="13"/>
  <c r="AF744" i="13"/>
  <c r="AE744" i="13"/>
  <c r="AD744" i="13"/>
  <c r="AC744" i="13"/>
  <c r="AB744" i="13"/>
  <c r="AF743" i="13"/>
  <c r="AE743" i="13"/>
  <c r="AD743" i="13"/>
  <c r="AC743" i="13"/>
  <c r="AB743" i="13"/>
  <c r="AF742" i="13"/>
  <c r="AE742" i="13"/>
  <c r="AD742" i="13"/>
  <c r="AC742" i="13"/>
  <c r="AB742" i="13"/>
  <c r="AF741" i="13"/>
  <c r="AE741" i="13"/>
  <c r="AD741" i="13"/>
  <c r="AC741" i="13"/>
  <c r="AB741" i="13"/>
  <c r="AF740" i="13"/>
  <c r="AE740" i="13"/>
  <c r="AD740" i="13"/>
  <c r="AC740" i="13"/>
  <c r="AB740" i="13"/>
  <c r="AF739" i="13"/>
  <c r="AE739" i="13"/>
  <c r="AD739" i="13"/>
  <c r="AC739" i="13"/>
  <c r="AB739" i="13"/>
  <c r="AF738" i="13"/>
  <c r="AE738" i="13"/>
  <c r="AD738" i="13"/>
  <c r="AC738" i="13"/>
  <c r="AB738" i="13"/>
  <c r="AF737" i="13"/>
  <c r="AE737" i="13"/>
  <c r="AD737" i="13"/>
  <c r="AC737" i="13"/>
  <c r="AB737" i="13"/>
  <c r="AF736" i="13"/>
  <c r="AE736" i="13"/>
  <c r="AD736" i="13"/>
  <c r="AC736" i="13"/>
  <c r="AB736" i="13"/>
  <c r="AF735" i="13"/>
  <c r="AE735" i="13"/>
  <c r="AD735" i="13"/>
  <c r="AC735" i="13"/>
  <c r="AB735" i="13"/>
  <c r="AF734" i="13"/>
  <c r="AE734" i="13"/>
  <c r="AD734" i="13"/>
  <c r="AC734" i="13"/>
  <c r="AB734" i="13"/>
  <c r="AF733" i="13"/>
  <c r="AE733" i="13"/>
  <c r="AD733" i="13"/>
  <c r="AC733" i="13"/>
  <c r="AB733" i="13"/>
  <c r="AF732" i="13"/>
  <c r="AE732" i="13"/>
  <c r="AD732" i="13"/>
  <c r="AC732" i="13"/>
  <c r="AB732" i="13"/>
  <c r="AF726" i="13"/>
  <c r="AE726" i="13"/>
  <c r="AD726" i="13"/>
  <c r="AC726" i="13"/>
  <c r="AB726" i="13"/>
  <c r="AF725" i="13"/>
  <c r="AE725" i="13"/>
  <c r="AD725" i="13"/>
  <c r="AC725" i="13"/>
  <c r="AB725" i="13"/>
  <c r="AF724" i="13"/>
  <c r="AE724" i="13"/>
  <c r="AD724" i="13"/>
  <c r="AC724" i="13"/>
  <c r="AB724" i="13"/>
  <c r="AF723" i="13"/>
  <c r="AE723" i="13"/>
  <c r="AD723" i="13"/>
  <c r="AC723" i="13"/>
  <c r="AB723" i="13"/>
  <c r="AF722" i="13"/>
  <c r="AE722" i="13"/>
  <c r="AD722" i="13"/>
  <c r="AC722" i="13"/>
  <c r="AB722" i="13"/>
  <c r="AF721" i="13"/>
  <c r="AE721" i="13"/>
  <c r="AD721" i="13"/>
  <c r="AC721" i="13"/>
  <c r="AB721" i="13"/>
  <c r="AF720" i="13"/>
  <c r="AE720" i="13"/>
  <c r="AD720" i="13"/>
  <c r="AC720" i="13"/>
  <c r="AB720" i="13"/>
  <c r="AF719" i="13"/>
  <c r="AE719" i="13"/>
  <c r="AD719" i="13"/>
  <c r="AC719" i="13"/>
  <c r="AB719" i="13"/>
  <c r="AF718" i="13"/>
  <c r="AE718" i="13"/>
  <c r="AD718" i="13"/>
  <c r="AC718" i="13"/>
  <c r="AB718" i="13"/>
  <c r="AF717" i="13"/>
  <c r="AE717" i="13"/>
  <c r="AD717" i="13"/>
  <c r="AC717" i="13"/>
  <c r="AB717" i="13"/>
  <c r="AF716" i="13"/>
  <c r="AE716" i="13"/>
  <c r="AD716" i="13"/>
  <c r="AC716" i="13"/>
  <c r="AB716" i="13"/>
  <c r="AF715" i="13"/>
  <c r="AE715" i="13"/>
  <c r="AD715" i="13"/>
  <c r="AC715" i="13"/>
  <c r="AB715" i="13"/>
  <c r="AF714" i="13"/>
  <c r="AE714" i="13"/>
  <c r="AD714" i="13"/>
  <c r="AC714" i="13"/>
  <c r="AB714" i="13"/>
  <c r="AF713" i="13"/>
  <c r="AE713" i="13"/>
  <c r="AD713" i="13"/>
  <c r="AC713" i="13"/>
  <c r="AB713" i="13"/>
  <c r="AF712" i="13"/>
  <c r="AE712" i="13"/>
  <c r="AD712" i="13"/>
  <c r="AC712" i="13"/>
  <c r="AB712" i="13"/>
  <c r="AF711" i="13"/>
  <c r="AE711" i="13"/>
  <c r="AD711" i="13"/>
  <c r="AC711" i="13"/>
  <c r="AB711" i="13"/>
  <c r="AF710" i="13"/>
  <c r="AE710" i="13"/>
  <c r="AD710" i="13"/>
  <c r="AC710" i="13"/>
  <c r="AB710" i="13"/>
  <c r="AF709" i="13"/>
  <c r="AE709" i="13"/>
  <c r="AD709" i="13"/>
  <c r="AC709" i="13"/>
  <c r="AB709" i="13"/>
  <c r="AF708" i="13"/>
  <c r="AE708" i="13"/>
  <c r="AD708" i="13"/>
  <c r="AC708" i="13"/>
  <c r="AB708" i="13"/>
  <c r="AF707" i="13"/>
  <c r="AE707" i="13"/>
  <c r="AD707" i="13"/>
  <c r="AC707" i="13"/>
  <c r="AB707" i="13"/>
  <c r="AF706" i="13"/>
  <c r="AE706" i="13"/>
  <c r="AD706" i="13"/>
  <c r="AC706" i="13"/>
  <c r="AB706" i="13"/>
  <c r="AF705" i="13"/>
  <c r="AE705" i="13"/>
  <c r="AD705" i="13"/>
  <c r="AC705" i="13"/>
  <c r="AB705" i="13"/>
  <c r="AF704" i="13"/>
  <c r="AE704" i="13"/>
  <c r="AD704" i="13"/>
  <c r="AC704" i="13"/>
  <c r="AB704" i="13"/>
  <c r="AF703" i="13"/>
  <c r="AE703" i="13"/>
  <c r="AD703" i="13"/>
  <c r="AC703" i="13"/>
  <c r="AB703" i="13"/>
  <c r="AF702" i="13"/>
  <c r="AE702" i="13"/>
  <c r="AD702" i="13"/>
  <c r="AC702" i="13"/>
  <c r="AB702" i="13"/>
  <c r="AF701" i="13"/>
  <c r="AE701" i="13"/>
  <c r="AD701" i="13"/>
  <c r="AC701" i="13"/>
  <c r="AB701" i="13"/>
  <c r="AF695" i="13"/>
  <c r="AE695" i="13"/>
  <c r="AD695" i="13"/>
  <c r="AC695" i="13"/>
  <c r="AB695" i="13"/>
  <c r="AF694" i="13"/>
  <c r="AE694" i="13"/>
  <c r="AD694" i="13"/>
  <c r="AC694" i="13"/>
  <c r="AB694" i="13"/>
  <c r="AF693" i="13"/>
  <c r="AE693" i="13"/>
  <c r="AD693" i="13"/>
  <c r="AC693" i="13"/>
  <c r="AB693" i="13"/>
  <c r="AF692" i="13"/>
  <c r="AE692" i="13"/>
  <c r="AD692" i="13"/>
  <c r="AC692" i="13"/>
  <c r="AB692" i="13"/>
  <c r="AF691" i="13"/>
  <c r="AE691" i="13"/>
  <c r="AD691" i="13"/>
  <c r="AC691" i="13"/>
  <c r="AB691" i="13"/>
  <c r="AF690" i="13"/>
  <c r="AE690" i="13"/>
  <c r="AD690" i="13"/>
  <c r="AC690" i="13"/>
  <c r="AB690" i="13"/>
  <c r="AF689" i="13"/>
  <c r="AE689" i="13"/>
  <c r="AD689" i="13"/>
  <c r="AC689" i="13"/>
  <c r="AB689" i="13"/>
  <c r="AF688" i="13"/>
  <c r="AE688" i="13"/>
  <c r="AD688" i="13"/>
  <c r="AC688" i="13"/>
  <c r="AB688" i="13"/>
  <c r="AF687" i="13"/>
  <c r="AE687" i="13"/>
  <c r="AD687" i="13"/>
  <c r="AC687" i="13"/>
  <c r="AB687" i="13"/>
  <c r="AF686" i="13"/>
  <c r="AE686" i="13"/>
  <c r="AD686" i="13"/>
  <c r="AC686" i="13"/>
  <c r="AB686" i="13"/>
  <c r="AF685" i="13"/>
  <c r="AE685" i="13"/>
  <c r="AD685" i="13"/>
  <c r="AC685" i="13"/>
  <c r="AB685" i="13"/>
  <c r="AF684" i="13"/>
  <c r="AE684" i="13"/>
  <c r="AD684" i="13"/>
  <c r="AC684" i="13"/>
  <c r="AB684" i="13"/>
  <c r="AF683" i="13"/>
  <c r="AE683" i="13"/>
  <c r="AD683" i="13"/>
  <c r="AC683" i="13"/>
  <c r="AB683" i="13"/>
  <c r="AF682" i="13"/>
  <c r="AE682" i="13"/>
  <c r="AD682" i="13"/>
  <c r="AC682" i="13"/>
  <c r="AB682" i="13"/>
  <c r="AF681" i="13"/>
  <c r="AE681" i="13"/>
  <c r="AD681" i="13"/>
  <c r="AC681" i="13"/>
  <c r="AB681" i="13"/>
  <c r="AF680" i="13"/>
  <c r="AE680" i="13"/>
  <c r="AD680" i="13"/>
  <c r="AC680" i="13"/>
  <c r="AB680" i="13"/>
  <c r="AF679" i="13"/>
  <c r="AE679" i="13"/>
  <c r="AD679" i="13"/>
  <c r="AC679" i="13"/>
  <c r="AB679" i="13"/>
  <c r="AF678" i="13"/>
  <c r="AE678" i="13"/>
  <c r="AD678" i="13"/>
  <c r="AC678" i="13"/>
  <c r="AB678" i="13"/>
  <c r="AF677" i="13"/>
  <c r="AE677" i="13"/>
  <c r="AD677" i="13"/>
  <c r="AC677" i="13"/>
  <c r="AB677" i="13"/>
  <c r="AF676" i="13"/>
  <c r="AE676" i="13"/>
  <c r="AD676" i="13"/>
  <c r="AC676" i="13"/>
  <c r="AB676" i="13"/>
  <c r="AF675" i="13"/>
  <c r="AE675" i="13"/>
  <c r="AD675" i="13"/>
  <c r="AC675" i="13"/>
  <c r="AB675" i="13"/>
  <c r="AF674" i="13"/>
  <c r="AE674" i="13"/>
  <c r="AD674" i="13"/>
  <c r="AC674" i="13"/>
  <c r="AB674" i="13"/>
  <c r="AF673" i="13"/>
  <c r="AE673" i="13"/>
  <c r="AD673" i="13"/>
  <c r="AC673" i="13"/>
  <c r="AB673" i="13"/>
  <c r="AF672" i="13"/>
  <c r="AE672" i="13"/>
  <c r="AD672" i="13"/>
  <c r="AC672" i="13"/>
  <c r="AB672" i="13"/>
  <c r="AF671" i="13"/>
  <c r="AE671" i="13"/>
  <c r="AD671" i="13"/>
  <c r="AC671" i="13"/>
  <c r="AB671" i="13"/>
  <c r="AF670" i="13"/>
  <c r="AE670" i="13"/>
  <c r="AD670" i="13"/>
  <c r="AC670" i="13"/>
  <c r="AB670" i="13"/>
  <c r="AF664" i="13"/>
  <c r="AE664" i="13"/>
  <c r="AD664" i="13"/>
  <c r="AC664" i="13"/>
  <c r="AB664" i="13"/>
  <c r="AF663" i="13"/>
  <c r="AE663" i="13"/>
  <c r="AD663" i="13"/>
  <c r="AC663" i="13"/>
  <c r="AB663" i="13"/>
  <c r="AF662" i="13"/>
  <c r="AE662" i="13"/>
  <c r="AD662" i="13"/>
  <c r="AC662" i="13"/>
  <c r="AB662" i="13"/>
  <c r="AF661" i="13"/>
  <c r="AE661" i="13"/>
  <c r="AD661" i="13"/>
  <c r="AC661" i="13"/>
  <c r="AB661" i="13"/>
  <c r="AF660" i="13"/>
  <c r="AE660" i="13"/>
  <c r="AD660" i="13"/>
  <c r="AC660" i="13"/>
  <c r="AB660" i="13"/>
  <c r="AF659" i="13"/>
  <c r="AE659" i="13"/>
  <c r="AD659" i="13"/>
  <c r="AC659" i="13"/>
  <c r="AB659" i="13"/>
  <c r="AF658" i="13"/>
  <c r="AE658" i="13"/>
  <c r="AD658" i="13"/>
  <c r="AC658" i="13"/>
  <c r="AB658" i="13"/>
  <c r="AF657" i="13"/>
  <c r="AE657" i="13"/>
  <c r="AD657" i="13"/>
  <c r="AC657" i="13"/>
  <c r="AB657" i="13"/>
  <c r="AF656" i="13"/>
  <c r="AE656" i="13"/>
  <c r="AD656" i="13"/>
  <c r="AC656" i="13"/>
  <c r="AB656" i="13"/>
  <c r="AF655" i="13"/>
  <c r="AE655" i="13"/>
  <c r="AD655" i="13"/>
  <c r="AC655" i="13"/>
  <c r="AB655" i="13"/>
  <c r="AF654" i="13"/>
  <c r="AE654" i="13"/>
  <c r="AD654" i="13"/>
  <c r="AC654" i="13"/>
  <c r="AB654" i="13"/>
  <c r="AF653" i="13"/>
  <c r="AE653" i="13"/>
  <c r="AD653" i="13"/>
  <c r="AC653" i="13"/>
  <c r="AB653" i="13"/>
  <c r="AF652" i="13"/>
  <c r="AE652" i="13"/>
  <c r="AD652" i="13"/>
  <c r="AC652" i="13"/>
  <c r="AB652" i="13"/>
  <c r="AF651" i="13"/>
  <c r="AE651" i="13"/>
  <c r="AD651" i="13"/>
  <c r="AC651" i="13"/>
  <c r="AB651" i="13"/>
  <c r="AF650" i="13"/>
  <c r="AE650" i="13"/>
  <c r="AD650" i="13"/>
  <c r="AC650" i="13"/>
  <c r="AB650" i="13"/>
  <c r="AF649" i="13"/>
  <c r="AE649" i="13"/>
  <c r="AD649" i="13"/>
  <c r="AC649" i="13"/>
  <c r="AB649" i="13"/>
  <c r="AF648" i="13"/>
  <c r="AE648" i="13"/>
  <c r="AD648" i="13"/>
  <c r="AC648" i="13"/>
  <c r="AB648" i="13"/>
  <c r="AF647" i="13"/>
  <c r="AE647" i="13"/>
  <c r="AD647" i="13"/>
  <c r="AC647" i="13"/>
  <c r="AB647" i="13"/>
  <c r="AF646" i="13"/>
  <c r="AE646" i="13"/>
  <c r="AD646" i="13"/>
  <c r="AC646" i="13"/>
  <c r="AB646" i="13"/>
  <c r="AF645" i="13"/>
  <c r="AE645" i="13"/>
  <c r="AD645" i="13"/>
  <c r="AC645" i="13"/>
  <c r="AB645" i="13"/>
  <c r="AF644" i="13"/>
  <c r="AE644" i="13"/>
  <c r="AD644" i="13"/>
  <c r="AC644" i="13"/>
  <c r="AB644" i="13"/>
  <c r="AF643" i="13"/>
  <c r="AE643" i="13"/>
  <c r="AD643" i="13"/>
  <c r="AC643" i="13"/>
  <c r="AB643" i="13"/>
  <c r="AF642" i="13"/>
  <c r="AE642" i="13"/>
  <c r="AD642" i="13"/>
  <c r="AC642" i="13"/>
  <c r="AB642" i="13"/>
  <c r="AF641" i="13"/>
  <c r="AE641" i="13"/>
  <c r="AD641" i="13"/>
  <c r="AC641" i="13"/>
  <c r="AB641" i="13"/>
  <c r="AF640" i="13"/>
  <c r="AE640" i="13"/>
  <c r="AD640" i="13"/>
  <c r="AC640" i="13"/>
  <c r="AB640" i="13"/>
  <c r="AF639" i="13"/>
  <c r="AE639" i="13"/>
  <c r="AD639" i="13"/>
  <c r="AC639" i="13"/>
  <c r="AB639" i="13"/>
  <c r="AF633" i="13"/>
  <c r="AE633" i="13"/>
  <c r="AD633" i="13"/>
  <c r="AC633" i="13"/>
  <c r="AB633" i="13"/>
  <c r="AF632" i="13"/>
  <c r="AE632" i="13"/>
  <c r="AD632" i="13"/>
  <c r="AC632" i="13"/>
  <c r="AB632" i="13"/>
  <c r="AF631" i="13"/>
  <c r="AE631" i="13"/>
  <c r="AD631" i="13"/>
  <c r="AC631" i="13"/>
  <c r="AB631" i="13"/>
  <c r="AF630" i="13"/>
  <c r="AE630" i="13"/>
  <c r="AD630" i="13"/>
  <c r="AC630" i="13"/>
  <c r="AB630" i="13"/>
  <c r="AF629" i="13"/>
  <c r="AE629" i="13"/>
  <c r="AD629" i="13"/>
  <c r="AC629" i="13"/>
  <c r="AB629" i="13"/>
  <c r="AF628" i="13"/>
  <c r="AE628" i="13"/>
  <c r="AD628" i="13"/>
  <c r="AC628" i="13"/>
  <c r="AB628" i="13"/>
  <c r="AF627" i="13"/>
  <c r="AE627" i="13"/>
  <c r="AD627" i="13"/>
  <c r="AC627" i="13"/>
  <c r="AB627" i="13"/>
  <c r="AF626" i="13"/>
  <c r="AE626" i="13"/>
  <c r="AD626" i="13"/>
  <c r="AC626" i="13"/>
  <c r="AB626" i="13"/>
  <c r="AF625" i="13"/>
  <c r="AE625" i="13"/>
  <c r="AD625" i="13"/>
  <c r="AC625" i="13"/>
  <c r="AB625" i="13"/>
  <c r="AF624" i="13"/>
  <c r="AE624" i="13"/>
  <c r="AD624" i="13"/>
  <c r="AC624" i="13"/>
  <c r="AB624" i="13"/>
  <c r="AF623" i="13"/>
  <c r="AE623" i="13"/>
  <c r="AD623" i="13"/>
  <c r="AC623" i="13"/>
  <c r="AB623" i="13"/>
  <c r="AF622" i="13"/>
  <c r="AE622" i="13"/>
  <c r="AD622" i="13"/>
  <c r="AC622" i="13"/>
  <c r="AB622" i="13"/>
  <c r="AF621" i="13"/>
  <c r="AE621" i="13"/>
  <c r="AD621" i="13"/>
  <c r="AC621" i="13"/>
  <c r="AB621" i="13"/>
  <c r="AF620" i="13"/>
  <c r="AE620" i="13"/>
  <c r="AD620" i="13"/>
  <c r="AC620" i="13"/>
  <c r="AB620" i="13"/>
  <c r="AF619" i="13"/>
  <c r="AE619" i="13"/>
  <c r="AD619" i="13"/>
  <c r="AC619" i="13"/>
  <c r="AB619" i="13"/>
  <c r="AF618" i="13"/>
  <c r="AE618" i="13"/>
  <c r="AD618" i="13"/>
  <c r="AC618" i="13"/>
  <c r="AB618" i="13"/>
  <c r="AF617" i="13"/>
  <c r="AE617" i="13"/>
  <c r="AD617" i="13"/>
  <c r="AC617" i="13"/>
  <c r="AB617" i="13"/>
  <c r="AF616" i="13"/>
  <c r="AE616" i="13"/>
  <c r="AD616" i="13"/>
  <c r="AC616" i="13"/>
  <c r="AB616" i="13"/>
  <c r="AF615" i="13"/>
  <c r="AE615" i="13"/>
  <c r="AD615" i="13"/>
  <c r="AC615" i="13"/>
  <c r="AB615" i="13"/>
  <c r="AF614" i="13"/>
  <c r="AE614" i="13"/>
  <c r="AD614" i="13"/>
  <c r="AC614" i="13"/>
  <c r="AB614" i="13"/>
  <c r="AF613" i="13"/>
  <c r="AE613" i="13"/>
  <c r="AD613" i="13"/>
  <c r="AC613" i="13"/>
  <c r="AB613" i="13"/>
  <c r="AF612" i="13"/>
  <c r="AE612" i="13"/>
  <c r="AD612" i="13"/>
  <c r="AC612" i="13"/>
  <c r="AB612" i="13"/>
  <c r="AF611" i="13"/>
  <c r="AE611" i="13"/>
  <c r="AD611" i="13"/>
  <c r="AC611" i="13"/>
  <c r="AB611" i="13"/>
  <c r="AF610" i="13"/>
  <c r="AE610" i="13"/>
  <c r="AD610" i="13"/>
  <c r="AC610" i="13"/>
  <c r="AB610" i="13"/>
  <c r="AF609" i="13"/>
  <c r="AE609" i="13"/>
  <c r="AD609" i="13"/>
  <c r="AC609" i="13"/>
  <c r="AB609" i="13"/>
  <c r="AF608" i="13"/>
  <c r="AE608" i="13"/>
  <c r="AD608" i="13"/>
  <c r="AC608" i="13"/>
  <c r="AB608" i="13"/>
  <c r="AF602" i="13"/>
  <c r="AE602" i="13"/>
  <c r="AD602" i="13"/>
  <c r="AC602" i="13"/>
  <c r="AB602" i="13"/>
  <c r="AF601" i="13"/>
  <c r="AE601" i="13"/>
  <c r="AD601" i="13"/>
  <c r="AC601" i="13"/>
  <c r="AB601" i="13"/>
  <c r="AF600" i="13"/>
  <c r="AE600" i="13"/>
  <c r="AD600" i="13"/>
  <c r="AC600" i="13"/>
  <c r="AB600" i="13"/>
  <c r="AF599" i="13"/>
  <c r="AE599" i="13"/>
  <c r="AD599" i="13"/>
  <c r="AC599" i="13"/>
  <c r="AB599" i="13"/>
  <c r="AF598" i="13"/>
  <c r="AE598" i="13"/>
  <c r="AD598" i="13"/>
  <c r="AC598" i="13"/>
  <c r="AB598" i="13"/>
  <c r="AF597" i="13"/>
  <c r="AE597" i="13"/>
  <c r="AD597" i="13"/>
  <c r="AC597" i="13"/>
  <c r="AB597" i="13"/>
  <c r="AF596" i="13"/>
  <c r="AE596" i="13"/>
  <c r="AD596" i="13"/>
  <c r="AC596" i="13"/>
  <c r="AB596" i="13"/>
  <c r="AF595" i="13"/>
  <c r="AE595" i="13"/>
  <c r="AD595" i="13"/>
  <c r="AC595" i="13"/>
  <c r="AB595" i="13"/>
  <c r="AF594" i="13"/>
  <c r="AE594" i="13"/>
  <c r="AD594" i="13"/>
  <c r="AC594" i="13"/>
  <c r="AB594" i="13"/>
  <c r="AF593" i="13"/>
  <c r="AE593" i="13"/>
  <c r="AD593" i="13"/>
  <c r="AC593" i="13"/>
  <c r="AB593" i="13"/>
  <c r="AF592" i="13"/>
  <c r="AE592" i="13"/>
  <c r="AD592" i="13"/>
  <c r="AC592" i="13"/>
  <c r="AB592" i="13"/>
  <c r="AF591" i="13"/>
  <c r="AE591" i="13"/>
  <c r="AD591" i="13"/>
  <c r="AC591" i="13"/>
  <c r="AB591" i="13"/>
  <c r="AF590" i="13"/>
  <c r="AE590" i="13"/>
  <c r="AD590" i="13"/>
  <c r="AC590" i="13"/>
  <c r="AB590" i="13"/>
  <c r="AF589" i="13"/>
  <c r="AE589" i="13"/>
  <c r="AD589" i="13"/>
  <c r="AC589" i="13"/>
  <c r="AB589" i="13"/>
  <c r="AF588" i="13"/>
  <c r="AE588" i="13"/>
  <c r="AD588" i="13"/>
  <c r="AC588" i="13"/>
  <c r="AB588" i="13"/>
  <c r="AF587" i="13"/>
  <c r="AE587" i="13"/>
  <c r="AD587" i="13"/>
  <c r="AC587" i="13"/>
  <c r="AB587" i="13"/>
  <c r="AF586" i="13"/>
  <c r="AE586" i="13"/>
  <c r="AD586" i="13"/>
  <c r="AC586" i="13"/>
  <c r="AB586" i="13"/>
  <c r="AF585" i="13"/>
  <c r="AE585" i="13"/>
  <c r="AD585" i="13"/>
  <c r="AC585" i="13"/>
  <c r="AB585" i="13"/>
  <c r="AF584" i="13"/>
  <c r="AE584" i="13"/>
  <c r="AD584" i="13"/>
  <c r="AC584" i="13"/>
  <c r="AB584" i="13"/>
  <c r="AF583" i="13"/>
  <c r="AE583" i="13"/>
  <c r="AD583" i="13"/>
  <c r="AC583" i="13"/>
  <c r="AB583" i="13"/>
  <c r="AF582" i="13"/>
  <c r="AE582" i="13"/>
  <c r="AD582" i="13"/>
  <c r="AC582" i="13"/>
  <c r="AB582" i="13"/>
  <c r="AF581" i="13"/>
  <c r="AE581" i="13"/>
  <c r="AD581" i="13"/>
  <c r="AC581" i="13"/>
  <c r="AB581" i="13"/>
  <c r="AF580" i="13"/>
  <c r="AE580" i="13"/>
  <c r="AD580" i="13"/>
  <c r="AC580" i="13"/>
  <c r="AB580" i="13"/>
  <c r="AF579" i="13"/>
  <c r="AE579" i="13"/>
  <c r="AD579" i="13"/>
  <c r="AC579" i="13"/>
  <c r="AB579" i="13"/>
  <c r="AF578" i="13"/>
  <c r="AE578" i="13"/>
  <c r="AD578" i="13"/>
  <c r="AC578" i="13"/>
  <c r="AB578" i="13"/>
  <c r="AF577" i="13"/>
  <c r="AE577" i="13"/>
  <c r="AD577" i="13"/>
  <c r="AC577" i="13"/>
  <c r="AB577" i="13"/>
  <c r="AF571" i="13"/>
  <c r="AE571" i="13"/>
  <c r="AD571" i="13"/>
  <c r="AC571" i="13"/>
  <c r="AB571" i="13"/>
  <c r="AF570" i="13"/>
  <c r="AE570" i="13"/>
  <c r="AD570" i="13"/>
  <c r="AC570" i="13"/>
  <c r="AB570" i="13"/>
  <c r="AF569" i="13"/>
  <c r="AE569" i="13"/>
  <c r="AD569" i="13"/>
  <c r="AC569" i="13"/>
  <c r="AB569" i="13"/>
  <c r="AF568" i="13"/>
  <c r="AE568" i="13"/>
  <c r="AD568" i="13"/>
  <c r="AC568" i="13"/>
  <c r="AB568" i="13"/>
  <c r="AF567" i="13"/>
  <c r="AE567" i="13"/>
  <c r="AD567" i="13"/>
  <c r="AC567" i="13"/>
  <c r="AB567" i="13"/>
  <c r="AF566" i="13"/>
  <c r="AE566" i="13"/>
  <c r="AD566" i="13"/>
  <c r="AC566" i="13"/>
  <c r="AB566" i="13"/>
  <c r="AF565" i="13"/>
  <c r="AE565" i="13"/>
  <c r="AD565" i="13"/>
  <c r="AC565" i="13"/>
  <c r="AB565" i="13"/>
  <c r="AF564" i="13"/>
  <c r="AE564" i="13"/>
  <c r="AD564" i="13"/>
  <c r="AC564" i="13"/>
  <c r="AB564" i="13"/>
  <c r="AF563" i="13"/>
  <c r="AE563" i="13"/>
  <c r="AD563" i="13"/>
  <c r="AC563" i="13"/>
  <c r="AB563" i="13"/>
  <c r="AF562" i="13"/>
  <c r="AE562" i="13"/>
  <c r="AD562" i="13"/>
  <c r="AC562" i="13"/>
  <c r="AB562" i="13"/>
  <c r="AF561" i="13"/>
  <c r="AE561" i="13"/>
  <c r="AD561" i="13"/>
  <c r="AC561" i="13"/>
  <c r="AB561" i="13"/>
  <c r="AF560" i="13"/>
  <c r="AE560" i="13"/>
  <c r="AD560" i="13"/>
  <c r="AC560" i="13"/>
  <c r="AB560" i="13"/>
  <c r="AF559" i="13"/>
  <c r="AE559" i="13"/>
  <c r="AD559" i="13"/>
  <c r="AC559" i="13"/>
  <c r="AB559" i="13"/>
  <c r="AF558" i="13"/>
  <c r="AE558" i="13"/>
  <c r="AD558" i="13"/>
  <c r="AC558" i="13"/>
  <c r="AB558" i="13"/>
  <c r="AF557" i="13"/>
  <c r="AE557" i="13"/>
  <c r="AD557" i="13"/>
  <c r="AC557" i="13"/>
  <c r="AB557" i="13"/>
  <c r="AF556" i="13"/>
  <c r="AE556" i="13"/>
  <c r="AD556" i="13"/>
  <c r="AC556" i="13"/>
  <c r="AB556" i="13"/>
  <c r="AF555" i="13"/>
  <c r="AE555" i="13"/>
  <c r="AD555" i="13"/>
  <c r="AC555" i="13"/>
  <c r="AB555" i="13"/>
  <c r="AF554" i="13"/>
  <c r="AE554" i="13"/>
  <c r="AD554" i="13"/>
  <c r="AC554" i="13"/>
  <c r="AB554" i="13"/>
  <c r="AF553" i="13"/>
  <c r="AE553" i="13"/>
  <c r="AD553" i="13"/>
  <c r="AC553" i="13"/>
  <c r="AB553" i="13"/>
  <c r="AF552" i="13"/>
  <c r="AE552" i="13"/>
  <c r="AD552" i="13"/>
  <c r="AC552" i="13"/>
  <c r="AB552" i="13"/>
  <c r="AF551" i="13"/>
  <c r="AE551" i="13"/>
  <c r="AD551" i="13"/>
  <c r="AC551" i="13"/>
  <c r="AB551" i="13"/>
  <c r="AF550" i="13"/>
  <c r="AE550" i="13"/>
  <c r="AD550" i="13"/>
  <c r="AC550" i="13"/>
  <c r="AB550" i="13"/>
  <c r="AF549" i="13"/>
  <c r="AE549" i="13"/>
  <c r="AD549" i="13"/>
  <c r="AC549" i="13"/>
  <c r="AB549" i="13"/>
  <c r="AF548" i="13"/>
  <c r="AE548" i="13"/>
  <c r="AD548" i="13"/>
  <c r="AC548" i="13"/>
  <c r="AB548" i="13"/>
  <c r="AF547" i="13"/>
  <c r="AE547" i="13"/>
  <c r="AD547" i="13"/>
  <c r="AC547" i="13"/>
  <c r="AB547" i="13"/>
  <c r="AF546" i="13"/>
  <c r="AE546" i="13"/>
  <c r="AD546" i="13"/>
  <c r="AC546" i="13"/>
  <c r="AB546" i="13"/>
  <c r="AF540" i="13"/>
  <c r="AE540" i="13"/>
  <c r="AD540" i="13"/>
  <c r="AC540" i="13"/>
  <c r="AB540" i="13"/>
  <c r="AF539" i="13"/>
  <c r="AE539" i="13"/>
  <c r="AD539" i="13"/>
  <c r="AC539" i="13"/>
  <c r="AB539" i="13"/>
  <c r="AF538" i="13"/>
  <c r="AE538" i="13"/>
  <c r="AD538" i="13"/>
  <c r="AC538" i="13"/>
  <c r="AB538" i="13"/>
  <c r="AF537" i="13"/>
  <c r="AE537" i="13"/>
  <c r="AD537" i="13"/>
  <c r="AC537" i="13"/>
  <c r="AB537" i="13"/>
  <c r="AF536" i="13"/>
  <c r="AE536" i="13"/>
  <c r="AD536" i="13"/>
  <c r="AC536" i="13"/>
  <c r="AB536" i="13"/>
  <c r="AF535" i="13"/>
  <c r="AE535" i="13"/>
  <c r="AD535" i="13"/>
  <c r="AC535" i="13"/>
  <c r="AB535" i="13"/>
  <c r="AF534" i="13"/>
  <c r="AE534" i="13"/>
  <c r="AD534" i="13"/>
  <c r="AC534" i="13"/>
  <c r="AB534" i="13"/>
  <c r="AF533" i="13"/>
  <c r="AE533" i="13"/>
  <c r="AD533" i="13"/>
  <c r="AC533" i="13"/>
  <c r="AB533" i="13"/>
  <c r="AF532" i="13"/>
  <c r="AE532" i="13"/>
  <c r="AD532" i="13"/>
  <c r="AC532" i="13"/>
  <c r="AB532" i="13"/>
  <c r="AF531" i="13"/>
  <c r="AE531" i="13"/>
  <c r="AD531" i="13"/>
  <c r="AC531" i="13"/>
  <c r="AB531" i="13"/>
  <c r="AF530" i="13"/>
  <c r="AE530" i="13"/>
  <c r="AD530" i="13"/>
  <c r="AC530" i="13"/>
  <c r="AB530" i="13"/>
  <c r="AF529" i="13"/>
  <c r="AE529" i="13"/>
  <c r="AD529" i="13"/>
  <c r="AC529" i="13"/>
  <c r="AB529" i="13"/>
  <c r="AF528" i="13"/>
  <c r="AE528" i="13"/>
  <c r="AD528" i="13"/>
  <c r="AC528" i="13"/>
  <c r="AB528" i="13"/>
  <c r="AF527" i="13"/>
  <c r="AE527" i="13"/>
  <c r="AD527" i="13"/>
  <c r="AC527" i="13"/>
  <c r="AB527" i="13"/>
  <c r="AF526" i="13"/>
  <c r="AE526" i="13"/>
  <c r="AD526" i="13"/>
  <c r="AC526" i="13"/>
  <c r="AB526" i="13"/>
  <c r="AF525" i="13"/>
  <c r="AE525" i="13"/>
  <c r="AD525" i="13"/>
  <c r="AC525" i="13"/>
  <c r="AB525" i="13"/>
  <c r="AF524" i="13"/>
  <c r="AE524" i="13"/>
  <c r="AD524" i="13"/>
  <c r="AC524" i="13"/>
  <c r="AB524" i="13"/>
  <c r="AF523" i="13"/>
  <c r="AE523" i="13"/>
  <c r="AD523" i="13"/>
  <c r="AC523" i="13"/>
  <c r="AB523" i="13"/>
  <c r="AF522" i="13"/>
  <c r="AE522" i="13"/>
  <c r="AD522" i="13"/>
  <c r="AC522" i="13"/>
  <c r="AB522" i="13"/>
  <c r="AF521" i="13"/>
  <c r="AE521" i="13"/>
  <c r="AD521" i="13"/>
  <c r="AC521" i="13"/>
  <c r="AB521" i="13"/>
  <c r="AF520" i="13"/>
  <c r="AE520" i="13"/>
  <c r="AD520" i="13"/>
  <c r="AC520" i="13"/>
  <c r="AB520" i="13"/>
  <c r="AF519" i="13"/>
  <c r="AE519" i="13"/>
  <c r="AD519" i="13"/>
  <c r="AC519" i="13"/>
  <c r="AB519" i="13"/>
  <c r="AF518" i="13"/>
  <c r="AE518" i="13"/>
  <c r="AD518" i="13"/>
  <c r="AC518" i="13"/>
  <c r="AB518" i="13"/>
  <c r="AF517" i="13"/>
  <c r="AE517" i="13"/>
  <c r="AD517" i="13"/>
  <c r="AC517" i="13"/>
  <c r="AB517" i="13"/>
  <c r="AF516" i="13"/>
  <c r="AE516" i="13"/>
  <c r="AD516" i="13"/>
  <c r="AC516" i="13"/>
  <c r="AB516" i="13"/>
  <c r="AF515" i="13"/>
  <c r="AE515" i="13"/>
  <c r="AD515" i="13"/>
  <c r="AC515" i="13"/>
  <c r="AB515" i="13"/>
  <c r="AF509" i="13"/>
  <c r="AE509" i="13"/>
  <c r="AD509" i="13"/>
  <c r="AC509" i="13"/>
  <c r="AB509" i="13"/>
  <c r="AF508" i="13"/>
  <c r="AE508" i="13"/>
  <c r="AD508" i="13"/>
  <c r="AC508" i="13"/>
  <c r="AB508" i="13"/>
  <c r="AF507" i="13"/>
  <c r="AE507" i="13"/>
  <c r="AD507" i="13"/>
  <c r="AC507" i="13"/>
  <c r="AB507" i="13"/>
  <c r="AF506" i="13"/>
  <c r="AE506" i="13"/>
  <c r="AD506" i="13"/>
  <c r="AC506" i="13"/>
  <c r="AB506" i="13"/>
  <c r="AF505" i="13"/>
  <c r="AE505" i="13"/>
  <c r="AD505" i="13"/>
  <c r="AC505" i="13"/>
  <c r="AB505" i="13"/>
  <c r="AF504" i="13"/>
  <c r="AE504" i="13"/>
  <c r="AD504" i="13"/>
  <c r="AC504" i="13"/>
  <c r="AB504" i="13"/>
  <c r="AF503" i="13"/>
  <c r="AE503" i="13"/>
  <c r="AD503" i="13"/>
  <c r="AC503" i="13"/>
  <c r="AB503" i="13"/>
  <c r="AF502" i="13"/>
  <c r="AE502" i="13"/>
  <c r="AD502" i="13"/>
  <c r="AC502" i="13"/>
  <c r="AB502" i="13"/>
  <c r="AF501" i="13"/>
  <c r="AE501" i="13"/>
  <c r="AD501" i="13"/>
  <c r="AC501" i="13"/>
  <c r="AB501" i="13"/>
  <c r="AF500" i="13"/>
  <c r="AE500" i="13"/>
  <c r="AD500" i="13"/>
  <c r="AC500" i="13"/>
  <c r="AB500" i="13"/>
  <c r="AF499" i="13"/>
  <c r="AE499" i="13"/>
  <c r="AD499" i="13"/>
  <c r="AC499" i="13"/>
  <c r="AB499" i="13"/>
  <c r="AF498" i="13"/>
  <c r="AE498" i="13"/>
  <c r="AD498" i="13"/>
  <c r="AC498" i="13"/>
  <c r="AB498" i="13"/>
  <c r="AF497" i="13"/>
  <c r="AE497" i="13"/>
  <c r="AD497" i="13"/>
  <c r="AC497" i="13"/>
  <c r="AB497" i="13"/>
  <c r="AF496" i="13"/>
  <c r="AE496" i="13"/>
  <c r="AD496" i="13"/>
  <c r="AC496" i="13"/>
  <c r="AB496" i="13"/>
  <c r="AF495" i="13"/>
  <c r="AE495" i="13"/>
  <c r="AD495" i="13"/>
  <c r="AC495" i="13"/>
  <c r="AB495" i="13"/>
  <c r="AF494" i="13"/>
  <c r="AE494" i="13"/>
  <c r="AD494" i="13"/>
  <c r="AC494" i="13"/>
  <c r="AB494" i="13"/>
  <c r="AF493" i="13"/>
  <c r="AE493" i="13"/>
  <c r="AD493" i="13"/>
  <c r="AC493" i="13"/>
  <c r="AB493" i="13"/>
  <c r="AF492" i="13"/>
  <c r="AE492" i="13"/>
  <c r="AD492" i="13"/>
  <c r="AC492" i="13"/>
  <c r="AB492" i="13"/>
  <c r="AF491" i="13"/>
  <c r="AE491" i="13"/>
  <c r="AD491" i="13"/>
  <c r="AC491" i="13"/>
  <c r="AB491" i="13"/>
  <c r="AF490" i="13"/>
  <c r="AE490" i="13"/>
  <c r="AD490" i="13"/>
  <c r="AC490" i="13"/>
  <c r="AB490" i="13"/>
  <c r="AF489" i="13"/>
  <c r="AE489" i="13"/>
  <c r="AD489" i="13"/>
  <c r="AC489" i="13"/>
  <c r="AB489" i="13"/>
  <c r="AF488" i="13"/>
  <c r="AE488" i="13"/>
  <c r="AD488" i="13"/>
  <c r="AC488" i="13"/>
  <c r="AB488" i="13"/>
  <c r="AF487" i="13"/>
  <c r="AE487" i="13"/>
  <c r="AD487" i="13"/>
  <c r="AC487" i="13"/>
  <c r="AB487" i="13"/>
  <c r="AF486" i="13"/>
  <c r="AE486" i="13"/>
  <c r="AD486" i="13"/>
  <c r="AC486" i="13"/>
  <c r="AB486" i="13"/>
  <c r="AF485" i="13"/>
  <c r="AC485" i="13"/>
  <c r="AB485" i="13"/>
  <c r="AF484" i="13"/>
  <c r="AE484" i="13"/>
  <c r="AD484" i="13"/>
  <c r="AC484" i="13"/>
  <c r="AB484" i="13"/>
  <c r="AF478" i="13"/>
  <c r="AE478" i="13"/>
  <c r="AD478" i="13"/>
  <c r="AC478" i="13"/>
  <c r="AB478" i="13"/>
  <c r="AF477" i="13"/>
  <c r="AE477" i="13"/>
  <c r="AD477" i="13"/>
  <c r="AC477" i="13"/>
  <c r="AB477" i="13"/>
  <c r="AF476" i="13"/>
  <c r="AE476" i="13"/>
  <c r="AD476" i="13"/>
  <c r="AC476" i="13"/>
  <c r="AB476" i="13"/>
  <c r="AF475" i="13"/>
  <c r="AE475" i="13"/>
  <c r="AD475" i="13"/>
  <c r="AC475" i="13"/>
  <c r="AB475" i="13"/>
  <c r="AF474" i="13"/>
  <c r="AE474" i="13"/>
  <c r="AD474" i="13"/>
  <c r="AC474" i="13"/>
  <c r="AB474" i="13"/>
  <c r="AF473" i="13"/>
  <c r="AE473" i="13"/>
  <c r="AD473" i="13"/>
  <c r="AC473" i="13"/>
  <c r="AB473" i="13"/>
  <c r="AF472" i="13"/>
  <c r="AE472" i="13"/>
  <c r="AD472" i="13"/>
  <c r="AC472" i="13"/>
  <c r="AB472" i="13"/>
  <c r="AF471" i="13"/>
  <c r="AE471" i="13"/>
  <c r="AD471" i="13"/>
  <c r="AC471" i="13"/>
  <c r="AB471" i="13"/>
  <c r="AF470" i="13"/>
  <c r="AE470" i="13"/>
  <c r="AD470" i="13"/>
  <c r="AC470" i="13"/>
  <c r="AB470" i="13"/>
  <c r="AF469" i="13"/>
  <c r="AE469" i="13"/>
  <c r="AD469" i="13"/>
  <c r="AC469" i="13"/>
  <c r="AB469" i="13"/>
  <c r="AF468" i="13"/>
  <c r="AE468" i="13"/>
  <c r="AD468" i="13"/>
  <c r="AC468" i="13"/>
  <c r="AB468" i="13"/>
  <c r="AF467" i="13"/>
  <c r="AE467" i="13"/>
  <c r="AD467" i="13"/>
  <c r="AC467" i="13"/>
  <c r="AB467" i="13"/>
  <c r="AF466" i="13"/>
  <c r="AE466" i="13"/>
  <c r="AD466" i="13"/>
  <c r="AC466" i="13"/>
  <c r="AB466" i="13"/>
  <c r="AF465" i="13"/>
  <c r="AE465" i="13"/>
  <c r="AD465" i="13"/>
  <c r="AC465" i="13"/>
  <c r="AB465" i="13"/>
  <c r="AF464" i="13"/>
  <c r="AE464" i="13"/>
  <c r="AD464" i="13"/>
  <c r="AC464" i="13"/>
  <c r="AB464" i="13"/>
  <c r="AF463" i="13"/>
  <c r="AE463" i="13"/>
  <c r="AD463" i="13"/>
  <c r="AC463" i="13"/>
  <c r="AB463" i="13"/>
  <c r="AF462" i="13"/>
  <c r="AE462" i="13"/>
  <c r="AD462" i="13"/>
  <c r="AC462" i="13"/>
  <c r="AB462" i="13"/>
  <c r="AF461" i="13"/>
  <c r="AE461" i="13"/>
  <c r="AD461" i="13"/>
  <c r="AC461" i="13"/>
  <c r="AB461" i="13"/>
  <c r="AF460" i="13"/>
  <c r="AE460" i="13"/>
  <c r="AD460" i="13"/>
  <c r="AC460" i="13"/>
  <c r="AB460" i="13"/>
  <c r="AF459" i="13"/>
  <c r="AE459" i="13"/>
  <c r="AD459" i="13"/>
  <c r="AC459" i="13"/>
  <c r="AB459" i="13"/>
  <c r="AF458" i="13"/>
  <c r="AE458" i="13"/>
  <c r="AD458" i="13"/>
  <c r="AC458" i="13"/>
  <c r="AB458" i="13"/>
  <c r="AF457" i="13"/>
  <c r="AE457" i="13"/>
  <c r="AD457" i="13"/>
  <c r="AC457" i="13"/>
  <c r="AB457" i="13"/>
  <c r="AF456" i="13"/>
  <c r="AE456" i="13"/>
  <c r="AD456" i="13"/>
  <c r="AC456" i="13"/>
  <c r="AB456" i="13"/>
  <c r="AF455" i="13"/>
  <c r="AE455" i="13"/>
  <c r="AD455" i="13"/>
  <c r="AC455" i="13"/>
  <c r="AB455" i="13"/>
  <c r="AF454" i="13"/>
  <c r="AE454" i="13"/>
  <c r="AD454" i="13"/>
  <c r="AC454" i="13"/>
  <c r="AB454" i="13"/>
  <c r="AF453" i="13"/>
  <c r="AE453" i="13"/>
  <c r="AD453" i="13"/>
  <c r="AC453" i="13"/>
  <c r="AB453" i="13"/>
  <c r="AF447" i="13"/>
  <c r="AE447" i="13"/>
  <c r="AD447" i="13"/>
  <c r="AC447" i="13"/>
  <c r="AB447" i="13"/>
  <c r="AF446" i="13"/>
  <c r="AE446" i="13"/>
  <c r="AD446" i="13"/>
  <c r="AC446" i="13"/>
  <c r="AB446" i="13"/>
  <c r="AF445" i="13"/>
  <c r="AE445" i="13"/>
  <c r="AD445" i="13"/>
  <c r="AC445" i="13"/>
  <c r="AB445" i="13"/>
  <c r="AF444" i="13"/>
  <c r="AE444" i="13"/>
  <c r="AD444" i="13"/>
  <c r="AC444" i="13"/>
  <c r="AB444" i="13"/>
  <c r="AF443" i="13"/>
  <c r="AE443" i="13"/>
  <c r="AD443" i="13"/>
  <c r="AC443" i="13"/>
  <c r="AB443" i="13"/>
  <c r="AF442" i="13"/>
  <c r="AE442" i="13"/>
  <c r="AD442" i="13"/>
  <c r="AC442" i="13"/>
  <c r="AB442" i="13"/>
  <c r="AF441" i="13"/>
  <c r="AE441" i="13"/>
  <c r="AD441" i="13"/>
  <c r="AC441" i="13"/>
  <c r="AB441" i="13"/>
  <c r="AF440" i="13"/>
  <c r="AE440" i="13"/>
  <c r="AD440" i="13"/>
  <c r="AC440" i="13"/>
  <c r="AB440" i="13"/>
  <c r="AF439" i="13"/>
  <c r="AE439" i="13"/>
  <c r="AD439" i="13"/>
  <c r="AC439" i="13"/>
  <c r="AB439" i="13"/>
  <c r="AF438" i="13"/>
  <c r="AE438" i="13"/>
  <c r="AD438" i="13"/>
  <c r="AC438" i="13"/>
  <c r="AB438" i="13"/>
  <c r="AF437" i="13"/>
  <c r="AE437" i="13"/>
  <c r="AD437" i="13"/>
  <c r="AC437" i="13"/>
  <c r="AB437" i="13"/>
  <c r="AF436" i="13"/>
  <c r="AE436" i="13"/>
  <c r="AD436" i="13"/>
  <c r="AC436" i="13"/>
  <c r="AB436" i="13"/>
  <c r="AF435" i="13"/>
  <c r="AE435" i="13"/>
  <c r="AD435" i="13"/>
  <c r="AC435" i="13"/>
  <c r="AB435" i="13"/>
  <c r="AF434" i="13"/>
  <c r="AE434" i="13"/>
  <c r="AD434" i="13"/>
  <c r="AC434" i="13"/>
  <c r="AB434" i="13"/>
  <c r="AF433" i="13"/>
  <c r="AE433" i="13"/>
  <c r="AD433" i="13"/>
  <c r="AC433" i="13"/>
  <c r="AB433" i="13"/>
  <c r="AF432" i="13"/>
  <c r="AE432" i="13"/>
  <c r="AD432" i="13"/>
  <c r="AC432" i="13"/>
  <c r="AB432" i="13"/>
  <c r="AF431" i="13"/>
  <c r="AE431" i="13"/>
  <c r="AD431" i="13"/>
  <c r="AC431" i="13"/>
  <c r="AB431" i="13"/>
  <c r="AF430" i="13"/>
  <c r="AE430" i="13"/>
  <c r="AD430" i="13"/>
  <c r="AC430" i="13"/>
  <c r="AB430" i="13"/>
  <c r="AF429" i="13"/>
  <c r="AE429" i="13"/>
  <c r="AD429" i="13"/>
  <c r="AC429" i="13"/>
  <c r="AB429" i="13"/>
  <c r="AF428" i="13"/>
  <c r="AE428" i="13"/>
  <c r="AD428" i="13"/>
  <c r="AC428" i="13"/>
  <c r="AB428" i="13"/>
  <c r="AF427" i="13"/>
  <c r="AE427" i="13"/>
  <c r="AD427" i="13"/>
  <c r="AC427" i="13"/>
  <c r="AB427" i="13"/>
  <c r="AF426" i="13"/>
  <c r="AE426" i="13"/>
  <c r="AD426" i="13"/>
  <c r="AC426" i="13"/>
  <c r="AB426" i="13"/>
  <c r="AF425" i="13"/>
  <c r="AE425" i="13"/>
  <c r="AD425" i="13"/>
  <c r="AC425" i="13"/>
  <c r="AB425" i="13"/>
  <c r="AF424" i="13"/>
  <c r="AE424" i="13"/>
  <c r="AD424" i="13"/>
  <c r="AC424" i="13"/>
  <c r="AB424" i="13"/>
  <c r="AF423" i="13"/>
  <c r="AE423" i="13"/>
  <c r="AD423" i="13"/>
  <c r="AC423" i="13"/>
  <c r="AB423" i="13"/>
  <c r="AF422" i="13"/>
  <c r="AE422" i="13"/>
  <c r="AD422" i="13"/>
  <c r="AC422" i="13"/>
  <c r="AB422" i="13"/>
  <c r="AF416" i="13"/>
  <c r="AE416" i="13"/>
  <c r="AD416" i="13"/>
  <c r="AC416" i="13"/>
  <c r="AB416" i="13"/>
  <c r="AF415" i="13"/>
  <c r="AE415" i="13"/>
  <c r="AD415" i="13"/>
  <c r="AC415" i="13"/>
  <c r="AB415" i="13"/>
  <c r="AF414" i="13"/>
  <c r="AE414" i="13"/>
  <c r="AD414" i="13"/>
  <c r="AC414" i="13"/>
  <c r="AB414" i="13"/>
  <c r="AF413" i="13"/>
  <c r="AE413" i="13"/>
  <c r="AD413" i="13"/>
  <c r="AC413" i="13"/>
  <c r="AB413" i="13"/>
  <c r="AF412" i="13"/>
  <c r="AE412" i="13"/>
  <c r="AD412" i="13"/>
  <c r="AC412" i="13"/>
  <c r="AB412" i="13"/>
  <c r="AF411" i="13"/>
  <c r="AE411" i="13"/>
  <c r="AD411" i="13"/>
  <c r="AC411" i="13"/>
  <c r="AB411" i="13"/>
  <c r="AF410" i="13"/>
  <c r="AE410" i="13"/>
  <c r="AD410" i="13"/>
  <c r="AC410" i="13"/>
  <c r="AB410" i="13"/>
  <c r="AF409" i="13"/>
  <c r="AE409" i="13"/>
  <c r="AD409" i="13"/>
  <c r="AC409" i="13"/>
  <c r="AB409" i="13"/>
  <c r="AF408" i="13"/>
  <c r="AE408" i="13"/>
  <c r="AD408" i="13"/>
  <c r="AC408" i="13"/>
  <c r="AB408" i="13"/>
  <c r="AF407" i="13"/>
  <c r="AE407" i="13"/>
  <c r="AD407" i="13"/>
  <c r="AC407" i="13"/>
  <c r="AB407" i="13"/>
  <c r="AF406" i="13"/>
  <c r="AE406" i="13"/>
  <c r="AD406" i="13"/>
  <c r="AC406" i="13"/>
  <c r="AB406" i="13"/>
  <c r="AF405" i="13"/>
  <c r="AE405" i="13"/>
  <c r="AD405" i="13"/>
  <c r="AC405" i="13"/>
  <c r="AB405" i="13"/>
  <c r="AF404" i="13"/>
  <c r="AE404" i="13"/>
  <c r="AD404" i="13"/>
  <c r="AC404" i="13"/>
  <c r="AB404" i="13"/>
  <c r="AF403" i="13"/>
  <c r="AE403" i="13"/>
  <c r="AD403" i="13"/>
  <c r="AC403" i="13"/>
  <c r="AB403" i="13"/>
  <c r="AF402" i="13"/>
  <c r="AE402" i="13"/>
  <c r="AD402" i="13"/>
  <c r="AC402" i="13"/>
  <c r="AB402" i="13"/>
  <c r="AF401" i="13"/>
  <c r="AE401" i="13"/>
  <c r="AD401" i="13"/>
  <c r="AC401" i="13"/>
  <c r="AB401" i="13"/>
  <c r="AF400" i="13"/>
  <c r="AE400" i="13"/>
  <c r="AD400" i="13"/>
  <c r="AC400" i="13"/>
  <c r="AB400" i="13"/>
  <c r="AF399" i="13"/>
  <c r="AE399" i="13"/>
  <c r="AD399" i="13"/>
  <c r="AC399" i="13"/>
  <c r="AB399" i="13"/>
  <c r="AF398" i="13"/>
  <c r="AE398" i="13"/>
  <c r="AD398" i="13"/>
  <c r="AC398" i="13"/>
  <c r="AB398" i="13"/>
  <c r="AF397" i="13"/>
  <c r="AE397" i="13"/>
  <c r="AD397" i="13"/>
  <c r="AC397" i="13"/>
  <c r="AB397" i="13"/>
  <c r="AF396" i="13"/>
  <c r="AE396" i="13"/>
  <c r="AD396" i="13"/>
  <c r="AC396" i="13"/>
  <c r="AB396" i="13"/>
  <c r="AF395" i="13"/>
  <c r="AE395" i="13"/>
  <c r="AD395" i="13"/>
  <c r="AC395" i="13"/>
  <c r="AB395" i="13"/>
  <c r="AF394" i="13"/>
  <c r="AE394" i="13"/>
  <c r="AD394" i="13"/>
  <c r="AC394" i="13"/>
  <c r="AB394" i="13"/>
  <c r="AF393" i="13"/>
  <c r="AE393" i="13"/>
  <c r="AD393" i="13"/>
  <c r="AC393" i="13"/>
  <c r="AB393" i="13"/>
  <c r="AF392" i="13"/>
  <c r="AE392" i="13"/>
  <c r="AD392" i="13"/>
  <c r="AC392" i="13"/>
  <c r="AB392" i="13"/>
  <c r="AF391" i="13"/>
  <c r="AE391" i="13"/>
  <c r="AD391" i="13"/>
  <c r="AC391" i="13"/>
  <c r="AB391" i="13"/>
  <c r="AF385" i="13"/>
  <c r="AE385" i="13"/>
  <c r="AD385" i="13"/>
  <c r="AC385" i="13"/>
  <c r="AB385" i="13"/>
  <c r="AF384" i="13"/>
  <c r="AE384" i="13"/>
  <c r="AD384" i="13"/>
  <c r="AC384" i="13"/>
  <c r="AB384" i="13"/>
  <c r="AF383" i="13"/>
  <c r="AE383" i="13"/>
  <c r="AD383" i="13"/>
  <c r="AC383" i="13"/>
  <c r="AB383" i="13"/>
  <c r="AF382" i="13"/>
  <c r="AE382" i="13"/>
  <c r="AD382" i="13"/>
  <c r="AC382" i="13"/>
  <c r="AB382" i="13"/>
  <c r="AF381" i="13"/>
  <c r="AE381" i="13"/>
  <c r="AD381" i="13"/>
  <c r="AC381" i="13"/>
  <c r="AB381" i="13"/>
  <c r="AF380" i="13"/>
  <c r="AE380" i="13"/>
  <c r="AD380" i="13"/>
  <c r="AC380" i="13"/>
  <c r="AB380" i="13"/>
  <c r="AF379" i="13"/>
  <c r="AE379" i="13"/>
  <c r="AD379" i="13"/>
  <c r="AC379" i="13"/>
  <c r="AB379" i="13"/>
  <c r="AF378" i="13"/>
  <c r="AE378" i="13"/>
  <c r="AD378" i="13"/>
  <c r="AC378" i="13"/>
  <c r="AB378" i="13"/>
  <c r="AF377" i="13"/>
  <c r="AE377" i="13"/>
  <c r="AD377" i="13"/>
  <c r="AC377" i="13"/>
  <c r="AB377" i="13"/>
  <c r="AF376" i="13"/>
  <c r="AE376" i="13"/>
  <c r="AD376" i="13"/>
  <c r="AC376" i="13"/>
  <c r="AB376" i="13"/>
  <c r="AF375" i="13"/>
  <c r="AE375" i="13"/>
  <c r="AD375" i="13"/>
  <c r="AC375" i="13"/>
  <c r="AB375" i="13"/>
  <c r="AF374" i="13"/>
  <c r="AE374" i="13"/>
  <c r="AD374" i="13"/>
  <c r="AC374" i="13"/>
  <c r="AB374" i="13"/>
  <c r="AF373" i="13"/>
  <c r="AE373" i="13"/>
  <c r="AD373" i="13"/>
  <c r="AC373" i="13"/>
  <c r="AB373" i="13"/>
  <c r="AF372" i="13"/>
  <c r="AE372" i="13"/>
  <c r="AD372" i="13"/>
  <c r="AC372" i="13"/>
  <c r="AB372" i="13"/>
  <c r="AF371" i="13"/>
  <c r="AE371" i="13"/>
  <c r="AD371" i="13"/>
  <c r="AC371" i="13"/>
  <c r="AB371" i="13"/>
  <c r="AF370" i="13"/>
  <c r="AE370" i="13"/>
  <c r="AD370" i="13"/>
  <c r="AC370" i="13"/>
  <c r="AB370" i="13"/>
  <c r="AF369" i="13"/>
  <c r="AE369" i="13"/>
  <c r="AD369" i="13"/>
  <c r="AC369" i="13"/>
  <c r="AB369" i="13"/>
  <c r="AF368" i="13"/>
  <c r="AE368" i="13"/>
  <c r="AD368" i="13"/>
  <c r="AC368" i="13"/>
  <c r="AB368" i="13"/>
  <c r="AF367" i="13"/>
  <c r="AE367" i="13"/>
  <c r="AD367" i="13"/>
  <c r="AC367" i="13"/>
  <c r="AB367" i="13"/>
  <c r="AF366" i="13"/>
  <c r="AE366" i="13"/>
  <c r="AD366" i="13"/>
  <c r="AC366" i="13"/>
  <c r="AB366" i="13"/>
  <c r="AF365" i="13"/>
  <c r="AE365" i="13"/>
  <c r="AD365" i="13"/>
  <c r="AC365" i="13"/>
  <c r="AB365" i="13"/>
  <c r="AF364" i="13"/>
  <c r="AE364" i="13"/>
  <c r="AD364" i="13"/>
  <c r="AC364" i="13"/>
  <c r="AB364" i="13"/>
  <c r="AF363" i="13"/>
  <c r="AE363" i="13"/>
  <c r="AD363" i="13"/>
  <c r="AC363" i="13"/>
  <c r="AB363" i="13"/>
  <c r="AF362" i="13"/>
  <c r="AE362" i="13"/>
  <c r="AD362" i="13"/>
  <c r="AC362" i="13"/>
  <c r="AB362" i="13"/>
  <c r="AF361" i="13"/>
  <c r="AE361" i="13"/>
  <c r="AD361" i="13"/>
  <c r="AC361" i="13"/>
  <c r="AB361" i="13"/>
  <c r="AF360" i="13"/>
  <c r="AE360" i="13"/>
  <c r="AD360" i="13"/>
  <c r="AC360" i="13"/>
  <c r="AB360" i="13"/>
  <c r="AF354" i="13"/>
  <c r="AE354" i="13"/>
  <c r="AD354" i="13"/>
  <c r="AC354" i="13"/>
  <c r="AB354" i="13"/>
  <c r="AF353" i="13"/>
  <c r="AE353" i="13"/>
  <c r="AD353" i="13"/>
  <c r="AC353" i="13"/>
  <c r="AB353" i="13"/>
  <c r="AF352" i="13"/>
  <c r="AE352" i="13"/>
  <c r="AD352" i="13"/>
  <c r="AC352" i="13"/>
  <c r="AB352" i="13"/>
  <c r="AF351" i="13"/>
  <c r="AE351" i="13"/>
  <c r="AD351" i="13"/>
  <c r="AC351" i="13"/>
  <c r="AB351" i="13"/>
  <c r="AF350" i="13"/>
  <c r="AE350" i="13"/>
  <c r="AD350" i="13"/>
  <c r="AC350" i="13"/>
  <c r="AB350" i="13"/>
  <c r="AF349" i="13"/>
  <c r="AE349" i="13"/>
  <c r="AD349" i="13"/>
  <c r="AC349" i="13"/>
  <c r="AB349" i="13"/>
  <c r="AF348" i="13"/>
  <c r="AE348" i="13"/>
  <c r="AD348" i="13"/>
  <c r="AC348" i="13"/>
  <c r="AB348" i="13"/>
  <c r="AF347" i="13"/>
  <c r="AE347" i="13"/>
  <c r="AD347" i="13"/>
  <c r="AC347" i="13"/>
  <c r="AB347" i="13"/>
  <c r="AF346" i="13"/>
  <c r="AE346" i="13"/>
  <c r="AD346" i="13"/>
  <c r="AC346" i="13"/>
  <c r="AB346" i="13"/>
  <c r="AF345" i="13"/>
  <c r="AE345" i="13"/>
  <c r="AD345" i="13"/>
  <c r="AC345" i="13"/>
  <c r="AB345" i="13"/>
  <c r="AF344" i="13"/>
  <c r="AE344" i="13"/>
  <c r="AD344" i="13"/>
  <c r="AC344" i="13"/>
  <c r="AB344" i="13"/>
  <c r="AF343" i="13"/>
  <c r="AE343" i="13"/>
  <c r="AD343" i="13"/>
  <c r="AC343" i="13"/>
  <c r="AB343" i="13"/>
  <c r="AF342" i="13"/>
  <c r="AE342" i="13"/>
  <c r="AD342" i="13"/>
  <c r="AC342" i="13"/>
  <c r="AB342" i="13"/>
  <c r="AF341" i="13"/>
  <c r="AE341" i="13"/>
  <c r="AD341" i="13"/>
  <c r="AC341" i="13"/>
  <c r="AB341" i="13"/>
  <c r="AF340" i="13"/>
  <c r="AE340" i="13"/>
  <c r="AD340" i="13"/>
  <c r="AC340" i="13"/>
  <c r="AB340" i="13"/>
  <c r="AF339" i="13"/>
  <c r="AE339" i="13"/>
  <c r="AD339" i="13"/>
  <c r="AC339" i="13"/>
  <c r="AB339" i="13"/>
  <c r="AF338" i="13"/>
  <c r="AE338" i="13"/>
  <c r="AD338" i="13"/>
  <c r="AC338" i="13"/>
  <c r="AB338" i="13"/>
  <c r="AF337" i="13"/>
  <c r="AE337" i="13"/>
  <c r="AD337" i="13"/>
  <c r="AC337" i="13"/>
  <c r="AB337" i="13"/>
  <c r="AF336" i="13"/>
  <c r="AE336" i="13"/>
  <c r="AD336" i="13"/>
  <c r="AC336" i="13"/>
  <c r="AB336" i="13"/>
  <c r="AF335" i="13"/>
  <c r="AE335" i="13"/>
  <c r="AD335" i="13"/>
  <c r="AC335" i="13"/>
  <c r="AB335" i="13"/>
  <c r="AF334" i="13"/>
  <c r="AE334" i="13"/>
  <c r="AD334" i="13"/>
  <c r="AC334" i="13"/>
  <c r="AB334" i="13"/>
  <c r="AF333" i="13"/>
  <c r="AE333" i="13"/>
  <c r="AD333" i="13"/>
  <c r="AC333" i="13"/>
  <c r="AB333" i="13"/>
  <c r="AF332" i="13"/>
  <c r="AE332" i="13"/>
  <c r="AD332" i="13"/>
  <c r="AC332" i="13"/>
  <c r="AB332" i="13"/>
  <c r="AF331" i="13"/>
  <c r="AE331" i="13"/>
  <c r="AD331" i="13"/>
  <c r="AC331" i="13"/>
  <c r="AB331" i="13"/>
  <c r="AF330" i="13"/>
  <c r="AE330" i="13"/>
  <c r="AD330" i="13"/>
  <c r="AC330" i="13"/>
  <c r="AB330" i="13"/>
  <c r="AF329" i="13"/>
  <c r="AE329" i="13"/>
  <c r="AD329" i="13"/>
  <c r="AC329" i="13"/>
  <c r="AB329" i="13"/>
  <c r="AF323" i="13"/>
  <c r="AE323" i="13"/>
  <c r="AD323" i="13"/>
  <c r="AC323" i="13"/>
  <c r="AB323" i="13"/>
  <c r="AF322" i="13"/>
  <c r="AE322" i="13"/>
  <c r="AD322" i="13"/>
  <c r="AC322" i="13"/>
  <c r="AB322" i="13"/>
  <c r="AF321" i="13"/>
  <c r="AE321" i="13"/>
  <c r="AD321" i="13"/>
  <c r="AC321" i="13"/>
  <c r="AB321" i="13"/>
  <c r="AF320" i="13"/>
  <c r="AE320" i="13"/>
  <c r="AD320" i="13"/>
  <c r="AC320" i="13"/>
  <c r="AB320" i="13"/>
  <c r="AF319" i="13"/>
  <c r="AE319" i="13"/>
  <c r="AD319" i="13"/>
  <c r="AC319" i="13"/>
  <c r="AB319" i="13"/>
  <c r="AF318" i="13"/>
  <c r="AE318" i="13"/>
  <c r="AD318" i="13"/>
  <c r="AC318" i="13"/>
  <c r="AB318" i="13"/>
  <c r="AF317" i="13"/>
  <c r="AE317" i="13"/>
  <c r="AD317" i="13"/>
  <c r="AC317" i="13"/>
  <c r="AB317" i="13"/>
  <c r="AF316" i="13"/>
  <c r="AE316" i="13"/>
  <c r="AD316" i="13"/>
  <c r="AC316" i="13"/>
  <c r="AB316" i="13"/>
  <c r="AF315" i="13"/>
  <c r="AE315" i="13"/>
  <c r="AD315" i="13"/>
  <c r="AC315" i="13"/>
  <c r="AB315" i="13"/>
  <c r="AF314" i="13"/>
  <c r="AE314" i="13"/>
  <c r="AD314" i="13"/>
  <c r="AC314" i="13"/>
  <c r="AB314" i="13"/>
  <c r="AF313" i="13"/>
  <c r="AE313" i="13"/>
  <c r="AD313" i="13"/>
  <c r="AC313" i="13"/>
  <c r="AB313" i="13"/>
  <c r="AF312" i="13"/>
  <c r="AE312" i="13"/>
  <c r="AD312" i="13"/>
  <c r="AC312" i="13"/>
  <c r="AB312" i="13"/>
  <c r="AF311" i="13"/>
  <c r="AE311" i="13"/>
  <c r="AD311" i="13"/>
  <c r="AC311" i="13"/>
  <c r="AB311" i="13"/>
  <c r="AF310" i="13"/>
  <c r="AE310" i="13"/>
  <c r="AD310" i="13"/>
  <c r="AC310" i="13"/>
  <c r="AB310" i="13"/>
  <c r="AF309" i="13"/>
  <c r="AE309" i="13"/>
  <c r="AD309" i="13"/>
  <c r="AC309" i="13"/>
  <c r="AB309" i="13"/>
  <c r="AF308" i="13"/>
  <c r="AE308" i="13"/>
  <c r="AD308" i="13"/>
  <c r="AC308" i="13"/>
  <c r="AB308" i="13"/>
  <c r="AF307" i="13"/>
  <c r="AE307" i="13"/>
  <c r="AD307" i="13"/>
  <c r="AC307" i="13"/>
  <c r="AB307" i="13"/>
  <c r="AF306" i="13"/>
  <c r="AE306" i="13"/>
  <c r="AD306" i="13"/>
  <c r="AC306" i="13"/>
  <c r="AB306" i="13"/>
  <c r="AF305" i="13"/>
  <c r="AE305" i="13"/>
  <c r="AD305" i="13"/>
  <c r="AC305" i="13"/>
  <c r="AB305" i="13"/>
  <c r="AF304" i="13"/>
  <c r="AE304" i="13"/>
  <c r="AD304" i="13"/>
  <c r="AC304" i="13"/>
  <c r="AB304" i="13"/>
  <c r="AF303" i="13"/>
  <c r="AE303" i="13"/>
  <c r="AD303" i="13"/>
  <c r="AC303" i="13"/>
  <c r="AB303" i="13"/>
  <c r="AF302" i="13"/>
  <c r="AE302" i="13"/>
  <c r="AD302" i="13"/>
  <c r="AC302" i="13"/>
  <c r="AB302" i="13"/>
  <c r="AF301" i="13"/>
  <c r="AE301" i="13"/>
  <c r="AD301" i="13"/>
  <c r="AC301" i="13"/>
  <c r="AB301" i="13"/>
  <c r="AF300" i="13"/>
  <c r="AE300" i="13"/>
  <c r="AD300" i="13"/>
  <c r="AC300" i="13"/>
  <c r="AB300" i="13"/>
  <c r="AF299" i="13"/>
  <c r="AE299" i="13"/>
  <c r="AD299" i="13"/>
  <c r="AC299" i="13"/>
  <c r="AB299" i="13"/>
  <c r="AF298" i="13"/>
  <c r="AE298" i="13"/>
  <c r="AD298" i="13"/>
  <c r="AC298" i="13"/>
  <c r="AB298" i="13"/>
  <c r="AF292" i="13"/>
  <c r="AE292" i="13"/>
  <c r="AD292" i="13"/>
  <c r="AC292" i="13"/>
  <c r="AB292" i="13"/>
  <c r="AF291" i="13"/>
  <c r="AE291" i="13"/>
  <c r="AD291" i="13"/>
  <c r="AC291" i="13"/>
  <c r="AB291" i="13"/>
  <c r="AF290" i="13"/>
  <c r="AE290" i="13"/>
  <c r="AD290" i="13"/>
  <c r="AC290" i="13"/>
  <c r="AB290" i="13"/>
  <c r="AF289" i="13"/>
  <c r="AE289" i="13"/>
  <c r="AD289" i="13"/>
  <c r="AC289" i="13"/>
  <c r="AB289" i="13"/>
  <c r="AF288" i="13"/>
  <c r="AE288" i="13"/>
  <c r="AD288" i="13"/>
  <c r="AC288" i="13"/>
  <c r="AB288" i="13"/>
  <c r="AF287" i="13"/>
  <c r="AE287" i="13"/>
  <c r="AD287" i="13"/>
  <c r="AC287" i="13"/>
  <c r="AB287" i="13"/>
  <c r="AF286" i="13"/>
  <c r="AE286" i="13"/>
  <c r="AD286" i="13"/>
  <c r="AC286" i="13"/>
  <c r="AB286" i="13"/>
  <c r="AF285" i="13"/>
  <c r="AE285" i="13"/>
  <c r="AD285" i="13"/>
  <c r="AC285" i="13"/>
  <c r="AB285" i="13"/>
  <c r="AF284" i="13"/>
  <c r="AE284" i="13"/>
  <c r="AD284" i="13"/>
  <c r="AC284" i="13"/>
  <c r="AB284" i="13"/>
  <c r="AF283" i="13"/>
  <c r="AE283" i="13"/>
  <c r="AD283" i="13"/>
  <c r="AC283" i="13"/>
  <c r="AB283" i="13"/>
  <c r="AF282" i="13"/>
  <c r="AE282" i="13"/>
  <c r="AD282" i="13"/>
  <c r="AC282" i="13"/>
  <c r="AB282" i="13"/>
  <c r="AF281" i="13"/>
  <c r="AE281" i="13"/>
  <c r="AD281" i="13"/>
  <c r="AC281" i="13"/>
  <c r="AB281" i="13"/>
  <c r="AF280" i="13"/>
  <c r="AE280" i="13"/>
  <c r="AD280" i="13"/>
  <c r="AC280" i="13"/>
  <c r="AB280" i="13"/>
  <c r="AF279" i="13"/>
  <c r="AE279" i="13"/>
  <c r="AD279" i="13"/>
  <c r="AC279" i="13"/>
  <c r="AB279" i="13"/>
  <c r="AF278" i="13"/>
  <c r="AE278" i="13"/>
  <c r="AD278" i="13"/>
  <c r="AC278" i="13"/>
  <c r="AB278" i="13"/>
  <c r="AF277" i="13"/>
  <c r="AE277" i="13"/>
  <c r="AD277" i="13"/>
  <c r="AC277" i="13"/>
  <c r="AB277" i="13"/>
  <c r="AF276" i="13"/>
  <c r="AE276" i="13"/>
  <c r="AD276" i="13"/>
  <c r="AC276" i="13"/>
  <c r="AB276" i="13"/>
  <c r="AF275" i="13"/>
  <c r="AE275" i="13"/>
  <c r="AD275" i="13"/>
  <c r="AC275" i="13"/>
  <c r="AB275" i="13"/>
  <c r="AF274" i="13"/>
  <c r="AE274" i="13"/>
  <c r="AD274" i="13"/>
  <c r="AC274" i="13"/>
  <c r="AB274" i="13"/>
  <c r="AF273" i="13"/>
  <c r="AE273" i="13"/>
  <c r="AD273" i="13"/>
  <c r="AC273" i="13"/>
  <c r="AB273" i="13"/>
  <c r="AF272" i="13"/>
  <c r="AE272" i="13"/>
  <c r="AD272" i="13"/>
  <c r="AC272" i="13"/>
  <c r="AB272" i="13"/>
  <c r="AF271" i="13"/>
  <c r="AE271" i="13"/>
  <c r="AD271" i="13"/>
  <c r="AC271" i="13"/>
  <c r="AB271" i="13"/>
  <c r="AF270" i="13"/>
  <c r="AE270" i="13"/>
  <c r="AD270" i="13"/>
  <c r="AC270" i="13"/>
  <c r="AB270" i="13"/>
  <c r="AF269" i="13"/>
  <c r="AE269" i="13"/>
  <c r="AD269" i="13"/>
  <c r="AC269" i="13"/>
  <c r="AB269" i="13"/>
  <c r="AF268" i="13"/>
  <c r="AE268" i="13"/>
  <c r="AD268" i="13"/>
  <c r="AC268" i="13"/>
  <c r="AB268" i="13"/>
  <c r="AF267" i="13"/>
  <c r="AE267" i="13"/>
  <c r="AD267" i="13"/>
  <c r="AC267" i="13"/>
  <c r="AB267" i="13"/>
  <c r="AF261" i="13"/>
  <c r="AE261" i="13"/>
  <c r="AD261" i="13"/>
  <c r="AC261" i="13"/>
  <c r="AB261" i="13"/>
  <c r="AF260" i="13"/>
  <c r="AE260" i="13"/>
  <c r="AD260" i="13"/>
  <c r="AC260" i="13"/>
  <c r="AB260" i="13"/>
  <c r="AF259" i="13"/>
  <c r="AE259" i="13"/>
  <c r="AD259" i="13"/>
  <c r="AC259" i="13"/>
  <c r="AB259" i="13"/>
  <c r="AF258" i="13"/>
  <c r="AE258" i="13"/>
  <c r="AD258" i="13"/>
  <c r="AC258" i="13"/>
  <c r="AB258" i="13"/>
  <c r="AF257" i="13"/>
  <c r="AE257" i="13"/>
  <c r="AD257" i="13"/>
  <c r="AC257" i="13"/>
  <c r="AB257" i="13"/>
  <c r="AF256" i="13"/>
  <c r="AE256" i="13"/>
  <c r="AD256" i="13"/>
  <c r="AC256" i="13"/>
  <c r="AB256" i="13"/>
  <c r="AF255" i="13"/>
  <c r="AE255" i="13"/>
  <c r="AD255" i="13"/>
  <c r="AC255" i="13"/>
  <c r="AB255" i="13"/>
  <c r="AF254" i="13"/>
  <c r="AE254" i="13"/>
  <c r="AD254" i="13"/>
  <c r="AC254" i="13"/>
  <c r="AB254" i="13"/>
  <c r="AF253" i="13"/>
  <c r="AE253" i="13"/>
  <c r="AD253" i="13"/>
  <c r="AC253" i="13"/>
  <c r="AB253" i="13"/>
  <c r="AF252" i="13"/>
  <c r="AE252" i="13"/>
  <c r="AD252" i="13"/>
  <c r="AC252" i="13"/>
  <c r="AB252" i="13"/>
  <c r="AF251" i="13"/>
  <c r="AE251" i="13"/>
  <c r="AD251" i="13"/>
  <c r="AC251" i="13"/>
  <c r="AB251" i="13"/>
  <c r="AF250" i="13"/>
  <c r="AE250" i="13"/>
  <c r="AD250" i="13"/>
  <c r="AC250" i="13"/>
  <c r="AB250" i="13"/>
  <c r="AF249" i="13"/>
  <c r="AE249" i="13"/>
  <c r="AD249" i="13"/>
  <c r="AC249" i="13"/>
  <c r="AB249" i="13"/>
  <c r="AF248" i="13"/>
  <c r="AE248" i="13"/>
  <c r="AD248" i="13"/>
  <c r="AC248" i="13"/>
  <c r="AB248" i="13"/>
  <c r="AF247" i="13"/>
  <c r="AE247" i="13"/>
  <c r="AD247" i="13"/>
  <c r="AC247" i="13"/>
  <c r="AB247" i="13"/>
  <c r="AF246" i="13"/>
  <c r="AE246" i="13"/>
  <c r="AD246" i="13"/>
  <c r="AC246" i="13"/>
  <c r="AB246" i="13"/>
  <c r="AF245" i="13"/>
  <c r="AE245" i="13"/>
  <c r="AD245" i="13"/>
  <c r="AC245" i="13"/>
  <c r="AB245" i="13"/>
  <c r="AF244" i="13"/>
  <c r="AE244" i="13"/>
  <c r="AD244" i="13"/>
  <c r="AC244" i="13"/>
  <c r="AB244" i="13"/>
  <c r="AF243" i="13"/>
  <c r="AE243" i="13"/>
  <c r="AD243" i="13"/>
  <c r="AC243" i="13"/>
  <c r="AB243" i="13"/>
  <c r="AF242" i="13"/>
  <c r="AE242" i="13"/>
  <c r="AD242" i="13"/>
  <c r="AC242" i="13"/>
  <c r="AB242" i="13"/>
  <c r="AF241" i="13"/>
  <c r="AE241" i="13"/>
  <c r="AD241" i="13"/>
  <c r="AC241" i="13"/>
  <c r="AB241" i="13"/>
  <c r="AF240" i="13"/>
  <c r="AE240" i="13"/>
  <c r="AD240" i="13"/>
  <c r="AC240" i="13"/>
  <c r="AB240" i="13"/>
  <c r="AF239" i="13"/>
  <c r="AE239" i="13"/>
  <c r="AD239" i="13"/>
  <c r="AC239" i="13"/>
  <c r="AB239" i="13"/>
  <c r="AF238" i="13"/>
  <c r="AE238" i="13"/>
  <c r="AD238" i="13"/>
  <c r="AC238" i="13"/>
  <c r="AB238" i="13"/>
  <c r="AF237" i="13"/>
  <c r="AE237" i="13"/>
  <c r="AD237" i="13"/>
  <c r="AC237" i="13"/>
  <c r="AB237" i="13"/>
  <c r="AF236" i="13"/>
  <c r="AE236" i="13"/>
  <c r="AD236" i="13"/>
  <c r="AC236" i="13"/>
  <c r="AB236" i="13"/>
  <c r="AF230" i="13"/>
  <c r="AE230" i="13"/>
  <c r="AD230" i="13"/>
  <c r="AC230" i="13"/>
  <c r="AB230" i="13"/>
  <c r="AF229" i="13"/>
  <c r="AE229" i="13"/>
  <c r="AD229" i="13"/>
  <c r="AC229" i="13"/>
  <c r="AB229" i="13"/>
  <c r="AF228" i="13"/>
  <c r="AE228" i="13"/>
  <c r="AD228" i="13"/>
  <c r="AC228" i="13"/>
  <c r="AB228" i="13"/>
  <c r="AF227" i="13"/>
  <c r="AE227" i="13"/>
  <c r="AD227" i="13"/>
  <c r="AC227" i="13"/>
  <c r="AB227" i="13"/>
  <c r="AF226" i="13"/>
  <c r="AE226" i="13"/>
  <c r="AD226" i="13"/>
  <c r="AC226" i="13"/>
  <c r="AB226" i="13"/>
  <c r="AF225" i="13"/>
  <c r="AE225" i="13"/>
  <c r="AD225" i="13"/>
  <c r="AC225" i="13"/>
  <c r="AB225" i="13"/>
  <c r="AF224" i="13"/>
  <c r="AE224" i="13"/>
  <c r="AD224" i="13"/>
  <c r="AC224" i="13"/>
  <c r="AB224" i="13"/>
  <c r="AF223" i="13"/>
  <c r="AE223" i="13"/>
  <c r="AD223" i="13"/>
  <c r="AC223" i="13"/>
  <c r="AB223" i="13"/>
  <c r="AF222" i="13"/>
  <c r="AE222" i="13"/>
  <c r="AD222" i="13"/>
  <c r="AC222" i="13"/>
  <c r="AB222" i="13"/>
  <c r="AF221" i="13"/>
  <c r="AE221" i="13"/>
  <c r="AD221" i="13"/>
  <c r="AC221" i="13"/>
  <c r="AB221" i="13"/>
  <c r="AF220" i="13"/>
  <c r="AE220" i="13"/>
  <c r="AD220" i="13"/>
  <c r="AC220" i="13"/>
  <c r="AB220" i="13"/>
  <c r="AF219" i="13"/>
  <c r="AE219" i="13"/>
  <c r="AD219" i="13"/>
  <c r="AC219" i="13"/>
  <c r="AB219" i="13"/>
  <c r="AF218" i="13"/>
  <c r="AE218" i="13"/>
  <c r="AD218" i="13"/>
  <c r="AC218" i="13"/>
  <c r="AB218" i="13"/>
  <c r="AF217" i="13"/>
  <c r="AE217" i="13"/>
  <c r="AD217" i="13"/>
  <c r="AC217" i="13"/>
  <c r="AB217" i="13"/>
  <c r="AF216" i="13"/>
  <c r="AE216" i="13"/>
  <c r="AD216" i="13"/>
  <c r="AC216" i="13"/>
  <c r="AB216" i="13"/>
  <c r="AF215" i="13"/>
  <c r="AE215" i="13"/>
  <c r="AD215" i="13"/>
  <c r="AC215" i="13"/>
  <c r="AB215" i="13"/>
  <c r="AF214" i="13"/>
  <c r="AE214" i="13"/>
  <c r="AD214" i="13"/>
  <c r="AC214" i="13"/>
  <c r="AB214" i="13"/>
  <c r="AF213" i="13"/>
  <c r="AE213" i="13"/>
  <c r="AD213" i="13"/>
  <c r="AC213" i="13"/>
  <c r="AB213" i="13"/>
  <c r="AF212" i="13"/>
  <c r="AE212" i="13"/>
  <c r="AD212" i="13"/>
  <c r="AC212" i="13"/>
  <c r="AB212" i="13"/>
  <c r="AF211" i="13"/>
  <c r="AE211" i="13"/>
  <c r="AD211" i="13"/>
  <c r="AC211" i="13"/>
  <c r="AB211" i="13"/>
  <c r="AF210" i="13"/>
  <c r="AE210" i="13"/>
  <c r="AD210" i="13"/>
  <c r="AC210" i="13"/>
  <c r="AB210" i="13"/>
  <c r="AF209" i="13"/>
  <c r="AE209" i="13"/>
  <c r="AD209" i="13"/>
  <c r="AC209" i="13"/>
  <c r="AB209" i="13"/>
  <c r="AF208" i="13"/>
  <c r="AE208" i="13"/>
  <c r="AD208" i="13"/>
  <c r="AC208" i="13"/>
  <c r="AB208" i="13"/>
  <c r="AF207" i="13"/>
  <c r="AE207" i="13"/>
  <c r="AD207" i="13"/>
  <c r="AC207" i="13"/>
  <c r="AB207" i="13"/>
  <c r="AF206" i="13"/>
  <c r="AE206" i="13"/>
  <c r="AD206" i="13"/>
  <c r="AC206" i="13"/>
  <c r="AB206" i="13"/>
  <c r="AF205" i="13"/>
  <c r="AE205" i="13"/>
  <c r="AD205" i="13"/>
  <c r="AC205" i="13"/>
  <c r="AB205" i="13"/>
  <c r="AF199" i="13"/>
  <c r="AE199" i="13"/>
  <c r="AD199" i="13"/>
  <c r="AC199" i="13"/>
  <c r="AB199" i="13"/>
  <c r="AF198" i="13"/>
  <c r="AE198" i="13"/>
  <c r="AD198" i="13"/>
  <c r="AC198" i="13"/>
  <c r="AB198" i="13"/>
  <c r="AF197" i="13"/>
  <c r="AE197" i="13"/>
  <c r="AD197" i="13"/>
  <c r="AC197" i="13"/>
  <c r="AB197" i="13"/>
  <c r="AF196" i="13"/>
  <c r="AE196" i="13"/>
  <c r="AD196" i="13"/>
  <c r="AC196" i="13"/>
  <c r="AB196" i="13"/>
  <c r="AF195" i="13"/>
  <c r="AE195" i="13"/>
  <c r="AD195" i="13"/>
  <c r="AC195" i="13"/>
  <c r="AB195" i="13"/>
  <c r="AF194" i="13"/>
  <c r="AE194" i="13"/>
  <c r="AD194" i="13"/>
  <c r="AC194" i="13"/>
  <c r="AB194" i="13"/>
  <c r="AF193" i="13"/>
  <c r="AE193" i="13"/>
  <c r="AD193" i="13"/>
  <c r="AC193" i="13"/>
  <c r="AB193" i="13"/>
  <c r="AF192" i="13"/>
  <c r="AE192" i="13"/>
  <c r="AD192" i="13"/>
  <c r="AC192" i="13"/>
  <c r="AB192" i="13"/>
  <c r="AF191" i="13"/>
  <c r="AE191" i="13"/>
  <c r="AD191" i="13"/>
  <c r="AC191" i="13"/>
  <c r="AB191" i="13"/>
  <c r="AF190" i="13"/>
  <c r="AE190" i="13"/>
  <c r="AD190" i="13"/>
  <c r="AC190" i="13"/>
  <c r="AB190" i="13"/>
  <c r="AF189" i="13"/>
  <c r="AE189" i="13"/>
  <c r="AD189" i="13"/>
  <c r="AC189" i="13"/>
  <c r="AB189" i="13"/>
  <c r="AF188" i="13"/>
  <c r="AE188" i="13"/>
  <c r="AD188" i="13"/>
  <c r="AC188" i="13"/>
  <c r="AB188" i="13"/>
  <c r="AF187" i="13"/>
  <c r="AE187" i="13"/>
  <c r="AD187" i="13"/>
  <c r="AC187" i="13"/>
  <c r="AB187" i="13"/>
  <c r="AF186" i="13"/>
  <c r="AE186" i="13"/>
  <c r="AD186" i="13"/>
  <c r="AC186" i="13"/>
  <c r="AB186" i="13"/>
  <c r="AF185" i="13"/>
  <c r="AE185" i="13"/>
  <c r="AD185" i="13"/>
  <c r="AC185" i="13"/>
  <c r="AB185" i="13"/>
  <c r="AF184" i="13"/>
  <c r="AE184" i="13"/>
  <c r="AD184" i="13"/>
  <c r="AC184" i="13"/>
  <c r="AB184" i="13"/>
  <c r="AF183" i="13"/>
  <c r="AE183" i="13"/>
  <c r="AD183" i="13"/>
  <c r="AC183" i="13"/>
  <c r="AB183" i="13"/>
  <c r="AF182" i="13"/>
  <c r="AE182" i="13"/>
  <c r="AD182" i="13"/>
  <c r="AC182" i="13"/>
  <c r="AB182" i="13"/>
  <c r="AF181" i="13"/>
  <c r="AE181" i="13"/>
  <c r="AD181" i="13"/>
  <c r="AC181" i="13"/>
  <c r="AB181" i="13"/>
  <c r="AF180" i="13"/>
  <c r="AE180" i="13"/>
  <c r="AD180" i="13"/>
  <c r="AC180" i="13"/>
  <c r="AB180" i="13"/>
  <c r="AF179" i="13"/>
  <c r="AE179" i="13"/>
  <c r="AD179" i="13"/>
  <c r="AC179" i="13"/>
  <c r="AB179" i="13"/>
  <c r="AF178" i="13"/>
  <c r="AE178" i="13"/>
  <c r="AD178" i="13"/>
  <c r="AC178" i="13"/>
  <c r="AB178" i="13"/>
  <c r="AF177" i="13"/>
  <c r="AE177" i="13"/>
  <c r="AD177" i="13"/>
  <c r="AC177" i="13"/>
  <c r="AB177" i="13"/>
  <c r="AF176" i="13"/>
  <c r="AE176" i="13"/>
  <c r="AD176" i="13"/>
  <c r="AC176" i="13"/>
  <c r="AB176" i="13"/>
  <c r="AF175" i="13"/>
  <c r="AE175" i="13"/>
  <c r="AD175" i="13"/>
  <c r="AC175" i="13"/>
  <c r="AB175" i="13"/>
  <c r="AF174" i="13"/>
  <c r="AE174" i="13"/>
  <c r="AD174" i="13"/>
  <c r="AC174" i="13"/>
  <c r="AB174" i="13"/>
  <c r="AF168" i="13"/>
  <c r="AE168" i="13"/>
  <c r="AD168" i="13"/>
  <c r="AC168" i="13"/>
  <c r="AB168" i="13"/>
  <c r="AF167" i="13"/>
  <c r="AE167" i="13"/>
  <c r="AD167" i="13"/>
  <c r="AC167" i="13"/>
  <c r="AB167" i="13"/>
  <c r="AF166" i="13"/>
  <c r="AE166" i="13"/>
  <c r="AD166" i="13"/>
  <c r="AC166" i="13"/>
  <c r="AB166" i="13"/>
  <c r="AF165" i="13"/>
  <c r="AE165" i="13"/>
  <c r="AD165" i="13"/>
  <c r="AC165" i="13"/>
  <c r="AB165" i="13"/>
  <c r="AF164" i="13"/>
  <c r="AE164" i="13"/>
  <c r="AD164" i="13"/>
  <c r="AC164" i="13"/>
  <c r="AB164" i="13"/>
  <c r="AF163" i="13"/>
  <c r="AE163" i="13"/>
  <c r="AD163" i="13"/>
  <c r="AC163" i="13"/>
  <c r="AB163" i="13"/>
  <c r="AF162" i="13"/>
  <c r="AE162" i="13"/>
  <c r="AD162" i="13"/>
  <c r="AC162" i="13"/>
  <c r="AB162" i="13"/>
  <c r="AF161" i="13"/>
  <c r="AE161" i="13"/>
  <c r="AD161" i="13"/>
  <c r="AC161" i="13"/>
  <c r="AB161" i="13"/>
  <c r="AF160" i="13"/>
  <c r="AE160" i="13"/>
  <c r="AD160" i="13"/>
  <c r="AC160" i="13"/>
  <c r="AB160" i="13"/>
  <c r="AF159" i="13"/>
  <c r="AE159" i="13"/>
  <c r="AD159" i="13"/>
  <c r="AC159" i="13"/>
  <c r="AB159" i="13"/>
  <c r="AF158" i="13"/>
  <c r="AE158" i="13"/>
  <c r="AD158" i="13"/>
  <c r="AC158" i="13"/>
  <c r="AB158" i="13"/>
  <c r="AF157" i="13"/>
  <c r="AE157" i="13"/>
  <c r="AD157" i="13"/>
  <c r="AC157" i="13"/>
  <c r="AB157" i="13"/>
  <c r="AF154" i="13"/>
  <c r="AE154" i="13"/>
  <c r="AD154" i="13"/>
  <c r="AC154" i="13"/>
  <c r="AB154" i="13"/>
  <c r="AF153" i="13"/>
  <c r="AE153" i="13"/>
  <c r="AD153" i="13"/>
  <c r="AC153" i="13"/>
  <c r="AB153" i="13"/>
  <c r="AF152" i="13"/>
  <c r="AE152" i="13"/>
  <c r="AD152" i="13"/>
  <c r="AC152" i="13"/>
  <c r="AB152" i="13"/>
  <c r="AF150" i="13"/>
  <c r="AE150" i="13"/>
  <c r="AD150" i="13"/>
  <c r="AC150" i="13"/>
  <c r="AB150" i="13"/>
  <c r="AF149" i="13"/>
  <c r="AE149" i="13"/>
  <c r="AD149" i="13"/>
  <c r="AC149" i="13"/>
  <c r="AB149" i="13"/>
  <c r="AF148" i="13"/>
  <c r="AE148" i="13"/>
  <c r="AD148" i="13"/>
  <c r="AC148" i="13"/>
  <c r="AB148" i="13"/>
  <c r="AF147" i="13"/>
  <c r="AE147" i="13"/>
  <c r="AD147" i="13"/>
  <c r="AC147" i="13"/>
  <c r="AB147" i="13"/>
  <c r="AF146" i="13"/>
  <c r="AE146" i="13"/>
  <c r="AD146" i="13"/>
  <c r="AC146" i="13"/>
  <c r="AB146" i="13"/>
  <c r="AF145" i="13"/>
  <c r="AE145" i="13"/>
  <c r="AD145" i="13"/>
  <c r="AC145" i="13"/>
  <c r="AB145" i="13"/>
  <c r="AF143" i="13"/>
  <c r="AE143" i="13"/>
  <c r="AD143" i="13"/>
  <c r="AC143" i="13"/>
  <c r="AB143" i="13"/>
  <c r="AF142" i="13"/>
  <c r="AE142" i="13"/>
  <c r="AD142" i="13"/>
  <c r="AC142" i="13"/>
  <c r="AB142" i="13"/>
  <c r="AF141" i="13"/>
  <c r="AE141" i="13"/>
  <c r="AD141" i="13"/>
  <c r="AC141" i="13"/>
  <c r="AB141" i="13"/>
  <c r="AF140" i="13"/>
  <c r="AE140" i="13"/>
  <c r="AD140" i="13"/>
  <c r="AC140" i="13"/>
  <c r="AB140" i="13"/>
  <c r="AF139" i="13"/>
  <c r="AE139" i="13"/>
  <c r="AD139" i="13"/>
  <c r="AC139" i="13"/>
  <c r="AB139" i="13"/>
  <c r="AF133" i="13"/>
  <c r="AE133" i="13"/>
  <c r="AD133" i="13"/>
  <c r="AC133" i="13"/>
  <c r="AB133" i="13"/>
  <c r="AF132" i="13"/>
  <c r="AE132" i="13"/>
  <c r="AD132" i="13"/>
  <c r="AC132" i="13"/>
  <c r="AB132" i="13"/>
  <c r="AF131" i="13"/>
  <c r="AE131" i="13"/>
  <c r="AD131" i="13"/>
  <c r="AC131" i="13"/>
  <c r="AB131" i="13"/>
  <c r="AF130" i="13"/>
  <c r="AE130" i="13"/>
  <c r="AD130" i="13"/>
  <c r="AC130" i="13"/>
  <c r="AB130" i="13"/>
  <c r="AF129" i="13"/>
  <c r="AE129" i="13"/>
  <c r="AD129" i="13"/>
  <c r="AC129" i="13"/>
  <c r="AB129" i="13"/>
  <c r="AF128" i="13"/>
  <c r="AE128" i="13"/>
  <c r="AD128" i="13"/>
  <c r="AC128" i="13"/>
  <c r="AB128" i="13"/>
  <c r="AF127" i="13"/>
  <c r="AE127" i="13"/>
  <c r="AD127" i="13"/>
  <c r="AC127" i="13"/>
  <c r="AB127" i="13"/>
  <c r="AF126" i="13"/>
  <c r="AE126" i="13"/>
  <c r="AD126" i="13"/>
  <c r="AC126" i="13"/>
  <c r="AB126" i="13"/>
  <c r="AF125" i="13"/>
  <c r="AE125" i="13"/>
  <c r="AD125" i="13"/>
  <c r="AC125" i="13"/>
  <c r="AB125" i="13"/>
  <c r="AF124" i="13"/>
  <c r="AE124" i="13"/>
  <c r="AD124" i="13"/>
  <c r="AC124" i="13"/>
  <c r="AB124" i="13"/>
  <c r="AF123" i="13"/>
  <c r="AE123" i="13"/>
  <c r="AD123" i="13"/>
  <c r="AC123" i="13"/>
  <c r="AB123" i="13"/>
  <c r="AF122" i="13"/>
  <c r="AE122" i="13"/>
  <c r="AD122" i="13"/>
  <c r="AC122" i="13"/>
  <c r="AB122" i="13"/>
  <c r="AF121" i="13"/>
  <c r="AE121" i="13"/>
  <c r="AD121" i="13"/>
  <c r="AC121" i="13"/>
  <c r="AB121" i="13"/>
  <c r="AF120" i="13"/>
  <c r="AE120" i="13"/>
  <c r="AD120" i="13"/>
  <c r="AC120" i="13"/>
  <c r="AB120" i="13"/>
  <c r="AF119" i="13"/>
  <c r="AE119" i="13"/>
  <c r="AD119" i="13"/>
  <c r="AC119" i="13"/>
  <c r="AB119" i="13"/>
  <c r="AF118" i="13"/>
  <c r="AE118" i="13"/>
  <c r="AD118" i="13"/>
  <c r="AC118" i="13"/>
  <c r="AB118" i="13"/>
  <c r="AF115" i="13"/>
  <c r="AE115" i="13"/>
  <c r="AD115" i="13"/>
  <c r="AC115" i="13"/>
  <c r="AB115" i="13"/>
  <c r="AF114" i="13"/>
  <c r="AE114" i="13"/>
  <c r="AD114" i="13"/>
  <c r="AC114" i="13"/>
  <c r="AB114" i="13"/>
  <c r="AF113" i="13"/>
  <c r="AE113" i="13"/>
  <c r="AD113" i="13"/>
  <c r="AC113" i="13"/>
  <c r="AB113" i="13"/>
  <c r="AF112" i="13"/>
  <c r="AE112" i="13"/>
  <c r="AD112" i="13"/>
  <c r="AC112" i="13"/>
  <c r="AB112" i="13"/>
  <c r="AF111" i="13"/>
  <c r="AE111" i="13"/>
  <c r="AD111" i="13"/>
  <c r="AC111" i="13"/>
  <c r="AB111" i="13"/>
  <c r="AF110" i="13"/>
  <c r="AE110" i="13"/>
  <c r="AD110" i="13"/>
  <c r="AC110" i="13"/>
  <c r="AB110" i="13"/>
  <c r="AF109" i="13"/>
  <c r="AE109" i="13"/>
  <c r="AD109" i="13"/>
  <c r="AC109" i="13"/>
  <c r="AB109" i="13"/>
  <c r="AF108" i="13"/>
  <c r="AE108" i="13"/>
  <c r="AD108" i="13"/>
  <c r="AC108" i="13"/>
  <c r="AB108" i="13"/>
  <c r="AF107" i="13"/>
  <c r="AE107" i="13"/>
  <c r="AD107" i="13"/>
  <c r="AC107" i="13"/>
  <c r="AB107" i="13"/>
  <c r="AF106" i="13"/>
  <c r="AE106" i="13"/>
  <c r="AD106" i="13"/>
  <c r="AC106" i="13"/>
  <c r="AB106" i="13"/>
  <c r="AF100" i="13"/>
  <c r="AE100" i="13"/>
  <c r="AD100" i="13"/>
  <c r="AC100" i="13"/>
  <c r="AB100" i="13"/>
  <c r="AF99" i="13"/>
  <c r="AE99" i="13"/>
  <c r="AD99" i="13"/>
  <c r="AC99" i="13"/>
  <c r="AB99" i="13"/>
  <c r="AF98" i="13"/>
  <c r="AE98" i="13"/>
  <c r="AD98" i="13"/>
  <c r="AC98" i="13"/>
  <c r="AB98" i="13"/>
  <c r="AF97" i="13"/>
  <c r="AE97" i="13"/>
  <c r="AD97" i="13"/>
  <c r="AC97" i="13"/>
  <c r="AB97" i="13"/>
  <c r="AF96" i="13"/>
  <c r="AE96" i="13"/>
  <c r="AD96" i="13"/>
  <c r="AC96" i="13"/>
  <c r="AB96" i="13"/>
  <c r="AF95" i="13"/>
  <c r="AE95" i="13"/>
  <c r="AD95" i="13"/>
  <c r="AC95" i="13"/>
  <c r="AB95" i="13"/>
  <c r="AF94" i="13"/>
  <c r="AE94" i="13"/>
  <c r="AD94" i="13"/>
  <c r="AC94" i="13"/>
  <c r="AB94" i="13"/>
  <c r="AF93" i="13"/>
  <c r="AE93" i="13"/>
  <c r="AD93" i="13"/>
  <c r="AC93" i="13"/>
  <c r="AB93" i="13"/>
  <c r="AF92" i="13"/>
  <c r="AE92" i="13"/>
  <c r="AD92" i="13"/>
  <c r="AC92" i="13"/>
  <c r="AB92" i="13"/>
  <c r="AF91" i="13"/>
  <c r="AE91" i="13"/>
  <c r="AD91" i="13"/>
  <c r="AC91" i="13"/>
  <c r="AB91" i="13"/>
  <c r="AF90" i="13"/>
  <c r="AE90" i="13"/>
  <c r="AD90" i="13"/>
  <c r="AC90" i="13"/>
  <c r="AB90" i="13"/>
  <c r="AF89" i="13"/>
  <c r="AE89" i="13"/>
  <c r="AD89" i="13"/>
  <c r="AC89" i="13"/>
  <c r="AB89" i="13"/>
  <c r="AF88" i="13"/>
  <c r="AE88" i="13"/>
  <c r="AD88" i="13"/>
  <c r="AC88" i="13"/>
  <c r="AB88" i="13"/>
  <c r="AF87" i="13"/>
  <c r="AE87" i="13"/>
  <c r="AD87" i="13"/>
  <c r="AC87" i="13"/>
  <c r="AB87" i="13"/>
  <c r="AF86" i="13"/>
  <c r="AE86" i="13"/>
  <c r="AD86" i="13"/>
  <c r="AC86" i="13"/>
  <c r="AB86" i="13"/>
  <c r="AF85" i="13"/>
  <c r="AE85" i="13"/>
  <c r="AD85" i="13"/>
  <c r="AC85" i="13"/>
  <c r="AB85" i="13"/>
  <c r="AF84" i="13"/>
  <c r="AE84" i="13"/>
  <c r="AD84" i="13"/>
  <c r="AC84" i="13"/>
  <c r="AB84" i="13"/>
  <c r="AF83" i="13"/>
  <c r="AE83" i="13"/>
  <c r="AD83" i="13"/>
  <c r="AC83" i="13"/>
  <c r="AB83" i="13"/>
  <c r="AF82" i="13"/>
  <c r="AE82" i="13"/>
  <c r="AD82" i="13"/>
  <c r="AC82" i="13"/>
  <c r="AB82" i="13"/>
  <c r="AF81" i="13"/>
  <c r="AE81" i="13"/>
  <c r="AD81" i="13"/>
  <c r="AC81" i="13"/>
  <c r="AB81" i="13"/>
  <c r="AF80" i="13"/>
  <c r="AE80" i="13"/>
  <c r="AD80" i="13"/>
  <c r="AC80" i="13"/>
  <c r="AB80" i="13"/>
  <c r="AF79" i="13"/>
  <c r="AE79" i="13"/>
  <c r="AD79" i="13"/>
  <c r="AC79" i="13"/>
  <c r="AB79" i="13"/>
  <c r="AF78" i="13"/>
  <c r="AE78" i="13"/>
  <c r="AD78" i="13"/>
  <c r="AC78" i="13"/>
  <c r="AB78" i="13"/>
  <c r="AF77" i="13"/>
  <c r="AE77" i="13"/>
  <c r="AD77" i="13"/>
  <c r="AC77" i="13"/>
  <c r="AB77" i="13"/>
  <c r="AF76" i="13"/>
  <c r="AD76" i="13"/>
  <c r="AC76" i="13"/>
  <c r="AB76" i="13"/>
  <c r="AF75" i="13"/>
  <c r="AE75" i="13"/>
  <c r="AD75" i="13"/>
  <c r="AC75" i="13"/>
  <c r="AB75" i="13"/>
  <c r="AF69" i="13"/>
  <c r="AE69" i="13"/>
  <c r="AD69" i="13"/>
  <c r="AC69" i="13"/>
  <c r="AB69" i="13"/>
  <c r="AF68" i="13"/>
  <c r="AE68" i="13"/>
  <c r="AD68" i="13"/>
  <c r="AC68" i="13"/>
  <c r="AB68" i="13"/>
  <c r="AF67" i="13"/>
  <c r="AE67" i="13"/>
  <c r="AD67" i="13"/>
  <c r="AC67" i="13"/>
  <c r="AB67" i="13"/>
  <c r="AF64" i="13"/>
  <c r="AE64" i="13"/>
  <c r="AD64" i="13"/>
  <c r="AC64" i="13"/>
  <c r="AB64" i="13"/>
  <c r="AF63" i="13"/>
  <c r="AE63" i="13"/>
  <c r="AD63" i="13"/>
  <c r="AC63" i="13"/>
  <c r="AB63" i="13"/>
  <c r="AF62" i="13"/>
  <c r="AE62" i="13"/>
  <c r="AD62" i="13"/>
  <c r="AC62" i="13"/>
  <c r="AB62" i="13"/>
  <c r="AF61" i="13"/>
  <c r="AE61" i="13"/>
  <c r="AD61" i="13"/>
  <c r="AC61" i="13"/>
  <c r="AB61" i="13"/>
  <c r="AF60" i="13"/>
  <c r="AE60" i="13"/>
  <c r="AD60" i="13"/>
  <c r="AC60" i="13"/>
  <c r="AB60" i="13"/>
  <c r="AF59" i="13"/>
  <c r="AE59" i="13"/>
  <c r="AD59" i="13"/>
  <c r="AC59" i="13"/>
  <c r="AB59" i="13"/>
  <c r="AF58" i="13"/>
  <c r="AE58" i="13"/>
  <c r="AD58" i="13"/>
  <c r="AC58" i="13"/>
  <c r="AB58" i="13"/>
  <c r="AF57" i="13"/>
  <c r="AE57" i="13"/>
  <c r="AD57" i="13"/>
  <c r="AC57" i="13"/>
  <c r="AB57" i="13"/>
  <c r="AF56" i="13"/>
  <c r="AE56" i="13"/>
  <c r="AD56" i="13"/>
  <c r="AC56" i="13"/>
  <c r="AB56" i="13"/>
  <c r="AF55" i="13"/>
  <c r="AE55" i="13"/>
  <c r="AD55" i="13"/>
  <c r="AC55" i="13"/>
  <c r="AB55" i="13"/>
  <c r="AF53" i="13"/>
  <c r="AE53" i="13"/>
  <c r="AD53" i="13"/>
  <c r="AC53" i="13"/>
  <c r="AB53" i="13"/>
  <c r="AF52" i="13"/>
  <c r="AE52" i="13"/>
  <c r="AD52" i="13"/>
  <c r="AC52" i="13"/>
  <c r="AB52" i="13"/>
  <c r="AF51" i="13"/>
  <c r="AE51" i="13"/>
  <c r="AD51" i="13"/>
  <c r="AC51" i="13"/>
  <c r="AB51" i="13"/>
  <c r="AF50" i="13"/>
  <c r="AE50" i="13"/>
  <c r="AD50" i="13"/>
  <c r="AC50" i="13"/>
  <c r="AB50" i="13"/>
  <c r="AF49" i="13"/>
  <c r="AE49" i="13"/>
  <c r="AD49" i="13"/>
  <c r="AC49" i="13"/>
  <c r="AB49" i="13"/>
  <c r="AF48" i="13"/>
  <c r="AE48" i="13"/>
  <c r="AD48" i="13"/>
  <c r="AC48" i="13"/>
  <c r="AB48" i="13"/>
  <c r="AF47" i="13"/>
  <c r="AE47" i="13"/>
  <c r="AD47" i="13"/>
  <c r="AC47" i="13"/>
  <c r="AB47" i="13"/>
  <c r="AF46" i="13"/>
  <c r="AE46" i="13"/>
  <c r="AD46" i="13"/>
  <c r="AC46" i="13"/>
  <c r="AB46" i="13"/>
  <c r="AF45" i="13"/>
  <c r="AE45" i="13"/>
  <c r="AD45" i="13"/>
  <c r="AC45" i="13"/>
  <c r="AB45" i="13"/>
  <c r="AF44" i="13"/>
  <c r="AE44" i="13"/>
  <c r="AD44" i="13"/>
  <c r="AC44" i="13"/>
  <c r="AB44" i="13"/>
  <c r="AF43" i="13"/>
  <c r="AE43" i="13"/>
  <c r="AD43" i="13"/>
  <c r="AC43" i="13"/>
  <c r="AB43" i="13"/>
  <c r="AF42" i="13"/>
  <c r="AE42" i="13"/>
  <c r="AD42" i="13"/>
  <c r="AC42" i="13"/>
  <c r="AB42" i="13"/>
  <c r="AF35" i="13"/>
  <c r="AE35" i="13"/>
  <c r="AD35" i="13"/>
  <c r="AC35" i="13"/>
  <c r="AB35" i="13"/>
  <c r="AF34" i="13"/>
  <c r="AE34" i="13"/>
  <c r="AD34" i="13"/>
  <c r="AC34" i="13"/>
  <c r="AB34" i="13"/>
  <c r="AF33" i="13"/>
  <c r="AE33" i="13"/>
  <c r="AD33" i="13"/>
  <c r="AC33" i="13"/>
  <c r="AB33" i="13"/>
  <c r="AF32" i="13"/>
  <c r="AE32" i="13"/>
  <c r="AD32" i="13"/>
  <c r="AC32" i="13"/>
  <c r="AB32" i="13"/>
  <c r="AF31" i="13"/>
  <c r="AE31" i="13"/>
  <c r="AD31" i="13"/>
  <c r="AC31" i="13"/>
  <c r="AB31" i="13"/>
  <c r="AF30" i="13"/>
  <c r="AE30" i="13"/>
  <c r="AD30" i="13"/>
  <c r="AC30" i="13"/>
  <c r="AB30" i="13"/>
  <c r="AF29" i="13"/>
  <c r="AE29" i="13"/>
  <c r="AD29" i="13"/>
  <c r="AC29" i="13"/>
  <c r="AB29" i="13"/>
  <c r="AF28" i="13"/>
  <c r="AE28" i="13"/>
  <c r="AD28" i="13"/>
  <c r="AC28" i="13"/>
  <c r="AB28" i="13"/>
  <c r="AF27" i="13"/>
  <c r="AE27" i="13"/>
  <c r="AD27" i="13"/>
  <c r="AC27" i="13"/>
  <c r="AB27" i="13"/>
  <c r="AF26" i="13"/>
  <c r="AE26" i="13"/>
  <c r="AD26" i="13"/>
  <c r="AC26" i="13"/>
  <c r="AB26" i="13"/>
  <c r="AF25" i="13"/>
  <c r="AE25" i="13"/>
  <c r="AD25" i="13"/>
  <c r="AC25" i="13"/>
  <c r="AB25" i="13"/>
  <c r="AF24" i="13"/>
  <c r="AE24" i="13"/>
  <c r="AD24" i="13"/>
  <c r="AC24" i="13"/>
  <c r="AB24" i="13"/>
  <c r="AF23" i="13"/>
  <c r="AE23" i="13"/>
  <c r="AD23" i="13"/>
  <c r="AC23" i="13"/>
  <c r="AB23" i="13"/>
  <c r="AF22" i="13"/>
  <c r="AE22" i="13"/>
  <c r="AD22" i="13"/>
  <c r="AC22" i="13"/>
  <c r="AB22" i="13"/>
  <c r="AF21" i="13"/>
  <c r="AE21" i="13"/>
  <c r="AD21" i="13"/>
  <c r="AC21" i="13"/>
  <c r="AB21" i="13"/>
  <c r="AF20" i="13"/>
  <c r="AE20" i="13"/>
  <c r="AD20" i="13"/>
  <c r="AC20" i="13"/>
  <c r="AB20" i="13"/>
  <c r="AF19" i="13"/>
  <c r="AE19" i="13"/>
  <c r="AD19" i="13"/>
  <c r="AC19" i="13"/>
  <c r="AB19" i="13"/>
  <c r="AF18" i="13"/>
  <c r="AE18" i="13"/>
  <c r="AD18" i="13"/>
  <c r="AC18" i="13"/>
  <c r="AB18" i="13"/>
  <c r="AF17" i="13"/>
  <c r="AE17" i="13"/>
  <c r="AD17" i="13"/>
  <c r="AC17" i="13"/>
  <c r="AB17" i="13"/>
  <c r="AF16" i="13"/>
  <c r="AE16" i="13"/>
  <c r="AD16" i="13"/>
  <c r="AC16" i="13"/>
  <c r="AB16" i="13"/>
  <c r="AF15" i="13"/>
  <c r="AE15" i="13"/>
  <c r="AD15" i="13"/>
  <c r="AC15" i="13"/>
  <c r="AB15" i="13"/>
  <c r="AF14" i="13"/>
  <c r="AE14" i="13"/>
  <c r="AD14" i="13"/>
  <c r="AC14" i="13"/>
  <c r="AB14" i="13"/>
  <c r="AF13" i="13"/>
  <c r="AE13" i="13"/>
  <c r="AD13" i="13"/>
  <c r="AC13" i="13"/>
  <c r="AB13" i="13"/>
  <c r="AF12" i="13"/>
  <c r="AE12" i="13"/>
  <c r="AD12" i="13"/>
  <c r="AC12" i="13"/>
  <c r="AB12" i="13"/>
  <c r="AF11" i="13"/>
  <c r="AE11" i="13"/>
  <c r="AD11" i="13"/>
  <c r="AC11" i="13"/>
  <c r="AB11" i="13"/>
  <c r="AF10" i="13"/>
  <c r="AE10" i="13"/>
  <c r="AD10" i="13"/>
  <c r="AC10" i="13"/>
  <c r="AB10" i="13"/>
  <c r="AM84" i="13" l="1"/>
  <c r="AM149" i="13"/>
  <c r="AM189" i="13"/>
  <c r="AM280" i="13"/>
  <c r="AM992" i="13"/>
  <c r="AM13" i="13"/>
  <c r="AM29" i="13"/>
  <c r="AM33" i="13"/>
  <c r="AM91" i="13"/>
  <c r="AM153" i="13"/>
  <c r="AM655" i="13"/>
  <c r="AM692" i="13"/>
  <c r="AM767" i="13"/>
  <c r="AM796" i="13"/>
  <c r="AM858" i="13"/>
  <c r="AM924" i="13"/>
  <c r="AM56" i="13"/>
  <c r="AM453" i="13"/>
  <c r="AM494" i="13"/>
  <c r="AM320" i="13"/>
  <c r="AM341" i="13"/>
  <c r="AM67" i="13"/>
  <c r="AM714" i="13"/>
  <c r="AM49" i="13"/>
  <c r="AM380" i="13"/>
  <c r="AM397" i="13"/>
  <c r="AM459" i="13"/>
  <c r="AM537" i="13"/>
  <c r="AM554" i="13"/>
  <c r="AM562" i="13"/>
  <c r="AM570" i="13"/>
  <c r="AM620" i="13"/>
  <c r="AM769" i="13"/>
  <c r="AM818" i="13"/>
  <c r="AM909" i="13"/>
  <c r="AM934" i="13"/>
  <c r="AM53" i="13"/>
  <c r="AM289" i="13"/>
  <c r="AM165" i="13"/>
  <c r="AM188" i="13"/>
  <c r="AM55" i="13"/>
  <c r="AM162" i="13"/>
  <c r="AM220" i="13"/>
  <c r="AM274" i="13"/>
  <c r="AM654" i="13"/>
  <c r="AM675" i="13"/>
  <c r="AM687" i="13"/>
  <c r="AM59" i="13"/>
  <c r="AM121" i="13"/>
  <c r="AM621" i="13"/>
  <c r="AM539" i="13"/>
  <c r="AM663" i="13"/>
  <c r="AM23" i="13"/>
  <c r="AM416" i="13"/>
  <c r="AM524" i="13"/>
  <c r="AM932" i="13"/>
  <c r="AM93" i="13"/>
  <c r="AM114" i="13"/>
  <c r="AM627" i="13"/>
  <c r="AM648" i="13"/>
  <c r="AM734" i="13"/>
  <c r="AM829" i="13"/>
  <c r="AM987" i="13"/>
  <c r="AM999" i="13"/>
  <c r="AM190" i="13"/>
  <c r="AM244" i="13"/>
  <c r="AM248" i="13"/>
  <c r="AM375" i="13"/>
  <c r="AM425" i="13"/>
  <c r="AM491" i="13"/>
  <c r="AM503" i="13"/>
  <c r="AM549" i="13"/>
  <c r="AM726" i="13"/>
  <c r="AM739" i="13"/>
  <c r="AM747" i="13"/>
  <c r="AM751" i="13"/>
  <c r="AM776" i="13"/>
  <c r="AM850" i="13"/>
  <c r="AM863" i="13"/>
  <c r="AM871" i="13"/>
  <c r="AM900" i="13"/>
  <c r="AM891" i="13"/>
  <c r="AM429" i="13"/>
  <c r="AM462" i="13"/>
  <c r="AM124" i="13"/>
  <c r="AM89" i="13"/>
  <c r="AM132" i="13"/>
  <c r="AM277" i="13"/>
  <c r="AM285" i="13"/>
  <c r="AM611" i="13"/>
  <c r="AM933" i="13"/>
  <c r="AM937" i="13"/>
  <c r="AM68" i="13"/>
  <c r="AM120" i="13"/>
  <c r="AM838" i="13"/>
  <c r="AM310" i="13"/>
  <c r="AM307" i="13"/>
  <c r="AM323" i="13"/>
  <c r="AM777" i="13"/>
  <c r="AM415" i="13"/>
  <c r="AM581" i="13"/>
  <c r="AM622" i="13"/>
  <c r="AM764" i="13"/>
  <c r="AM78" i="13"/>
  <c r="AM344" i="13"/>
  <c r="AM373" i="13"/>
  <c r="AM381" i="13"/>
  <c r="AM431" i="13"/>
  <c r="AM497" i="13"/>
  <c r="AM522" i="13"/>
  <c r="AM530" i="13"/>
  <c r="AM571" i="13"/>
  <c r="AM600" i="13"/>
  <c r="AM715" i="13"/>
  <c r="AM922" i="13"/>
  <c r="AM951" i="13"/>
  <c r="AM131" i="13"/>
  <c r="AM548" i="13"/>
  <c r="AM643" i="13"/>
  <c r="AM343" i="13"/>
  <c r="AM32" i="13"/>
  <c r="AM529" i="13"/>
  <c r="AM467" i="13"/>
  <c r="AM176" i="13"/>
  <c r="AM192" i="13"/>
  <c r="AM221" i="13"/>
  <c r="AM275" i="13"/>
  <c r="AM737" i="13"/>
  <c r="AM757" i="13"/>
  <c r="AM778" i="13"/>
  <c r="AM894" i="13"/>
  <c r="AM742" i="13"/>
  <c r="AM18" i="13"/>
  <c r="AM22" i="13"/>
  <c r="AM108" i="13"/>
  <c r="AM229" i="13"/>
  <c r="AM414" i="13"/>
  <c r="AM501" i="13"/>
  <c r="AM197" i="13"/>
  <c r="AM887" i="13"/>
  <c r="AM322" i="13"/>
  <c r="AM14" i="13"/>
  <c r="AM30" i="13"/>
  <c r="AM87" i="13"/>
  <c r="AM304" i="13"/>
  <c r="AM518" i="13"/>
  <c r="AM704" i="13"/>
  <c r="AM786" i="13"/>
  <c r="AM395" i="13"/>
  <c r="AM154" i="13"/>
  <c r="AM550" i="13"/>
  <c r="AM591" i="13"/>
  <c r="AM661" i="13"/>
  <c r="AM61" i="13"/>
  <c r="AM486" i="13"/>
  <c r="AM614" i="13"/>
  <c r="AM683" i="13"/>
  <c r="AM75" i="13"/>
  <c r="AM209" i="13"/>
  <c r="AM269" i="13"/>
  <c r="AM157" i="13"/>
  <c r="AM290" i="13"/>
  <c r="AM64" i="13"/>
  <c r="AM249" i="13"/>
  <c r="AM404" i="13"/>
  <c r="AM34" i="13"/>
  <c r="AM16" i="13"/>
  <c r="AM21" i="13"/>
  <c r="AM166" i="13"/>
  <c r="AM267" i="13"/>
  <c r="AM430" i="13"/>
  <c r="AM583" i="13"/>
  <c r="AM110" i="13"/>
  <c r="AM52" i="13"/>
  <c r="AM205" i="13"/>
  <c r="AM58" i="13"/>
  <c r="AM95" i="13"/>
  <c r="AM724" i="13"/>
  <c r="AM214" i="13"/>
  <c r="AM240" i="13"/>
  <c r="AM407" i="13"/>
  <c r="AM11" i="13"/>
  <c r="AM25" i="13"/>
  <c r="AM82" i="13"/>
  <c r="AM113" i="13"/>
  <c r="AM143" i="13"/>
  <c r="AM182" i="13"/>
  <c r="AM207" i="13"/>
  <c r="AM212" i="13"/>
  <c r="AM555" i="13"/>
  <c r="AM20" i="13"/>
  <c r="AM27" i="13"/>
  <c r="AM160" i="13"/>
  <c r="AM180" i="13"/>
  <c r="AM80" i="13"/>
  <c r="AM128" i="13"/>
  <c r="AM224" i="13"/>
  <c r="AM301" i="13"/>
  <c r="AM465" i="13"/>
  <c r="AM31" i="13"/>
  <c r="AM47" i="13"/>
  <c r="AM100" i="13"/>
  <c r="AM178" i="13"/>
  <c r="AM217" i="13"/>
  <c r="AM258" i="13"/>
  <c r="AM333" i="13"/>
  <c r="AM187" i="13"/>
  <c r="AM98" i="13"/>
  <c r="AM145" i="13"/>
  <c r="AM253" i="13"/>
  <c r="AM525" i="13"/>
  <c r="AM122" i="13"/>
  <c r="AM318" i="13"/>
  <c r="AM377" i="13"/>
  <c r="AM519" i="13"/>
  <c r="AM15" i="13"/>
  <c r="AM51" i="13"/>
  <c r="AM83" i="13"/>
  <c r="AM256" i="13"/>
  <c r="AM445" i="13"/>
  <c r="AM10" i="13"/>
  <c r="AM63" i="13"/>
  <c r="AM12" i="13"/>
  <c r="AM19" i="13"/>
  <c r="AM24" i="13"/>
  <c r="AM69" i="13"/>
  <c r="AM92" i="13"/>
  <c r="AM133" i="13"/>
  <c r="AM181" i="13"/>
  <c r="AM251" i="13"/>
  <c r="AM366" i="13"/>
  <c r="AM602" i="13"/>
  <c r="AM439" i="13"/>
  <c r="AM564" i="13"/>
  <c r="AM28" i="13"/>
  <c r="AM218" i="13"/>
  <c r="AM142" i="13"/>
  <c r="AM167" i="13"/>
  <c r="AM259" i="13"/>
  <c r="AM755" i="13"/>
  <c r="AM803" i="13"/>
  <c r="AM79" i="13"/>
  <c r="AM97" i="13"/>
  <c r="AM112" i="13"/>
  <c r="AM141" i="13"/>
  <c r="AM177" i="13"/>
  <c r="AM199" i="13"/>
  <c r="AM215" i="13"/>
  <c r="AM226" i="13"/>
  <c r="AM230" i="13"/>
  <c r="AM291" i="13"/>
  <c r="AM300" i="13"/>
  <c r="AM378" i="13"/>
  <c r="AM468" i="13"/>
  <c r="AM631" i="13"/>
  <c r="AM48" i="13"/>
  <c r="AM88" i="13"/>
  <c r="AM186" i="13"/>
  <c r="AM273" i="13"/>
  <c r="AM590" i="13"/>
  <c r="AM781" i="13"/>
  <c r="AM271" i="13"/>
  <c r="AM279" i="13"/>
  <c r="AM321" i="13"/>
  <c r="AM393" i="13"/>
  <c r="AM435" i="13"/>
  <c r="AM311" i="13"/>
  <c r="AM342" i="13"/>
  <c r="AM60" i="13"/>
  <c r="AM85" i="13"/>
  <c r="AM94" i="13"/>
  <c r="AM99" i="13"/>
  <c r="AM109" i="13"/>
  <c r="AM183" i="13"/>
  <c r="AM208" i="13"/>
  <c r="AM219" i="13"/>
  <c r="AM261" i="13"/>
  <c r="AM315" i="13"/>
  <c r="AM351" i="13"/>
  <c r="AM391" i="13"/>
  <c r="AM585" i="13"/>
  <c r="AM17" i="13"/>
  <c r="AM26" i="13"/>
  <c r="AM35" i="13"/>
  <c r="AM50" i="13"/>
  <c r="AM123" i="13"/>
  <c r="AM210" i="13"/>
  <c r="AM243" i="13"/>
  <c r="AM281" i="13"/>
  <c r="AM305" i="13"/>
  <c r="AM118" i="13"/>
  <c r="AM161" i="13"/>
  <c r="AM252" i="13"/>
  <c r="AM284" i="13"/>
  <c r="AM57" i="13"/>
  <c r="AM111" i="13"/>
  <c r="AM125" i="13"/>
  <c r="AM227" i="13"/>
  <c r="AM374" i="13"/>
  <c r="AM476" i="13"/>
  <c r="AM703" i="13"/>
  <c r="AM527" i="13"/>
  <c r="AM592" i="13"/>
  <c r="AM62" i="13"/>
  <c r="AM127" i="13"/>
  <c r="AM148" i="13"/>
  <c r="AM198" i="13"/>
  <c r="AM250" i="13"/>
  <c r="AM329" i="13"/>
  <c r="AM339" i="13"/>
  <c r="AM379" i="13"/>
  <c r="AM612" i="13"/>
  <c r="AM298" i="13"/>
  <c r="AM337" i="13"/>
  <c r="AM368" i="13"/>
  <c r="AM405" i="13"/>
  <c r="AM434" i="13"/>
  <c r="AM456" i="13"/>
  <c r="AM493" i="13"/>
  <c r="AM735" i="13"/>
  <c r="AM385" i="13"/>
  <c r="AM403" i="13"/>
  <c r="AM409" i="13"/>
  <c r="AM535" i="13"/>
  <c r="AM827" i="13"/>
  <c r="AM444" i="13"/>
  <c r="AM610" i="13"/>
  <c r="AM422" i="13"/>
  <c r="AM502" i="13"/>
  <c r="AM642" i="13"/>
  <c r="AM365" i="13"/>
  <c r="AM446" i="13"/>
  <c r="AM471" i="13"/>
  <c r="AM475" i="13"/>
  <c r="AM582" i="13"/>
  <c r="AM594" i="13"/>
  <c r="AM745" i="13"/>
  <c r="AM314" i="13"/>
  <c r="AM398" i="13"/>
  <c r="AM538" i="13"/>
  <c r="AM613" i="13"/>
  <c r="AM705" i="13"/>
  <c r="AM245" i="13"/>
  <c r="AM312" i="13"/>
  <c r="AM353" i="13"/>
  <c r="AM360" i="13"/>
  <c r="AM394" i="13"/>
  <c r="AM455" i="13"/>
  <c r="AM531" i="13"/>
  <c r="AM191" i="13"/>
  <c r="AM238" i="13"/>
  <c r="AM302" i="13"/>
  <c r="AM371" i="13"/>
  <c r="AM400" i="13"/>
  <c r="AM424" i="13"/>
  <c r="AM457" i="13"/>
  <c r="AM477" i="13"/>
  <c r="AM492" i="13"/>
  <c r="AM618" i="13"/>
  <c r="AM630" i="13"/>
  <c r="AM652" i="13"/>
  <c r="AM196" i="13"/>
  <c r="AM216" i="13"/>
  <c r="AM260" i="13"/>
  <c r="AM270" i="13"/>
  <c r="AM282" i="13"/>
  <c r="AM316" i="13"/>
  <c r="AM331" i="13"/>
  <c r="AM367" i="13"/>
  <c r="AM369" i="13"/>
  <c r="AM461" i="13"/>
  <c r="AM473" i="13"/>
  <c r="AM507" i="13"/>
  <c r="AM517" i="13"/>
  <c r="AM552" i="13"/>
  <c r="AM589" i="13"/>
  <c r="AM626" i="13"/>
  <c r="AM684" i="13"/>
  <c r="AM500" i="13"/>
  <c r="AM565" i="13"/>
  <c r="AM595" i="13"/>
  <c r="AM628" i="13"/>
  <c r="AM701" i="13"/>
  <c r="AM584" i="13"/>
  <c r="AM597" i="13"/>
  <c r="AM615" i="13"/>
  <c r="AM678" i="13"/>
  <c r="AM632" i="13"/>
  <c r="AM639" i="13"/>
  <c r="AM674" i="13"/>
  <c r="AM694" i="13"/>
  <c r="AM408" i="13"/>
  <c r="AM413" i="13"/>
  <c r="AM426" i="13"/>
  <c r="AM463" i="13"/>
  <c r="AM470" i="13"/>
  <c r="AM504" i="13"/>
  <c r="AM528" i="13"/>
  <c r="AM641" i="13"/>
  <c r="AM685" i="13"/>
  <c r="AM721" i="13"/>
  <c r="AM756" i="13"/>
  <c r="AM911" i="13"/>
  <c r="AM352" i="13"/>
  <c r="AM523" i="13"/>
  <c r="AM558" i="13"/>
  <c r="AM436" i="13"/>
  <c r="AM438" i="13"/>
  <c r="AM487" i="13"/>
  <c r="AM534" i="13"/>
  <c r="AM569" i="13"/>
  <c r="AM579" i="13"/>
  <c r="AM599" i="13"/>
  <c r="AM709" i="13"/>
  <c r="AM798" i="13"/>
  <c r="AM553" i="13"/>
  <c r="AM560" i="13"/>
  <c r="AM625" i="13"/>
  <c r="AM695" i="13"/>
  <c r="AM719" i="13"/>
  <c r="AM788" i="13"/>
  <c r="AM849" i="13"/>
  <c r="AM587" i="13"/>
  <c r="AM651" i="13"/>
  <c r="AM711" i="13"/>
  <c r="AM717" i="13"/>
  <c r="AM748" i="13"/>
  <c r="AM750" i="13"/>
  <c r="AM847" i="13"/>
  <c r="AM713" i="13"/>
  <c r="AM754" i="13"/>
  <c r="AM972" i="13"/>
  <c r="AM738" i="13"/>
  <c r="AM746" i="13"/>
  <c r="AM693" i="13"/>
  <c r="AM736" i="13"/>
  <c r="AM559" i="13"/>
  <c r="AM561" i="13"/>
  <c r="AM653" i="13"/>
  <c r="AM664" i="13"/>
  <c r="AM676" i="13"/>
  <c r="AM744" i="13"/>
  <c r="AM785" i="13"/>
  <c r="AM889" i="13"/>
  <c r="AM940" i="13"/>
  <c r="AM1005" i="13"/>
  <c r="AM601" i="13"/>
  <c r="AM633" i="13"/>
  <c r="AM783" i="13"/>
  <c r="AM546" i="13"/>
  <c r="AM556" i="13"/>
  <c r="AM568" i="13"/>
  <c r="AM710" i="13"/>
  <c r="AM797" i="13"/>
  <c r="AM816" i="13"/>
  <c r="AM843" i="13"/>
  <c r="AM907" i="13"/>
  <c r="AM869" i="13"/>
  <c r="AM918" i="13"/>
  <c r="AM904" i="13"/>
  <c r="AM953" i="13"/>
  <c r="AM787" i="13"/>
  <c r="AM794" i="13"/>
  <c r="AM806" i="13"/>
  <c r="AM808" i="13"/>
  <c r="AM725" i="13"/>
  <c r="AM813" i="13"/>
  <c r="AM732" i="13"/>
  <c r="AM771" i="13"/>
  <c r="AM839" i="13"/>
  <c r="AM864" i="13"/>
  <c r="AM868" i="13"/>
  <c r="AM920" i="13"/>
  <c r="AM647" i="13"/>
  <c r="AM708" i="13"/>
  <c r="AM741" i="13"/>
  <c r="AM809" i="13"/>
  <c r="AM817" i="13"/>
  <c r="AM866" i="13"/>
  <c r="AM801" i="13"/>
  <c r="AM875" i="13"/>
  <c r="AM896" i="13"/>
  <c r="AM927" i="13"/>
  <c r="AM878" i="13"/>
  <c r="AM921" i="13"/>
  <c r="AM930" i="13"/>
  <c r="AM804" i="13"/>
  <c r="AM860" i="13"/>
  <c r="AM810" i="13"/>
  <c r="AM832" i="13"/>
  <c r="AM688" i="13"/>
  <c r="AM718" i="13"/>
  <c r="AM765" i="13"/>
  <c r="AM848" i="13"/>
  <c r="AM906" i="13"/>
  <c r="AM942" i="13"/>
  <c r="AM968" i="13"/>
  <c r="AM952" i="13"/>
  <c r="AM831" i="13"/>
  <c r="AM859" i="13"/>
  <c r="AM870" i="13"/>
  <c r="AM802" i="13"/>
  <c r="AM840" i="13"/>
  <c r="AM856" i="13"/>
  <c r="AM895" i="13"/>
  <c r="AM897" i="13"/>
  <c r="AM807" i="13"/>
  <c r="AM833" i="13"/>
  <c r="AM865" i="13"/>
  <c r="AM931" i="13"/>
  <c r="AM957" i="13"/>
  <c r="AM964" i="13"/>
  <c r="AM985" i="13"/>
  <c r="AM1002" i="13"/>
  <c r="AM844" i="13"/>
  <c r="AM872" i="13"/>
  <c r="AM881" i="13"/>
  <c r="AM899" i="13"/>
  <c r="AM910" i="13"/>
  <c r="AM955" i="13"/>
  <c r="AM1003" i="13"/>
  <c r="AM926" i="13"/>
  <c r="AM941" i="13"/>
  <c r="AM943" i="13"/>
  <c r="AM876" i="13"/>
  <c r="AM892" i="13"/>
  <c r="AM901" i="13"/>
  <c r="AM903" i="13"/>
  <c r="AM925" i="13"/>
  <c r="AM959" i="13"/>
  <c r="AM961" i="13"/>
  <c r="AM967" i="13"/>
  <c r="AM1000" i="13"/>
  <c r="AM993" i="13"/>
  <c r="AM997" i="13"/>
  <c r="AM880" i="13"/>
  <c r="AM890" i="13"/>
  <c r="AM902" i="13"/>
  <c r="AM956" i="13"/>
  <c r="AM936" i="13"/>
  <c r="AM994" i="13"/>
  <c r="AM973" i="13"/>
  <c r="AM984" i="13"/>
  <c r="AM1004" i="13"/>
  <c r="AM963" i="13"/>
  <c r="AM998" i="13"/>
  <c r="AM974" i="13"/>
  <c r="AM986" i="13"/>
  <c r="AM45" i="13"/>
  <c r="AM46" i="13"/>
  <c r="AM44" i="13"/>
  <c r="AM991" i="13"/>
  <c r="AM982" i="13"/>
  <c r="AM989" i="13"/>
  <c r="AM996" i="13"/>
  <c r="AM1001" i="13"/>
  <c r="AM988" i="13"/>
  <c r="AM995" i="13"/>
  <c r="AM962" i="13"/>
  <c r="AM971" i="13"/>
  <c r="AM954" i="13"/>
  <c r="AM966" i="13"/>
  <c r="AM949" i="13"/>
  <c r="AM950" i="13"/>
  <c r="AM958" i="13"/>
  <c r="AM965" i="13"/>
  <c r="AM919" i="13"/>
  <c r="AM929" i="13"/>
  <c r="AM923" i="13"/>
  <c r="AM935" i="13"/>
  <c r="AM908" i="13"/>
  <c r="AM898" i="13"/>
  <c r="AM893" i="13"/>
  <c r="AM905" i="13"/>
  <c r="AM912" i="13"/>
  <c r="AM879" i="13"/>
  <c r="AM874" i="13"/>
  <c r="AM862" i="13"/>
  <c r="AM877" i="13"/>
  <c r="AM867" i="13"/>
  <c r="AM857" i="13"/>
  <c r="AM873" i="13"/>
  <c r="AM861" i="13"/>
  <c r="AM828" i="13"/>
  <c r="AM837" i="13"/>
  <c r="AM830" i="13"/>
  <c r="AM842" i="13"/>
  <c r="AM834" i="13"/>
  <c r="AM841" i="13"/>
  <c r="AM819" i="13"/>
  <c r="AM812" i="13"/>
  <c r="AM800" i="13"/>
  <c r="AM814" i="13"/>
  <c r="AM811" i="13"/>
  <c r="AM799" i="13"/>
  <c r="AM774" i="13"/>
  <c r="AM775" i="13"/>
  <c r="AM768" i="13"/>
  <c r="AM780" i="13"/>
  <c r="AM773" i="13"/>
  <c r="AM770" i="13"/>
  <c r="AM782" i="13"/>
  <c r="AM766" i="13"/>
  <c r="AM779" i="13"/>
  <c r="AM772" i="13"/>
  <c r="AM733" i="13"/>
  <c r="AM753" i="13"/>
  <c r="AM752" i="13"/>
  <c r="AM740" i="13"/>
  <c r="AM743" i="13"/>
  <c r="AM749" i="13"/>
  <c r="AM722" i="13"/>
  <c r="AM707" i="13"/>
  <c r="AM716" i="13"/>
  <c r="AM702" i="13"/>
  <c r="AM723" i="13"/>
  <c r="AM706" i="13"/>
  <c r="AM712" i="13"/>
  <c r="AM720" i="13"/>
  <c r="AM671" i="13"/>
  <c r="AM672" i="13"/>
  <c r="AM677" i="13"/>
  <c r="AM689" i="13"/>
  <c r="AM673" i="13"/>
  <c r="AM681" i="13"/>
  <c r="AM682" i="13"/>
  <c r="AM679" i="13"/>
  <c r="AM686" i="13"/>
  <c r="AM691" i="13"/>
  <c r="AM645" i="13"/>
  <c r="AM662" i="13"/>
  <c r="AM657" i="13"/>
  <c r="AM644" i="13"/>
  <c r="AM650" i="13"/>
  <c r="AM659" i="13"/>
  <c r="AM656" i="13"/>
  <c r="AM660" i="13"/>
  <c r="AM646" i="13"/>
  <c r="AM649" i="13"/>
  <c r="AM617" i="13"/>
  <c r="AM624" i="13"/>
  <c r="AM619" i="13"/>
  <c r="AM609" i="13"/>
  <c r="AM629" i="13"/>
  <c r="AM616" i="13"/>
  <c r="AM623" i="13"/>
  <c r="AM580" i="13"/>
  <c r="AM588" i="13"/>
  <c r="AM577" i="13"/>
  <c r="AM586" i="13"/>
  <c r="AM593" i="13"/>
  <c r="AM598" i="13"/>
  <c r="AM578" i="13"/>
  <c r="AM551" i="13"/>
  <c r="AM563" i="13"/>
  <c r="AM567" i="13"/>
  <c r="AM526" i="13"/>
  <c r="AM520" i="13"/>
  <c r="AM532" i="13"/>
  <c r="AM521" i="13"/>
  <c r="AM533" i="13"/>
  <c r="AM540" i="13"/>
  <c r="AM495" i="13"/>
  <c r="AM484" i="13"/>
  <c r="AM509" i="13"/>
  <c r="AM489" i="13"/>
  <c r="AM506" i="13"/>
  <c r="AM499" i="13"/>
  <c r="AM496" i="13"/>
  <c r="AM505" i="13"/>
  <c r="AM458" i="13"/>
  <c r="AM472" i="13"/>
  <c r="AM466" i="13"/>
  <c r="AM454" i="13"/>
  <c r="AM460" i="13"/>
  <c r="AM464" i="13"/>
  <c r="AM469" i="13"/>
  <c r="AM474" i="13"/>
  <c r="AM478" i="13"/>
  <c r="AM427" i="13"/>
  <c r="AM423" i="13"/>
  <c r="AM441" i="13"/>
  <c r="AM447" i="13"/>
  <c r="AM440" i="13"/>
  <c r="AM428" i="13"/>
  <c r="AM433" i="13"/>
  <c r="AM437" i="13"/>
  <c r="AM412" i="13"/>
  <c r="AM406" i="13"/>
  <c r="AM399" i="13"/>
  <c r="AM411" i="13"/>
  <c r="AM396" i="13"/>
  <c r="AM401" i="13"/>
  <c r="AM410" i="13"/>
  <c r="AM370" i="13"/>
  <c r="AM376" i="13"/>
  <c r="AM384" i="13"/>
  <c r="AM363" i="13"/>
  <c r="AM334" i="13"/>
  <c r="AM346" i="13"/>
  <c r="AM332" i="13"/>
  <c r="AM336" i="13"/>
  <c r="AM348" i="13"/>
  <c r="AM338" i="13"/>
  <c r="AM345" i="13"/>
  <c r="AM340" i="13"/>
  <c r="AM335" i="13"/>
  <c r="AM347" i="13"/>
  <c r="AM354" i="13"/>
  <c r="AM313" i="13"/>
  <c r="AM306" i="13"/>
  <c r="AM303" i="13"/>
  <c r="AM308" i="13"/>
  <c r="AM317" i="13"/>
  <c r="AM278" i="13"/>
  <c r="AM272" i="13"/>
  <c r="AM286" i="13"/>
  <c r="AM283" i="13"/>
  <c r="AM292" i="13"/>
  <c r="AM268" i="13"/>
  <c r="AM276" i="13"/>
  <c r="AM241" i="13"/>
  <c r="AM255" i="13"/>
  <c r="AM254" i="13"/>
  <c r="AM239" i="13"/>
  <c r="AM242" i="13"/>
  <c r="AM228" i="13"/>
  <c r="AM223" i="13"/>
  <c r="AM211" i="13"/>
  <c r="AM206" i="13"/>
  <c r="AM213" i="13"/>
  <c r="AM225" i="13"/>
  <c r="AM222" i="13"/>
  <c r="AM179" i="13"/>
  <c r="AM193" i="13"/>
  <c r="AM146" i="13"/>
  <c r="AM158" i="13"/>
  <c r="AM147" i="13"/>
  <c r="AM159" i="13"/>
  <c r="AM168" i="13"/>
  <c r="AM115" i="13"/>
  <c r="AM106" i="13"/>
  <c r="AM126" i="13"/>
  <c r="AM130" i="13"/>
  <c r="AM77" i="13"/>
  <c r="AM81" i="13"/>
  <c r="AM90" i="13"/>
  <c r="AM43" i="13"/>
  <c r="AM42" i="13"/>
  <c r="AM981" i="13"/>
  <c r="AM990" i="13"/>
  <c r="AM980" i="13"/>
  <c r="AM960" i="13"/>
  <c r="AM969" i="13"/>
  <c r="AM970" i="13"/>
  <c r="AM928" i="13"/>
  <c r="AM938" i="13"/>
  <c r="AM939" i="13"/>
  <c r="AM888" i="13"/>
  <c r="AM836" i="13"/>
  <c r="AM835" i="13"/>
  <c r="AM846" i="13"/>
  <c r="AM845" i="13"/>
  <c r="AM826" i="13"/>
  <c r="AM825" i="13"/>
  <c r="AM795" i="13"/>
  <c r="AM805" i="13"/>
  <c r="AM815" i="13"/>
  <c r="AM784" i="13"/>
  <c r="AM763" i="13"/>
  <c r="AM670" i="13"/>
  <c r="AM680" i="13"/>
  <c r="AM690" i="13"/>
  <c r="AM640" i="13"/>
  <c r="AM658" i="13"/>
  <c r="AM608" i="13"/>
  <c r="AM596" i="13"/>
  <c r="AM547" i="13"/>
  <c r="AM557" i="13"/>
  <c r="AM566" i="13"/>
  <c r="AM516" i="13"/>
  <c r="AM536" i="13"/>
  <c r="AM515" i="13"/>
  <c r="AM498" i="13"/>
  <c r="AM488" i="13"/>
  <c r="AM490" i="13"/>
  <c r="AM508" i="13"/>
  <c r="AM443" i="13"/>
  <c r="AM432" i="13"/>
  <c r="AM442" i="13"/>
  <c r="AM392" i="13"/>
  <c r="AM402" i="13"/>
  <c r="AM382" i="13"/>
  <c r="AM362" i="13"/>
  <c r="AM361" i="13"/>
  <c r="AM364" i="13"/>
  <c r="AM372" i="13"/>
  <c r="AM383" i="13"/>
  <c r="AM330" i="13"/>
  <c r="AM350" i="13"/>
  <c r="AM349" i="13"/>
  <c r="AM299" i="13"/>
  <c r="AM309" i="13"/>
  <c r="AM319" i="13"/>
  <c r="AM288" i="13"/>
  <c r="AM287" i="13"/>
  <c r="AM237" i="13"/>
  <c r="AM247" i="13"/>
  <c r="AM257" i="13"/>
  <c r="AM236" i="13"/>
  <c r="AM246" i="13"/>
  <c r="AM175" i="13"/>
  <c r="AM185" i="13"/>
  <c r="AM195" i="13"/>
  <c r="AM174" i="13"/>
  <c r="AM184" i="13"/>
  <c r="AM194" i="13"/>
  <c r="AM140" i="13"/>
  <c r="AM152" i="13"/>
  <c r="AM164" i="13"/>
  <c r="AM139" i="13"/>
  <c r="AM150" i="13"/>
  <c r="AM163" i="13"/>
  <c r="AM107" i="13"/>
  <c r="AM119" i="13"/>
  <c r="AM129" i="13"/>
  <c r="AM86" i="13"/>
  <c r="AM96" i="13"/>
  <c r="AF41" i="13"/>
  <c r="AE41" i="13"/>
  <c r="AD41" i="13"/>
  <c r="AC41" i="13"/>
  <c r="G23" i="5"/>
  <c r="G22" i="5"/>
  <c r="G21" i="5"/>
  <c r="T41" i="13" l="1"/>
  <c r="AF7" i="13"/>
  <c r="Z2" i="13"/>
  <c r="Y2" i="13"/>
  <c r="X2" i="13"/>
  <c r="E84" i="5"/>
  <c r="F84" i="5"/>
  <c r="E85" i="5"/>
  <c r="F85" i="5"/>
  <c r="E86" i="5"/>
  <c r="F86" i="5"/>
  <c r="L143" i="5"/>
  <c r="M143" i="5"/>
  <c r="L144" i="5"/>
  <c r="M144" i="5"/>
  <c r="L80" i="5"/>
  <c r="M80" i="5"/>
  <c r="L81" i="5"/>
  <c r="M81" i="5"/>
  <c r="H113" i="5"/>
  <c r="G113" i="5"/>
  <c r="F113" i="5"/>
  <c r="H112" i="5"/>
  <c r="G112" i="5"/>
  <c r="F112" i="5"/>
  <c r="H111" i="5"/>
  <c r="G111" i="5"/>
  <c r="F111" i="5"/>
  <c r="H110" i="5"/>
  <c r="G110" i="5"/>
  <c r="F110" i="5"/>
  <c r="H92" i="5"/>
  <c r="G92" i="5"/>
  <c r="F92" i="5"/>
  <c r="H91" i="5"/>
  <c r="G91" i="5"/>
  <c r="F91" i="5"/>
  <c r="H90" i="5"/>
  <c r="G90" i="5"/>
  <c r="F90" i="5"/>
  <c r="H89" i="5"/>
  <c r="G89" i="5"/>
  <c r="F89" i="5"/>
  <c r="H71" i="5"/>
  <c r="G71" i="5"/>
  <c r="F71" i="5"/>
  <c r="H70" i="5"/>
  <c r="G70" i="5"/>
  <c r="F70" i="5"/>
  <c r="H69" i="5"/>
  <c r="G69" i="5"/>
  <c r="F69" i="5"/>
  <c r="H68" i="5"/>
  <c r="G68" i="5"/>
  <c r="F68" i="5"/>
  <c r="H50" i="5"/>
  <c r="G50" i="5"/>
  <c r="F50" i="5"/>
  <c r="H49" i="5"/>
  <c r="G49" i="5"/>
  <c r="F49" i="5"/>
  <c r="H48" i="5"/>
  <c r="G48" i="5"/>
  <c r="F48" i="5"/>
  <c r="H47" i="5"/>
  <c r="G47" i="5"/>
  <c r="F47" i="5"/>
  <c r="H29" i="5"/>
  <c r="H28" i="5"/>
  <c r="H27" i="5"/>
  <c r="H26" i="5"/>
  <c r="G29" i="5"/>
  <c r="G28" i="5"/>
  <c r="G27" i="5"/>
  <c r="G26" i="5"/>
  <c r="F29" i="5"/>
  <c r="F28" i="5"/>
  <c r="F27" i="5"/>
  <c r="F26" i="5"/>
  <c r="C116" i="5"/>
  <c r="C95" i="5"/>
  <c r="E74" i="5"/>
  <c r="D74" i="5"/>
  <c r="C84" i="5"/>
  <c r="C86" i="5" s="1"/>
  <c r="E53" i="5"/>
  <c r="E116" i="5" s="1"/>
  <c r="D53" i="5"/>
  <c r="D116" i="5" s="1"/>
  <c r="C61" i="5"/>
  <c r="C60" i="5"/>
  <c r="C59" i="5"/>
  <c r="C58" i="5"/>
  <c r="C57" i="5"/>
  <c r="C56" i="5"/>
  <c r="C55" i="5"/>
  <c r="C54" i="5"/>
  <c r="C53" i="5"/>
  <c r="C32" i="5"/>
  <c r="E32" i="5"/>
  <c r="E95" i="5" s="1"/>
  <c r="D32" i="5"/>
  <c r="D95" i="5" s="1"/>
  <c r="C21" i="5"/>
  <c r="C23" i="5" s="1"/>
  <c r="F11" i="5"/>
  <c r="D33" i="5"/>
  <c r="D96" i="5" s="1"/>
  <c r="B224" i="11"/>
  <c r="B225" i="11"/>
  <c r="B226" i="11"/>
  <c r="B775" i="11"/>
  <c r="B776" i="11"/>
  <c r="B777" i="11"/>
  <c r="B778" i="11"/>
  <c r="B779" i="11"/>
  <c r="B780" i="11"/>
  <c r="B781" i="11"/>
  <c r="B782" i="11"/>
  <c r="B783" i="11"/>
  <c r="B784" i="11"/>
  <c r="B785" i="11"/>
  <c r="B786" i="11"/>
  <c r="B787" i="11"/>
  <c r="B788" i="11"/>
  <c r="B789" i="11"/>
  <c r="B790" i="11"/>
  <c r="B791" i="11"/>
  <c r="B792" i="11"/>
  <c r="B793" i="11"/>
  <c r="B794" i="11"/>
  <c r="B795" i="11"/>
  <c r="B796" i="11"/>
  <c r="B797" i="11"/>
  <c r="B798" i="11"/>
  <c r="B799" i="11"/>
  <c r="B800" i="11"/>
  <c r="B801" i="11"/>
  <c r="B802" i="11"/>
  <c r="B803" i="11"/>
  <c r="B804" i="11"/>
  <c r="B805" i="11"/>
  <c r="B806" i="11"/>
  <c r="B807" i="11"/>
  <c r="B808" i="11"/>
  <c r="B809" i="11"/>
  <c r="B810" i="11"/>
  <c r="B811" i="11"/>
  <c r="B812" i="11"/>
  <c r="B813" i="11"/>
  <c r="B814" i="11"/>
  <c r="B815" i="11"/>
  <c r="B816" i="11"/>
  <c r="B817" i="11"/>
  <c r="B818" i="11"/>
  <c r="B819" i="11"/>
  <c r="B820" i="11"/>
  <c r="B821" i="11"/>
  <c r="B822" i="11"/>
  <c r="B823" i="11"/>
  <c r="B824" i="11"/>
  <c r="B825" i="11"/>
  <c r="B826" i="11"/>
  <c r="B827" i="11"/>
  <c r="B828" i="11"/>
  <c r="B829" i="11"/>
  <c r="B830" i="11"/>
  <c r="B831" i="11"/>
  <c r="B832" i="11"/>
  <c r="B833" i="11"/>
  <c r="B834" i="11"/>
  <c r="B835" i="11"/>
  <c r="B836" i="11"/>
  <c r="B837" i="11"/>
  <c r="B838" i="11"/>
  <c r="B839" i="11"/>
  <c r="B840" i="11"/>
  <c r="B841" i="11"/>
  <c r="B842" i="11"/>
  <c r="B843" i="11"/>
  <c r="B844" i="11"/>
  <c r="B845" i="11"/>
  <c r="B846" i="11"/>
  <c r="B847" i="11"/>
  <c r="B848" i="11"/>
  <c r="B849" i="11"/>
  <c r="B850" i="11"/>
  <c r="B851" i="11"/>
  <c r="B852" i="11"/>
  <c r="B853" i="11"/>
  <c r="B854" i="11"/>
  <c r="B855" i="11"/>
  <c r="B856" i="11"/>
  <c r="B857" i="11"/>
  <c r="B858" i="11"/>
  <c r="B859" i="11"/>
  <c r="B860" i="11"/>
  <c r="B861" i="11"/>
  <c r="B862" i="11"/>
  <c r="B765" i="11"/>
  <c r="B766" i="11"/>
  <c r="B767" i="11"/>
  <c r="B768" i="11"/>
  <c r="B769" i="11"/>
  <c r="B770" i="11"/>
  <c r="B771" i="11"/>
  <c r="B772" i="11"/>
  <c r="B773" i="11"/>
  <c r="B774" i="11"/>
  <c r="B764" i="11"/>
  <c r="W41" i="13" l="1"/>
  <c r="S41" i="13"/>
  <c r="H41" i="13" s="1"/>
  <c r="F116" i="5"/>
  <c r="F95" i="5"/>
  <c r="F74" i="5"/>
  <c r="F53" i="5"/>
  <c r="C63" i="5"/>
  <c r="C65" i="5" s="1"/>
  <c r="F32" i="5"/>
  <c r="M74" i="5"/>
  <c r="L137" i="5"/>
  <c r="M137" i="5"/>
  <c r="L74" i="5"/>
  <c r="D782" i="11"/>
  <c r="D781" i="11"/>
  <c r="D779" i="11"/>
  <c r="D352" i="11"/>
  <c r="D351" i="11"/>
  <c r="D350" i="11"/>
  <c r="D349" i="11"/>
  <c r="D348" i="11"/>
  <c r="D347" i="11"/>
  <c r="D346" i="11"/>
  <c r="D345" i="11"/>
  <c r="D344" i="11"/>
  <c r="D343" i="11"/>
  <c r="J115" i="1"/>
  <c r="J116" i="1"/>
  <c r="J117" i="1"/>
  <c r="J118" i="1"/>
  <c r="J119" i="1"/>
  <c r="J120" i="1"/>
  <c r="J121" i="1"/>
  <c r="J122" i="1"/>
  <c r="J123" i="1"/>
  <c r="J124" i="1"/>
  <c r="J125" i="1"/>
  <c r="J126" i="1"/>
  <c r="J127" i="1"/>
  <c r="J128" i="1"/>
  <c r="J129" i="1"/>
  <c r="J114" i="1"/>
  <c r="H83" i="1"/>
  <c r="H84" i="1"/>
  <c r="H85" i="1"/>
  <c r="H86" i="1"/>
  <c r="H87" i="1"/>
  <c r="H88" i="1"/>
  <c r="H89" i="1"/>
  <c r="H90" i="1"/>
  <c r="H91" i="1"/>
  <c r="H92" i="1"/>
  <c r="H93" i="1"/>
  <c r="H94" i="1"/>
  <c r="H95" i="1"/>
  <c r="H96" i="1"/>
  <c r="H99" i="1"/>
  <c r="H101" i="1"/>
  <c r="H103" i="1"/>
  <c r="H104" i="1"/>
  <c r="H105" i="1"/>
  <c r="H82" i="1"/>
  <c r="C177" i="5"/>
  <c r="C178" i="5"/>
  <c r="C179" i="5"/>
  <c r="C180" i="5"/>
  <c r="C181" i="5"/>
  <c r="C182" i="5"/>
  <c r="C183" i="5"/>
  <c r="C184" i="5"/>
  <c r="C157" i="5"/>
  <c r="C158" i="5"/>
  <c r="C159" i="5"/>
  <c r="C160" i="5"/>
  <c r="C161" i="5"/>
  <c r="C162" i="5"/>
  <c r="C163" i="5"/>
  <c r="C164" i="5"/>
  <c r="M77" i="5"/>
  <c r="Y41" i="13" l="1"/>
  <c r="M142" i="5"/>
  <c r="M132" i="5"/>
  <c r="M133" i="5"/>
  <c r="M134" i="5"/>
  <c r="M135" i="5"/>
  <c r="M136" i="5"/>
  <c r="D177" i="5"/>
  <c r="I151" i="5"/>
  <c r="I173" i="5"/>
  <c r="I171" i="5"/>
  <c r="I153" i="5"/>
  <c r="I112" i="5"/>
  <c r="I110" i="5"/>
  <c r="I91" i="5"/>
  <c r="I89" i="5"/>
  <c r="I70" i="5"/>
  <c r="I68" i="5"/>
  <c r="C186" i="5"/>
  <c r="C188" i="5" s="1"/>
  <c r="E184" i="5"/>
  <c r="D184" i="5"/>
  <c r="E183" i="5"/>
  <c r="D183" i="5"/>
  <c r="E182" i="5"/>
  <c r="D182" i="5"/>
  <c r="E181" i="5"/>
  <c r="D181" i="5"/>
  <c r="E180" i="5"/>
  <c r="D180" i="5"/>
  <c r="E179" i="5"/>
  <c r="D179" i="5"/>
  <c r="E178" i="5"/>
  <c r="D178" i="5"/>
  <c r="E177" i="5"/>
  <c r="C166" i="5"/>
  <c r="C168" i="5" s="1"/>
  <c r="E164" i="5"/>
  <c r="D164" i="5"/>
  <c r="E163" i="5"/>
  <c r="D163" i="5"/>
  <c r="E162" i="5"/>
  <c r="D162" i="5"/>
  <c r="E161" i="5"/>
  <c r="D161" i="5"/>
  <c r="E160" i="5"/>
  <c r="D160" i="5"/>
  <c r="E159" i="5"/>
  <c r="D159" i="5"/>
  <c r="E158" i="5"/>
  <c r="D158" i="5"/>
  <c r="E157" i="5"/>
  <c r="D157" i="5"/>
  <c r="C146" i="5"/>
  <c r="F144" i="5"/>
  <c r="F143" i="5"/>
  <c r="F142" i="5"/>
  <c r="F141" i="5"/>
  <c r="F140" i="5"/>
  <c r="F139" i="5"/>
  <c r="F138" i="5"/>
  <c r="F137" i="5"/>
  <c r="X41" i="13" l="1"/>
  <c r="Z41" i="13"/>
  <c r="C148" i="5"/>
  <c r="D145" i="5"/>
  <c r="G146" i="5" s="1"/>
  <c r="H155" i="5"/>
  <c r="H175" i="5"/>
  <c r="M146" i="5"/>
  <c r="G138" i="5" s="1"/>
  <c r="I138" i="5" s="1"/>
  <c r="F182" i="5"/>
  <c r="N153" i="5"/>
  <c r="F164" i="5"/>
  <c r="F179" i="5"/>
  <c r="F162" i="5"/>
  <c r="F178" i="5"/>
  <c r="F159" i="5"/>
  <c r="F183" i="5"/>
  <c r="F163" i="5"/>
  <c r="F160" i="5"/>
  <c r="F181" i="5"/>
  <c r="F158" i="5"/>
  <c r="F180" i="5"/>
  <c r="F177" i="5"/>
  <c r="F157" i="5"/>
  <c r="F184" i="5"/>
  <c r="F161" i="5"/>
  <c r="G158" i="5" l="1"/>
  <c r="H158" i="5" s="1"/>
  <c r="Z4" i="13"/>
  <c r="Z3" i="13"/>
  <c r="Y3" i="13"/>
  <c r="Y4" i="13"/>
  <c r="X4" i="13"/>
  <c r="X3" i="13"/>
  <c r="G177" i="5"/>
  <c r="I177" i="5" s="1"/>
  <c r="G163" i="5"/>
  <c r="I163" i="5" s="1"/>
  <c r="G184" i="5"/>
  <c r="I184" i="5" s="1"/>
  <c r="G183" i="5"/>
  <c r="I183" i="5" s="1"/>
  <c r="G162" i="5"/>
  <c r="I162" i="5" s="1"/>
  <c r="G161" i="5"/>
  <c r="I161" i="5" s="1"/>
  <c r="G159" i="5"/>
  <c r="H159" i="5" s="1"/>
  <c r="G50" i="1"/>
  <c r="G49" i="1"/>
  <c r="G179" i="5"/>
  <c r="H179" i="5" s="1"/>
  <c r="G157" i="5"/>
  <c r="H157" i="5" s="1"/>
  <c r="G178" i="5"/>
  <c r="H178" i="5" s="1"/>
  <c r="G164" i="5"/>
  <c r="H164" i="5" s="1"/>
  <c r="H138" i="5"/>
  <c r="G160" i="5"/>
  <c r="H160" i="5" s="1"/>
  <c r="G139" i="5"/>
  <c r="I139" i="5" s="1"/>
  <c r="G142" i="5"/>
  <c r="I142" i="5" s="1"/>
  <c r="G140" i="5"/>
  <c r="H140" i="5" s="1"/>
  <c r="G143" i="5"/>
  <c r="I143" i="5" s="1"/>
  <c r="G141" i="5"/>
  <c r="I141" i="5" s="1"/>
  <c r="G144" i="5"/>
  <c r="H144" i="5" s="1"/>
  <c r="G180" i="5"/>
  <c r="I180" i="5" s="1"/>
  <c r="G182" i="5"/>
  <c r="H182" i="5" s="1"/>
  <c r="G181" i="5"/>
  <c r="I181" i="5" s="1"/>
  <c r="G137" i="5"/>
  <c r="H137" i="5" s="1"/>
  <c r="S7" i="17"/>
  <c r="D39" i="17"/>
  <c r="I158" i="5" l="1"/>
  <c r="I159" i="5"/>
  <c r="H177" i="5"/>
  <c r="H184" i="5"/>
  <c r="I157" i="5"/>
  <c r="I179" i="5"/>
  <c r="H162" i="5"/>
  <c r="H183" i="5"/>
  <c r="H163" i="5"/>
  <c r="H161" i="5"/>
  <c r="I178" i="5"/>
  <c r="I164" i="5"/>
  <c r="I160" i="5"/>
  <c r="H181" i="5"/>
  <c r="I140" i="5"/>
  <c r="I144" i="5"/>
  <c r="H143" i="5"/>
  <c r="H139" i="5"/>
  <c r="I137" i="5"/>
  <c r="H142" i="5"/>
  <c r="H141" i="5"/>
  <c r="I182" i="5"/>
  <c r="H180" i="5"/>
  <c r="N150" i="20"/>
  <c r="N167" i="5" l="1"/>
  <c r="N166" i="5"/>
  <c r="N165" i="5"/>
  <c r="H146" i="5"/>
  <c r="I146" i="5" s="1"/>
  <c r="I148" i="5" s="1"/>
  <c r="C124" i="5"/>
  <c r="C123" i="5"/>
  <c r="C122" i="5"/>
  <c r="C121" i="5"/>
  <c r="C120" i="5"/>
  <c r="C119" i="5"/>
  <c r="C118" i="5"/>
  <c r="C117" i="5"/>
  <c r="C103" i="5"/>
  <c r="C102" i="5"/>
  <c r="C101" i="5"/>
  <c r="C100" i="5"/>
  <c r="C99" i="5"/>
  <c r="C98" i="5"/>
  <c r="C97" i="5"/>
  <c r="C96" i="5"/>
  <c r="M75" i="5" l="1"/>
  <c r="E21" i="1"/>
  <c r="U3" i="13"/>
  <c r="C105" i="5"/>
  <c r="C107" i="5" s="1"/>
  <c r="C126" i="5"/>
  <c r="C128" i="5" s="1"/>
  <c r="U4" i="13"/>
  <c r="F22" i="1"/>
  <c r="F13" i="5"/>
  <c r="F14" i="5"/>
  <c r="F15" i="5"/>
  <c r="F16" i="5"/>
  <c r="F17" i="5"/>
  <c r="F18" i="5"/>
  <c r="F19" i="5"/>
  <c r="F12" i="5"/>
  <c r="N27" i="5"/>
  <c r="I106" i="5" l="1"/>
  <c r="I127" i="5" s="1"/>
  <c r="H72" i="5" l="1"/>
  <c r="H51" i="5"/>
  <c r="H30" i="5"/>
  <c r="H114" i="5" l="1"/>
  <c r="H93" i="5"/>
  <c r="H186" i="5" l="1"/>
  <c r="I186" i="5" s="1"/>
  <c r="I188" i="5" s="1"/>
  <c r="H166" i="5"/>
  <c r="I166" i="5" s="1"/>
  <c r="I168" i="5" s="1"/>
  <c r="B11" i="11"/>
  <c r="V4" i="13" l="1"/>
  <c r="V3" i="13"/>
  <c r="W4" i="13"/>
  <c r="W3" i="13"/>
  <c r="D786" i="11"/>
  <c r="F102" i="1" l="1"/>
  <c r="M79" i="5" l="1"/>
  <c r="M73" i="5"/>
  <c r="M72" i="5"/>
  <c r="M71" i="5"/>
  <c r="M70" i="5"/>
  <c r="M69" i="5"/>
  <c r="M83" i="5" l="1"/>
  <c r="G116" i="5" s="1"/>
  <c r="I116" i="5" l="1"/>
  <c r="H116" i="5"/>
  <c r="G74" i="5"/>
  <c r="I74" i="5" s="1"/>
  <c r="G95" i="5"/>
  <c r="G96" i="5"/>
  <c r="A101" i="1"/>
  <c r="A102" i="1"/>
  <c r="M20" i="5"/>
  <c r="G53" i="5" s="1"/>
  <c r="H74" i="5" l="1"/>
  <c r="I95" i="5"/>
  <c r="H95" i="5"/>
  <c r="I53" i="5"/>
  <c r="H53" i="5"/>
  <c r="G11" i="5"/>
  <c r="I11" i="5" s="1"/>
  <c r="G32" i="5"/>
  <c r="T1005" i="13"/>
  <c r="T1004" i="13"/>
  <c r="T1003" i="13"/>
  <c r="T1002" i="13"/>
  <c r="T1001" i="13"/>
  <c r="T1000" i="13"/>
  <c r="T999" i="13"/>
  <c r="T998" i="13"/>
  <c r="T997" i="13"/>
  <c r="T996" i="13"/>
  <c r="T995" i="13"/>
  <c r="T994" i="13"/>
  <c r="T993" i="13"/>
  <c r="T992" i="13"/>
  <c r="T991" i="13"/>
  <c r="T990" i="13"/>
  <c r="T989" i="13"/>
  <c r="T988" i="13"/>
  <c r="T987" i="13"/>
  <c r="T986" i="13"/>
  <c r="T985" i="13"/>
  <c r="T984" i="13"/>
  <c r="T983" i="13"/>
  <c r="T982" i="13"/>
  <c r="T981" i="13"/>
  <c r="T980" i="13"/>
  <c r="T974" i="13"/>
  <c r="T973" i="13"/>
  <c r="T972" i="13"/>
  <c r="T971" i="13"/>
  <c r="T970" i="13"/>
  <c r="T969" i="13"/>
  <c r="T968" i="13"/>
  <c r="T967" i="13"/>
  <c r="T966" i="13"/>
  <c r="T965" i="13"/>
  <c r="T964" i="13"/>
  <c r="T963" i="13"/>
  <c r="T962" i="13"/>
  <c r="T961" i="13"/>
  <c r="T960" i="13"/>
  <c r="T959" i="13"/>
  <c r="T958" i="13"/>
  <c r="T957" i="13"/>
  <c r="T956" i="13"/>
  <c r="T955" i="13"/>
  <c r="T954" i="13"/>
  <c r="T953" i="13"/>
  <c r="T952" i="13"/>
  <c r="T951" i="13"/>
  <c r="T950" i="13"/>
  <c r="T949" i="13"/>
  <c r="T943" i="13"/>
  <c r="T942" i="13"/>
  <c r="T941" i="13"/>
  <c r="T940" i="13"/>
  <c r="T939" i="13"/>
  <c r="T938" i="13"/>
  <c r="T937" i="13"/>
  <c r="T936" i="13"/>
  <c r="T935" i="13"/>
  <c r="T934" i="13"/>
  <c r="T933" i="13"/>
  <c r="T932" i="13"/>
  <c r="T931" i="13"/>
  <c r="T930" i="13"/>
  <c r="T929" i="13"/>
  <c r="T928" i="13"/>
  <c r="T927" i="13"/>
  <c r="T926" i="13"/>
  <c r="T925" i="13"/>
  <c r="T924" i="13"/>
  <c r="T923" i="13"/>
  <c r="T922" i="13"/>
  <c r="T921" i="13"/>
  <c r="T920" i="13"/>
  <c r="T919" i="13"/>
  <c r="T918" i="13"/>
  <c r="T912" i="13"/>
  <c r="T911" i="13"/>
  <c r="T910" i="13"/>
  <c r="T909" i="13"/>
  <c r="T908" i="13"/>
  <c r="T907" i="13"/>
  <c r="T906" i="13"/>
  <c r="T905" i="13"/>
  <c r="T904" i="13"/>
  <c r="T903" i="13"/>
  <c r="T902" i="13"/>
  <c r="T901" i="13"/>
  <c r="T900" i="13"/>
  <c r="T899" i="13"/>
  <c r="T898" i="13"/>
  <c r="T897" i="13"/>
  <c r="T896" i="13"/>
  <c r="T895" i="13"/>
  <c r="T894" i="13"/>
  <c r="T893" i="13"/>
  <c r="T892" i="13"/>
  <c r="T891" i="13"/>
  <c r="T890" i="13"/>
  <c r="T889" i="13"/>
  <c r="T888" i="13"/>
  <c r="T887" i="13"/>
  <c r="T881" i="13"/>
  <c r="T880" i="13"/>
  <c r="T879" i="13"/>
  <c r="T878" i="13"/>
  <c r="T877" i="13"/>
  <c r="T876" i="13"/>
  <c r="T875" i="13"/>
  <c r="T874" i="13"/>
  <c r="T873" i="13"/>
  <c r="T872" i="13"/>
  <c r="T871" i="13"/>
  <c r="T870" i="13"/>
  <c r="T869" i="13"/>
  <c r="T868" i="13"/>
  <c r="T867" i="13"/>
  <c r="T866" i="13"/>
  <c r="T865" i="13"/>
  <c r="T864" i="13"/>
  <c r="T863" i="13"/>
  <c r="T862" i="13"/>
  <c r="T861" i="13"/>
  <c r="T860" i="13"/>
  <c r="T859" i="13"/>
  <c r="T858" i="13"/>
  <c r="T857" i="13"/>
  <c r="T856" i="13"/>
  <c r="T850" i="13"/>
  <c r="T849" i="13"/>
  <c r="T848" i="13"/>
  <c r="T847" i="13"/>
  <c r="T846" i="13"/>
  <c r="T845" i="13"/>
  <c r="T844" i="13"/>
  <c r="T843" i="13"/>
  <c r="T842" i="13"/>
  <c r="T841" i="13"/>
  <c r="T840" i="13"/>
  <c r="T839" i="13"/>
  <c r="T838" i="13"/>
  <c r="T837" i="13"/>
  <c r="T836" i="13"/>
  <c r="T835" i="13"/>
  <c r="T834" i="13"/>
  <c r="T833" i="13"/>
  <c r="T832" i="13"/>
  <c r="T831" i="13"/>
  <c r="T830" i="13"/>
  <c r="T829" i="13"/>
  <c r="T828" i="13"/>
  <c r="T827" i="13"/>
  <c r="T826" i="13"/>
  <c r="T825" i="13"/>
  <c r="T819" i="13"/>
  <c r="T818" i="13"/>
  <c r="T817" i="13"/>
  <c r="T816" i="13"/>
  <c r="T815" i="13"/>
  <c r="T814" i="13"/>
  <c r="T813" i="13"/>
  <c r="T812" i="13"/>
  <c r="T811" i="13"/>
  <c r="T810" i="13"/>
  <c r="T809" i="13"/>
  <c r="T808" i="13"/>
  <c r="T807" i="13"/>
  <c r="T806" i="13"/>
  <c r="T805" i="13"/>
  <c r="T804" i="13"/>
  <c r="T803" i="13"/>
  <c r="T802" i="13"/>
  <c r="T801" i="13"/>
  <c r="T800" i="13"/>
  <c r="T799" i="13"/>
  <c r="T798" i="13"/>
  <c r="T797" i="13"/>
  <c r="T796" i="13"/>
  <c r="T795" i="13"/>
  <c r="T794" i="13"/>
  <c r="T788" i="13"/>
  <c r="T787" i="13"/>
  <c r="T786" i="13"/>
  <c r="T785" i="13"/>
  <c r="T784" i="13"/>
  <c r="T783" i="13"/>
  <c r="T782" i="13"/>
  <c r="T781" i="13"/>
  <c r="T780" i="13"/>
  <c r="T779" i="13"/>
  <c r="T778" i="13"/>
  <c r="T777" i="13"/>
  <c r="T776" i="13"/>
  <c r="T775" i="13"/>
  <c r="T774" i="13"/>
  <c r="T773" i="13"/>
  <c r="T772" i="13"/>
  <c r="T771" i="13"/>
  <c r="T770" i="13"/>
  <c r="T769" i="13"/>
  <c r="T768" i="13"/>
  <c r="T767" i="13"/>
  <c r="T766" i="13"/>
  <c r="T765" i="13"/>
  <c r="T764" i="13"/>
  <c r="T763" i="13"/>
  <c r="T757" i="13"/>
  <c r="T756" i="13"/>
  <c r="T755" i="13"/>
  <c r="T754" i="13"/>
  <c r="T753" i="13"/>
  <c r="T752" i="13"/>
  <c r="T751" i="13"/>
  <c r="T750" i="13"/>
  <c r="T749" i="13"/>
  <c r="T748" i="13"/>
  <c r="T747" i="13"/>
  <c r="T746" i="13"/>
  <c r="T745" i="13"/>
  <c r="T744" i="13"/>
  <c r="T743" i="13"/>
  <c r="T742" i="13"/>
  <c r="T741" i="13"/>
  <c r="T740" i="13"/>
  <c r="T739" i="13"/>
  <c r="T738" i="13"/>
  <c r="T737" i="13"/>
  <c r="T736" i="13"/>
  <c r="T735" i="13"/>
  <c r="T734" i="13"/>
  <c r="T733" i="13"/>
  <c r="T732" i="13"/>
  <c r="T726" i="13"/>
  <c r="T725" i="13"/>
  <c r="T724" i="13"/>
  <c r="T723" i="13"/>
  <c r="T722" i="13"/>
  <c r="T721" i="13"/>
  <c r="T720" i="13"/>
  <c r="T719" i="13"/>
  <c r="T718" i="13"/>
  <c r="T717" i="13"/>
  <c r="T716" i="13"/>
  <c r="T715" i="13"/>
  <c r="T714" i="13"/>
  <c r="T713" i="13"/>
  <c r="T712" i="13"/>
  <c r="T711" i="13"/>
  <c r="T710" i="13"/>
  <c r="T709" i="13"/>
  <c r="T708" i="13"/>
  <c r="T707" i="13"/>
  <c r="T706" i="13"/>
  <c r="T705" i="13"/>
  <c r="T704" i="13"/>
  <c r="T703" i="13"/>
  <c r="T702" i="13"/>
  <c r="T701" i="13"/>
  <c r="T695" i="13"/>
  <c r="T694" i="13"/>
  <c r="T693" i="13"/>
  <c r="T692" i="13"/>
  <c r="T691" i="13"/>
  <c r="T690" i="13"/>
  <c r="T689" i="13"/>
  <c r="T688" i="13"/>
  <c r="T687" i="13"/>
  <c r="T686" i="13"/>
  <c r="T685" i="13"/>
  <c r="T684" i="13"/>
  <c r="T683" i="13"/>
  <c r="T682" i="13"/>
  <c r="T681" i="13"/>
  <c r="T680" i="13"/>
  <c r="T679" i="13"/>
  <c r="T678" i="13"/>
  <c r="T677" i="13"/>
  <c r="T676" i="13"/>
  <c r="T675" i="13"/>
  <c r="T674" i="13"/>
  <c r="T673" i="13"/>
  <c r="T672" i="13"/>
  <c r="T671" i="13"/>
  <c r="T670" i="13"/>
  <c r="T664" i="13"/>
  <c r="T663" i="13"/>
  <c r="T662" i="13"/>
  <c r="T661" i="13"/>
  <c r="T660" i="13"/>
  <c r="T659" i="13"/>
  <c r="T658" i="13"/>
  <c r="T657" i="13"/>
  <c r="T656" i="13"/>
  <c r="T655" i="13"/>
  <c r="T654" i="13"/>
  <c r="T653" i="13"/>
  <c r="T652" i="13"/>
  <c r="T651" i="13"/>
  <c r="T650" i="13"/>
  <c r="T649" i="13"/>
  <c r="T648" i="13"/>
  <c r="T647" i="13"/>
  <c r="T646" i="13"/>
  <c r="T645" i="13"/>
  <c r="T644" i="13"/>
  <c r="T643" i="13"/>
  <c r="T642" i="13"/>
  <c r="T641" i="13"/>
  <c r="T640" i="13"/>
  <c r="T639" i="13"/>
  <c r="T633" i="13"/>
  <c r="T632" i="13"/>
  <c r="T631" i="13"/>
  <c r="T630" i="13"/>
  <c r="T629" i="13"/>
  <c r="T628" i="13"/>
  <c r="T627" i="13"/>
  <c r="T626" i="13"/>
  <c r="T625" i="13"/>
  <c r="T624" i="13"/>
  <c r="T623" i="13"/>
  <c r="T622" i="13"/>
  <c r="T621" i="13"/>
  <c r="T620" i="13"/>
  <c r="T619" i="13"/>
  <c r="T618" i="13"/>
  <c r="T617" i="13"/>
  <c r="T616" i="13"/>
  <c r="T615" i="13"/>
  <c r="T614" i="13"/>
  <c r="T613" i="13"/>
  <c r="T612" i="13"/>
  <c r="T611" i="13"/>
  <c r="T610" i="13"/>
  <c r="T609" i="13"/>
  <c r="T608" i="13"/>
  <c r="T602" i="13"/>
  <c r="T601" i="13"/>
  <c r="T600" i="13"/>
  <c r="T599" i="13"/>
  <c r="T598" i="13"/>
  <c r="T597" i="13"/>
  <c r="T596" i="13"/>
  <c r="T595" i="13"/>
  <c r="T594" i="13"/>
  <c r="T593" i="13"/>
  <c r="T592" i="13"/>
  <c r="T591" i="13"/>
  <c r="T590" i="13"/>
  <c r="T589" i="13"/>
  <c r="T588" i="13"/>
  <c r="T587" i="13"/>
  <c r="T586" i="13"/>
  <c r="T585" i="13"/>
  <c r="T584" i="13"/>
  <c r="T583" i="13"/>
  <c r="T582" i="13"/>
  <c r="T581" i="13"/>
  <c r="T580" i="13"/>
  <c r="T579" i="13"/>
  <c r="T578" i="13"/>
  <c r="T577" i="13"/>
  <c r="T571" i="13"/>
  <c r="T570" i="13"/>
  <c r="T569" i="13"/>
  <c r="T568" i="13"/>
  <c r="T567" i="13"/>
  <c r="T566" i="13"/>
  <c r="T565" i="13"/>
  <c r="T564" i="13"/>
  <c r="T563" i="13"/>
  <c r="T562" i="13"/>
  <c r="T561" i="13"/>
  <c r="T560" i="13"/>
  <c r="T559" i="13"/>
  <c r="T558" i="13"/>
  <c r="T557" i="13"/>
  <c r="T556" i="13"/>
  <c r="T555" i="13"/>
  <c r="T554" i="13"/>
  <c r="T553" i="13"/>
  <c r="T552" i="13"/>
  <c r="T551" i="13"/>
  <c r="T550" i="13"/>
  <c r="T549" i="13"/>
  <c r="T548" i="13"/>
  <c r="T547" i="13"/>
  <c r="T546" i="13"/>
  <c r="T540" i="13"/>
  <c r="T539" i="13"/>
  <c r="T538" i="13"/>
  <c r="T537" i="13"/>
  <c r="T536" i="13"/>
  <c r="T535" i="13"/>
  <c r="T534" i="13"/>
  <c r="T533" i="13"/>
  <c r="T532" i="13"/>
  <c r="T531" i="13"/>
  <c r="T530" i="13"/>
  <c r="T529" i="13"/>
  <c r="T528" i="13"/>
  <c r="T527" i="13"/>
  <c r="T526" i="13"/>
  <c r="T525" i="13"/>
  <c r="T524" i="13"/>
  <c r="T523" i="13"/>
  <c r="T522" i="13"/>
  <c r="T521" i="13"/>
  <c r="T520" i="13"/>
  <c r="T519" i="13"/>
  <c r="T518" i="13"/>
  <c r="T517" i="13"/>
  <c r="T516" i="13"/>
  <c r="T515" i="13"/>
  <c r="T509" i="13"/>
  <c r="T508" i="13"/>
  <c r="T507" i="13"/>
  <c r="T506" i="13"/>
  <c r="T505" i="13"/>
  <c r="T504" i="13"/>
  <c r="T503" i="13"/>
  <c r="T502" i="13"/>
  <c r="T501" i="13"/>
  <c r="T500" i="13"/>
  <c r="T499" i="13"/>
  <c r="T498" i="13"/>
  <c r="T497" i="13"/>
  <c r="T496" i="13"/>
  <c r="T495" i="13"/>
  <c r="T494" i="13"/>
  <c r="T493" i="13"/>
  <c r="T492" i="13"/>
  <c r="T491" i="13"/>
  <c r="T490" i="13"/>
  <c r="T489" i="13"/>
  <c r="T488" i="13"/>
  <c r="T487" i="13"/>
  <c r="T486" i="13"/>
  <c r="T485" i="13"/>
  <c r="T484" i="13"/>
  <c r="T478" i="13"/>
  <c r="T477" i="13"/>
  <c r="T476" i="13"/>
  <c r="T475" i="13"/>
  <c r="T474" i="13"/>
  <c r="T473" i="13"/>
  <c r="T472" i="13"/>
  <c r="T471" i="13"/>
  <c r="T470" i="13"/>
  <c r="T469" i="13"/>
  <c r="T468" i="13"/>
  <c r="T467" i="13"/>
  <c r="T466" i="13"/>
  <c r="T465" i="13"/>
  <c r="T464" i="13"/>
  <c r="T463" i="13"/>
  <c r="T462" i="13"/>
  <c r="T461" i="13"/>
  <c r="T460" i="13"/>
  <c r="T459" i="13"/>
  <c r="T458" i="13"/>
  <c r="T457" i="13"/>
  <c r="T456" i="13"/>
  <c r="T455" i="13"/>
  <c r="T454" i="13"/>
  <c r="T453" i="13"/>
  <c r="T447" i="13"/>
  <c r="T446" i="13"/>
  <c r="T445" i="13"/>
  <c r="T444" i="13"/>
  <c r="T443" i="13"/>
  <c r="T442" i="13"/>
  <c r="T441" i="13"/>
  <c r="T440" i="13"/>
  <c r="T439" i="13"/>
  <c r="T438" i="13"/>
  <c r="T437" i="13"/>
  <c r="T436" i="13"/>
  <c r="T435" i="13"/>
  <c r="T434" i="13"/>
  <c r="T433" i="13"/>
  <c r="T432" i="13"/>
  <c r="T431" i="13"/>
  <c r="T430" i="13"/>
  <c r="T429" i="13"/>
  <c r="T428" i="13"/>
  <c r="T427" i="13"/>
  <c r="T426" i="13"/>
  <c r="T425" i="13"/>
  <c r="T424" i="13"/>
  <c r="T423" i="13"/>
  <c r="T422" i="13"/>
  <c r="T416" i="13"/>
  <c r="T415" i="13"/>
  <c r="T414" i="13"/>
  <c r="T413" i="13"/>
  <c r="T412" i="13"/>
  <c r="T411" i="13"/>
  <c r="T410" i="13"/>
  <c r="T409" i="13"/>
  <c r="T408" i="13"/>
  <c r="T407" i="13"/>
  <c r="T406" i="13"/>
  <c r="T405" i="13"/>
  <c r="T404" i="13"/>
  <c r="T403" i="13"/>
  <c r="T402" i="13"/>
  <c r="T401" i="13"/>
  <c r="T400" i="13"/>
  <c r="T399" i="13"/>
  <c r="T398" i="13"/>
  <c r="T397" i="13"/>
  <c r="T396" i="13"/>
  <c r="T395" i="13"/>
  <c r="T394" i="13"/>
  <c r="T393" i="13"/>
  <c r="T392" i="13"/>
  <c r="T391" i="13"/>
  <c r="T385" i="13"/>
  <c r="T384" i="13"/>
  <c r="T383" i="13"/>
  <c r="T382" i="13"/>
  <c r="T381" i="13"/>
  <c r="T380" i="13"/>
  <c r="T379" i="13"/>
  <c r="T378" i="13"/>
  <c r="T377" i="13"/>
  <c r="T376" i="13"/>
  <c r="T375" i="13"/>
  <c r="T374" i="13"/>
  <c r="T373" i="13"/>
  <c r="T372" i="13"/>
  <c r="T371" i="13"/>
  <c r="T370" i="13"/>
  <c r="T369" i="13"/>
  <c r="T368" i="13"/>
  <c r="T367" i="13"/>
  <c r="T366" i="13"/>
  <c r="T365" i="13"/>
  <c r="T364" i="13"/>
  <c r="T363" i="13"/>
  <c r="T362" i="13"/>
  <c r="T361" i="13"/>
  <c r="T360" i="13"/>
  <c r="T354" i="13"/>
  <c r="T353" i="13"/>
  <c r="T352" i="13"/>
  <c r="T351" i="13"/>
  <c r="T350" i="13"/>
  <c r="T349" i="13"/>
  <c r="T348" i="13"/>
  <c r="T347" i="13"/>
  <c r="T346" i="13"/>
  <c r="T345" i="13"/>
  <c r="T344" i="13"/>
  <c r="T343" i="13"/>
  <c r="T342" i="13"/>
  <c r="T341" i="13"/>
  <c r="T340" i="13"/>
  <c r="T339" i="13"/>
  <c r="T338" i="13"/>
  <c r="T337" i="13"/>
  <c r="T336" i="13"/>
  <c r="T335" i="13"/>
  <c r="T334" i="13"/>
  <c r="T333" i="13"/>
  <c r="T332" i="13"/>
  <c r="T331" i="13"/>
  <c r="T330" i="13"/>
  <c r="T329" i="13"/>
  <c r="T323" i="13"/>
  <c r="T322" i="13"/>
  <c r="T321" i="13"/>
  <c r="T320" i="13"/>
  <c r="T319" i="13"/>
  <c r="T318" i="13"/>
  <c r="T317" i="13"/>
  <c r="T316" i="13"/>
  <c r="T315" i="13"/>
  <c r="T314" i="13"/>
  <c r="T313" i="13"/>
  <c r="T312" i="13"/>
  <c r="T311" i="13"/>
  <c r="T310" i="13"/>
  <c r="T309" i="13"/>
  <c r="T308" i="13"/>
  <c r="T307" i="13"/>
  <c r="T306" i="13"/>
  <c r="T305" i="13"/>
  <c r="T304" i="13"/>
  <c r="T303" i="13"/>
  <c r="T302" i="13"/>
  <c r="T301" i="13"/>
  <c r="T300" i="13"/>
  <c r="T299" i="13"/>
  <c r="T298" i="13"/>
  <c r="T292" i="13"/>
  <c r="T291" i="13"/>
  <c r="T290" i="13"/>
  <c r="T289" i="13"/>
  <c r="T288" i="13"/>
  <c r="T287" i="13"/>
  <c r="T286" i="13"/>
  <c r="T285" i="13"/>
  <c r="T284" i="13"/>
  <c r="T283" i="13"/>
  <c r="T282" i="13"/>
  <c r="T281" i="13"/>
  <c r="T280" i="13"/>
  <c r="T279" i="13"/>
  <c r="T278" i="13"/>
  <c r="T277" i="13"/>
  <c r="T276" i="13"/>
  <c r="T275" i="13"/>
  <c r="T274" i="13"/>
  <c r="T273" i="13"/>
  <c r="T272" i="13"/>
  <c r="T271" i="13"/>
  <c r="T270" i="13"/>
  <c r="T269" i="13"/>
  <c r="T268" i="13"/>
  <c r="T267" i="13"/>
  <c r="T261" i="13"/>
  <c r="T260" i="13"/>
  <c r="T259" i="13"/>
  <c r="T258" i="13"/>
  <c r="T257" i="13"/>
  <c r="T256" i="13"/>
  <c r="T255" i="13"/>
  <c r="T254" i="13"/>
  <c r="T253" i="13"/>
  <c r="T252" i="13"/>
  <c r="T251" i="13"/>
  <c r="T250" i="13"/>
  <c r="T249" i="13"/>
  <c r="T248" i="13"/>
  <c r="T247" i="13"/>
  <c r="T246" i="13"/>
  <c r="T245" i="13"/>
  <c r="T244" i="13"/>
  <c r="T243" i="13"/>
  <c r="T242" i="13"/>
  <c r="T241" i="13"/>
  <c r="T240" i="13"/>
  <c r="T239" i="13"/>
  <c r="T238" i="13"/>
  <c r="T237" i="13"/>
  <c r="T236" i="13"/>
  <c r="T230" i="13"/>
  <c r="T229" i="13"/>
  <c r="T228" i="13"/>
  <c r="T227" i="13"/>
  <c r="T226" i="13"/>
  <c r="T225" i="13"/>
  <c r="T224" i="13"/>
  <c r="T223" i="13"/>
  <c r="T222" i="13"/>
  <c r="T221" i="13"/>
  <c r="T220" i="13"/>
  <c r="T219" i="13"/>
  <c r="T218" i="13"/>
  <c r="T217" i="13"/>
  <c r="T216" i="13"/>
  <c r="T215" i="13"/>
  <c r="T214" i="13"/>
  <c r="T213" i="13"/>
  <c r="T212" i="13"/>
  <c r="T211" i="13"/>
  <c r="T210" i="13"/>
  <c r="T209" i="13"/>
  <c r="T208" i="13"/>
  <c r="T207" i="13"/>
  <c r="T206" i="13"/>
  <c r="T205" i="13"/>
  <c r="T199" i="13"/>
  <c r="T198" i="13"/>
  <c r="T197" i="13"/>
  <c r="T196" i="13"/>
  <c r="T195" i="13"/>
  <c r="T194" i="13"/>
  <c r="T193" i="13"/>
  <c r="T192" i="13"/>
  <c r="T191" i="13"/>
  <c r="T190" i="13"/>
  <c r="T189" i="13"/>
  <c r="T188" i="13"/>
  <c r="T187" i="13"/>
  <c r="T186" i="13"/>
  <c r="T185" i="13"/>
  <c r="T184" i="13"/>
  <c r="T183" i="13"/>
  <c r="T182" i="13"/>
  <c r="T181" i="13"/>
  <c r="T180" i="13"/>
  <c r="T179" i="13"/>
  <c r="T178" i="13"/>
  <c r="T177" i="13"/>
  <c r="T176" i="13"/>
  <c r="T175" i="13"/>
  <c r="T174" i="13"/>
  <c r="T168" i="13"/>
  <c r="T167" i="13"/>
  <c r="T166" i="13"/>
  <c r="T165" i="13"/>
  <c r="T164" i="13"/>
  <c r="T163" i="13"/>
  <c r="T162" i="13"/>
  <c r="T161" i="13"/>
  <c r="T160" i="13"/>
  <c r="T159" i="13"/>
  <c r="T158" i="13"/>
  <c r="T157" i="13"/>
  <c r="T154" i="13"/>
  <c r="T153" i="13"/>
  <c r="T152" i="13"/>
  <c r="T150" i="13"/>
  <c r="T149" i="13"/>
  <c r="T148" i="13"/>
  <c r="T147" i="13"/>
  <c r="T146" i="13"/>
  <c r="T145" i="13"/>
  <c r="T143" i="13"/>
  <c r="T142" i="13"/>
  <c r="T141" i="13"/>
  <c r="T140" i="13"/>
  <c r="T139" i="13"/>
  <c r="T133" i="13"/>
  <c r="T132" i="13"/>
  <c r="T131" i="13"/>
  <c r="T130" i="13"/>
  <c r="T129" i="13"/>
  <c r="T128" i="13"/>
  <c r="T127" i="13"/>
  <c r="T126" i="13"/>
  <c r="T125" i="13"/>
  <c r="T124" i="13"/>
  <c r="T123" i="13"/>
  <c r="T122" i="13"/>
  <c r="T121" i="13"/>
  <c r="T120" i="13"/>
  <c r="T119" i="13"/>
  <c r="T118" i="13"/>
  <c r="T115" i="13"/>
  <c r="T114" i="13"/>
  <c r="T113" i="13"/>
  <c r="T112" i="13"/>
  <c r="T111" i="13"/>
  <c r="T110" i="13"/>
  <c r="T109" i="13"/>
  <c r="T108" i="13"/>
  <c r="T107" i="13"/>
  <c r="T106" i="13"/>
  <c r="T100" i="13"/>
  <c r="T99" i="13"/>
  <c r="T98" i="13"/>
  <c r="T97" i="13"/>
  <c r="T96" i="13"/>
  <c r="T95" i="13"/>
  <c r="T94" i="13"/>
  <c r="T93" i="13"/>
  <c r="T92" i="13"/>
  <c r="T91" i="13"/>
  <c r="T90" i="13"/>
  <c r="T89" i="13"/>
  <c r="T88" i="13"/>
  <c r="T87" i="13"/>
  <c r="T86" i="13"/>
  <c r="T85" i="13"/>
  <c r="T84" i="13"/>
  <c r="T83" i="13"/>
  <c r="T82" i="13"/>
  <c r="T81" i="13"/>
  <c r="T80" i="13"/>
  <c r="T79" i="13"/>
  <c r="T78" i="13"/>
  <c r="T77" i="13"/>
  <c r="T76" i="13"/>
  <c r="T75" i="13"/>
  <c r="T69" i="13"/>
  <c r="T68" i="13"/>
  <c r="T67" i="13"/>
  <c r="T64" i="13"/>
  <c r="T63" i="13"/>
  <c r="T62" i="13"/>
  <c r="T61" i="13"/>
  <c r="T60" i="13"/>
  <c r="T59" i="13"/>
  <c r="T58" i="13"/>
  <c r="T57" i="13"/>
  <c r="T56" i="13"/>
  <c r="T55" i="13"/>
  <c r="T53" i="13"/>
  <c r="T52" i="13"/>
  <c r="T51" i="13"/>
  <c r="T50" i="13"/>
  <c r="T49" i="13"/>
  <c r="T48" i="13"/>
  <c r="T47" i="13"/>
  <c r="T46" i="13"/>
  <c r="T45" i="13"/>
  <c r="T44" i="13"/>
  <c r="T43" i="13"/>
  <c r="T42" i="13"/>
  <c r="T35" i="13"/>
  <c r="T34" i="13"/>
  <c r="T33" i="13"/>
  <c r="T32" i="13"/>
  <c r="T31" i="13"/>
  <c r="T30" i="13"/>
  <c r="T29" i="13"/>
  <c r="T28" i="13"/>
  <c r="T27" i="13"/>
  <c r="T26" i="13"/>
  <c r="T25" i="13"/>
  <c r="T24" i="13"/>
  <c r="T23" i="13"/>
  <c r="T22" i="13"/>
  <c r="T21" i="13"/>
  <c r="T20" i="13"/>
  <c r="T19" i="13"/>
  <c r="T18" i="13"/>
  <c r="T17" i="13"/>
  <c r="T16" i="13"/>
  <c r="T15" i="13"/>
  <c r="T14" i="13"/>
  <c r="T13" i="13"/>
  <c r="T12" i="13"/>
  <c r="T11" i="13"/>
  <c r="T10" i="13"/>
  <c r="V734" i="13" l="1"/>
  <c r="W734" i="13"/>
  <c r="Z734" i="13"/>
  <c r="Y734" i="13"/>
  <c r="X734" i="13"/>
  <c r="W994" i="13"/>
  <c r="Z994" i="13"/>
  <c r="Y994" i="13"/>
  <c r="X994" i="13"/>
  <c r="V994" i="13"/>
  <c r="W84" i="13"/>
  <c r="V84" i="13"/>
  <c r="Z84" i="13"/>
  <c r="Y84" i="13"/>
  <c r="X84" i="13"/>
  <c r="Z210" i="13"/>
  <c r="V210" i="13"/>
  <c r="Y210" i="13"/>
  <c r="X210" i="13"/>
  <c r="W210" i="13"/>
  <c r="Y375" i="13"/>
  <c r="V375" i="13"/>
  <c r="W375" i="13"/>
  <c r="Z375" i="13"/>
  <c r="X375" i="13"/>
  <c r="Y565" i="13"/>
  <c r="X565" i="13"/>
  <c r="W565" i="13"/>
  <c r="Z565" i="13"/>
  <c r="V565" i="13"/>
  <c r="X735" i="13"/>
  <c r="Z735" i="13"/>
  <c r="W735" i="13"/>
  <c r="Y735" i="13"/>
  <c r="V735" i="13"/>
  <c r="Z995" i="13"/>
  <c r="Y995" i="13"/>
  <c r="X995" i="13"/>
  <c r="W995" i="13"/>
  <c r="V995" i="13"/>
  <c r="Y85" i="13"/>
  <c r="Z85" i="13"/>
  <c r="X85" i="13"/>
  <c r="W85" i="13"/>
  <c r="V85" i="13"/>
  <c r="Y236" i="13"/>
  <c r="X236" i="13"/>
  <c r="W236" i="13"/>
  <c r="Z236" i="13"/>
  <c r="V236" i="13"/>
  <c r="W376" i="13"/>
  <c r="V376" i="13"/>
  <c r="X376" i="13"/>
  <c r="Y376" i="13"/>
  <c r="Z376" i="13"/>
  <c r="Z496" i="13"/>
  <c r="V496" i="13"/>
  <c r="W496" i="13"/>
  <c r="Y496" i="13"/>
  <c r="X496" i="13"/>
  <c r="W641" i="13"/>
  <c r="Z641" i="13"/>
  <c r="Y641" i="13"/>
  <c r="X641" i="13"/>
  <c r="V641" i="13"/>
  <c r="Z756" i="13"/>
  <c r="X756" i="13"/>
  <c r="V756" i="13"/>
  <c r="Y756" i="13"/>
  <c r="W756" i="13"/>
  <c r="V996" i="13"/>
  <c r="Z996" i="13"/>
  <c r="X996" i="13"/>
  <c r="W996" i="13"/>
  <c r="Y996" i="13"/>
  <c r="W32" i="13"/>
  <c r="V32" i="13"/>
  <c r="Z32" i="13"/>
  <c r="Y32" i="13"/>
  <c r="X32" i="13"/>
  <c r="Z237" i="13"/>
  <c r="Y237" i="13"/>
  <c r="X237" i="13"/>
  <c r="W237" i="13"/>
  <c r="V237" i="13"/>
  <c r="V377" i="13"/>
  <c r="W377" i="13"/>
  <c r="Z377" i="13"/>
  <c r="Y377" i="13"/>
  <c r="X377" i="13"/>
  <c r="V617" i="13"/>
  <c r="Y617" i="13"/>
  <c r="Z617" i="13"/>
  <c r="X617" i="13"/>
  <c r="W617" i="13"/>
  <c r="V712" i="13"/>
  <c r="Z712" i="13"/>
  <c r="W712" i="13"/>
  <c r="Y712" i="13"/>
  <c r="X712" i="13"/>
  <c r="Z757" i="13"/>
  <c r="Y757" i="13"/>
  <c r="X757" i="13"/>
  <c r="W757" i="13"/>
  <c r="V757" i="13"/>
  <c r="Z972" i="13"/>
  <c r="X972" i="13"/>
  <c r="W972" i="13"/>
  <c r="V972" i="13"/>
  <c r="Y972" i="13"/>
  <c r="W112" i="13"/>
  <c r="V112" i="13"/>
  <c r="Z112" i="13"/>
  <c r="Y112" i="13"/>
  <c r="X112" i="13"/>
  <c r="Y283" i="13"/>
  <c r="Z283" i="13"/>
  <c r="X283" i="13"/>
  <c r="W283" i="13"/>
  <c r="V283" i="13"/>
  <c r="Z498" i="13"/>
  <c r="X498" i="13"/>
  <c r="V498" i="13"/>
  <c r="Y498" i="13"/>
  <c r="W498" i="13"/>
  <c r="Z663" i="13"/>
  <c r="X663" i="13"/>
  <c r="W663" i="13"/>
  <c r="Y663" i="13"/>
  <c r="V663" i="13"/>
  <c r="W878" i="13"/>
  <c r="Y878" i="13"/>
  <c r="V878" i="13"/>
  <c r="Z878" i="13"/>
  <c r="X878" i="13"/>
  <c r="Z259" i="13"/>
  <c r="X259" i="13"/>
  <c r="V259" i="13"/>
  <c r="Y259" i="13"/>
  <c r="W259" i="13"/>
  <c r="W354" i="13"/>
  <c r="Z354" i="13"/>
  <c r="Y354" i="13"/>
  <c r="X354" i="13"/>
  <c r="V354" i="13"/>
  <c r="Z454" i="13"/>
  <c r="Y454" i="13"/>
  <c r="V454" i="13"/>
  <c r="X454" i="13"/>
  <c r="W454" i="13"/>
  <c r="Z549" i="13"/>
  <c r="Y549" i="13"/>
  <c r="X549" i="13"/>
  <c r="W549" i="13"/>
  <c r="V549" i="13"/>
  <c r="W739" i="13"/>
  <c r="V739" i="13"/>
  <c r="Z739" i="13"/>
  <c r="Y739" i="13"/>
  <c r="X739" i="13"/>
  <c r="Z974" i="13"/>
  <c r="X974" i="13"/>
  <c r="V974" i="13"/>
  <c r="W974" i="13"/>
  <c r="Y974" i="13"/>
  <c r="X114" i="13"/>
  <c r="Z114" i="13"/>
  <c r="Y114" i="13"/>
  <c r="W114" i="13"/>
  <c r="V114" i="13"/>
  <c r="Y190" i="13"/>
  <c r="X190" i="13"/>
  <c r="W190" i="13"/>
  <c r="V190" i="13"/>
  <c r="Z190" i="13"/>
  <c r="Z335" i="13"/>
  <c r="Y335" i="13"/>
  <c r="X335" i="13"/>
  <c r="W335" i="13"/>
  <c r="V335" i="13"/>
  <c r="Z500" i="13"/>
  <c r="Y500" i="13"/>
  <c r="X500" i="13"/>
  <c r="W500" i="13"/>
  <c r="V500" i="13"/>
  <c r="Y740" i="13"/>
  <c r="Z740" i="13"/>
  <c r="X740" i="13"/>
  <c r="W740" i="13"/>
  <c r="V740" i="13"/>
  <c r="Y1000" i="13"/>
  <c r="Z1000" i="13"/>
  <c r="V1000" i="13"/>
  <c r="W1000" i="13"/>
  <c r="X1000" i="13"/>
  <c r="Z241" i="13"/>
  <c r="Y241" i="13"/>
  <c r="X241" i="13"/>
  <c r="W241" i="13"/>
  <c r="V241" i="13"/>
  <c r="Y431" i="13"/>
  <c r="W431" i="13"/>
  <c r="Z431" i="13"/>
  <c r="V431" i="13"/>
  <c r="X431" i="13"/>
  <c r="Y621" i="13"/>
  <c r="W621" i="13"/>
  <c r="Z621" i="13"/>
  <c r="V621" i="13"/>
  <c r="X621" i="13"/>
  <c r="V741" i="13"/>
  <c r="Z741" i="13"/>
  <c r="Y741" i="13"/>
  <c r="W741" i="13"/>
  <c r="X741" i="13"/>
  <c r="X981" i="13"/>
  <c r="W981" i="13"/>
  <c r="V981" i="13"/>
  <c r="Z981" i="13"/>
  <c r="Y981" i="13"/>
  <c r="W143" i="13"/>
  <c r="X143" i="13"/>
  <c r="V143" i="13"/>
  <c r="Z143" i="13"/>
  <c r="Y143" i="13"/>
  <c r="Z192" i="13"/>
  <c r="Y192" i="13"/>
  <c r="X192" i="13"/>
  <c r="W192" i="13"/>
  <c r="V192" i="13"/>
  <c r="W312" i="13"/>
  <c r="Y312" i="13"/>
  <c r="X312" i="13"/>
  <c r="V312" i="13"/>
  <c r="Z312" i="13"/>
  <c r="Y407" i="13"/>
  <c r="V407" i="13"/>
  <c r="X407" i="13"/>
  <c r="Z407" i="13"/>
  <c r="W407" i="13"/>
  <c r="W552" i="13"/>
  <c r="Z552" i="13"/>
  <c r="Y552" i="13"/>
  <c r="X552" i="13"/>
  <c r="V552" i="13"/>
  <c r="X597" i="13"/>
  <c r="Z597" i="13"/>
  <c r="Y597" i="13"/>
  <c r="W597" i="13"/>
  <c r="V597" i="13"/>
  <c r="X622" i="13"/>
  <c r="V622" i="13"/>
  <c r="Z622" i="13"/>
  <c r="Y622" i="13"/>
  <c r="W622" i="13"/>
  <c r="Y647" i="13"/>
  <c r="X647" i="13"/>
  <c r="V647" i="13"/>
  <c r="Z647" i="13"/>
  <c r="W647" i="13"/>
  <c r="Y672" i="13"/>
  <c r="W672" i="13"/>
  <c r="Z672" i="13"/>
  <c r="X672" i="13"/>
  <c r="V672" i="13"/>
  <c r="V692" i="13"/>
  <c r="Y692" i="13"/>
  <c r="X692" i="13"/>
  <c r="W692" i="13"/>
  <c r="Z692" i="13"/>
  <c r="W717" i="13"/>
  <c r="X717" i="13"/>
  <c r="Z717" i="13"/>
  <c r="Y717" i="13"/>
  <c r="V717" i="13"/>
  <c r="X767" i="13"/>
  <c r="W767" i="13"/>
  <c r="Z767" i="13"/>
  <c r="Y767" i="13"/>
  <c r="V767" i="13"/>
  <c r="W787" i="13"/>
  <c r="V787" i="13"/>
  <c r="Y787" i="13"/>
  <c r="X787" i="13"/>
  <c r="Z787" i="13"/>
  <c r="V1002" i="13"/>
  <c r="X1002" i="13"/>
  <c r="W1002" i="13"/>
  <c r="Z1002" i="13"/>
  <c r="Y1002" i="13"/>
  <c r="Z18" i="13"/>
  <c r="Y18" i="13"/>
  <c r="X18" i="13"/>
  <c r="W18" i="13"/>
  <c r="V18" i="13"/>
  <c r="W92" i="13"/>
  <c r="V92" i="13"/>
  <c r="X92" i="13"/>
  <c r="Y92" i="13"/>
  <c r="Z92" i="13"/>
  <c r="Z119" i="13"/>
  <c r="Y119" i="13"/>
  <c r="X119" i="13"/>
  <c r="W119" i="13"/>
  <c r="V119" i="13"/>
  <c r="Z145" i="13"/>
  <c r="Y145" i="13"/>
  <c r="X145" i="13"/>
  <c r="W145" i="13"/>
  <c r="V145" i="13"/>
  <c r="X168" i="13"/>
  <c r="W168" i="13"/>
  <c r="Z168" i="13"/>
  <c r="Y168" i="13"/>
  <c r="V168" i="13"/>
  <c r="Z193" i="13"/>
  <c r="Y193" i="13"/>
  <c r="X193" i="13"/>
  <c r="W193" i="13"/>
  <c r="V193" i="13"/>
  <c r="Z218" i="13"/>
  <c r="X218" i="13"/>
  <c r="W218" i="13"/>
  <c r="V218" i="13"/>
  <c r="Y218" i="13"/>
  <c r="Z243" i="13"/>
  <c r="Y243" i="13"/>
  <c r="X243" i="13"/>
  <c r="W243" i="13"/>
  <c r="V243" i="13"/>
  <c r="W268" i="13"/>
  <c r="X268" i="13"/>
  <c r="Z268" i="13"/>
  <c r="Y268" i="13"/>
  <c r="V268" i="13"/>
  <c r="Z288" i="13"/>
  <c r="Y288" i="13"/>
  <c r="X288" i="13"/>
  <c r="W288" i="13"/>
  <c r="V288" i="13"/>
  <c r="V313" i="13"/>
  <c r="Z313" i="13"/>
  <c r="Y313" i="13"/>
  <c r="X313" i="13"/>
  <c r="W313" i="13"/>
  <c r="X338" i="13"/>
  <c r="W338" i="13"/>
  <c r="V338" i="13"/>
  <c r="Y338" i="13"/>
  <c r="Z338" i="13"/>
  <c r="X363" i="13"/>
  <c r="Z363" i="13"/>
  <c r="Y363" i="13"/>
  <c r="W363" i="13"/>
  <c r="V363" i="13"/>
  <c r="X383" i="13"/>
  <c r="Z383" i="13"/>
  <c r="Y383" i="13"/>
  <c r="W383" i="13"/>
  <c r="V383" i="13"/>
  <c r="Z408" i="13"/>
  <c r="Y408" i="13"/>
  <c r="X408" i="13"/>
  <c r="W408" i="13"/>
  <c r="V408" i="13"/>
  <c r="X433" i="13"/>
  <c r="Z433" i="13"/>
  <c r="Y433" i="13"/>
  <c r="W433" i="13"/>
  <c r="V433" i="13"/>
  <c r="Z458" i="13"/>
  <c r="Y458" i="13"/>
  <c r="V458" i="13"/>
  <c r="X458" i="13"/>
  <c r="W458" i="13"/>
  <c r="Z478" i="13"/>
  <c r="X478" i="13"/>
  <c r="V478" i="13"/>
  <c r="Y478" i="13"/>
  <c r="W478" i="13"/>
  <c r="Z503" i="13"/>
  <c r="W503" i="13"/>
  <c r="V503" i="13"/>
  <c r="X503" i="13"/>
  <c r="Y503" i="13"/>
  <c r="Z528" i="13"/>
  <c r="X528" i="13"/>
  <c r="V528" i="13"/>
  <c r="Y528" i="13"/>
  <c r="W528" i="13"/>
  <c r="V553" i="13"/>
  <c r="Z553" i="13"/>
  <c r="Y553" i="13"/>
  <c r="X553" i="13"/>
  <c r="W553" i="13"/>
  <c r="X578" i="13"/>
  <c r="W578" i="13"/>
  <c r="V578" i="13"/>
  <c r="Z578" i="13"/>
  <c r="Y578" i="13"/>
  <c r="Y598" i="13"/>
  <c r="W598" i="13"/>
  <c r="Z598" i="13"/>
  <c r="X598" i="13"/>
  <c r="V598" i="13"/>
  <c r="X623" i="13"/>
  <c r="Y623" i="13"/>
  <c r="W623" i="13"/>
  <c r="V623" i="13"/>
  <c r="Z623" i="13"/>
  <c r="Z648" i="13"/>
  <c r="Y648" i="13"/>
  <c r="X648" i="13"/>
  <c r="W648" i="13"/>
  <c r="V648" i="13"/>
  <c r="W673" i="13"/>
  <c r="Z673" i="13"/>
  <c r="Y673" i="13"/>
  <c r="X673" i="13"/>
  <c r="V673" i="13"/>
  <c r="Z693" i="13"/>
  <c r="W693" i="13"/>
  <c r="V693" i="13"/>
  <c r="Y693" i="13"/>
  <c r="X693" i="13"/>
  <c r="Z718" i="13"/>
  <c r="W718" i="13"/>
  <c r="Y718" i="13"/>
  <c r="X718" i="13"/>
  <c r="V718" i="13"/>
  <c r="X743" i="13"/>
  <c r="W743" i="13"/>
  <c r="V743" i="13"/>
  <c r="Z743" i="13"/>
  <c r="Y743" i="13"/>
  <c r="X768" i="13"/>
  <c r="W768" i="13"/>
  <c r="Y768" i="13"/>
  <c r="Z768" i="13"/>
  <c r="V768" i="13"/>
  <c r="X788" i="13"/>
  <c r="V788" i="13"/>
  <c r="Y788" i="13"/>
  <c r="Z788" i="13"/>
  <c r="W788" i="13"/>
  <c r="X813" i="13"/>
  <c r="Y813" i="13"/>
  <c r="Z813" i="13"/>
  <c r="W813" i="13"/>
  <c r="V813" i="13"/>
  <c r="X838" i="13"/>
  <c r="Y838" i="13"/>
  <c r="V838" i="13"/>
  <c r="Z838" i="13"/>
  <c r="W838" i="13"/>
  <c r="X863" i="13"/>
  <c r="Y863" i="13"/>
  <c r="Z863" i="13"/>
  <c r="W863" i="13"/>
  <c r="V863" i="13"/>
  <c r="X888" i="13"/>
  <c r="Z888" i="13"/>
  <c r="V888" i="13"/>
  <c r="Y888" i="13"/>
  <c r="W888" i="13"/>
  <c r="X908" i="13"/>
  <c r="V908" i="13"/>
  <c r="Z908" i="13"/>
  <c r="Y908" i="13"/>
  <c r="W908" i="13"/>
  <c r="X933" i="13"/>
  <c r="V933" i="13"/>
  <c r="W933" i="13"/>
  <c r="Z933" i="13"/>
  <c r="Y933" i="13"/>
  <c r="X958" i="13"/>
  <c r="V958" i="13"/>
  <c r="Z958" i="13"/>
  <c r="Y958" i="13"/>
  <c r="W958" i="13"/>
  <c r="X983" i="13"/>
  <c r="Z983" i="13"/>
  <c r="Y983" i="13"/>
  <c r="W983" i="13"/>
  <c r="V983" i="13"/>
  <c r="X1003" i="13"/>
  <c r="Y1003" i="13"/>
  <c r="W1003" i="13"/>
  <c r="V1003" i="13"/>
  <c r="Z1003" i="13"/>
  <c r="Y208" i="13"/>
  <c r="Z208" i="13"/>
  <c r="X208" i="13"/>
  <c r="W208" i="13"/>
  <c r="V208" i="13"/>
  <c r="X468" i="13"/>
  <c r="Y468" i="13"/>
  <c r="W468" i="13"/>
  <c r="V468" i="13"/>
  <c r="Z468" i="13"/>
  <c r="Y803" i="13"/>
  <c r="Z803" i="13"/>
  <c r="X803" i="13"/>
  <c r="W803" i="13"/>
  <c r="V803" i="13"/>
  <c r="X29" i="13"/>
  <c r="V29" i="13"/>
  <c r="Z29" i="13"/>
  <c r="Y29" i="13"/>
  <c r="W29" i="13"/>
  <c r="Z399" i="13"/>
  <c r="X399" i="13"/>
  <c r="Y399" i="13"/>
  <c r="W399" i="13"/>
  <c r="V399" i="13"/>
  <c r="Z829" i="13"/>
  <c r="Y829" i="13"/>
  <c r="X829" i="13"/>
  <c r="W829" i="13"/>
  <c r="V829" i="13"/>
  <c r="W131" i="13"/>
  <c r="V131" i="13"/>
  <c r="X131" i="13"/>
  <c r="Z131" i="13"/>
  <c r="Y131" i="13"/>
  <c r="Y445" i="13"/>
  <c r="W445" i="13"/>
  <c r="Z445" i="13"/>
  <c r="X445" i="13"/>
  <c r="V445" i="13"/>
  <c r="X780" i="13"/>
  <c r="Y780" i="13"/>
  <c r="Z780" i="13"/>
  <c r="W780" i="13"/>
  <c r="V780" i="13"/>
  <c r="Z31" i="13"/>
  <c r="Y31" i="13"/>
  <c r="X31" i="13"/>
  <c r="W31" i="13"/>
  <c r="V31" i="13"/>
  <c r="V426" i="13"/>
  <c r="Z426" i="13"/>
  <c r="Y426" i="13"/>
  <c r="X426" i="13"/>
  <c r="W426" i="13"/>
  <c r="Z806" i="13"/>
  <c r="V806" i="13"/>
  <c r="Y806" i="13"/>
  <c r="X806" i="13"/>
  <c r="W806" i="13"/>
  <c r="Y402" i="13"/>
  <c r="Z402" i="13"/>
  <c r="X402" i="13"/>
  <c r="W402" i="13"/>
  <c r="V402" i="13"/>
  <c r="Z832" i="13"/>
  <c r="Y832" i="13"/>
  <c r="X832" i="13"/>
  <c r="W832" i="13"/>
  <c r="V832" i="13"/>
  <c r="Z353" i="13"/>
  <c r="Y353" i="13"/>
  <c r="X353" i="13"/>
  <c r="W353" i="13"/>
  <c r="V353" i="13"/>
  <c r="W808" i="13"/>
  <c r="Z808" i="13"/>
  <c r="X808" i="13"/>
  <c r="V808" i="13"/>
  <c r="Y808" i="13"/>
  <c r="X784" i="13"/>
  <c r="Y784" i="13"/>
  <c r="W784" i="13"/>
  <c r="V784" i="13"/>
  <c r="Z784" i="13"/>
  <c r="Z550" i="13"/>
  <c r="Y550" i="13"/>
  <c r="X550" i="13"/>
  <c r="W550" i="13"/>
  <c r="V550" i="13"/>
  <c r="Y785" i="13"/>
  <c r="V785" i="13"/>
  <c r="W785" i="13"/>
  <c r="Z785" i="13"/>
  <c r="X785" i="13"/>
  <c r="Z16" i="13"/>
  <c r="Y16" i="13"/>
  <c r="W16" i="13"/>
  <c r="X16" i="13"/>
  <c r="V16" i="13"/>
  <c r="Y406" i="13"/>
  <c r="W406" i="13"/>
  <c r="X406" i="13"/>
  <c r="Z406" i="13"/>
  <c r="V406" i="13"/>
  <c r="V836" i="13"/>
  <c r="X836" i="13"/>
  <c r="Z836" i="13"/>
  <c r="Y836" i="13"/>
  <c r="W836" i="13"/>
  <c r="Z337" i="13"/>
  <c r="Y337" i="13"/>
  <c r="X337" i="13"/>
  <c r="W337" i="13"/>
  <c r="V337" i="13"/>
  <c r="X742" i="13"/>
  <c r="V742" i="13"/>
  <c r="Z742" i="13"/>
  <c r="Y742" i="13"/>
  <c r="W742" i="13"/>
  <c r="Y19" i="13"/>
  <c r="V19" i="13"/>
  <c r="W19" i="13"/>
  <c r="X19" i="13"/>
  <c r="Z19" i="13"/>
  <c r="Y269" i="13"/>
  <c r="X269" i="13"/>
  <c r="W269" i="13"/>
  <c r="V269" i="13"/>
  <c r="Z269" i="13"/>
  <c r="Y364" i="13"/>
  <c r="W364" i="13"/>
  <c r="Z364" i="13"/>
  <c r="X364" i="13"/>
  <c r="V364" i="13"/>
  <c r="X434" i="13"/>
  <c r="V434" i="13"/>
  <c r="Z434" i="13"/>
  <c r="Y434" i="13"/>
  <c r="W434" i="13"/>
  <c r="X459" i="13"/>
  <c r="V459" i="13"/>
  <c r="Z459" i="13"/>
  <c r="Y459" i="13"/>
  <c r="W459" i="13"/>
  <c r="X484" i="13"/>
  <c r="V484" i="13"/>
  <c r="Z484" i="13"/>
  <c r="W484" i="13"/>
  <c r="Y484" i="13"/>
  <c r="X504" i="13"/>
  <c r="V504" i="13"/>
  <c r="Z504" i="13"/>
  <c r="Y504" i="13"/>
  <c r="W504" i="13"/>
  <c r="X529" i="13"/>
  <c r="V529" i="13"/>
  <c r="Y529" i="13"/>
  <c r="W529" i="13"/>
  <c r="Z529" i="13"/>
  <c r="X554" i="13"/>
  <c r="V554" i="13"/>
  <c r="Z554" i="13"/>
  <c r="W554" i="13"/>
  <c r="Y554" i="13"/>
  <c r="X579" i="13"/>
  <c r="V579" i="13"/>
  <c r="W579" i="13"/>
  <c r="Z579" i="13"/>
  <c r="Y579" i="13"/>
  <c r="X599" i="13"/>
  <c r="V599" i="13"/>
  <c r="Y599" i="13"/>
  <c r="Z599" i="13"/>
  <c r="W599" i="13"/>
  <c r="X624" i="13"/>
  <c r="V624" i="13"/>
  <c r="Y624" i="13"/>
  <c r="W624" i="13"/>
  <c r="Z624" i="13"/>
  <c r="X649" i="13"/>
  <c r="V649" i="13"/>
  <c r="W649" i="13"/>
  <c r="Z649" i="13"/>
  <c r="Y649" i="13"/>
  <c r="Z674" i="13"/>
  <c r="X674" i="13"/>
  <c r="W674" i="13"/>
  <c r="Y674" i="13"/>
  <c r="V674" i="13"/>
  <c r="X694" i="13"/>
  <c r="V694" i="13"/>
  <c r="Z694" i="13"/>
  <c r="Y694" i="13"/>
  <c r="W694" i="13"/>
  <c r="V719" i="13"/>
  <c r="W719" i="13"/>
  <c r="Y719" i="13"/>
  <c r="X719" i="13"/>
  <c r="Z719" i="13"/>
  <c r="Z744" i="13"/>
  <c r="W744" i="13"/>
  <c r="V744" i="13"/>
  <c r="X744" i="13"/>
  <c r="Y744" i="13"/>
  <c r="W769" i="13"/>
  <c r="X769" i="13"/>
  <c r="V769" i="13"/>
  <c r="Z769" i="13"/>
  <c r="Y769" i="13"/>
  <c r="Z794" i="13"/>
  <c r="X794" i="13"/>
  <c r="Y794" i="13"/>
  <c r="W794" i="13"/>
  <c r="V794" i="13"/>
  <c r="Y814" i="13"/>
  <c r="W814" i="13"/>
  <c r="Z814" i="13"/>
  <c r="X814" i="13"/>
  <c r="V814" i="13"/>
  <c r="Y839" i="13"/>
  <c r="W839" i="13"/>
  <c r="X839" i="13"/>
  <c r="V839" i="13"/>
  <c r="Z839" i="13"/>
  <c r="Y864" i="13"/>
  <c r="W864" i="13"/>
  <c r="Z864" i="13"/>
  <c r="X864" i="13"/>
  <c r="V864" i="13"/>
  <c r="W889" i="13"/>
  <c r="V889" i="13"/>
  <c r="X889" i="13"/>
  <c r="Z889" i="13"/>
  <c r="Y889" i="13"/>
  <c r="Z909" i="13"/>
  <c r="V909" i="13"/>
  <c r="Y909" i="13"/>
  <c r="X909" i="13"/>
  <c r="W909" i="13"/>
  <c r="Z934" i="13"/>
  <c r="V934" i="13"/>
  <c r="Y934" i="13"/>
  <c r="W934" i="13"/>
  <c r="X934" i="13"/>
  <c r="Z959" i="13"/>
  <c r="W959" i="13"/>
  <c r="V959" i="13"/>
  <c r="X959" i="13"/>
  <c r="Y959" i="13"/>
  <c r="Z984" i="13"/>
  <c r="W984" i="13"/>
  <c r="V984" i="13"/>
  <c r="Y984" i="13"/>
  <c r="X984" i="13"/>
  <c r="Z1004" i="13"/>
  <c r="W1004" i="13"/>
  <c r="V1004" i="13"/>
  <c r="Y1004" i="13"/>
  <c r="X1004" i="13"/>
  <c r="X228" i="13"/>
  <c r="W228" i="13"/>
  <c r="V228" i="13"/>
  <c r="Y228" i="13"/>
  <c r="Z228" i="13"/>
  <c r="Z538" i="13"/>
  <c r="Y538" i="13"/>
  <c r="X538" i="13"/>
  <c r="W538" i="13"/>
  <c r="V538" i="13"/>
  <c r="Y828" i="13"/>
  <c r="Z828" i="13"/>
  <c r="V828" i="13"/>
  <c r="X828" i="13"/>
  <c r="W828" i="13"/>
  <c r="Z374" i="13"/>
  <c r="Y374" i="13"/>
  <c r="X374" i="13"/>
  <c r="W374" i="13"/>
  <c r="V374" i="13"/>
  <c r="V779" i="13"/>
  <c r="Z779" i="13"/>
  <c r="W779" i="13"/>
  <c r="Y779" i="13"/>
  <c r="X779" i="13"/>
  <c r="X30" i="13"/>
  <c r="Z30" i="13"/>
  <c r="Y30" i="13"/>
  <c r="W30" i="13"/>
  <c r="V30" i="13"/>
  <c r="Y400" i="13"/>
  <c r="V400" i="13"/>
  <c r="X400" i="13"/>
  <c r="W400" i="13"/>
  <c r="Z400" i="13"/>
  <c r="X830" i="13"/>
  <c r="Z830" i="13"/>
  <c r="Y830" i="13"/>
  <c r="W830" i="13"/>
  <c r="V830" i="13"/>
  <c r="X306" i="13"/>
  <c r="W306" i="13"/>
  <c r="V306" i="13"/>
  <c r="Y306" i="13"/>
  <c r="Z306" i="13"/>
  <c r="Z781" i="13"/>
  <c r="Y781" i="13"/>
  <c r="V781" i="13"/>
  <c r="X781" i="13"/>
  <c r="W781" i="13"/>
  <c r="W133" i="13"/>
  <c r="Z133" i="13"/>
  <c r="Y133" i="13"/>
  <c r="X133" i="13"/>
  <c r="V133" i="13"/>
  <c r="X447" i="13"/>
  <c r="Z447" i="13"/>
  <c r="Y447" i="13"/>
  <c r="V447" i="13"/>
  <c r="W447" i="13"/>
  <c r="Z782" i="13"/>
  <c r="Y782" i="13"/>
  <c r="W782" i="13"/>
  <c r="V782" i="13"/>
  <c r="X782" i="13"/>
  <c r="Z238" i="13"/>
  <c r="W238" i="13"/>
  <c r="V238" i="13"/>
  <c r="Y238" i="13"/>
  <c r="X238" i="13"/>
  <c r="W833" i="13"/>
  <c r="V833" i="13"/>
  <c r="X833" i="13"/>
  <c r="Y833" i="13"/>
  <c r="Z833" i="13"/>
  <c r="Z239" i="13"/>
  <c r="Y239" i="13"/>
  <c r="X239" i="13"/>
  <c r="W239" i="13"/>
  <c r="V239" i="13"/>
  <c r="Y859" i="13"/>
  <c r="Z859" i="13"/>
  <c r="X859" i="13"/>
  <c r="W859" i="13"/>
  <c r="V859" i="13"/>
  <c r="V310" i="13"/>
  <c r="X310" i="13"/>
  <c r="W310" i="13"/>
  <c r="Z310" i="13"/>
  <c r="Y310" i="13"/>
  <c r="W570" i="13"/>
  <c r="V570" i="13"/>
  <c r="X570" i="13"/>
  <c r="Z570" i="13"/>
  <c r="Y570" i="13"/>
  <c r="Y810" i="13"/>
  <c r="V810" i="13"/>
  <c r="Z810" i="13"/>
  <c r="X810" i="13"/>
  <c r="W810" i="13"/>
  <c r="W115" i="13"/>
  <c r="V115" i="13"/>
  <c r="Z115" i="13"/>
  <c r="Y115" i="13"/>
  <c r="X115" i="13"/>
  <c r="Y501" i="13"/>
  <c r="W501" i="13"/>
  <c r="X501" i="13"/>
  <c r="V501" i="13"/>
  <c r="Z501" i="13"/>
  <c r="V881" i="13"/>
  <c r="Z881" i="13"/>
  <c r="W881" i="13"/>
  <c r="Y881" i="13"/>
  <c r="X881" i="13"/>
  <c r="V432" i="13"/>
  <c r="Z432" i="13"/>
  <c r="W432" i="13"/>
  <c r="Y432" i="13"/>
  <c r="X432" i="13"/>
  <c r="V982" i="13"/>
  <c r="Z982" i="13"/>
  <c r="Y982" i="13"/>
  <c r="X982" i="13"/>
  <c r="W982" i="13"/>
  <c r="Y195" i="13"/>
  <c r="Z195" i="13"/>
  <c r="X195" i="13"/>
  <c r="W195" i="13"/>
  <c r="V195" i="13"/>
  <c r="W385" i="13"/>
  <c r="V385" i="13"/>
  <c r="Y385" i="13"/>
  <c r="X385" i="13"/>
  <c r="Z385" i="13"/>
  <c r="Y530" i="13"/>
  <c r="Z530" i="13"/>
  <c r="X530" i="13"/>
  <c r="V530" i="13"/>
  <c r="W530" i="13"/>
  <c r="Z600" i="13"/>
  <c r="V600" i="13"/>
  <c r="Y600" i="13"/>
  <c r="X600" i="13"/>
  <c r="W600" i="13"/>
  <c r="Z625" i="13"/>
  <c r="W625" i="13"/>
  <c r="X625" i="13"/>
  <c r="Y625" i="13"/>
  <c r="V625" i="13"/>
  <c r="Z650" i="13"/>
  <c r="W650" i="13"/>
  <c r="Y650" i="13"/>
  <c r="X650" i="13"/>
  <c r="V650" i="13"/>
  <c r="X675" i="13"/>
  <c r="V675" i="13"/>
  <c r="Z675" i="13"/>
  <c r="Y675" i="13"/>
  <c r="W675" i="13"/>
  <c r="Y695" i="13"/>
  <c r="X695" i="13"/>
  <c r="W695" i="13"/>
  <c r="V695" i="13"/>
  <c r="Z695" i="13"/>
  <c r="X720" i="13"/>
  <c r="V720" i="13"/>
  <c r="W720" i="13"/>
  <c r="Z720" i="13"/>
  <c r="Y720" i="13"/>
  <c r="V745" i="13"/>
  <c r="Y745" i="13"/>
  <c r="X745" i="13"/>
  <c r="W745" i="13"/>
  <c r="Z745" i="13"/>
  <c r="X770" i="13"/>
  <c r="Y770" i="13"/>
  <c r="W770" i="13"/>
  <c r="V770" i="13"/>
  <c r="Z770" i="13"/>
  <c r="V795" i="13"/>
  <c r="X795" i="13"/>
  <c r="W795" i="13"/>
  <c r="Z795" i="13"/>
  <c r="Y795" i="13"/>
  <c r="X815" i="13"/>
  <c r="Z815" i="13"/>
  <c r="W815" i="13"/>
  <c r="Y815" i="13"/>
  <c r="V815" i="13"/>
  <c r="Y840" i="13"/>
  <c r="X840" i="13"/>
  <c r="W840" i="13"/>
  <c r="V840" i="13"/>
  <c r="Z840" i="13"/>
  <c r="X865" i="13"/>
  <c r="V865" i="13"/>
  <c r="Z865" i="13"/>
  <c r="Y865" i="13"/>
  <c r="W865" i="13"/>
  <c r="Z890" i="13"/>
  <c r="X890" i="13"/>
  <c r="V890" i="13"/>
  <c r="W890" i="13"/>
  <c r="Y890" i="13"/>
  <c r="W910" i="13"/>
  <c r="Z910" i="13"/>
  <c r="Y910" i="13"/>
  <c r="X910" i="13"/>
  <c r="V910" i="13"/>
  <c r="Y935" i="13"/>
  <c r="W935" i="13"/>
  <c r="V935" i="13"/>
  <c r="Z935" i="13"/>
  <c r="X935" i="13"/>
  <c r="V960" i="13"/>
  <c r="Y960" i="13"/>
  <c r="X960" i="13"/>
  <c r="W960" i="13"/>
  <c r="Z960" i="13"/>
  <c r="V985" i="13"/>
  <c r="Z985" i="13"/>
  <c r="Y985" i="13"/>
  <c r="X985" i="13"/>
  <c r="W985" i="13"/>
  <c r="X1005" i="13"/>
  <c r="V1005" i="13"/>
  <c r="Z1005" i="13"/>
  <c r="Y1005" i="13"/>
  <c r="W1005" i="13"/>
  <c r="Z183" i="13"/>
  <c r="Y183" i="13"/>
  <c r="X183" i="13"/>
  <c r="W183" i="13"/>
  <c r="V183" i="13"/>
  <c r="V323" i="13"/>
  <c r="Z323" i="13"/>
  <c r="Y323" i="13"/>
  <c r="X323" i="13"/>
  <c r="W323" i="13"/>
  <c r="Y443" i="13"/>
  <c r="W443" i="13"/>
  <c r="Z443" i="13"/>
  <c r="X443" i="13"/>
  <c r="V443" i="13"/>
  <c r="Z563" i="13"/>
  <c r="Y563" i="13"/>
  <c r="W563" i="13"/>
  <c r="X563" i="13"/>
  <c r="V563" i="13"/>
  <c r="Z708" i="13"/>
  <c r="Y708" i="13"/>
  <c r="X708" i="13"/>
  <c r="V708" i="13"/>
  <c r="W708" i="13"/>
  <c r="Z898" i="13"/>
  <c r="Y898" i="13"/>
  <c r="X898" i="13"/>
  <c r="W898" i="13"/>
  <c r="V898" i="13"/>
  <c r="X159" i="13"/>
  <c r="W159" i="13"/>
  <c r="Z159" i="13"/>
  <c r="Y159" i="13"/>
  <c r="V159" i="13"/>
  <c r="W424" i="13"/>
  <c r="Z424" i="13"/>
  <c r="Y424" i="13"/>
  <c r="X424" i="13"/>
  <c r="V424" i="13"/>
  <c r="Z639" i="13"/>
  <c r="W639" i="13"/>
  <c r="V639" i="13"/>
  <c r="Y639" i="13"/>
  <c r="X639" i="13"/>
  <c r="V949" i="13"/>
  <c r="Y949" i="13"/>
  <c r="X949" i="13"/>
  <c r="W949" i="13"/>
  <c r="Z949" i="13"/>
  <c r="Y255" i="13"/>
  <c r="X255" i="13"/>
  <c r="W255" i="13"/>
  <c r="V255" i="13"/>
  <c r="Z255" i="13"/>
  <c r="Y495" i="13"/>
  <c r="X495" i="13"/>
  <c r="W495" i="13"/>
  <c r="V495" i="13"/>
  <c r="Z495" i="13"/>
  <c r="V710" i="13"/>
  <c r="Z710" i="13"/>
  <c r="X710" i="13"/>
  <c r="Y710" i="13"/>
  <c r="W710" i="13"/>
  <c r="X900" i="13"/>
  <c r="W900" i="13"/>
  <c r="Z900" i="13"/>
  <c r="Y900" i="13"/>
  <c r="V900" i="13"/>
  <c r="Y161" i="13"/>
  <c r="Z161" i="13"/>
  <c r="X161" i="13"/>
  <c r="W161" i="13"/>
  <c r="V161" i="13"/>
  <c r="W401" i="13"/>
  <c r="Z401" i="13"/>
  <c r="Y401" i="13"/>
  <c r="V401" i="13"/>
  <c r="X401" i="13"/>
  <c r="Z616" i="13"/>
  <c r="Y616" i="13"/>
  <c r="X616" i="13"/>
  <c r="W616" i="13"/>
  <c r="V616" i="13"/>
  <c r="W876" i="13"/>
  <c r="X876" i="13"/>
  <c r="V876" i="13"/>
  <c r="Z876" i="13"/>
  <c r="Y876" i="13"/>
  <c r="V257" i="13"/>
  <c r="W257" i="13"/>
  <c r="X257" i="13"/>
  <c r="Z257" i="13"/>
  <c r="Y257" i="13"/>
  <c r="Y547" i="13"/>
  <c r="Z547" i="13"/>
  <c r="X547" i="13"/>
  <c r="W547" i="13"/>
  <c r="V547" i="13"/>
  <c r="Z857" i="13"/>
  <c r="V857" i="13"/>
  <c r="X857" i="13"/>
  <c r="W857" i="13"/>
  <c r="Y857" i="13"/>
  <c r="Z33" i="13"/>
  <c r="X33" i="13"/>
  <c r="V33" i="13"/>
  <c r="W33" i="13"/>
  <c r="Y33" i="13"/>
  <c r="Z308" i="13"/>
  <c r="Y308" i="13"/>
  <c r="W308" i="13"/>
  <c r="X308" i="13"/>
  <c r="V308" i="13"/>
  <c r="Z548" i="13"/>
  <c r="X548" i="13"/>
  <c r="Y548" i="13"/>
  <c r="W548" i="13"/>
  <c r="V548" i="13"/>
  <c r="Z688" i="13"/>
  <c r="Y688" i="13"/>
  <c r="X688" i="13"/>
  <c r="W688" i="13"/>
  <c r="V688" i="13"/>
  <c r="X928" i="13"/>
  <c r="W928" i="13"/>
  <c r="Z928" i="13"/>
  <c r="Y928" i="13"/>
  <c r="V928" i="13"/>
  <c r="V14" i="13"/>
  <c r="X14" i="13"/>
  <c r="Z14" i="13"/>
  <c r="Y14" i="13"/>
  <c r="W14" i="13"/>
  <c r="X113" i="13"/>
  <c r="V113" i="13"/>
  <c r="Z113" i="13"/>
  <c r="Y113" i="13"/>
  <c r="W113" i="13"/>
  <c r="Z284" i="13"/>
  <c r="Y284" i="13"/>
  <c r="X284" i="13"/>
  <c r="W284" i="13"/>
  <c r="V284" i="13"/>
  <c r="Y524" i="13"/>
  <c r="X524" i="13"/>
  <c r="W524" i="13"/>
  <c r="V524" i="13"/>
  <c r="Z524" i="13"/>
  <c r="V714" i="13"/>
  <c r="W714" i="13"/>
  <c r="Z714" i="13"/>
  <c r="Y714" i="13"/>
  <c r="X714" i="13"/>
  <c r="Y904" i="13"/>
  <c r="W904" i="13"/>
  <c r="V904" i="13"/>
  <c r="Z904" i="13"/>
  <c r="X904" i="13"/>
  <c r="Y240" i="13"/>
  <c r="Z240" i="13"/>
  <c r="X240" i="13"/>
  <c r="W240" i="13"/>
  <c r="V240" i="13"/>
  <c r="W360" i="13"/>
  <c r="Z360" i="13"/>
  <c r="Y360" i="13"/>
  <c r="X360" i="13"/>
  <c r="V360" i="13"/>
  <c r="W525" i="13"/>
  <c r="X525" i="13"/>
  <c r="V525" i="13"/>
  <c r="Y525" i="13"/>
  <c r="Z525" i="13"/>
  <c r="Y860" i="13"/>
  <c r="W860" i="13"/>
  <c r="V860" i="13"/>
  <c r="Z860" i="13"/>
  <c r="X860" i="13"/>
  <c r="Z90" i="13"/>
  <c r="Y90" i="13"/>
  <c r="X90" i="13"/>
  <c r="W90" i="13"/>
  <c r="V90" i="13"/>
  <c r="Z361" i="13"/>
  <c r="V361" i="13"/>
  <c r="Y361" i="13"/>
  <c r="X361" i="13"/>
  <c r="W361" i="13"/>
  <c r="Y646" i="13"/>
  <c r="W646" i="13"/>
  <c r="Z646" i="13"/>
  <c r="X646" i="13"/>
  <c r="V646" i="13"/>
  <c r="X1001" i="13"/>
  <c r="W1001" i="13"/>
  <c r="V1001" i="13"/>
  <c r="Z1001" i="13"/>
  <c r="Y1001" i="13"/>
  <c r="W167" i="13"/>
  <c r="X167" i="13"/>
  <c r="Y167" i="13"/>
  <c r="V167" i="13"/>
  <c r="Z167" i="13"/>
  <c r="V457" i="13"/>
  <c r="W457" i="13"/>
  <c r="Z457" i="13"/>
  <c r="Y457" i="13"/>
  <c r="X457" i="13"/>
  <c r="Z862" i="13"/>
  <c r="Y862" i="13"/>
  <c r="W862" i="13"/>
  <c r="X862" i="13"/>
  <c r="V862" i="13"/>
  <c r="W120" i="13"/>
  <c r="V120" i="13"/>
  <c r="Z120" i="13"/>
  <c r="Y120" i="13"/>
  <c r="X120" i="13"/>
  <c r="Y314" i="13"/>
  <c r="W314" i="13"/>
  <c r="X314" i="13"/>
  <c r="V314" i="13"/>
  <c r="Z314" i="13"/>
  <c r="V175" i="13"/>
  <c r="X175" i="13"/>
  <c r="W175" i="13"/>
  <c r="Y175" i="13"/>
  <c r="Z175" i="13"/>
  <c r="Y290" i="13"/>
  <c r="X290" i="13"/>
  <c r="W290" i="13"/>
  <c r="V290" i="13"/>
  <c r="Z290" i="13"/>
  <c r="W365" i="13"/>
  <c r="Z365" i="13"/>
  <c r="Y365" i="13"/>
  <c r="X365" i="13"/>
  <c r="V365" i="13"/>
  <c r="Z410" i="13"/>
  <c r="W410" i="13"/>
  <c r="X410" i="13"/>
  <c r="Y410" i="13"/>
  <c r="V410" i="13"/>
  <c r="W95" i="13"/>
  <c r="V95" i="13"/>
  <c r="Z95" i="13"/>
  <c r="X95" i="13"/>
  <c r="Y95" i="13"/>
  <c r="Y122" i="13"/>
  <c r="W122" i="13"/>
  <c r="X122" i="13"/>
  <c r="Z122" i="13"/>
  <c r="V122" i="13"/>
  <c r="V148" i="13"/>
  <c r="Z148" i="13"/>
  <c r="Y148" i="13"/>
  <c r="X148" i="13"/>
  <c r="W148" i="13"/>
  <c r="X176" i="13"/>
  <c r="W176" i="13"/>
  <c r="Z176" i="13"/>
  <c r="Y176" i="13"/>
  <c r="V176" i="13"/>
  <c r="V196" i="13"/>
  <c r="Y196" i="13"/>
  <c r="X196" i="13"/>
  <c r="W196" i="13"/>
  <c r="Z196" i="13"/>
  <c r="Z221" i="13"/>
  <c r="Y221" i="13"/>
  <c r="X221" i="13"/>
  <c r="W221" i="13"/>
  <c r="V221" i="13"/>
  <c r="V246" i="13"/>
  <c r="Y246" i="13"/>
  <c r="X246" i="13"/>
  <c r="W246" i="13"/>
  <c r="Z246" i="13"/>
  <c r="Z271" i="13"/>
  <c r="Y271" i="13"/>
  <c r="X271" i="13"/>
  <c r="W271" i="13"/>
  <c r="V271" i="13"/>
  <c r="Y291" i="13"/>
  <c r="X291" i="13"/>
  <c r="W291" i="13"/>
  <c r="V291" i="13"/>
  <c r="Z291" i="13"/>
  <c r="V316" i="13"/>
  <c r="X316" i="13"/>
  <c r="W316" i="13"/>
  <c r="Y316" i="13"/>
  <c r="Z316" i="13"/>
  <c r="Z341" i="13"/>
  <c r="Y341" i="13"/>
  <c r="X341" i="13"/>
  <c r="W341" i="13"/>
  <c r="V341" i="13"/>
  <c r="Y366" i="13"/>
  <c r="Z366" i="13"/>
  <c r="X366" i="13"/>
  <c r="W366" i="13"/>
  <c r="V366" i="13"/>
  <c r="Y391" i="13"/>
  <c r="W391" i="13"/>
  <c r="X391" i="13"/>
  <c r="V391" i="13"/>
  <c r="Z391" i="13"/>
  <c r="Y411" i="13"/>
  <c r="Z411" i="13"/>
  <c r="X411" i="13"/>
  <c r="W411" i="13"/>
  <c r="V411" i="13"/>
  <c r="X436" i="13"/>
  <c r="V436" i="13"/>
  <c r="Z436" i="13"/>
  <c r="Y436" i="13"/>
  <c r="W436" i="13"/>
  <c r="V461" i="13"/>
  <c r="X461" i="13"/>
  <c r="W461" i="13"/>
  <c r="Z461" i="13"/>
  <c r="Y461" i="13"/>
  <c r="Y486" i="13"/>
  <c r="Z486" i="13"/>
  <c r="X486" i="13"/>
  <c r="W486" i="13"/>
  <c r="V486" i="13"/>
  <c r="W506" i="13"/>
  <c r="Y506" i="13"/>
  <c r="V506" i="13"/>
  <c r="Z506" i="13"/>
  <c r="X506" i="13"/>
  <c r="Y531" i="13"/>
  <c r="Z531" i="13"/>
  <c r="X531" i="13"/>
  <c r="W531" i="13"/>
  <c r="V531" i="13"/>
  <c r="W556" i="13"/>
  <c r="X556" i="13"/>
  <c r="V556" i="13"/>
  <c r="Z556" i="13"/>
  <c r="Y556" i="13"/>
  <c r="V581" i="13"/>
  <c r="Z581" i="13"/>
  <c r="Y581" i="13"/>
  <c r="X581" i="13"/>
  <c r="W581" i="13"/>
  <c r="Z601" i="13"/>
  <c r="X601" i="13"/>
  <c r="Y601" i="13"/>
  <c r="W601" i="13"/>
  <c r="V601" i="13"/>
  <c r="Y626" i="13"/>
  <c r="Z626" i="13"/>
  <c r="X626" i="13"/>
  <c r="W626" i="13"/>
  <c r="V626" i="13"/>
  <c r="V651" i="13"/>
  <c r="Z651" i="13"/>
  <c r="Y651" i="13"/>
  <c r="X651" i="13"/>
  <c r="W651" i="13"/>
  <c r="W676" i="13"/>
  <c r="Z676" i="13"/>
  <c r="Y676" i="13"/>
  <c r="X676" i="13"/>
  <c r="V676" i="13"/>
  <c r="Y701" i="13"/>
  <c r="X701" i="13"/>
  <c r="V701" i="13"/>
  <c r="Z701" i="13"/>
  <c r="W701" i="13"/>
  <c r="Y721" i="13"/>
  <c r="X721" i="13"/>
  <c r="Z721" i="13"/>
  <c r="W721" i="13"/>
  <c r="V721" i="13"/>
  <c r="W746" i="13"/>
  <c r="Z746" i="13"/>
  <c r="V746" i="13"/>
  <c r="Y746" i="13"/>
  <c r="X746" i="13"/>
  <c r="W771" i="13"/>
  <c r="Z771" i="13"/>
  <c r="Y771" i="13"/>
  <c r="X771" i="13"/>
  <c r="V771" i="13"/>
  <c r="W796" i="13"/>
  <c r="X796" i="13"/>
  <c r="Z796" i="13"/>
  <c r="Y796" i="13"/>
  <c r="V796" i="13"/>
  <c r="W816" i="13"/>
  <c r="V816" i="13"/>
  <c r="Z816" i="13"/>
  <c r="Y816" i="13"/>
  <c r="X816" i="13"/>
  <c r="W841" i="13"/>
  <c r="Z841" i="13"/>
  <c r="X841" i="13"/>
  <c r="Y841" i="13"/>
  <c r="V841" i="13"/>
  <c r="W866" i="13"/>
  <c r="Z866" i="13"/>
  <c r="Y866" i="13"/>
  <c r="X866" i="13"/>
  <c r="V866" i="13"/>
  <c r="W891" i="13"/>
  <c r="Z891" i="13"/>
  <c r="Y891" i="13"/>
  <c r="X891" i="13"/>
  <c r="V891" i="13"/>
  <c r="W911" i="13"/>
  <c r="Z911" i="13"/>
  <c r="X911" i="13"/>
  <c r="V911" i="13"/>
  <c r="Y911" i="13"/>
  <c r="W936" i="13"/>
  <c r="Y936" i="13"/>
  <c r="X936" i="13"/>
  <c r="Z936" i="13"/>
  <c r="V936" i="13"/>
  <c r="W961" i="13"/>
  <c r="Z961" i="13"/>
  <c r="Y961" i="13"/>
  <c r="X961" i="13"/>
  <c r="V961" i="13"/>
  <c r="W986" i="13"/>
  <c r="V986" i="13"/>
  <c r="Z986" i="13"/>
  <c r="Y986" i="13"/>
  <c r="X986" i="13"/>
  <c r="Z158" i="13"/>
  <c r="Y158" i="13"/>
  <c r="X158" i="13"/>
  <c r="W158" i="13"/>
  <c r="V158" i="13"/>
  <c r="X423" i="13"/>
  <c r="W423" i="13"/>
  <c r="V423" i="13"/>
  <c r="Y423" i="13"/>
  <c r="Z423" i="13"/>
  <c r="V633" i="13"/>
  <c r="X633" i="13"/>
  <c r="Z633" i="13"/>
  <c r="Y633" i="13"/>
  <c r="W633" i="13"/>
  <c r="W943" i="13"/>
  <c r="Y943" i="13"/>
  <c r="Z943" i="13"/>
  <c r="X943" i="13"/>
  <c r="V943" i="13"/>
  <c r="V209" i="13"/>
  <c r="Z209" i="13"/>
  <c r="X209" i="13"/>
  <c r="W209" i="13"/>
  <c r="Y209" i="13"/>
  <c r="Y469" i="13"/>
  <c r="W469" i="13"/>
  <c r="X469" i="13"/>
  <c r="Z469" i="13"/>
  <c r="V469" i="13"/>
  <c r="Y614" i="13"/>
  <c r="W614" i="13"/>
  <c r="X614" i="13"/>
  <c r="V614" i="13"/>
  <c r="Z614" i="13"/>
  <c r="Z899" i="13"/>
  <c r="V899" i="13"/>
  <c r="Y899" i="13"/>
  <c r="X899" i="13"/>
  <c r="W899" i="13"/>
  <c r="Z230" i="13"/>
  <c r="X230" i="13"/>
  <c r="W230" i="13"/>
  <c r="Y230" i="13"/>
  <c r="V230" i="13"/>
  <c r="Y540" i="13"/>
  <c r="X540" i="13"/>
  <c r="Z540" i="13"/>
  <c r="V540" i="13"/>
  <c r="W540" i="13"/>
  <c r="X875" i="13"/>
  <c r="Y875" i="13"/>
  <c r="Z875" i="13"/>
  <c r="W875" i="13"/>
  <c r="V875" i="13"/>
  <c r="V11" i="13"/>
  <c r="W11" i="13"/>
  <c r="Z11" i="13"/>
  <c r="Y11" i="13"/>
  <c r="X11" i="13"/>
  <c r="Y281" i="13"/>
  <c r="X281" i="13"/>
  <c r="W281" i="13"/>
  <c r="V281" i="13"/>
  <c r="Z281" i="13"/>
  <c r="Z591" i="13"/>
  <c r="X591" i="13"/>
  <c r="V591" i="13"/>
  <c r="Y591" i="13"/>
  <c r="W591" i="13"/>
  <c r="V926" i="13"/>
  <c r="X926" i="13"/>
  <c r="Z926" i="13"/>
  <c r="W926" i="13"/>
  <c r="Y926" i="13"/>
  <c r="X162" i="13"/>
  <c r="W162" i="13"/>
  <c r="V162" i="13"/>
  <c r="Y162" i="13"/>
  <c r="Z162" i="13"/>
  <c r="W427" i="13"/>
  <c r="V427" i="13"/>
  <c r="Y427" i="13"/>
  <c r="X427" i="13"/>
  <c r="Z427" i="13"/>
  <c r="V687" i="13"/>
  <c r="Z687" i="13"/>
  <c r="Y687" i="13"/>
  <c r="X687" i="13"/>
  <c r="W687" i="13"/>
  <c r="Z877" i="13"/>
  <c r="Y877" i="13"/>
  <c r="V877" i="13"/>
  <c r="X877" i="13"/>
  <c r="W877" i="13"/>
  <c r="V333" i="13"/>
  <c r="Z333" i="13"/>
  <c r="Y333" i="13"/>
  <c r="X333" i="13"/>
  <c r="W333" i="13"/>
  <c r="Z593" i="13"/>
  <c r="X593" i="13"/>
  <c r="V593" i="13"/>
  <c r="Y593" i="13"/>
  <c r="W593" i="13"/>
  <c r="W903" i="13"/>
  <c r="Y903" i="13"/>
  <c r="V903" i="13"/>
  <c r="Z903" i="13"/>
  <c r="X903" i="13"/>
  <c r="Z34" i="13"/>
  <c r="Y34" i="13"/>
  <c r="X34" i="13"/>
  <c r="W34" i="13"/>
  <c r="V34" i="13"/>
  <c r="X164" i="13"/>
  <c r="Z164" i="13"/>
  <c r="Y164" i="13"/>
  <c r="W164" i="13"/>
  <c r="V164" i="13"/>
  <c r="V309" i="13"/>
  <c r="Z309" i="13"/>
  <c r="Y309" i="13"/>
  <c r="X309" i="13"/>
  <c r="W309" i="13"/>
  <c r="Y429" i="13"/>
  <c r="W429" i="13"/>
  <c r="Z429" i="13"/>
  <c r="X429" i="13"/>
  <c r="V429" i="13"/>
  <c r="Z664" i="13"/>
  <c r="W664" i="13"/>
  <c r="X664" i="13"/>
  <c r="V664" i="13"/>
  <c r="Y664" i="13"/>
  <c r="X999" i="13"/>
  <c r="W999" i="13"/>
  <c r="Z999" i="13"/>
  <c r="V999" i="13"/>
  <c r="Y999" i="13"/>
  <c r="Y141" i="13"/>
  <c r="Z141" i="13"/>
  <c r="X141" i="13"/>
  <c r="W141" i="13"/>
  <c r="V141" i="13"/>
  <c r="X285" i="13"/>
  <c r="W285" i="13"/>
  <c r="V285" i="13"/>
  <c r="Z285" i="13"/>
  <c r="Y285" i="13"/>
  <c r="Y455" i="13"/>
  <c r="X455" i="13"/>
  <c r="V455" i="13"/>
  <c r="Z455" i="13"/>
  <c r="W455" i="13"/>
  <c r="W620" i="13"/>
  <c r="Z620" i="13"/>
  <c r="Y620" i="13"/>
  <c r="X620" i="13"/>
  <c r="V620" i="13"/>
  <c r="Y835" i="13"/>
  <c r="V835" i="13"/>
  <c r="W835" i="13"/>
  <c r="Z835" i="13"/>
  <c r="X835" i="13"/>
  <c r="Z166" i="13"/>
  <c r="Y166" i="13"/>
  <c r="X166" i="13"/>
  <c r="W166" i="13"/>
  <c r="V166" i="13"/>
  <c r="Y456" i="13"/>
  <c r="W456" i="13"/>
  <c r="Z456" i="13"/>
  <c r="V456" i="13"/>
  <c r="X456" i="13"/>
  <c r="Z691" i="13"/>
  <c r="Y691" i="13"/>
  <c r="X691" i="13"/>
  <c r="W691" i="13"/>
  <c r="V691" i="13"/>
  <c r="X956" i="13"/>
  <c r="W956" i="13"/>
  <c r="V956" i="13"/>
  <c r="Z956" i="13"/>
  <c r="Y956" i="13"/>
  <c r="W91" i="13"/>
  <c r="Z91" i="13"/>
  <c r="Y91" i="13"/>
  <c r="X91" i="13"/>
  <c r="V91" i="13"/>
  <c r="Z242" i="13"/>
  <c r="Y242" i="13"/>
  <c r="V242" i="13"/>
  <c r="W242" i="13"/>
  <c r="X242" i="13"/>
  <c r="W527" i="13"/>
  <c r="Z527" i="13"/>
  <c r="Y527" i="13"/>
  <c r="X527" i="13"/>
  <c r="V527" i="13"/>
  <c r="Y887" i="13"/>
  <c r="Z887" i="13"/>
  <c r="X887" i="13"/>
  <c r="W887" i="13"/>
  <c r="V887" i="13"/>
  <c r="Z194" i="13"/>
  <c r="W194" i="13"/>
  <c r="Y194" i="13"/>
  <c r="X194" i="13"/>
  <c r="V194" i="13"/>
  <c r="X580" i="13"/>
  <c r="Z580" i="13"/>
  <c r="W580" i="13"/>
  <c r="V580" i="13"/>
  <c r="Y580" i="13"/>
  <c r="Z76" i="13"/>
  <c r="X76" i="13"/>
  <c r="W76" i="13"/>
  <c r="V76" i="13"/>
  <c r="Z96" i="13"/>
  <c r="V96" i="13"/>
  <c r="Y96" i="13"/>
  <c r="X96" i="13"/>
  <c r="W96" i="13"/>
  <c r="W123" i="13"/>
  <c r="V123" i="13"/>
  <c r="Z123" i="13"/>
  <c r="Y123" i="13"/>
  <c r="X123" i="13"/>
  <c r="Z149" i="13"/>
  <c r="V149" i="13"/>
  <c r="Y149" i="13"/>
  <c r="X149" i="13"/>
  <c r="W149" i="13"/>
  <c r="W177" i="13"/>
  <c r="X177" i="13"/>
  <c r="Y177" i="13"/>
  <c r="V177" i="13"/>
  <c r="Z177" i="13"/>
  <c r="Z197" i="13"/>
  <c r="Y197" i="13"/>
  <c r="X197" i="13"/>
  <c r="W197" i="13"/>
  <c r="V197" i="13"/>
  <c r="V222" i="13"/>
  <c r="X222" i="13"/>
  <c r="W222" i="13"/>
  <c r="Z222" i="13"/>
  <c r="Y222" i="13"/>
  <c r="Z247" i="13"/>
  <c r="Y247" i="13"/>
  <c r="X247" i="13"/>
  <c r="W247" i="13"/>
  <c r="V247" i="13"/>
  <c r="Z272" i="13"/>
  <c r="Y272" i="13"/>
  <c r="X272" i="13"/>
  <c r="W272" i="13"/>
  <c r="V272" i="13"/>
  <c r="Z292" i="13"/>
  <c r="Y292" i="13"/>
  <c r="X292" i="13"/>
  <c r="W292" i="13"/>
  <c r="V292" i="13"/>
  <c r="X317" i="13"/>
  <c r="Z317" i="13"/>
  <c r="Y317" i="13"/>
  <c r="W317" i="13"/>
  <c r="V317" i="13"/>
  <c r="X342" i="13"/>
  <c r="V342" i="13"/>
  <c r="Z342" i="13"/>
  <c r="Y342" i="13"/>
  <c r="W342" i="13"/>
  <c r="W367" i="13"/>
  <c r="Z367" i="13"/>
  <c r="X367" i="13"/>
  <c r="V367" i="13"/>
  <c r="Y367" i="13"/>
  <c r="W392" i="13"/>
  <c r="Y392" i="13"/>
  <c r="V392" i="13"/>
  <c r="Z392" i="13"/>
  <c r="X392" i="13"/>
  <c r="W412" i="13"/>
  <c r="Z412" i="13"/>
  <c r="Y412" i="13"/>
  <c r="X412" i="13"/>
  <c r="V412" i="13"/>
  <c r="W437" i="13"/>
  <c r="Y437" i="13"/>
  <c r="Z437" i="13"/>
  <c r="V437" i="13"/>
  <c r="X437" i="13"/>
  <c r="W462" i="13"/>
  <c r="Z462" i="13"/>
  <c r="X462" i="13"/>
  <c r="V462" i="13"/>
  <c r="Y462" i="13"/>
  <c r="W487" i="13"/>
  <c r="Z487" i="13"/>
  <c r="Y487" i="13"/>
  <c r="X487" i="13"/>
  <c r="V487" i="13"/>
  <c r="W507" i="13"/>
  <c r="X507" i="13"/>
  <c r="V507" i="13"/>
  <c r="Z507" i="13"/>
  <c r="Y507" i="13"/>
  <c r="W532" i="13"/>
  <c r="X532" i="13"/>
  <c r="Y532" i="13"/>
  <c r="Z532" i="13"/>
  <c r="V532" i="13"/>
  <c r="W557" i="13"/>
  <c r="Z557" i="13"/>
  <c r="Y557" i="13"/>
  <c r="X557" i="13"/>
  <c r="V557" i="13"/>
  <c r="W582" i="13"/>
  <c r="Z582" i="13"/>
  <c r="X582" i="13"/>
  <c r="Y582" i="13"/>
  <c r="V582" i="13"/>
  <c r="W602" i="13"/>
  <c r="Z602" i="13"/>
  <c r="V602" i="13"/>
  <c r="Y602" i="13"/>
  <c r="X602" i="13"/>
  <c r="W627" i="13"/>
  <c r="Z627" i="13"/>
  <c r="V627" i="13"/>
  <c r="Y627" i="13"/>
  <c r="X627" i="13"/>
  <c r="W652" i="13"/>
  <c r="Z652" i="13"/>
  <c r="Y652" i="13"/>
  <c r="X652" i="13"/>
  <c r="V652" i="13"/>
  <c r="Z677" i="13"/>
  <c r="X677" i="13"/>
  <c r="Y677" i="13"/>
  <c r="W677" i="13"/>
  <c r="V677" i="13"/>
  <c r="Y702" i="13"/>
  <c r="W702" i="13"/>
  <c r="Z702" i="13"/>
  <c r="X702" i="13"/>
  <c r="V702" i="13"/>
  <c r="V722" i="13"/>
  <c r="Z722" i="13"/>
  <c r="Y722" i="13"/>
  <c r="X722" i="13"/>
  <c r="W722" i="13"/>
  <c r="Z747" i="13"/>
  <c r="Y747" i="13"/>
  <c r="X747" i="13"/>
  <c r="W747" i="13"/>
  <c r="V747" i="13"/>
  <c r="X772" i="13"/>
  <c r="V772" i="13"/>
  <c r="Y772" i="13"/>
  <c r="W772" i="13"/>
  <c r="Z772" i="13"/>
  <c r="Z797" i="13"/>
  <c r="W797" i="13"/>
  <c r="Y797" i="13"/>
  <c r="X797" i="13"/>
  <c r="V797" i="13"/>
  <c r="Z817" i="13"/>
  <c r="Y817" i="13"/>
  <c r="X817" i="13"/>
  <c r="W817" i="13"/>
  <c r="V817" i="13"/>
  <c r="Z842" i="13"/>
  <c r="W842" i="13"/>
  <c r="V842" i="13"/>
  <c r="Y842" i="13"/>
  <c r="X842" i="13"/>
  <c r="V867" i="13"/>
  <c r="Z867" i="13"/>
  <c r="Y867" i="13"/>
  <c r="X867" i="13"/>
  <c r="W867" i="13"/>
  <c r="V892" i="13"/>
  <c r="W892" i="13"/>
  <c r="Z892" i="13"/>
  <c r="Y892" i="13"/>
  <c r="X892" i="13"/>
  <c r="Y912" i="13"/>
  <c r="W912" i="13"/>
  <c r="X912" i="13"/>
  <c r="V912" i="13"/>
  <c r="Z912" i="13"/>
  <c r="Y937" i="13"/>
  <c r="W937" i="13"/>
  <c r="Z937" i="13"/>
  <c r="X937" i="13"/>
  <c r="V937" i="13"/>
  <c r="Y962" i="13"/>
  <c r="V962" i="13"/>
  <c r="Z962" i="13"/>
  <c r="W962" i="13"/>
  <c r="X962" i="13"/>
  <c r="Y987" i="13"/>
  <c r="V987" i="13"/>
  <c r="W987" i="13"/>
  <c r="Z987" i="13"/>
  <c r="X987" i="13"/>
  <c r="Z129" i="13"/>
  <c r="W129" i="13"/>
  <c r="V129" i="13"/>
  <c r="Y129" i="13"/>
  <c r="X129" i="13"/>
  <c r="V348" i="13"/>
  <c r="W348" i="13"/>
  <c r="Z348" i="13"/>
  <c r="Y348" i="13"/>
  <c r="X348" i="13"/>
  <c r="W588" i="13"/>
  <c r="Z588" i="13"/>
  <c r="Y588" i="13"/>
  <c r="X588" i="13"/>
  <c r="V588" i="13"/>
  <c r="X753" i="13"/>
  <c r="Z753" i="13"/>
  <c r="V753" i="13"/>
  <c r="Y753" i="13"/>
  <c r="W753" i="13"/>
  <c r="Y848" i="13"/>
  <c r="X848" i="13"/>
  <c r="V848" i="13"/>
  <c r="Z848" i="13"/>
  <c r="W848" i="13"/>
  <c r="W83" i="13"/>
  <c r="V83" i="13"/>
  <c r="Z83" i="13"/>
  <c r="Y83" i="13"/>
  <c r="X83" i="13"/>
  <c r="V304" i="13"/>
  <c r="X304" i="13"/>
  <c r="W304" i="13"/>
  <c r="Y304" i="13"/>
  <c r="Z304" i="13"/>
  <c r="Y519" i="13"/>
  <c r="Z519" i="13"/>
  <c r="W519" i="13"/>
  <c r="V519" i="13"/>
  <c r="X519" i="13"/>
  <c r="Y684" i="13"/>
  <c r="X684" i="13"/>
  <c r="W684" i="13"/>
  <c r="Z684" i="13"/>
  <c r="V684" i="13"/>
  <c r="Y874" i="13"/>
  <c r="X874" i="13"/>
  <c r="W874" i="13"/>
  <c r="V874" i="13"/>
  <c r="Z874" i="13"/>
  <c r="X305" i="13"/>
  <c r="W305" i="13"/>
  <c r="V305" i="13"/>
  <c r="Z305" i="13"/>
  <c r="Y305" i="13"/>
  <c r="Y615" i="13"/>
  <c r="Z615" i="13"/>
  <c r="V615" i="13"/>
  <c r="X615" i="13"/>
  <c r="W615" i="13"/>
  <c r="Y925" i="13"/>
  <c r="X925" i="13"/>
  <c r="V925" i="13"/>
  <c r="Z925" i="13"/>
  <c r="W925" i="13"/>
  <c r="Z256" i="13"/>
  <c r="Y256" i="13"/>
  <c r="X256" i="13"/>
  <c r="W256" i="13"/>
  <c r="V256" i="13"/>
  <c r="Y471" i="13"/>
  <c r="Z471" i="13"/>
  <c r="X471" i="13"/>
  <c r="W471" i="13"/>
  <c r="V471" i="13"/>
  <c r="Y686" i="13"/>
  <c r="W686" i="13"/>
  <c r="X686" i="13"/>
  <c r="Z686" i="13"/>
  <c r="V686" i="13"/>
  <c r="X856" i="13"/>
  <c r="W856" i="13"/>
  <c r="Z856" i="13"/>
  <c r="Y856" i="13"/>
  <c r="V856" i="13"/>
  <c r="W86" i="13"/>
  <c r="V86" i="13"/>
  <c r="Z86" i="13"/>
  <c r="Y86" i="13"/>
  <c r="X86" i="13"/>
  <c r="Z522" i="13"/>
  <c r="Y522" i="13"/>
  <c r="X522" i="13"/>
  <c r="W522" i="13"/>
  <c r="V522" i="13"/>
  <c r="Z927" i="13"/>
  <c r="Y927" i="13"/>
  <c r="X927" i="13"/>
  <c r="W927" i="13"/>
  <c r="V927" i="13"/>
  <c r="Y188" i="13"/>
  <c r="X188" i="13"/>
  <c r="Z188" i="13"/>
  <c r="W188" i="13"/>
  <c r="V188" i="13"/>
  <c r="Z428" i="13"/>
  <c r="X428" i="13"/>
  <c r="W428" i="13"/>
  <c r="V428" i="13"/>
  <c r="Y428" i="13"/>
  <c r="Z618" i="13"/>
  <c r="X618" i="13"/>
  <c r="Y618" i="13"/>
  <c r="V618" i="13"/>
  <c r="W618" i="13"/>
  <c r="W763" i="13"/>
  <c r="Y763" i="13"/>
  <c r="Z763" i="13"/>
  <c r="V763" i="13"/>
  <c r="X763" i="13"/>
  <c r="Y973" i="13"/>
  <c r="X973" i="13"/>
  <c r="W973" i="13"/>
  <c r="Z973" i="13"/>
  <c r="V973" i="13"/>
  <c r="Z214" i="13"/>
  <c r="Y214" i="13"/>
  <c r="X214" i="13"/>
  <c r="W214" i="13"/>
  <c r="V214" i="13"/>
  <c r="X404" i="13"/>
  <c r="Z404" i="13"/>
  <c r="Y404" i="13"/>
  <c r="W404" i="13"/>
  <c r="V404" i="13"/>
  <c r="V619" i="13"/>
  <c r="Z619" i="13"/>
  <c r="Y619" i="13"/>
  <c r="X619" i="13"/>
  <c r="W619" i="13"/>
  <c r="X879" i="13"/>
  <c r="W879" i="13"/>
  <c r="Y879" i="13"/>
  <c r="V879" i="13"/>
  <c r="Z879" i="13"/>
  <c r="W89" i="13"/>
  <c r="V89" i="13"/>
  <c r="Y89" i="13"/>
  <c r="Z89" i="13"/>
  <c r="X89" i="13"/>
  <c r="Y430" i="13"/>
  <c r="W430" i="13"/>
  <c r="V430" i="13"/>
  <c r="Z430" i="13"/>
  <c r="X430" i="13"/>
  <c r="V690" i="13"/>
  <c r="Z690" i="13"/>
  <c r="W690" i="13"/>
  <c r="Y690" i="13"/>
  <c r="X690" i="13"/>
  <c r="Y930" i="13"/>
  <c r="X930" i="13"/>
  <c r="Z930" i="13"/>
  <c r="W930" i="13"/>
  <c r="V930" i="13"/>
  <c r="Z286" i="13"/>
  <c r="X286" i="13"/>
  <c r="Y286" i="13"/>
  <c r="W286" i="13"/>
  <c r="V286" i="13"/>
  <c r="Y571" i="13"/>
  <c r="W571" i="13"/>
  <c r="Z571" i="13"/>
  <c r="X571" i="13"/>
  <c r="V571" i="13"/>
  <c r="V861" i="13"/>
  <c r="Y861" i="13"/>
  <c r="W861" i="13"/>
  <c r="X861" i="13"/>
  <c r="Z861" i="13"/>
  <c r="X382" i="13"/>
  <c r="Z382" i="13"/>
  <c r="Y382" i="13"/>
  <c r="W382" i="13"/>
  <c r="V382" i="13"/>
  <c r="Z907" i="13"/>
  <c r="X907" i="13"/>
  <c r="V907" i="13"/>
  <c r="Y907" i="13"/>
  <c r="W907" i="13"/>
  <c r="Z174" i="13"/>
  <c r="Y174" i="13"/>
  <c r="X174" i="13"/>
  <c r="W174" i="13"/>
  <c r="V174" i="13"/>
  <c r="Y339" i="13"/>
  <c r="V339" i="13"/>
  <c r="X339" i="13"/>
  <c r="W339" i="13"/>
  <c r="Z339" i="13"/>
  <c r="Y220" i="13"/>
  <c r="X220" i="13"/>
  <c r="Z220" i="13"/>
  <c r="V220" i="13"/>
  <c r="W220" i="13"/>
  <c r="V505" i="13"/>
  <c r="Y505" i="13"/>
  <c r="Z505" i="13"/>
  <c r="X505" i="13"/>
  <c r="W505" i="13"/>
  <c r="Y97" i="13"/>
  <c r="X97" i="13"/>
  <c r="W97" i="13"/>
  <c r="V97" i="13"/>
  <c r="Z97" i="13"/>
  <c r="Z124" i="13"/>
  <c r="Y124" i="13"/>
  <c r="X124" i="13"/>
  <c r="W124" i="13"/>
  <c r="V124" i="13"/>
  <c r="X150" i="13"/>
  <c r="W150" i="13"/>
  <c r="Z150" i="13"/>
  <c r="Y150" i="13"/>
  <c r="V150" i="13"/>
  <c r="Z178" i="13"/>
  <c r="Y178" i="13"/>
  <c r="X178" i="13"/>
  <c r="W178" i="13"/>
  <c r="V178" i="13"/>
  <c r="X198" i="13"/>
  <c r="Z198" i="13"/>
  <c r="W198" i="13"/>
  <c r="V198" i="13"/>
  <c r="Y198" i="13"/>
  <c r="X223" i="13"/>
  <c r="V223" i="13"/>
  <c r="W223" i="13"/>
  <c r="Z223" i="13"/>
  <c r="Y223" i="13"/>
  <c r="X248" i="13"/>
  <c r="Z248" i="13"/>
  <c r="Y248" i="13"/>
  <c r="W248" i="13"/>
  <c r="V248" i="13"/>
  <c r="X273" i="13"/>
  <c r="Z273" i="13"/>
  <c r="Y273" i="13"/>
  <c r="W273" i="13"/>
  <c r="V273" i="13"/>
  <c r="X298" i="13"/>
  <c r="Z298" i="13"/>
  <c r="Y298" i="13"/>
  <c r="V298" i="13"/>
  <c r="W298" i="13"/>
  <c r="Y318" i="13"/>
  <c r="X318" i="13"/>
  <c r="W318" i="13"/>
  <c r="V318" i="13"/>
  <c r="Z318" i="13"/>
  <c r="Z343" i="13"/>
  <c r="Y343" i="13"/>
  <c r="X343" i="13"/>
  <c r="W343" i="13"/>
  <c r="V343" i="13"/>
  <c r="Y368" i="13"/>
  <c r="X368" i="13"/>
  <c r="W368" i="13"/>
  <c r="V368" i="13"/>
  <c r="Z368" i="13"/>
  <c r="Y393" i="13"/>
  <c r="Z393" i="13"/>
  <c r="X393" i="13"/>
  <c r="W393" i="13"/>
  <c r="V393" i="13"/>
  <c r="Y413" i="13"/>
  <c r="X413" i="13"/>
  <c r="Z413" i="13"/>
  <c r="V413" i="13"/>
  <c r="W413" i="13"/>
  <c r="Z438" i="13"/>
  <c r="W438" i="13"/>
  <c r="Y438" i="13"/>
  <c r="X438" i="13"/>
  <c r="V438" i="13"/>
  <c r="Z463" i="13"/>
  <c r="Y463" i="13"/>
  <c r="X463" i="13"/>
  <c r="W463" i="13"/>
  <c r="V463" i="13"/>
  <c r="Z488" i="13"/>
  <c r="Y488" i="13"/>
  <c r="W488" i="13"/>
  <c r="X488" i="13"/>
  <c r="V488" i="13"/>
  <c r="W508" i="13"/>
  <c r="Y508" i="13"/>
  <c r="X508" i="13"/>
  <c r="V508" i="13"/>
  <c r="Z508" i="13"/>
  <c r="W533" i="13"/>
  <c r="V533" i="13"/>
  <c r="Z533" i="13"/>
  <c r="Y533" i="13"/>
  <c r="X533" i="13"/>
  <c r="X558" i="13"/>
  <c r="V558" i="13"/>
  <c r="Z558" i="13"/>
  <c r="W558" i="13"/>
  <c r="Y558" i="13"/>
  <c r="Y583" i="13"/>
  <c r="W583" i="13"/>
  <c r="V583" i="13"/>
  <c r="X583" i="13"/>
  <c r="Z583" i="13"/>
  <c r="Y608" i="13"/>
  <c r="Z608" i="13"/>
  <c r="V608" i="13"/>
  <c r="X608" i="13"/>
  <c r="W608" i="13"/>
  <c r="Y628" i="13"/>
  <c r="Z628" i="13"/>
  <c r="W628" i="13"/>
  <c r="V628" i="13"/>
  <c r="X628" i="13"/>
  <c r="Y653" i="13"/>
  <c r="Z653" i="13"/>
  <c r="X653" i="13"/>
  <c r="V653" i="13"/>
  <c r="W653" i="13"/>
  <c r="W678" i="13"/>
  <c r="Y678" i="13"/>
  <c r="Z678" i="13"/>
  <c r="X678" i="13"/>
  <c r="V678" i="13"/>
  <c r="Z703" i="13"/>
  <c r="Y703" i="13"/>
  <c r="X703" i="13"/>
  <c r="W703" i="13"/>
  <c r="V703" i="13"/>
  <c r="Y723" i="13"/>
  <c r="W723" i="13"/>
  <c r="Z723" i="13"/>
  <c r="X723" i="13"/>
  <c r="V723" i="13"/>
  <c r="W748" i="13"/>
  <c r="Y748" i="13"/>
  <c r="X748" i="13"/>
  <c r="V748" i="13"/>
  <c r="Z748" i="13"/>
  <c r="Y773" i="13"/>
  <c r="X773" i="13"/>
  <c r="W773" i="13"/>
  <c r="V773" i="13"/>
  <c r="Z773" i="13"/>
  <c r="V798" i="13"/>
  <c r="Z798" i="13"/>
  <c r="Y798" i="13"/>
  <c r="X798" i="13"/>
  <c r="W798" i="13"/>
  <c r="Y818" i="13"/>
  <c r="W818" i="13"/>
  <c r="V818" i="13"/>
  <c r="Z818" i="13"/>
  <c r="X818" i="13"/>
  <c r="V843" i="13"/>
  <c r="X843" i="13"/>
  <c r="W843" i="13"/>
  <c r="Z843" i="13"/>
  <c r="Y843" i="13"/>
  <c r="Z868" i="13"/>
  <c r="Y868" i="13"/>
  <c r="X868" i="13"/>
  <c r="W868" i="13"/>
  <c r="V868" i="13"/>
  <c r="Y893" i="13"/>
  <c r="Z893" i="13"/>
  <c r="X893" i="13"/>
  <c r="W893" i="13"/>
  <c r="V893" i="13"/>
  <c r="Z918" i="13"/>
  <c r="V918" i="13"/>
  <c r="W918" i="13"/>
  <c r="Y918" i="13"/>
  <c r="X918" i="13"/>
  <c r="X938" i="13"/>
  <c r="W938" i="13"/>
  <c r="V938" i="13"/>
  <c r="Z938" i="13"/>
  <c r="Y938" i="13"/>
  <c r="Z963" i="13"/>
  <c r="Y963" i="13"/>
  <c r="X963" i="13"/>
  <c r="W963" i="13"/>
  <c r="V963" i="13"/>
  <c r="Y988" i="13"/>
  <c r="W988" i="13"/>
  <c r="Z988" i="13"/>
  <c r="X988" i="13"/>
  <c r="V988" i="13"/>
  <c r="V303" i="13"/>
  <c r="Y303" i="13"/>
  <c r="W303" i="13"/>
  <c r="X303" i="13"/>
  <c r="Z303" i="13"/>
  <c r="Y613" i="13"/>
  <c r="X613" i="13"/>
  <c r="W613" i="13"/>
  <c r="Z613" i="13"/>
  <c r="V613" i="13"/>
  <c r="W968" i="13"/>
  <c r="Z968" i="13"/>
  <c r="Y968" i="13"/>
  <c r="X968" i="13"/>
  <c r="V968" i="13"/>
  <c r="Z184" i="13"/>
  <c r="Y184" i="13"/>
  <c r="X184" i="13"/>
  <c r="W184" i="13"/>
  <c r="V184" i="13"/>
  <c r="X349" i="13"/>
  <c r="V349" i="13"/>
  <c r="Y349" i="13"/>
  <c r="W349" i="13"/>
  <c r="Z349" i="13"/>
  <c r="Y589" i="13"/>
  <c r="Z589" i="13"/>
  <c r="X589" i="13"/>
  <c r="W589" i="13"/>
  <c r="V589" i="13"/>
  <c r="Z804" i="13"/>
  <c r="W804" i="13"/>
  <c r="V804" i="13"/>
  <c r="Y804" i="13"/>
  <c r="X804" i="13"/>
  <c r="W10" i="13"/>
  <c r="V10" i="13"/>
  <c r="Z10" i="13"/>
  <c r="X10" i="13"/>
  <c r="Y10" i="13"/>
  <c r="X280" i="13"/>
  <c r="Y280" i="13"/>
  <c r="W280" i="13"/>
  <c r="V280" i="13"/>
  <c r="Z280" i="13"/>
  <c r="Y590" i="13"/>
  <c r="Z590" i="13"/>
  <c r="X590" i="13"/>
  <c r="W590" i="13"/>
  <c r="V590" i="13"/>
  <c r="X850" i="13"/>
  <c r="V850" i="13"/>
  <c r="Z850" i="13"/>
  <c r="Y850" i="13"/>
  <c r="W850" i="13"/>
  <c r="Y110" i="13"/>
  <c r="W110" i="13"/>
  <c r="X110" i="13"/>
  <c r="V110" i="13"/>
  <c r="Z110" i="13"/>
  <c r="Z446" i="13"/>
  <c r="Y446" i="13"/>
  <c r="X446" i="13"/>
  <c r="W446" i="13"/>
  <c r="V446" i="13"/>
  <c r="V661" i="13"/>
  <c r="Z661" i="13"/>
  <c r="Y661" i="13"/>
  <c r="X661" i="13"/>
  <c r="W661" i="13"/>
  <c r="V901" i="13"/>
  <c r="Y901" i="13"/>
  <c r="Z901" i="13"/>
  <c r="X901" i="13"/>
  <c r="W901" i="13"/>
  <c r="Z282" i="13"/>
  <c r="Y282" i="13"/>
  <c r="X282" i="13"/>
  <c r="W282" i="13"/>
  <c r="V282" i="13"/>
  <c r="Z592" i="13"/>
  <c r="Y592" i="13"/>
  <c r="X592" i="13"/>
  <c r="W592" i="13"/>
  <c r="V592" i="13"/>
  <c r="Z902" i="13"/>
  <c r="Y902" i="13"/>
  <c r="X902" i="13"/>
  <c r="W902" i="13"/>
  <c r="V902" i="13"/>
  <c r="Z163" i="13"/>
  <c r="Y163" i="13"/>
  <c r="X163" i="13"/>
  <c r="W163" i="13"/>
  <c r="V163" i="13"/>
  <c r="Z453" i="13"/>
  <c r="X453" i="13"/>
  <c r="Y453" i="13"/>
  <c r="W453" i="13"/>
  <c r="V453" i="13"/>
  <c r="W738" i="13"/>
  <c r="Y738" i="13"/>
  <c r="X738" i="13"/>
  <c r="Z738" i="13"/>
  <c r="V738" i="13"/>
  <c r="Y953" i="13"/>
  <c r="X953" i="13"/>
  <c r="W953" i="13"/>
  <c r="Z953" i="13"/>
  <c r="V953" i="13"/>
  <c r="X140" i="13"/>
  <c r="W140" i="13"/>
  <c r="V140" i="13"/>
  <c r="Z140" i="13"/>
  <c r="Y140" i="13"/>
  <c r="V594" i="13"/>
  <c r="Y594" i="13"/>
  <c r="Z594" i="13"/>
  <c r="X594" i="13"/>
  <c r="W594" i="13"/>
  <c r="V809" i="13"/>
  <c r="Y809" i="13"/>
  <c r="X809" i="13"/>
  <c r="W809" i="13"/>
  <c r="Z809" i="13"/>
  <c r="V15" i="13"/>
  <c r="Z15" i="13"/>
  <c r="Y15" i="13"/>
  <c r="X15" i="13"/>
  <c r="W15" i="13"/>
  <c r="Z475" i="13"/>
  <c r="Y475" i="13"/>
  <c r="X475" i="13"/>
  <c r="W475" i="13"/>
  <c r="V475" i="13"/>
  <c r="W715" i="13"/>
  <c r="V715" i="13"/>
  <c r="Z715" i="13"/>
  <c r="Y715" i="13"/>
  <c r="X715" i="13"/>
  <c r="Y980" i="13"/>
  <c r="V980" i="13"/>
  <c r="Z980" i="13"/>
  <c r="X980" i="13"/>
  <c r="W980" i="13"/>
  <c r="Z191" i="13"/>
  <c r="Y191" i="13"/>
  <c r="X191" i="13"/>
  <c r="W191" i="13"/>
  <c r="V191" i="13"/>
  <c r="Z336" i="13"/>
  <c r="V336" i="13"/>
  <c r="W336" i="13"/>
  <c r="Y336" i="13"/>
  <c r="X336" i="13"/>
  <c r="Y526" i="13"/>
  <c r="W526" i="13"/>
  <c r="X526" i="13"/>
  <c r="V526" i="13"/>
  <c r="Z526" i="13"/>
  <c r="V811" i="13"/>
  <c r="X811" i="13"/>
  <c r="W811" i="13"/>
  <c r="Z811" i="13"/>
  <c r="Y811" i="13"/>
  <c r="W362" i="13"/>
  <c r="Y362" i="13"/>
  <c r="V362" i="13"/>
  <c r="Z362" i="13"/>
  <c r="X362" i="13"/>
  <c r="V957" i="13"/>
  <c r="Z957" i="13"/>
  <c r="X957" i="13"/>
  <c r="W957" i="13"/>
  <c r="Y957" i="13"/>
  <c r="Z146" i="13"/>
  <c r="Y146" i="13"/>
  <c r="X146" i="13"/>
  <c r="V146" i="13"/>
  <c r="W146" i="13"/>
  <c r="W289" i="13"/>
  <c r="V289" i="13"/>
  <c r="Z289" i="13"/>
  <c r="X289" i="13"/>
  <c r="Y289" i="13"/>
  <c r="V20" i="13"/>
  <c r="Z20" i="13"/>
  <c r="Y20" i="13"/>
  <c r="X20" i="13"/>
  <c r="W20" i="13"/>
  <c r="Y245" i="13"/>
  <c r="Z245" i="13"/>
  <c r="X245" i="13"/>
  <c r="W245" i="13"/>
  <c r="V245" i="13"/>
  <c r="V485" i="13"/>
  <c r="W485" i="13"/>
  <c r="Z485" i="13"/>
  <c r="W98" i="13"/>
  <c r="V98" i="13"/>
  <c r="X98" i="13"/>
  <c r="Y98" i="13"/>
  <c r="Z98" i="13"/>
  <c r="Z152" i="13"/>
  <c r="Y152" i="13"/>
  <c r="X152" i="13"/>
  <c r="W152" i="13"/>
  <c r="V152" i="13"/>
  <c r="X179" i="13"/>
  <c r="W179" i="13"/>
  <c r="Z179" i="13"/>
  <c r="Y179" i="13"/>
  <c r="V179" i="13"/>
  <c r="Y199" i="13"/>
  <c r="X199" i="13"/>
  <c r="W199" i="13"/>
  <c r="V199" i="13"/>
  <c r="Z199" i="13"/>
  <c r="Z224" i="13"/>
  <c r="V224" i="13"/>
  <c r="Y224" i="13"/>
  <c r="X224" i="13"/>
  <c r="W224" i="13"/>
  <c r="W249" i="13"/>
  <c r="V249" i="13"/>
  <c r="Z249" i="13"/>
  <c r="Y249" i="13"/>
  <c r="X249" i="13"/>
  <c r="V274" i="13"/>
  <c r="X274" i="13"/>
  <c r="W274" i="13"/>
  <c r="Z274" i="13"/>
  <c r="Y274" i="13"/>
  <c r="Z299" i="13"/>
  <c r="Y299" i="13"/>
  <c r="X299" i="13"/>
  <c r="W299" i="13"/>
  <c r="V299" i="13"/>
  <c r="V319" i="13"/>
  <c r="Y319" i="13"/>
  <c r="X319" i="13"/>
  <c r="W319" i="13"/>
  <c r="Z319" i="13"/>
  <c r="V344" i="13"/>
  <c r="Y344" i="13"/>
  <c r="W344" i="13"/>
  <c r="Z344" i="13"/>
  <c r="X344" i="13"/>
  <c r="Z369" i="13"/>
  <c r="Y369" i="13"/>
  <c r="X369" i="13"/>
  <c r="W369" i="13"/>
  <c r="V369" i="13"/>
  <c r="Z394" i="13"/>
  <c r="Y394" i="13"/>
  <c r="X394" i="13"/>
  <c r="W394" i="13"/>
  <c r="V394" i="13"/>
  <c r="W414" i="13"/>
  <c r="V414" i="13"/>
  <c r="Z414" i="13"/>
  <c r="Y414" i="13"/>
  <c r="X414" i="13"/>
  <c r="Y439" i="13"/>
  <c r="X439" i="13"/>
  <c r="W439" i="13"/>
  <c r="V439" i="13"/>
  <c r="Z439" i="13"/>
  <c r="X464" i="13"/>
  <c r="W464" i="13"/>
  <c r="V464" i="13"/>
  <c r="Z464" i="13"/>
  <c r="Y464" i="13"/>
  <c r="V489" i="13"/>
  <c r="W489" i="13"/>
  <c r="X489" i="13"/>
  <c r="Z489" i="13"/>
  <c r="Y489" i="13"/>
  <c r="Z509" i="13"/>
  <c r="X509" i="13"/>
  <c r="Y509" i="13"/>
  <c r="W509" i="13"/>
  <c r="V509" i="13"/>
  <c r="Z534" i="13"/>
  <c r="X534" i="13"/>
  <c r="V534" i="13"/>
  <c r="Y534" i="13"/>
  <c r="W534" i="13"/>
  <c r="X559" i="13"/>
  <c r="V559" i="13"/>
  <c r="Y559" i="13"/>
  <c r="W559" i="13"/>
  <c r="Z559" i="13"/>
  <c r="Y584" i="13"/>
  <c r="W584" i="13"/>
  <c r="Z584" i="13"/>
  <c r="X584" i="13"/>
  <c r="V584" i="13"/>
  <c r="W609" i="13"/>
  <c r="V609" i="13"/>
  <c r="Z609" i="13"/>
  <c r="Y609" i="13"/>
  <c r="X609" i="13"/>
  <c r="Z629" i="13"/>
  <c r="X629" i="13"/>
  <c r="V629" i="13"/>
  <c r="Y629" i="13"/>
  <c r="W629" i="13"/>
  <c r="V654" i="13"/>
  <c r="Y654" i="13"/>
  <c r="X654" i="13"/>
  <c r="W654" i="13"/>
  <c r="Z654" i="13"/>
  <c r="Z679" i="13"/>
  <c r="W679" i="13"/>
  <c r="Y679" i="13"/>
  <c r="X679" i="13"/>
  <c r="V679" i="13"/>
  <c r="X704" i="13"/>
  <c r="Z704" i="13"/>
  <c r="W704" i="13"/>
  <c r="V704" i="13"/>
  <c r="Y704" i="13"/>
  <c r="X724" i="13"/>
  <c r="Z724" i="13"/>
  <c r="Y724" i="13"/>
  <c r="W724" i="13"/>
  <c r="V724" i="13"/>
  <c r="Z749" i="13"/>
  <c r="V749" i="13"/>
  <c r="X749" i="13"/>
  <c r="Y749" i="13"/>
  <c r="W749" i="13"/>
  <c r="Z774" i="13"/>
  <c r="V774" i="13"/>
  <c r="W774" i="13"/>
  <c r="Y774" i="13"/>
  <c r="X774" i="13"/>
  <c r="Z799" i="13"/>
  <c r="V799" i="13"/>
  <c r="Y799" i="13"/>
  <c r="X799" i="13"/>
  <c r="W799" i="13"/>
  <c r="Z819" i="13"/>
  <c r="V819" i="13"/>
  <c r="W819" i="13"/>
  <c r="Y819" i="13"/>
  <c r="X819" i="13"/>
  <c r="Z844" i="13"/>
  <c r="V844" i="13"/>
  <c r="Y844" i="13"/>
  <c r="X844" i="13"/>
  <c r="W844" i="13"/>
  <c r="Z869" i="13"/>
  <c r="V869" i="13"/>
  <c r="X869" i="13"/>
  <c r="Y869" i="13"/>
  <c r="W869" i="13"/>
  <c r="Z894" i="13"/>
  <c r="V894" i="13"/>
  <c r="Y894" i="13"/>
  <c r="X894" i="13"/>
  <c r="W894" i="13"/>
  <c r="Z919" i="13"/>
  <c r="V919" i="13"/>
  <c r="Y919" i="13"/>
  <c r="X919" i="13"/>
  <c r="W919" i="13"/>
  <c r="Z939" i="13"/>
  <c r="V939" i="13"/>
  <c r="Y939" i="13"/>
  <c r="X939" i="13"/>
  <c r="W939" i="13"/>
  <c r="Z964" i="13"/>
  <c r="V964" i="13"/>
  <c r="X964" i="13"/>
  <c r="Y964" i="13"/>
  <c r="W964" i="13"/>
  <c r="Z989" i="13"/>
  <c r="V989" i="13"/>
  <c r="W989" i="13"/>
  <c r="Y989" i="13"/>
  <c r="X989" i="13"/>
  <c r="Z82" i="13"/>
  <c r="Y82" i="13"/>
  <c r="V82" i="13"/>
  <c r="X82" i="13"/>
  <c r="W82" i="13"/>
  <c r="Z373" i="13"/>
  <c r="Y373" i="13"/>
  <c r="V373" i="13"/>
  <c r="X373" i="13"/>
  <c r="W373" i="13"/>
  <c r="Z658" i="13"/>
  <c r="Y658" i="13"/>
  <c r="X658" i="13"/>
  <c r="V658" i="13"/>
  <c r="W658" i="13"/>
  <c r="V873" i="13"/>
  <c r="Z873" i="13"/>
  <c r="Y873" i="13"/>
  <c r="X873" i="13"/>
  <c r="W873" i="13"/>
  <c r="Z108" i="13"/>
  <c r="Y108" i="13"/>
  <c r="X108" i="13"/>
  <c r="W108" i="13"/>
  <c r="V108" i="13"/>
  <c r="V279" i="13"/>
  <c r="Y279" i="13"/>
  <c r="W279" i="13"/>
  <c r="Z279" i="13"/>
  <c r="X279" i="13"/>
  <c r="Z494" i="13"/>
  <c r="Y494" i="13"/>
  <c r="X494" i="13"/>
  <c r="W494" i="13"/>
  <c r="V494" i="13"/>
  <c r="Z659" i="13"/>
  <c r="Y659" i="13"/>
  <c r="X659" i="13"/>
  <c r="W659" i="13"/>
  <c r="V659" i="13"/>
  <c r="Z849" i="13"/>
  <c r="Y849" i="13"/>
  <c r="X849" i="13"/>
  <c r="W849" i="13"/>
  <c r="V849" i="13"/>
  <c r="X185" i="13"/>
  <c r="W185" i="13"/>
  <c r="Y185" i="13"/>
  <c r="V185" i="13"/>
  <c r="Z185" i="13"/>
  <c r="Y425" i="13"/>
  <c r="V425" i="13"/>
  <c r="W425" i="13"/>
  <c r="Z425" i="13"/>
  <c r="X425" i="13"/>
  <c r="V685" i="13"/>
  <c r="W685" i="13"/>
  <c r="Z685" i="13"/>
  <c r="Y685" i="13"/>
  <c r="X685" i="13"/>
  <c r="Y950" i="13"/>
  <c r="X950" i="13"/>
  <c r="V950" i="13"/>
  <c r="Z950" i="13"/>
  <c r="W950" i="13"/>
  <c r="Y132" i="13"/>
  <c r="W132" i="13"/>
  <c r="V132" i="13"/>
  <c r="X132" i="13"/>
  <c r="Z132" i="13"/>
  <c r="Y331" i="13"/>
  <c r="X331" i="13"/>
  <c r="W331" i="13"/>
  <c r="Z331" i="13"/>
  <c r="V331" i="13"/>
  <c r="X566" i="13"/>
  <c r="W566" i="13"/>
  <c r="V566" i="13"/>
  <c r="Y566" i="13"/>
  <c r="Z566" i="13"/>
  <c r="W831" i="13"/>
  <c r="X831" i="13"/>
  <c r="Z831" i="13"/>
  <c r="Y831" i="13"/>
  <c r="V831" i="13"/>
  <c r="Z212" i="13"/>
  <c r="Y212" i="13"/>
  <c r="X212" i="13"/>
  <c r="V212" i="13"/>
  <c r="W212" i="13"/>
  <c r="Y567" i="13"/>
  <c r="Z567" i="13"/>
  <c r="X567" i="13"/>
  <c r="W567" i="13"/>
  <c r="V567" i="13"/>
  <c r="Z952" i="13"/>
  <c r="W952" i="13"/>
  <c r="Y952" i="13"/>
  <c r="X952" i="13"/>
  <c r="V952" i="13"/>
  <c r="Y213" i="13"/>
  <c r="V213" i="13"/>
  <c r="W213" i="13"/>
  <c r="Z213" i="13"/>
  <c r="X213" i="13"/>
  <c r="Z523" i="13"/>
  <c r="X523" i="13"/>
  <c r="Y523" i="13"/>
  <c r="W523" i="13"/>
  <c r="V523" i="13"/>
  <c r="W379" i="13"/>
  <c r="Y379" i="13"/>
  <c r="X379" i="13"/>
  <c r="V379" i="13"/>
  <c r="Z379" i="13"/>
  <c r="X644" i="13"/>
  <c r="V644" i="13"/>
  <c r="Z644" i="13"/>
  <c r="Y644" i="13"/>
  <c r="W644" i="13"/>
  <c r="Y929" i="13"/>
  <c r="V929" i="13"/>
  <c r="W929" i="13"/>
  <c r="Z929" i="13"/>
  <c r="X929" i="13"/>
  <c r="Z215" i="13"/>
  <c r="Y215" i="13"/>
  <c r="X215" i="13"/>
  <c r="W215" i="13"/>
  <c r="V215" i="13"/>
  <c r="Z405" i="13"/>
  <c r="Y405" i="13"/>
  <c r="X405" i="13"/>
  <c r="V405" i="13"/>
  <c r="W405" i="13"/>
  <c r="Y645" i="13"/>
  <c r="W645" i="13"/>
  <c r="V645" i="13"/>
  <c r="X645" i="13"/>
  <c r="Z645" i="13"/>
  <c r="Y905" i="13"/>
  <c r="W905" i="13"/>
  <c r="Z905" i="13"/>
  <c r="X905" i="13"/>
  <c r="V905" i="13"/>
  <c r="Z216" i="13"/>
  <c r="Y216" i="13"/>
  <c r="X216" i="13"/>
  <c r="W216" i="13"/>
  <c r="V216" i="13"/>
  <c r="Y381" i="13"/>
  <c r="W381" i="13"/>
  <c r="Z381" i="13"/>
  <c r="X381" i="13"/>
  <c r="V381" i="13"/>
  <c r="Y596" i="13"/>
  <c r="W596" i="13"/>
  <c r="V596" i="13"/>
  <c r="Z596" i="13"/>
  <c r="X596" i="13"/>
  <c r="V906" i="13"/>
  <c r="Z906" i="13"/>
  <c r="Y906" i="13"/>
  <c r="X906" i="13"/>
  <c r="W906" i="13"/>
  <c r="V17" i="13"/>
  <c r="Y17" i="13"/>
  <c r="Z17" i="13"/>
  <c r="X17" i="13"/>
  <c r="W17" i="13"/>
  <c r="Z267" i="13"/>
  <c r="Y267" i="13"/>
  <c r="X267" i="13"/>
  <c r="W267" i="13"/>
  <c r="V267" i="13"/>
  <c r="W502" i="13"/>
  <c r="Y502" i="13"/>
  <c r="Z502" i="13"/>
  <c r="X502" i="13"/>
  <c r="V502" i="13"/>
  <c r="W812" i="13"/>
  <c r="V812" i="13"/>
  <c r="Y812" i="13"/>
  <c r="X812" i="13"/>
  <c r="Z812" i="13"/>
  <c r="Z244" i="13"/>
  <c r="V244" i="13"/>
  <c r="Y244" i="13"/>
  <c r="X244" i="13"/>
  <c r="W244" i="13"/>
  <c r="V121" i="13"/>
  <c r="X121" i="13"/>
  <c r="W121" i="13"/>
  <c r="Z121" i="13"/>
  <c r="Y121" i="13"/>
  <c r="Y555" i="13"/>
  <c r="Z555" i="13"/>
  <c r="X555" i="13"/>
  <c r="W555" i="13"/>
  <c r="V555" i="13"/>
  <c r="W77" i="13"/>
  <c r="V77" i="13"/>
  <c r="Z77" i="13"/>
  <c r="Y77" i="13"/>
  <c r="X77" i="13"/>
  <c r="X153" i="13"/>
  <c r="V153" i="13"/>
  <c r="Z153" i="13"/>
  <c r="W153" i="13"/>
  <c r="Y153" i="13"/>
  <c r="W225" i="13"/>
  <c r="V225" i="13"/>
  <c r="Z225" i="13"/>
  <c r="Y225" i="13"/>
  <c r="X225" i="13"/>
  <c r="Z275" i="13"/>
  <c r="X275" i="13"/>
  <c r="W275" i="13"/>
  <c r="V275" i="13"/>
  <c r="Y275" i="13"/>
  <c r="X300" i="13"/>
  <c r="Z300" i="13"/>
  <c r="Y300" i="13"/>
  <c r="W300" i="13"/>
  <c r="V300" i="13"/>
  <c r="W320" i="13"/>
  <c r="Z320" i="13"/>
  <c r="Y320" i="13"/>
  <c r="X320" i="13"/>
  <c r="V320" i="13"/>
  <c r="V370" i="13"/>
  <c r="W370" i="13"/>
  <c r="X370" i="13"/>
  <c r="Z370" i="13"/>
  <c r="Y370" i="13"/>
  <c r="V395" i="13"/>
  <c r="Z395" i="13"/>
  <c r="Y395" i="13"/>
  <c r="X395" i="13"/>
  <c r="W395" i="13"/>
  <c r="V415" i="13"/>
  <c r="Y415" i="13"/>
  <c r="X415" i="13"/>
  <c r="W415" i="13"/>
  <c r="Z415" i="13"/>
  <c r="V440" i="13"/>
  <c r="W440" i="13"/>
  <c r="Z440" i="13"/>
  <c r="Y440" i="13"/>
  <c r="X440" i="13"/>
  <c r="V465" i="13"/>
  <c r="W465" i="13"/>
  <c r="Z465" i="13"/>
  <c r="Y465" i="13"/>
  <c r="X465" i="13"/>
  <c r="V490" i="13"/>
  <c r="Z490" i="13"/>
  <c r="Y490" i="13"/>
  <c r="X490" i="13"/>
  <c r="W490" i="13"/>
  <c r="V515" i="13"/>
  <c r="Z515" i="13"/>
  <c r="Y515" i="13"/>
  <c r="X515" i="13"/>
  <c r="W515" i="13"/>
  <c r="V535" i="13"/>
  <c r="Y535" i="13"/>
  <c r="Z535" i="13"/>
  <c r="W535" i="13"/>
  <c r="X535" i="13"/>
  <c r="V560" i="13"/>
  <c r="Z560" i="13"/>
  <c r="W560" i="13"/>
  <c r="X560" i="13"/>
  <c r="Y560" i="13"/>
  <c r="V585" i="13"/>
  <c r="Z585" i="13"/>
  <c r="Y585" i="13"/>
  <c r="X585" i="13"/>
  <c r="W585" i="13"/>
  <c r="V610" i="13"/>
  <c r="Y610" i="13"/>
  <c r="W610" i="13"/>
  <c r="Z610" i="13"/>
  <c r="X610" i="13"/>
  <c r="V630" i="13"/>
  <c r="Z630" i="13"/>
  <c r="Y630" i="13"/>
  <c r="X630" i="13"/>
  <c r="W630" i="13"/>
  <c r="V655" i="13"/>
  <c r="W655" i="13"/>
  <c r="X655" i="13"/>
  <c r="Z655" i="13"/>
  <c r="Y655" i="13"/>
  <c r="Z680" i="13"/>
  <c r="X680" i="13"/>
  <c r="Y680" i="13"/>
  <c r="W680" i="13"/>
  <c r="V680" i="13"/>
  <c r="Z705" i="13"/>
  <c r="Y705" i="13"/>
  <c r="X705" i="13"/>
  <c r="W705" i="13"/>
  <c r="V705" i="13"/>
  <c r="V725" i="13"/>
  <c r="X725" i="13"/>
  <c r="W725" i="13"/>
  <c r="Z725" i="13"/>
  <c r="Y725" i="13"/>
  <c r="V750" i="13"/>
  <c r="X750" i="13"/>
  <c r="Y750" i="13"/>
  <c r="W750" i="13"/>
  <c r="Z750" i="13"/>
  <c r="Y775" i="13"/>
  <c r="V775" i="13"/>
  <c r="Z775" i="13"/>
  <c r="W775" i="13"/>
  <c r="X775" i="13"/>
  <c r="W800" i="13"/>
  <c r="Z800" i="13"/>
  <c r="Y800" i="13"/>
  <c r="X800" i="13"/>
  <c r="V800" i="13"/>
  <c r="W825" i="13"/>
  <c r="Z825" i="13"/>
  <c r="Y825" i="13"/>
  <c r="X825" i="13"/>
  <c r="V825" i="13"/>
  <c r="W845" i="13"/>
  <c r="X845" i="13"/>
  <c r="Y845" i="13"/>
  <c r="V845" i="13"/>
  <c r="Z845" i="13"/>
  <c r="X870" i="13"/>
  <c r="Y870" i="13"/>
  <c r="W870" i="13"/>
  <c r="V870" i="13"/>
  <c r="Z870" i="13"/>
  <c r="X895" i="13"/>
  <c r="V895" i="13"/>
  <c r="Z895" i="13"/>
  <c r="Y895" i="13"/>
  <c r="W895" i="13"/>
  <c r="X920" i="13"/>
  <c r="Z920" i="13"/>
  <c r="W920" i="13"/>
  <c r="V920" i="13"/>
  <c r="Y920" i="13"/>
  <c r="X940" i="13"/>
  <c r="W940" i="13"/>
  <c r="Y940" i="13"/>
  <c r="V940" i="13"/>
  <c r="Z940" i="13"/>
  <c r="X965" i="13"/>
  <c r="V965" i="13"/>
  <c r="Z965" i="13"/>
  <c r="W965" i="13"/>
  <c r="Y965" i="13"/>
  <c r="X990" i="13"/>
  <c r="V990" i="13"/>
  <c r="Y990" i="13"/>
  <c r="W990" i="13"/>
  <c r="Z990" i="13"/>
  <c r="X28" i="13"/>
  <c r="W28" i="13"/>
  <c r="V28" i="13"/>
  <c r="Z28" i="13"/>
  <c r="Y28" i="13"/>
  <c r="Z253" i="13"/>
  <c r="W253" i="13"/>
  <c r="V253" i="13"/>
  <c r="X253" i="13"/>
  <c r="Y253" i="13"/>
  <c r="W493" i="13"/>
  <c r="V493" i="13"/>
  <c r="Z493" i="13"/>
  <c r="Y493" i="13"/>
  <c r="X493" i="13"/>
  <c r="X733" i="13"/>
  <c r="Z733" i="13"/>
  <c r="V733" i="13"/>
  <c r="Y733" i="13"/>
  <c r="W733" i="13"/>
  <c r="W923" i="13"/>
  <c r="Y923" i="13"/>
  <c r="V923" i="13"/>
  <c r="X923" i="13"/>
  <c r="Z923" i="13"/>
  <c r="V254" i="13"/>
  <c r="Z254" i="13"/>
  <c r="Y254" i="13"/>
  <c r="W254" i="13"/>
  <c r="X254" i="13"/>
  <c r="X539" i="13"/>
  <c r="V539" i="13"/>
  <c r="Z539" i="13"/>
  <c r="Y539" i="13"/>
  <c r="W539" i="13"/>
  <c r="X969" i="13"/>
  <c r="V969" i="13"/>
  <c r="W969" i="13"/>
  <c r="Y969" i="13"/>
  <c r="Z969" i="13"/>
  <c r="X160" i="13"/>
  <c r="W160" i="13"/>
  <c r="V160" i="13"/>
  <c r="Y160" i="13"/>
  <c r="Z160" i="13"/>
  <c r="V330" i="13"/>
  <c r="Z330" i="13"/>
  <c r="Y330" i="13"/>
  <c r="W330" i="13"/>
  <c r="X330" i="13"/>
  <c r="Y470" i="13"/>
  <c r="W470" i="13"/>
  <c r="V470" i="13"/>
  <c r="X470" i="13"/>
  <c r="Z470" i="13"/>
  <c r="Y640" i="13"/>
  <c r="Z640" i="13"/>
  <c r="V640" i="13"/>
  <c r="W640" i="13"/>
  <c r="X640" i="13"/>
  <c r="X805" i="13"/>
  <c r="V805" i="13"/>
  <c r="Y805" i="13"/>
  <c r="W805" i="13"/>
  <c r="Z805" i="13"/>
  <c r="Y186" i="13"/>
  <c r="W186" i="13"/>
  <c r="Z186" i="13"/>
  <c r="X186" i="13"/>
  <c r="V186" i="13"/>
  <c r="Y521" i="13"/>
  <c r="X521" i="13"/>
  <c r="W521" i="13"/>
  <c r="V521" i="13"/>
  <c r="Z521" i="13"/>
  <c r="V971" i="13"/>
  <c r="Y971" i="13"/>
  <c r="Z971" i="13"/>
  <c r="X971" i="13"/>
  <c r="W971" i="13"/>
  <c r="Z111" i="13"/>
  <c r="V111" i="13"/>
  <c r="Y111" i="13"/>
  <c r="X111" i="13"/>
  <c r="W111" i="13"/>
  <c r="Y332" i="13"/>
  <c r="V332" i="13"/>
  <c r="W332" i="13"/>
  <c r="Z332" i="13"/>
  <c r="X332" i="13"/>
  <c r="Z472" i="13"/>
  <c r="W472" i="13"/>
  <c r="V472" i="13"/>
  <c r="Y472" i="13"/>
  <c r="X472" i="13"/>
  <c r="Z662" i="13"/>
  <c r="Y662" i="13"/>
  <c r="X662" i="13"/>
  <c r="W662" i="13"/>
  <c r="V662" i="13"/>
  <c r="Z807" i="13"/>
  <c r="V807" i="13"/>
  <c r="Y807" i="13"/>
  <c r="X807" i="13"/>
  <c r="W807" i="13"/>
  <c r="W13" i="13"/>
  <c r="V13" i="13"/>
  <c r="X13" i="13"/>
  <c r="Y13" i="13"/>
  <c r="Z13" i="13"/>
  <c r="Z403" i="13"/>
  <c r="X403" i="13"/>
  <c r="Y403" i="13"/>
  <c r="V403" i="13"/>
  <c r="W403" i="13"/>
  <c r="W858" i="13"/>
  <c r="Z858" i="13"/>
  <c r="X858" i="13"/>
  <c r="V858" i="13"/>
  <c r="Y858" i="13"/>
  <c r="Z474" i="13"/>
  <c r="Y474" i="13"/>
  <c r="X474" i="13"/>
  <c r="V474" i="13"/>
  <c r="W474" i="13"/>
  <c r="V569" i="13"/>
  <c r="W569" i="13"/>
  <c r="X569" i="13"/>
  <c r="Z569" i="13"/>
  <c r="Y569" i="13"/>
  <c r="Z689" i="13"/>
  <c r="V689" i="13"/>
  <c r="Y689" i="13"/>
  <c r="W689" i="13"/>
  <c r="X689" i="13"/>
  <c r="Z834" i="13"/>
  <c r="X834" i="13"/>
  <c r="Y834" i="13"/>
  <c r="W834" i="13"/>
  <c r="V834" i="13"/>
  <c r="X165" i="13"/>
  <c r="W165" i="13"/>
  <c r="Z165" i="13"/>
  <c r="Y165" i="13"/>
  <c r="V165" i="13"/>
  <c r="Z670" i="13"/>
  <c r="Y670" i="13"/>
  <c r="X670" i="13"/>
  <c r="W670" i="13"/>
  <c r="V670" i="13"/>
  <c r="Y880" i="13"/>
  <c r="W880" i="13"/>
  <c r="Z880" i="13"/>
  <c r="X880" i="13"/>
  <c r="V880" i="13"/>
  <c r="Z261" i="13"/>
  <c r="Y261" i="13"/>
  <c r="X261" i="13"/>
  <c r="W261" i="13"/>
  <c r="V261" i="13"/>
  <c r="V786" i="13"/>
  <c r="W786" i="13"/>
  <c r="X786" i="13"/>
  <c r="Z786" i="13"/>
  <c r="Y786" i="13"/>
  <c r="Z217" i="13"/>
  <c r="Y217" i="13"/>
  <c r="V217" i="13"/>
  <c r="X217" i="13"/>
  <c r="W217" i="13"/>
  <c r="V477" i="13"/>
  <c r="Z477" i="13"/>
  <c r="Y477" i="13"/>
  <c r="X477" i="13"/>
  <c r="W477" i="13"/>
  <c r="Z837" i="13"/>
  <c r="Y837" i="13"/>
  <c r="X837" i="13"/>
  <c r="W837" i="13"/>
  <c r="V837" i="13"/>
  <c r="Z93" i="13"/>
  <c r="Y93" i="13"/>
  <c r="X93" i="13"/>
  <c r="W93" i="13"/>
  <c r="V93" i="13"/>
  <c r="X384" i="13"/>
  <c r="V384" i="13"/>
  <c r="W384" i="13"/>
  <c r="Z384" i="13"/>
  <c r="Y384" i="13"/>
  <c r="V147" i="13"/>
  <c r="X147" i="13"/>
  <c r="W147" i="13"/>
  <c r="Y147" i="13"/>
  <c r="Z147" i="13"/>
  <c r="X315" i="13"/>
  <c r="Z315" i="13"/>
  <c r="Y315" i="13"/>
  <c r="W315" i="13"/>
  <c r="V315" i="13"/>
  <c r="X435" i="13"/>
  <c r="Y435" i="13"/>
  <c r="W435" i="13"/>
  <c r="V435" i="13"/>
  <c r="Z435" i="13"/>
  <c r="Z75" i="13"/>
  <c r="Y75" i="13"/>
  <c r="X75" i="13"/>
  <c r="W75" i="13"/>
  <c r="V75" i="13"/>
  <c r="W125" i="13"/>
  <c r="V125" i="13"/>
  <c r="X125" i="13"/>
  <c r="Z125" i="13"/>
  <c r="Y125" i="13"/>
  <c r="X99" i="13"/>
  <c r="V99" i="13"/>
  <c r="Y99" i="13"/>
  <c r="W99" i="13"/>
  <c r="Z99" i="13"/>
  <c r="Y180" i="13"/>
  <c r="V180" i="13"/>
  <c r="Z180" i="13"/>
  <c r="W180" i="13"/>
  <c r="X180" i="13"/>
  <c r="W251" i="13"/>
  <c r="Y251" i="13"/>
  <c r="X251" i="13"/>
  <c r="V251" i="13"/>
  <c r="Z251" i="13"/>
  <c r="W396" i="13"/>
  <c r="Y396" i="13"/>
  <c r="X396" i="13"/>
  <c r="V396" i="13"/>
  <c r="Z396" i="13"/>
  <c r="V466" i="13"/>
  <c r="Z466" i="13"/>
  <c r="Y466" i="13"/>
  <c r="X466" i="13"/>
  <c r="W466" i="13"/>
  <c r="X516" i="13"/>
  <c r="Z516" i="13"/>
  <c r="Y516" i="13"/>
  <c r="W516" i="13"/>
  <c r="V516" i="13"/>
  <c r="Z536" i="13"/>
  <c r="V536" i="13"/>
  <c r="X536" i="13"/>
  <c r="W536" i="13"/>
  <c r="Y536" i="13"/>
  <c r="Y561" i="13"/>
  <c r="W561" i="13"/>
  <c r="Z561" i="13"/>
  <c r="X561" i="13"/>
  <c r="V561" i="13"/>
  <c r="Z586" i="13"/>
  <c r="Y586" i="13"/>
  <c r="X586" i="13"/>
  <c r="V586" i="13"/>
  <c r="W586" i="13"/>
  <c r="Y611" i="13"/>
  <c r="X611" i="13"/>
  <c r="W611" i="13"/>
  <c r="V611" i="13"/>
  <c r="Z611" i="13"/>
  <c r="V631" i="13"/>
  <c r="W631" i="13"/>
  <c r="Z631" i="13"/>
  <c r="Y631" i="13"/>
  <c r="X631" i="13"/>
  <c r="Y656" i="13"/>
  <c r="W656" i="13"/>
  <c r="V656" i="13"/>
  <c r="Z656" i="13"/>
  <c r="X656" i="13"/>
  <c r="V681" i="13"/>
  <c r="Z681" i="13"/>
  <c r="Y681" i="13"/>
  <c r="X681" i="13"/>
  <c r="W681" i="13"/>
  <c r="Y706" i="13"/>
  <c r="V706" i="13"/>
  <c r="W706" i="13"/>
  <c r="Z706" i="13"/>
  <c r="X706" i="13"/>
  <c r="Z726" i="13"/>
  <c r="X726" i="13"/>
  <c r="Y726" i="13"/>
  <c r="W726" i="13"/>
  <c r="V726" i="13"/>
  <c r="X751" i="13"/>
  <c r="Z751" i="13"/>
  <c r="Y751" i="13"/>
  <c r="W751" i="13"/>
  <c r="V751" i="13"/>
  <c r="X776" i="13"/>
  <c r="Z776" i="13"/>
  <c r="Y776" i="13"/>
  <c r="W776" i="13"/>
  <c r="V776" i="13"/>
  <c r="Y801" i="13"/>
  <c r="W801" i="13"/>
  <c r="V801" i="13"/>
  <c r="Z801" i="13"/>
  <c r="X801" i="13"/>
  <c r="Z826" i="13"/>
  <c r="Y826" i="13"/>
  <c r="X826" i="13"/>
  <c r="W826" i="13"/>
  <c r="V826" i="13"/>
  <c r="V846" i="13"/>
  <c r="Z846" i="13"/>
  <c r="Y846" i="13"/>
  <c r="W846" i="13"/>
  <c r="X846" i="13"/>
  <c r="X871" i="13"/>
  <c r="V871" i="13"/>
  <c r="Y871" i="13"/>
  <c r="Z871" i="13"/>
  <c r="W871" i="13"/>
  <c r="V896" i="13"/>
  <c r="Y896" i="13"/>
  <c r="W896" i="13"/>
  <c r="Z896" i="13"/>
  <c r="X896" i="13"/>
  <c r="X921" i="13"/>
  <c r="V921" i="13"/>
  <c r="Z921" i="13"/>
  <c r="W921" i="13"/>
  <c r="Y921" i="13"/>
  <c r="V941" i="13"/>
  <c r="W941" i="13"/>
  <c r="Z941" i="13"/>
  <c r="X941" i="13"/>
  <c r="Y941" i="13"/>
  <c r="Y966" i="13"/>
  <c r="W966" i="13"/>
  <c r="X966" i="13"/>
  <c r="V966" i="13"/>
  <c r="Z966" i="13"/>
  <c r="Y991" i="13"/>
  <c r="Z991" i="13"/>
  <c r="X991" i="13"/>
  <c r="W991" i="13"/>
  <c r="V991" i="13"/>
  <c r="Z107" i="13"/>
  <c r="X107" i="13"/>
  <c r="W107" i="13"/>
  <c r="V107" i="13"/>
  <c r="Y107" i="13"/>
  <c r="Z278" i="13"/>
  <c r="Y278" i="13"/>
  <c r="X278" i="13"/>
  <c r="W278" i="13"/>
  <c r="V278" i="13"/>
  <c r="V398" i="13"/>
  <c r="Z398" i="13"/>
  <c r="Y398" i="13"/>
  <c r="X398" i="13"/>
  <c r="W398" i="13"/>
  <c r="X518" i="13"/>
  <c r="V518" i="13"/>
  <c r="Y518" i="13"/>
  <c r="Z518" i="13"/>
  <c r="W518" i="13"/>
  <c r="Z683" i="13"/>
  <c r="X683" i="13"/>
  <c r="V683" i="13"/>
  <c r="W683" i="13"/>
  <c r="Y683" i="13"/>
  <c r="Z778" i="13"/>
  <c r="X778" i="13"/>
  <c r="V778" i="13"/>
  <c r="Y778" i="13"/>
  <c r="W778" i="13"/>
  <c r="W993" i="13"/>
  <c r="Z993" i="13"/>
  <c r="Y993" i="13"/>
  <c r="X993" i="13"/>
  <c r="V993" i="13"/>
  <c r="Z130" i="13"/>
  <c r="Y130" i="13"/>
  <c r="V130" i="13"/>
  <c r="X130" i="13"/>
  <c r="W130" i="13"/>
  <c r="V229" i="13"/>
  <c r="Z229" i="13"/>
  <c r="Y229" i="13"/>
  <c r="X229" i="13"/>
  <c r="W229" i="13"/>
  <c r="W329" i="13"/>
  <c r="V329" i="13"/>
  <c r="Z329" i="13"/>
  <c r="Y329" i="13"/>
  <c r="X329" i="13"/>
  <c r="W444" i="13"/>
  <c r="Z444" i="13"/>
  <c r="V444" i="13"/>
  <c r="Y444" i="13"/>
  <c r="X444" i="13"/>
  <c r="Z564" i="13"/>
  <c r="V564" i="13"/>
  <c r="W564" i="13"/>
  <c r="Y564" i="13"/>
  <c r="X564" i="13"/>
  <c r="Z709" i="13"/>
  <c r="Y709" i="13"/>
  <c r="X709" i="13"/>
  <c r="W709" i="13"/>
  <c r="V709" i="13"/>
  <c r="Y754" i="13"/>
  <c r="W754" i="13"/>
  <c r="Z754" i="13"/>
  <c r="X754" i="13"/>
  <c r="V754" i="13"/>
  <c r="Y924" i="13"/>
  <c r="Z924" i="13"/>
  <c r="X924" i="13"/>
  <c r="W924" i="13"/>
  <c r="V924" i="13"/>
  <c r="W109" i="13"/>
  <c r="V109" i="13"/>
  <c r="X109" i="13"/>
  <c r="Z109" i="13"/>
  <c r="Y109" i="13"/>
  <c r="Y350" i="13"/>
  <c r="Z350" i="13"/>
  <c r="X350" i="13"/>
  <c r="W350" i="13"/>
  <c r="V350" i="13"/>
  <c r="Y520" i="13"/>
  <c r="X520" i="13"/>
  <c r="W520" i="13"/>
  <c r="Z520" i="13"/>
  <c r="V520" i="13"/>
  <c r="Y660" i="13"/>
  <c r="V660" i="13"/>
  <c r="W660" i="13"/>
  <c r="X660" i="13"/>
  <c r="Z660" i="13"/>
  <c r="X755" i="13"/>
  <c r="V755" i="13"/>
  <c r="Z755" i="13"/>
  <c r="Y755" i="13"/>
  <c r="W755" i="13"/>
  <c r="Z970" i="13"/>
  <c r="Y970" i="13"/>
  <c r="X970" i="13"/>
  <c r="W970" i="13"/>
  <c r="V970" i="13"/>
  <c r="X211" i="13"/>
  <c r="W211" i="13"/>
  <c r="V211" i="13"/>
  <c r="Z211" i="13"/>
  <c r="Y211" i="13"/>
  <c r="W351" i="13"/>
  <c r="Z351" i="13"/>
  <c r="Y351" i="13"/>
  <c r="X351" i="13"/>
  <c r="V351" i="13"/>
  <c r="V546" i="13"/>
  <c r="Z546" i="13"/>
  <c r="Y546" i="13"/>
  <c r="W546" i="13"/>
  <c r="X546" i="13"/>
  <c r="X711" i="13"/>
  <c r="Z711" i="13"/>
  <c r="Y711" i="13"/>
  <c r="W711" i="13"/>
  <c r="V711" i="13"/>
  <c r="Z736" i="13"/>
  <c r="Y736" i="13"/>
  <c r="X736" i="13"/>
  <c r="W736" i="13"/>
  <c r="V736" i="13"/>
  <c r="V951" i="13"/>
  <c r="Y951" i="13"/>
  <c r="X951" i="13"/>
  <c r="W951" i="13"/>
  <c r="Z951" i="13"/>
  <c r="W12" i="13"/>
  <c r="Z12" i="13"/>
  <c r="Y12" i="13"/>
  <c r="X12" i="13"/>
  <c r="V12" i="13"/>
  <c r="X187" i="13"/>
  <c r="Z187" i="13"/>
  <c r="Y187" i="13"/>
  <c r="W187" i="13"/>
  <c r="V187" i="13"/>
  <c r="V307" i="13"/>
  <c r="Z307" i="13"/>
  <c r="Y307" i="13"/>
  <c r="X307" i="13"/>
  <c r="W307" i="13"/>
  <c r="V352" i="13"/>
  <c r="Z352" i="13"/>
  <c r="Y352" i="13"/>
  <c r="X352" i="13"/>
  <c r="W352" i="13"/>
  <c r="Z497" i="13"/>
  <c r="X497" i="13"/>
  <c r="Y497" i="13"/>
  <c r="W497" i="13"/>
  <c r="V497" i="13"/>
  <c r="Z642" i="13"/>
  <c r="Y642" i="13"/>
  <c r="X642" i="13"/>
  <c r="W642" i="13"/>
  <c r="V642" i="13"/>
  <c r="Z737" i="13"/>
  <c r="Y737" i="13"/>
  <c r="V737" i="13"/>
  <c r="X737" i="13"/>
  <c r="W737" i="13"/>
  <c r="Z997" i="13"/>
  <c r="Y997" i="13"/>
  <c r="X997" i="13"/>
  <c r="W997" i="13"/>
  <c r="V997" i="13"/>
  <c r="Y87" i="13"/>
  <c r="X87" i="13"/>
  <c r="W87" i="13"/>
  <c r="V87" i="13"/>
  <c r="Z87" i="13"/>
  <c r="Y139" i="13"/>
  <c r="X139" i="13"/>
  <c r="W139" i="13"/>
  <c r="V139" i="13"/>
  <c r="Z139" i="13"/>
  <c r="Z258" i="13"/>
  <c r="Y258" i="13"/>
  <c r="X258" i="13"/>
  <c r="W258" i="13"/>
  <c r="V258" i="13"/>
  <c r="Z378" i="13"/>
  <c r="X378" i="13"/>
  <c r="Y378" i="13"/>
  <c r="W378" i="13"/>
  <c r="V378" i="13"/>
  <c r="Z473" i="13"/>
  <c r="X473" i="13"/>
  <c r="Y473" i="13"/>
  <c r="W473" i="13"/>
  <c r="V473" i="13"/>
  <c r="Z568" i="13"/>
  <c r="X568" i="13"/>
  <c r="Y568" i="13"/>
  <c r="V568" i="13"/>
  <c r="W568" i="13"/>
  <c r="Z643" i="13"/>
  <c r="X643" i="13"/>
  <c r="Y643" i="13"/>
  <c r="W643" i="13"/>
  <c r="V643" i="13"/>
  <c r="V713" i="13"/>
  <c r="Y713" i="13"/>
  <c r="Z713" i="13"/>
  <c r="X713" i="13"/>
  <c r="W713" i="13"/>
  <c r="W783" i="13"/>
  <c r="Z783" i="13"/>
  <c r="Y783" i="13"/>
  <c r="X783" i="13"/>
  <c r="V783" i="13"/>
  <c r="Y998" i="13"/>
  <c r="X998" i="13"/>
  <c r="W998" i="13"/>
  <c r="Z998" i="13"/>
  <c r="V998" i="13"/>
  <c r="X88" i="13"/>
  <c r="V88" i="13"/>
  <c r="Y88" i="13"/>
  <c r="W88" i="13"/>
  <c r="Z88" i="13"/>
  <c r="Y189" i="13"/>
  <c r="Z189" i="13"/>
  <c r="X189" i="13"/>
  <c r="W189" i="13"/>
  <c r="V189" i="13"/>
  <c r="Z334" i="13"/>
  <c r="Y334" i="13"/>
  <c r="V334" i="13"/>
  <c r="X334" i="13"/>
  <c r="W334" i="13"/>
  <c r="X499" i="13"/>
  <c r="V499" i="13"/>
  <c r="Z499" i="13"/>
  <c r="Y499" i="13"/>
  <c r="W499" i="13"/>
  <c r="Y764" i="13"/>
  <c r="X764" i="13"/>
  <c r="W764" i="13"/>
  <c r="V764" i="13"/>
  <c r="Z764" i="13"/>
  <c r="W954" i="13"/>
  <c r="Y954" i="13"/>
  <c r="X954" i="13"/>
  <c r="V954" i="13"/>
  <c r="Z954" i="13"/>
  <c r="V35" i="13"/>
  <c r="W35" i="13"/>
  <c r="X35" i="13"/>
  <c r="Y35" i="13"/>
  <c r="Z35" i="13"/>
  <c r="Z260" i="13"/>
  <c r="Y260" i="13"/>
  <c r="X260" i="13"/>
  <c r="W260" i="13"/>
  <c r="V260" i="13"/>
  <c r="W380" i="13"/>
  <c r="Z380" i="13"/>
  <c r="X380" i="13"/>
  <c r="V380" i="13"/>
  <c r="Y380" i="13"/>
  <c r="V595" i="13"/>
  <c r="Z595" i="13"/>
  <c r="Y595" i="13"/>
  <c r="X595" i="13"/>
  <c r="W595" i="13"/>
  <c r="Y765" i="13"/>
  <c r="Z765" i="13"/>
  <c r="X765" i="13"/>
  <c r="W765" i="13"/>
  <c r="V765" i="13"/>
  <c r="Y955" i="13"/>
  <c r="Z955" i="13"/>
  <c r="X955" i="13"/>
  <c r="W955" i="13"/>
  <c r="V955" i="13"/>
  <c r="Z142" i="13"/>
  <c r="Y142" i="13"/>
  <c r="X142" i="13"/>
  <c r="W142" i="13"/>
  <c r="V142" i="13"/>
  <c r="Z311" i="13"/>
  <c r="Y311" i="13"/>
  <c r="X311" i="13"/>
  <c r="W311" i="13"/>
  <c r="V311" i="13"/>
  <c r="Y476" i="13"/>
  <c r="W476" i="13"/>
  <c r="Z476" i="13"/>
  <c r="V476" i="13"/>
  <c r="X476" i="13"/>
  <c r="Y551" i="13"/>
  <c r="W551" i="13"/>
  <c r="X551" i="13"/>
  <c r="Z551" i="13"/>
  <c r="V551" i="13"/>
  <c r="Z671" i="13"/>
  <c r="X671" i="13"/>
  <c r="Y671" i="13"/>
  <c r="W671" i="13"/>
  <c r="V671" i="13"/>
  <c r="V716" i="13"/>
  <c r="W716" i="13"/>
  <c r="Y716" i="13"/>
  <c r="Z716" i="13"/>
  <c r="X716" i="13"/>
  <c r="V766" i="13"/>
  <c r="Z766" i="13"/>
  <c r="X766" i="13"/>
  <c r="W766" i="13"/>
  <c r="Y766" i="13"/>
  <c r="W931" i="13"/>
  <c r="V931" i="13"/>
  <c r="Z931" i="13"/>
  <c r="Y931" i="13"/>
  <c r="X931" i="13"/>
  <c r="W118" i="13"/>
  <c r="Z118" i="13"/>
  <c r="Y118" i="13"/>
  <c r="X118" i="13"/>
  <c r="V118" i="13"/>
  <c r="Z287" i="13"/>
  <c r="V287" i="13"/>
  <c r="X287" i="13"/>
  <c r="W287" i="13"/>
  <c r="Y287" i="13"/>
  <c r="W577" i="13"/>
  <c r="X577" i="13"/>
  <c r="Z577" i="13"/>
  <c r="V577" i="13"/>
  <c r="Y577" i="13"/>
  <c r="Z932" i="13"/>
  <c r="Y932" i="13"/>
  <c r="X932" i="13"/>
  <c r="W932" i="13"/>
  <c r="V932" i="13"/>
  <c r="V219" i="13"/>
  <c r="Y219" i="13"/>
  <c r="W219" i="13"/>
  <c r="X219" i="13"/>
  <c r="Z219" i="13"/>
  <c r="X409" i="13"/>
  <c r="V409" i="13"/>
  <c r="Z409" i="13"/>
  <c r="Y409" i="13"/>
  <c r="W409" i="13"/>
  <c r="V94" i="13"/>
  <c r="W94" i="13"/>
  <c r="Z94" i="13"/>
  <c r="Y94" i="13"/>
  <c r="X94" i="13"/>
  <c r="Y270" i="13"/>
  <c r="W270" i="13"/>
  <c r="V270" i="13"/>
  <c r="X270" i="13"/>
  <c r="Z270" i="13"/>
  <c r="W340" i="13"/>
  <c r="V340" i="13"/>
  <c r="Z340" i="13"/>
  <c r="Y340" i="13"/>
  <c r="X340" i="13"/>
  <c r="X460" i="13"/>
  <c r="Z460" i="13"/>
  <c r="W460" i="13"/>
  <c r="Y460" i="13"/>
  <c r="V460" i="13"/>
  <c r="Z21" i="13"/>
  <c r="Y21" i="13"/>
  <c r="X21" i="13"/>
  <c r="W21" i="13"/>
  <c r="V21" i="13"/>
  <c r="V22" i="13"/>
  <c r="Z22" i="13"/>
  <c r="Y22" i="13"/>
  <c r="X22" i="13"/>
  <c r="W22" i="13"/>
  <c r="Z23" i="13"/>
  <c r="V23" i="13"/>
  <c r="Y23" i="13"/>
  <c r="X23" i="13"/>
  <c r="W23" i="13"/>
  <c r="Z24" i="13"/>
  <c r="Y24" i="13"/>
  <c r="V24" i="13"/>
  <c r="W24" i="13"/>
  <c r="X24" i="13"/>
  <c r="Z78" i="13"/>
  <c r="Y78" i="13"/>
  <c r="X78" i="13"/>
  <c r="W78" i="13"/>
  <c r="V78" i="13"/>
  <c r="W25" i="13"/>
  <c r="V25" i="13"/>
  <c r="X25" i="13"/>
  <c r="Z25" i="13"/>
  <c r="Y25" i="13"/>
  <c r="W79" i="13"/>
  <c r="Z79" i="13"/>
  <c r="X79" i="13"/>
  <c r="V79" i="13"/>
  <c r="Y79" i="13"/>
  <c r="W126" i="13"/>
  <c r="V126" i="13"/>
  <c r="Y126" i="13"/>
  <c r="Z126" i="13"/>
  <c r="X126" i="13"/>
  <c r="Z205" i="13"/>
  <c r="Y205" i="13"/>
  <c r="X205" i="13"/>
  <c r="W205" i="13"/>
  <c r="V205" i="13"/>
  <c r="Z250" i="13"/>
  <c r="Y250" i="13"/>
  <c r="X250" i="13"/>
  <c r="W250" i="13"/>
  <c r="V250" i="13"/>
  <c r="W345" i="13"/>
  <c r="V345" i="13"/>
  <c r="Y345" i="13"/>
  <c r="X345" i="13"/>
  <c r="Z345" i="13"/>
  <c r="Y26" i="13"/>
  <c r="V26" i="13"/>
  <c r="Z26" i="13"/>
  <c r="X26" i="13"/>
  <c r="W26" i="13"/>
  <c r="W80" i="13"/>
  <c r="V80" i="13"/>
  <c r="Z80" i="13"/>
  <c r="Y80" i="13"/>
  <c r="X80" i="13"/>
  <c r="Z100" i="13"/>
  <c r="Y100" i="13"/>
  <c r="X100" i="13"/>
  <c r="W100" i="13"/>
  <c r="V100" i="13"/>
  <c r="Z127" i="13"/>
  <c r="Y127" i="13"/>
  <c r="X127" i="13"/>
  <c r="W127" i="13"/>
  <c r="V127" i="13"/>
  <c r="X154" i="13"/>
  <c r="W154" i="13"/>
  <c r="Z154" i="13"/>
  <c r="Y154" i="13"/>
  <c r="V154" i="13"/>
  <c r="Z181" i="13"/>
  <c r="Y181" i="13"/>
  <c r="X181" i="13"/>
  <c r="W181" i="13"/>
  <c r="V181" i="13"/>
  <c r="W206" i="13"/>
  <c r="Z206" i="13"/>
  <c r="V206" i="13"/>
  <c r="Y206" i="13"/>
  <c r="X206" i="13"/>
  <c r="W226" i="13"/>
  <c r="Y226" i="13"/>
  <c r="X226" i="13"/>
  <c r="V226" i="13"/>
  <c r="Z226" i="13"/>
  <c r="W276" i="13"/>
  <c r="Z276" i="13"/>
  <c r="Y276" i="13"/>
  <c r="X276" i="13"/>
  <c r="V276" i="13"/>
  <c r="W301" i="13"/>
  <c r="V301" i="13"/>
  <c r="Z301" i="13"/>
  <c r="Y301" i="13"/>
  <c r="X301" i="13"/>
  <c r="Z321" i="13"/>
  <c r="Y321" i="13"/>
  <c r="X321" i="13"/>
  <c r="W321" i="13"/>
  <c r="V321" i="13"/>
  <c r="V346" i="13"/>
  <c r="Z346" i="13"/>
  <c r="Y346" i="13"/>
  <c r="X346" i="13"/>
  <c r="W346" i="13"/>
  <c r="Y371" i="13"/>
  <c r="Z371" i="13"/>
  <c r="W371" i="13"/>
  <c r="X371" i="13"/>
  <c r="V371" i="13"/>
  <c r="X416" i="13"/>
  <c r="V416" i="13"/>
  <c r="Y416" i="13"/>
  <c r="W416" i="13"/>
  <c r="Z416" i="13"/>
  <c r="V441" i="13"/>
  <c r="Z441" i="13"/>
  <c r="W441" i="13"/>
  <c r="X441" i="13"/>
  <c r="Y441" i="13"/>
  <c r="Z491" i="13"/>
  <c r="Y491" i="13"/>
  <c r="V491" i="13"/>
  <c r="X491" i="13"/>
  <c r="W491" i="13"/>
  <c r="Z27" i="13"/>
  <c r="V27" i="13"/>
  <c r="X27" i="13"/>
  <c r="W27" i="13"/>
  <c r="Y27" i="13"/>
  <c r="Z81" i="13"/>
  <c r="Y81" i="13"/>
  <c r="X81" i="13"/>
  <c r="W81" i="13"/>
  <c r="V81" i="13"/>
  <c r="W106" i="13"/>
  <c r="V106" i="13"/>
  <c r="Z106" i="13"/>
  <c r="Y106" i="13"/>
  <c r="X106" i="13"/>
  <c r="Z128" i="13"/>
  <c r="Y128" i="13"/>
  <c r="W128" i="13"/>
  <c r="X128" i="13"/>
  <c r="V128" i="13"/>
  <c r="V157" i="13"/>
  <c r="Y157" i="13"/>
  <c r="X157" i="13"/>
  <c r="Z157" i="13"/>
  <c r="W157" i="13"/>
  <c r="X182" i="13"/>
  <c r="W182" i="13"/>
  <c r="Z182" i="13"/>
  <c r="Y182" i="13"/>
  <c r="V182" i="13"/>
  <c r="Z207" i="13"/>
  <c r="Y207" i="13"/>
  <c r="X207" i="13"/>
  <c r="W207" i="13"/>
  <c r="V207" i="13"/>
  <c r="Z227" i="13"/>
  <c r="Y227" i="13"/>
  <c r="X227" i="13"/>
  <c r="W227" i="13"/>
  <c r="V227" i="13"/>
  <c r="X252" i="13"/>
  <c r="W252" i="13"/>
  <c r="V252" i="13"/>
  <c r="Z252" i="13"/>
  <c r="Y252" i="13"/>
  <c r="W277" i="13"/>
  <c r="V277" i="13"/>
  <c r="Z277" i="13"/>
  <c r="Y277" i="13"/>
  <c r="X277" i="13"/>
  <c r="V302" i="13"/>
  <c r="X302" i="13"/>
  <c r="W302" i="13"/>
  <c r="Z302" i="13"/>
  <c r="Y302" i="13"/>
  <c r="V322" i="13"/>
  <c r="Z322" i="13"/>
  <c r="Y322" i="13"/>
  <c r="X322" i="13"/>
  <c r="W322" i="13"/>
  <c r="Z347" i="13"/>
  <c r="Y347" i="13"/>
  <c r="X347" i="13"/>
  <c r="W347" i="13"/>
  <c r="V347" i="13"/>
  <c r="Z372" i="13"/>
  <c r="W372" i="13"/>
  <c r="V372" i="13"/>
  <c r="Y372" i="13"/>
  <c r="X372" i="13"/>
  <c r="Z397" i="13"/>
  <c r="Y397" i="13"/>
  <c r="X397" i="13"/>
  <c r="W397" i="13"/>
  <c r="V397" i="13"/>
  <c r="Z422" i="13"/>
  <c r="X422" i="13"/>
  <c r="V422" i="13"/>
  <c r="Y422" i="13"/>
  <c r="W422" i="13"/>
  <c r="Z442" i="13"/>
  <c r="Y442" i="13"/>
  <c r="X442" i="13"/>
  <c r="W442" i="13"/>
  <c r="V442" i="13"/>
  <c r="Z467" i="13"/>
  <c r="Y467" i="13"/>
  <c r="X467" i="13"/>
  <c r="W467" i="13"/>
  <c r="V467" i="13"/>
  <c r="Z492" i="13"/>
  <c r="W492" i="13"/>
  <c r="V492" i="13"/>
  <c r="Y492" i="13"/>
  <c r="X492" i="13"/>
  <c r="Z517" i="13"/>
  <c r="V517" i="13"/>
  <c r="X517" i="13"/>
  <c r="W517" i="13"/>
  <c r="Y517" i="13"/>
  <c r="Z537" i="13"/>
  <c r="V537" i="13"/>
  <c r="Y537" i="13"/>
  <c r="X537" i="13"/>
  <c r="W537" i="13"/>
  <c r="Z562" i="13"/>
  <c r="Y562" i="13"/>
  <c r="V562" i="13"/>
  <c r="X562" i="13"/>
  <c r="W562" i="13"/>
  <c r="Z587" i="13"/>
  <c r="W587" i="13"/>
  <c r="X587" i="13"/>
  <c r="Y587" i="13"/>
  <c r="V587" i="13"/>
  <c r="Z612" i="13"/>
  <c r="W612" i="13"/>
  <c r="Y612" i="13"/>
  <c r="X612" i="13"/>
  <c r="V612" i="13"/>
  <c r="Z632" i="13"/>
  <c r="W632" i="13"/>
  <c r="X632" i="13"/>
  <c r="Y632" i="13"/>
  <c r="V632" i="13"/>
  <c r="Z657" i="13"/>
  <c r="X657" i="13"/>
  <c r="Y657" i="13"/>
  <c r="W657" i="13"/>
  <c r="V657" i="13"/>
  <c r="Z682" i="13"/>
  <c r="W682" i="13"/>
  <c r="V682" i="13"/>
  <c r="X682" i="13"/>
  <c r="Y682" i="13"/>
  <c r="W707" i="13"/>
  <c r="Y707" i="13"/>
  <c r="X707" i="13"/>
  <c r="V707" i="13"/>
  <c r="Z707" i="13"/>
  <c r="Y732" i="13"/>
  <c r="X732" i="13"/>
  <c r="V732" i="13"/>
  <c r="Z732" i="13"/>
  <c r="W732" i="13"/>
  <c r="Y752" i="13"/>
  <c r="Z752" i="13"/>
  <c r="W752" i="13"/>
  <c r="X752" i="13"/>
  <c r="V752" i="13"/>
  <c r="Y777" i="13"/>
  <c r="Z777" i="13"/>
  <c r="X777" i="13"/>
  <c r="W777" i="13"/>
  <c r="V777" i="13"/>
  <c r="Y802" i="13"/>
  <c r="X802" i="13"/>
  <c r="W802" i="13"/>
  <c r="V802" i="13"/>
  <c r="Z802" i="13"/>
  <c r="Y827" i="13"/>
  <c r="X827" i="13"/>
  <c r="W827" i="13"/>
  <c r="Z827" i="13"/>
  <c r="V827" i="13"/>
  <c r="Y847" i="13"/>
  <c r="X847" i="13"/>
  <c r="W847" i="13"/>
  <c r="Z847" i="13"/>
  <c r="V847" i="13"/>
  <c r="Y872" i="13"/>
  <c r="Z872" i="13"/>
  <c r="V872" i="13"/>
  <c r="X872" i="13"/>
  <c r="W872" i="13"/>
  <c r="Y897" i="13"/>
  <c r="V897" i="13"/>
  <c r="Z897" i="13"/>
  <c r="W897" i="13"/>
  <c r="X897" i="13"/>
  <c r="Z922" i="13"/>
  <c r="Y922" i="13"/>
  <c r="W922" i="13"/>
  <c r="X922" i="13"/>
  <c r="V922" i="13"/>
  <c r="Z942" i="13"/>
  <c r="Y942" i="13"/>
  <c r="X942" i="13"/>
  <c r="W942" i="13"/>
  <c r="V942" i="13"/>
  <c r="Z967" i="13"/>
  <c r="Y967" i="13"/>
  <c r="X967" i="13"/>
  <c r="V967" i="13"/>
  <c r="W967" i="13"/>
  <c r="Z992" i="13"/>
  <c r="Y992" i="13"/>
  <c r="W992" i="13"/>
  <c r="X992" i="13"/>
  <c r="V992" i="13"/>
  <c r="S129" i="13"/>
  <c r="H129" i="13" s="1"/>
  <c r="S493" i="13"/>
  <c r="H493" i="13" s="1"/>
  <c r="S83" i="13"/>
  <c r="H83" i="13" s="1"/>
  <c r="S754" i="13"/>
  <c r="H754" i="13" s="1"/>
  <c r="S230" i="13"/>
  <c r="H230" i="13" s="1"/>
  <c r="S805" i="13"/>
  <c r="H805" i="13" s="1"/>
  <c r="S781" i="13"/>
  <c r="H781" i="13" s="1"/>
  <c r="S133" i="13"/>
  <c r="H133" i="13" s="1"/>
  <c r="S782" i="13"/>
  <c r="H782" i="13" s="1"/>
  <c r="S258" i="13"/>
  <c r="H258" i="13" s="1"/>
  <c r="S808" i="13"/>
  <c r="H808" i="13" s="1"/>
  <c r="S164" i="13"/>
  <c r="H164" i="13" s="1"/>
  <c r="S429" i="13"/>
  <c r="H429" i="13" s="1"/>
  <c r="S809" i="13"/>
  <c r="H809" i="13" s="1"/>
  <c r="Z62" i="13"/>
  <c r="Y62" i="13"/>
  <c r="X62" i="13"/>
  <c r="W62" i="13"/>
  <c r="V62" i="13"/>
  <c r="S89" i="13"/>
  <c r="H89" i="13" s="1"/>
  <c r="S114" i="13"/>
  <c r="H114" i="13" s="1"/>
  <c r="S141" i="13"/>
  <c r="H141" i="13" s="1"/>
  <c r="S165" i="13"/>
  <c r="H165" i="13" s="1"/>
  <c r="S190" i="13"/>
  <c r="H190" i="13" s="1"/>
  <c r="S215" i="13"/>
  <c r="H215" i="13" s="1"/>
  <c r="S240" i="13"/>
  <c r="H240" i="13" s="1"/>
  <c r="S260" i="13"/>
  <c r="H260" i="13" s="1"/>
  <c r="S285" i="13"/>
  <c r="H285" i="13" s="1"/>
  <c r="S310" i="13"/>
  <c r="H310" i="13" s="1"/>
  <c r="S335" i="13"/>
  <c r="H335" i="13" s="1"/>
  <c r="S360" i="13"/>
  <c r="H360" i="13" s="1"/>
  <c r="S380" i="13"/>
  <c r="H380" i="13" s="1"/>
  <c r="S405" i="13"/>
  <c r="H405" i="13" s="1"/>
  <c r="S430" i="13"/>
  <c r="H430" i="13" s="1"/>
  <c r="S455" i="13"/>
  <c r="H455" i="13" s="1"/>
  <c r="S475" i="13"/>
  <c r="H475" i="13" s="1"/>
  <c r="S500" i="13"/>
  <c r="H500" i="13" s="1"/>
  <c r="S525" i="13"/>
  <c r="H525" i="13" s="1"/>
  <c r="S550" i="13"/>
  <c r="H550" i="13" s="1"/>
  <c r="S570" i="13"/>
  <c r="H570" i="13" s="1"/>
  <c r="S595" i="13"/>
  <c r="H595" i="13" s="1"/>
  <c r="S620" i="13"/>
  <c r="H620" i="13" s="1"/>
  <c r="S645" i="13"/>
  <c r="H645" i="13" s="1"/>
  <c r="S670" i="13"/>
  <c r="H670" i="13" s="1"/>
  <c r="S690" i="13"/>
  <c r="H690" i="13" s="1"/>
  <c r="S715" i="13"/>
  <c r="H715" i="13" s="1"/>
  <c r="S740" i="13"/>
  <c r="H740" i="13" s="1"/>
  <c r="S765" i="13"/>
  <c r="H765" i="13" s="1"/>
  <c r="S785" i="13"/>
  <c r="H785" i="13" s="1"/>
  <c r="S810" i="13"/>
  <c r="H810" i="13" s="1"/>
  <c r="S835" i="13"/>
  <c r="H835" i="13" s="1"/>
  <c r="S860" i="13"/>
  <c r="H860" i="13" s="1"/>
  <c r="S880" i="13"/>
  <c r="H880" i="13" s="1"/>
  <c r="S905" i="13"/>
  <c r="H905" i="13" s="1"/>
  <c r="S930" i="13"/>
  <c r="H930" i="13" s="1"/>
  <c r="S955" i="13"/>
  <c r="H955" i="13" s="1"/>
  <c r="S183" i="13"/>
  <c r="H183" i="13" s="1"/>
  <c r="S443" i="13"/>
  <c r="H443" i="13" s="1"/>
  <c r="S733" i="13"/>
  <c r="H733" i="13" s="1"/>
  <c r="S943" i="13"/>
  <c r="H943" i="13" s="1"/>
  <c r="S184" i="13"/>
  <c r="H184" i="13" s="1"/>
  <c r="S374" i="13"/>
  <c r="H374" i="13" s="1"/>
  <c r="S539" i="13"/>
  <c r="H539" i="13" s="1"/>
  <c r="S709" i="13"/>
  <c r="H709" i="13" s="1"/>
  <c r="S849" i="13"/>
  <c r="H849" i="13" s="1"/>
  <c r="Z57" i="13"/>
  <c r="Y57" i="13"/>
  <c r="W57" i="13"/>
  <c r="X57" i="13"/>
  <c r="V57" i="13"/>
  <c r="S375" i="13"/>
  <c r="H375" i="13" s="1"/>
  <c r="S640" i="13"/>
  <c r="H640" i="13" s="1"/>
  <c r="S950" i="13"/>
  <c r="H950" i="13" s="1"/>
  <c r="S85" i="13"/>
  <c r="H85" i="13" s="1"/>
  <c r="S236" i="13"/>
  <c r="H236" i="13" s="1"/>
  <c r="S376" i="13"/>
  <c r="H376" i="13" s="1"/>
  <c r="S521" i="13"/>
  <c r="H521" i="13" s="1"/>
  <c r="S711" i="13"/>
  <c r="H711" i="13" s="1"/>
  <c r="S876" i="13"/>
  <c r="H876" i="13" s="1"/>
  <c r="Z59" i="13"/>
  <c r="X59" i="13"/>
  <c r="W59" i="13"/>
  <c r="V59" i="13"/>
  <c r="Y59" i="13"/>
  <c r="S332" i="13"/>
  <c r="H332" i="13" s="1"/>
  <c r="S522" i="13"/>
  <c r="H522" i="13" s="1"/>
  <c r="S662" i="13"/>
  <c r="H662" i="13" s="1"/>
  <c r="S857" i="13"/>
  <c r="H857" i="13" s="1"/>
  <c r="S283" i="13"/>
  <c r="H283" i="13" s="1"/>
  <c r="S523" i="13"/>
  <c r="H523" i="13" s="1"/>
  <c r="S738" i="13"/>
  <c r="H738" i="13" s="1"/>
  <c r="S973" i="13"/>
  <c r="H973" i="13" s="1"/>
  <c r="S140" i="13"/>
  <c r="H140" i="13" s="1"/>
  <c r="S239" i="13"/>
  <c r="H239" i="13" s="1"/>
  <c r="S334" i="13"/>
  <c r="H334" i="13" s="1"/>
  <c r="S454" i="13"/>
  <c r="H454" i="13" s="1"/>
  <c r="S664" i="13"/>
  <c r="H664" i="13" s="1"/>
  <c r="S954" i="13"/>
  <c r="H954" i="13" s="1"/>
  <c r="Z63" i="13"/>
  <c r="X63" i="13"/>
  <c r="W63" i="13"/>
  <c r="Y63" i="13"/>
  <c r="V63" i="13"/>
  <c r="S361" i="13"/>
  <c r="H361" i="13" s="1"/>
  <c r="S551" i="13"/>
  <c r="H551" i="13" s="1"/>
  <c r="S836" i="13"/>
  <c r="H836" i="13" s="1"/>
  <c r="S167" i="13"/>
  <c r="H167" i="13" s="1"/>
  <c r="S457" i="13"/>
  <c r="H457" i="13" s="1"/>
  <c r="S577" i="13"/>
  <c r="H577" i="13" s="1"/>
  <c r="S717" i="13"/>
  <c r="H717" i="13" s="1"/>
  <c r="S812" i="13"/>
  <c r="H812" i="13" s="1"/>
  <c r="Z67" i="13"/>
  <c r="Y67" i="13"/>
  <c r="X67" i="13"/>
  <c r="W67" i="13"/>
  <c r="V67" i="13"/>
  <c r="S92" i="13"/>
  <c r="H92" i="13" s="1"/>
  <c r="S119" i="13"/>
  <c r="H119" i="13" s="1"/>
  <c r="S145" i="13"/>
  <c r="H145" i="13" s="1"/>
  <c r="S168" i="13"/>
  <c r="H168" i="13" s="1"/>
  <c r="S193" i="13"/>
  <c r="H193" i="13" s="1"/>
  <c r="S218" i="13"/>
  <c r="H218" i="13" s="1"/>
  <c r="S243" i="13"/>
  <c r="H243" i="13" s="1"/>
  <c r="S268" i="13"/>
  <c r="H268" i="13" s="1"/>
  <c r="S288" i="13"/>
  <c r="H288" i="13" s="1"/>
  <c r="S313" i="13"/>
  <c r="H313" i="13" s="1"/>
  <c r="S338" i="13"/>
  <c r="H338" i="13" s="1"/>
  <c r="S363" i="13"/>
  <c r="H363" i="13" s="1"/>
  <c r="S383" i="13"/>
  <c r="H383" i="13" s="1"/>
  <c r="S408" i="13"/>
  <c r="H408" i="13" s="1"/>
  <c r="S433" i="13"/>
  <c r="H433" i="13" s="1"/>
  <c r="S458" i="13"/>
  <c r="H458" i="13" s="1"/>
  <c r="S478" i="13"/>
  <c r="H478" i="13" s="1"/>
  <c r="S503" i="13"/>
  <c r="H503" i="13" s="1"/>
  <c r="S528" i="13"/>
  <c r="H528" i="13" s="1"/>
  <c r="S553" i="13"/>
  <c r="H553" i="13" s="1"/>
  <c r="S578" i="13"/>
  <c r="H578" i="13" s="1"/>
  <c r="S598" i="13"/>
  <c r="H598" i="13" s="1"/>
  <c r="S623" i="13"/>
  <c r="H623" i="13" s="1"/>
  <c r="S648" i="13"/>
  <c r="H648" i="13" s="1"/>
  <c r="S673" i="13"/>
  <c r="H673" i="13" s="1"/>
  <c r="S693" i="13"/>
  <c r="H693" i="13" s="1"/>
  <c r="S718" i="13"/>
  <c r="H718" i="13" s="1"/>
  <c r="S743" i="13"/>
  <c r="H743" i="13" s="1"/>
  <c r="S768" i="13"/>
  <c r="H768" i="13" s="1"/>
  <c r="S788" i="13"/>
  <c r="H788" i="13" s="1"/>
  <c r="S813" i="13"/>
  <c r="H813" i="13" s="1"/>
  <c r="S838" i="13"/>
  <c r="H838" i="13" s="1"/>
  <c r="S863" i="13"/>
  <c r="H863" i="13" s="1"/>
  <c r="S888" i="13"/>
  <c r="H888" i="13" s="1"/>
  <c r="S908" i="13"/>
  <c r="H908" i="13" s="1"/>
  <c r="S933" i="13"/>
  <c r="H933" i="13" s="1"/>
  <c r="S958" i="13"/>
  <c r="H958" i="13" s="1"/>
  <c r="S82" i="13"/>
  <c r="H82" i="13" s="1"/>
  <c r="S303" i="13"/>
  <c r="H303" i="13" s="1"/>
  <c r="S588" i="13"/>
  <c r="H588" i="13" s="1"/>
  <c r="S828" i="13"/>
  <c r="H828" i="13" s="1"/>
  <c r="S329" i="13"/>
  <c r="H329" i="13" s="1"/>
  <c r="S564" i="13"/>
  <c r="H564" i="13" s="1"/>
  <c r="S829" i="13"/>
  <c r="H829" i="13" s="1"/>
  <c r="S280" i="13"/>
  <c r="H280" i="13" s="1"/>
  <c r="S470" i="13"/>
  <c r="H470" i="13" s="1"/>
  <c r="S590" i="13"/>
  <c r="H590" i="13" s="1"/>
  <c r="S830" i="13"/>
  <c r="H830" i="13" s="1"/>
  <c r="S132" i="13"/>
  <c r="H132" i="13" s="1"/>
  <c r="S351" i="13"/>
  <c r="H351" i="13" s="1"/>
  <c r="S496" i="13"/>
  <c r="H496" i="13" s="1"/>
  <c r="S641" i="13"/>
  <c r="H641" i="13" s="1"/>
  <c r="S856" i="13"/>
  <c r="H856" i="13" s="1"/>
  <c r="S282" i="13"/>
  <c r="H282" i="13" s="1"/>
  <c r="S567" i="13"/>
  <c r="H567" i="13" s="1"/>
  <c r="S927" i="13"/>
  <c r="H927" i="13" s="1"/>
  <c r="S188" i="13"/>
  <c r="H188" i="13" s="1"/>
  <c r="S498" i="13"/>
  <c r="H498" i="13" s="1"/>
  <c r="S783" i="13"/>
  <c r="H783" i="13" s="1"/>
  <c r="S88" i="13"/>
  <c r="H88" i="13" s="1"/>
  <c r="S644" i="13"/>
  <c r="H644" i="13" s="1"/>
  <c r="S859" i="13"/>
  <c r="H859" i="13" s="1"/>
  <c r="S191" i="13"/>
  <c r="H191" i="13" s="1"/>
  <c r="S456" i="13"/>
  <c r="H456" i="13" s="1"/>
  <c r="S646" i="13"/>
  <c r="H646" i="13" s="1"/>
  <c r="S881" i="13"/>
  <c r="H881" i="13" s="1"/>
  <c r="S242" i="13"/>
  <c r="H242" i="13" s="1"/>
  <c r="S432" i="13"/>
  <c r="H432" i="13" s="1"/>
  <c r="S932" i="13"/>
  <c r="H932" i="13" s="1"/>
  <c r="W44" i="13"/>
  <c r="V44" i="13"/>
  <c r="X44" i="13"/>
  <c r="Z44" i="13"/>
  <c r="Y44" i="13"/>
  <c r="Z45" i="13"/>
  <c r="Y45" i="13"/>
  <c r="V45" i="13"/>
  <c r="X45" i="13"/>
  <c r="W45" i="13"/>
  <c r="X68" i="13"/>
  <c r="W68" i="13"/>
  <c r="Z68" i="13"/>
  <c r="Y68" i="13"/>
  <c r="V68" i="13"/>
  <c r="S93" i="13"/>
  <c r="H93" i="13" s="1"/>
  <c r="S120" i="13"/>
  <c r="H120" i="13" s="1"/>
  <c r="S146" i="13"/>
  <c r="H146" i="13" s="1"/>
  <c r="S174" i="13"/>
  <c r="H174" i="13" s="1"/>
  <c r="S194" i="13"/>
  <c r="H194" i="13" s="1"/>
  <c r="S219" i="13"/>
  <c r="H219" i="13" s="1"/>
  <c r="S244" i="13"/>
  <c r="H244" i="13" s="1"/>
  <c r="S269" i="13"/>
  <c r="H269" i="13" s="1"/>
  <c r="S289" i="13"/>
  <c r="H289" i="13" s="1"/>
  <c r="S314" i="13"/>
  <c r="H314" i="13" s="1"/>
  <c r="S339" i="13"/>
  <c r="H339" i="13" s="1"/>
  <c r="S364" i="13"/>
  <c r="H364" i="13" s="1"/>
  <c r="S384" i="13"/>
  <c r="H384" i="13" s="1"/>
  <c r="S409" i="13"/>
  <c r="H409" i="13" s="1"/>
  <c r="S434" i="13"/>
  <c r="H434" i="13" s="1"/>
  <c r="S459" i="13"/>
  <c r="H459" i="13" s="1"/>
  <c r="S484" i="13"/>
  <c r="H484" i="13" s="1"/>
  <c r="S504" i="13"/>
  <c r="H504" i="13" s="1"/>
  <c r="S529" i="13"/>
  <c r="H529" i="13" s="1"/>
  <c r="S554" i="13"/>
  <c r="H554" i="13" s="1"/>
  <c r="S579" i="13"/>
  <c r="H579" i="13" s="1"/>
  <c r="S599" i="13"/>
  <c r="H599" i="13" s="1"/>
  <c r="S624" i="13"/>
  <c r="H624" i="13" s="1"/>
  <c r="S649" i="13"/>
  <c r="H649" i="13" s="1"/>
  <c r="S674" i="13"/>
  <c r="H674" i="13" s="1"/>
  <c r="S694" i="13"/>
  <c r="H694" i="13" s="1"/>
  <c r="S719" i="13"/>
  <c r="H719" i="13" s="1"/>
  <c r="S744" i="13"/>
  <c r="H744" i="13" s="1"/>
  <c r="S769" i="13"/>
  <c r="H769" i="13" s="1"/>
  <c r="S794" i="13"/>
  <c r="H794" i="13" s="1"/>
  <c r="S814" i="13"/>
  <c r="H814" i="13" s="1"/>
  <c r="S839" i="13"/>
  <c r="H839" i="13" s="1"/>
  <c r="S864" i="13"/>
  <c r="H864" i="13" s="1"/>
  <c r="S889" i="13"/>
  <c r="H889" i="13" s="1"/>
  <c r="S909" i="13"/>
  <c r="H909" i="13" s="1"/>
  <c r="S934" i="13"/>
  <c r="H934" i="13" s="1"/>
  <c r="S959" i="13"/>
  <c r="H959" i="13" s="1"/>
  <c r="Z55" i="13"/>
  <c r="V55" i="13"/>
  <c r="W55" i="13"/>
  <c r="Y55" i="13"/>
  <c r="X55" i="13"/>
  <c r="S538" i="13"/>
  <c r="H538" i="13" s="1"/>
  <c r="X56" i="13"/>
  <c r="V56" i="13"/>
  <c r="Z56" i="13"/>
  <c r="Y56" i="13"/>
  <c r="W56" i="13"/>
  <c r="S804" i="13"/>
  <c r="H804" i="13" s="1"/>
  <c r="S109" i="13"/>
  <c r="H109" i="13" s="1"/>
  <c r="S755" i="13"/>
  <c r="H755" i="13" s="1"/>
  <c r="S110" i="13"/>
  <c r="H110" i="13" s="1"/>
  <c r="S806" i="13"/>
  <c r="H806" i="13" s="1"/>
  <c r="S257" i="13"/>
  <c r="H257" i="13" s="1"/>
  <c r="S757" i="13"/>
  <c r="H757" i="13" s="1"/>
  <c r="S238" i="13"/>
  <c r="H238" i="13" s="1"/>
  <c r="S833" i="13"/>
  <c r="H833" i="13" s="1"/>
  <c r="Z61" i="13"/>
  <c r="X61" i="13"/>
  <c r="W61" i="13"/>
  <c r="Y61" i="13"/>
  <c r="V61" i="13"/>
  <c r="S354" i="13"/>
  <c r="H354" i="13" s="1"/>
  <c r="S764" i="13"/>
  <c r="H764" i="13" s="1"/>
  <c r="S311" i="13"/>
  <c r="H311" i="13" s="1"/>
  <c r="S811" i="13"/>
  <c r="H811" i="13" s="1"/>
  <c r="S91" i="13"/>
  <c r="H91" i="13" s="1"/>
  <c r="S502" i="13"/>
  <c r="H502" i="13" s="1"/>
  <c r="S787" i="13"/>
  <c r="H787" i="13" s="1"/>
  <c r="S270" i="13"/>
  <c r="H270" i="13" s="1"/>
  <c r="S460" i="13"/>
  <c r="H460" i="13" s="1"/>
  <c r="S555" i="13"/>
  <c r="H555" i="13" s="1"/>
  <c r="S580" i="13"/>
  <c r="H580" i="13" s="1"/>
  <c r="S600" i="13"/>
  <c r="H600" i="13" s="1"/>
  <c r="S625" i="13"/>
  <c r="H625" i="13" s="1"/>
  <c r="S650" i="13"/>
  <c r="H650" i="13" s="1"/>
  <c r="S675" i="13"/>
  <c r="H675" i="13" s="1"/>
  <c r="S695" i="13"/>
  <c r="H695" i="13" s="1"/>
  <c r="S720" i="13"/>
  <c r="H720" i="13" s="1"/>
  <c r="S745" i="13"/>
  <c r="H745" i="13" s="1"/>
  <c r="S770" i="13"/>
  <c r="H770" i="13" s="1"/>
  <c r="S795" i="13"/>
  <c r="H795" i="13" s="1"/>
  <c r="S815" i="13"/>
  <c r="H815" i="13" s="1"/>
  <c r="S840" i="13"/>
  <c r="H840" i="13" s="1"/>
  <c r="S865" i="13"/>
  <c r="H865" i="13" s="1"/>
  <c r="S890" i="13"/>
  <c r="H890" i="13" s="1"/>
  <c r="S910" i="13"/>
  <c r="H910" i="13" s="1"/>
  <c r="S935" i="13"/>
  <c r="H935" i="13" s="1"/>
  <c r="S960" i="13"/>
  <c r="H960" i="13" s="1"/>
  <c r="S613" i="13"/>
  <c r="H613" i="13" s="1"/>
  <c r="S130" i="13"/>
  <c r="H130" i="13" s="1"/>
  <c r="S779" i="13"/>
  <c r="H779" i="13" s="1"/>
  <c r="S185" i="13"/>
  <c r="H185" i="13" s="1"/>
  <c r="S780" i="13"/>
  <c r="H780" i="13" s="1"/>
  <c r="S211" i="13"/>
  <c r="H211" i="13" s="1"/>
  <c r="S756" i="13"/>
  <c r="H756" i="13" s="1"/>
  <c r="S212" i="13"/>
  <c r="H212" i="13" s="1"/>
  <c r="S807" i="13"/>
  <c r="H807" i="13" s="1"/>
  <c r="S87" i="13"/>
  <c r="H87" i="13" s="1"/>
  <c r="S688" i="13"/>
  <c r="H688" i="13" s="1"/>
  <c r="S784" i="13"/>
  <c r="H784" i="13" s="1"/>
  <c r="S286" i="13"/>
  <c r="H286" i="13" s="1"/>
  <c r="S861" i="13"/>
  <c r="H861" i="13" s="1"/>
  <c r="S217" i="13"/>
  <c r="H217" i="13" s="1"/>
  <c r="S527" i="13"/>
  <c r="H527" i="13" s="1"/>
  <c r="S837" i="13"/>
  <c r="H837" i="13" s="1"/>
  <c r="S506" i="13"/>
  <c r="H506" i="13" s="1"/>
  <c r="S676" i="13"/>
  <c r="H676" i="13" s="1"/>
  <c r="S721" i="13"/>
  <c r="H721" i="13" s="1"/>
  <c r="S866" i="13"/>
  <c r="H866" i="13" s="1"/>
  <c r="S891" i="13"/>
  <c r="H891" i="13" s="1"/>
  <c r="S911" i="13"/>
  <c r="H911" i="13" s="1"/>
  <c r="S936" i="13"/>
  <c r="H936" i="13" s="1"/>
  <c r="S961" i="13"/>
  <c r="H961" i="13" s="1"/>
  <c r="S323" i="13"/>
  <c r="H323" i="13" s="1"/>
  <c r="S683" i="13"/>
  <c r="H683" i="13" s="1"/>
  <c r="S159" i="13"/>
  <c r="H159" i="13" s="1"/>
  <c r="S279" i="13"/>
  <c r="H279" i="13" s="1"/>
  <c r="S424" i="13"/>
  <c r="H424" i="13" s="1"/>
  <c r="S519" i="13"/>
  <c r="H519" i="13" s="1"/>
  <c r="S734" i="13"/>
  <c r="H734" i="13" s="1"/>
  <c r="S899" i="13"/>
  <c r="H899" i="13" s="1"/>
  <c r="S131" i="13"/>
  <c r="H131" i="13" s="1"/>
  <c r="S425" i="13"/>
  <c r="H425" i="13" s="1"/>
  <c r="S660" i="13"/>
  <c r="H660" i="13" s="1"/>
  <c r="S970" i="13"/>
  <c r="H970" i="13" s="1"/>
  <c r="S281" i="13"/>
  <c r="H281" i="13" s="1"/>
  <c r="S471" i="13"/>
  <c r="H471" i="13" s="1"/>
  <c r="S686" i="13"/>
  <c r="H686" i="13" s="1"/>
  <c r="S926" i="13"/>
  <c r="H926" i="13" s="1"/>
  <c r="S237" i="13"/>
  <c r="H237" i="13" s="1"/>
  <c r="S427" i="13"/>
  <c r="H427" i="13" s="1"/>
  <c r="S642" i="13"/>
  <c r="H642" i="13" s="1"/>
  <c r="S902" i="13"/>
  <c r="H902" i="13" s="1"/>
  <c r="S139" i="13"/>
  <c r="H139" i="13" s="1"/>
  <c r="S428" i="13"/>
  <c r="H428" i="13" s="1"/>
  <c r="S643" i="13"/>
  <c r="H643" i="13" s="1"/>
  <c r="S903" i="13"/>
  <c r="H903" i="13" s="1"/>
  <c r="S474" i="13"/>
  <c r="H474" i="13" s="1"/>
  <c r="S689" i="13"/>
  <c r="H689" i="13" s="1"/>
  <c r="S904" i="13"/>
  <c r="H904" i="13" s="1"/>
  <c r="S90" i="13"/>
  <c r="H90" i="13" s="1"/>
  <c r="S381" i="13"/>
  <c r="H381" i="13" s="1"/>
  <c r="S596" i="13"/>
  <c r="H596" i="13" s="1"/>
  <c r="S716" i="13"/>
  <c r="H716" i="13" s="1"/>
  <c r="Z43" i="13"/>
  <c r="V43" i="13"/>
  <c r="X43" i="13"/>
  <c r="W43" i="13"/>
  <c r="Y43" i="13"/>
  <c r="S287" i="13"/>
  <c r="H287" i="13" s="1"/>
  <c r="S622" i="13"/>
  <c r="H622" i="13" s="1"/>
  <c r="S957" i="13"/>
  <c r="H957" i="13" s="1"/>
  <c r="V69" i="13"/>
  <c r="Z69" i="13"/>
  <c r="Y69" i="13"/>
  <c r="X69" i="13"/>
  <c r="W69" i="13"/>
  <c r="S340" i="13"/>
  <c r="H340" i="13" s="1"/>
  <c r="S291" i="13"/>
  <c r="H291" i="13" s="1"/>
  <c r="S391" i="13"/>
  <c r="H391" i="13" s="1"/>
  <c r="S581" i="13"/>
  <c r="H581" i="13" s="1"/>
  <c r="S651" i="13"/>
  <c r="H651" i="13" s="1"/>
  <c r="S701" i="13"/>
  <c r="H701" i="13" s="1"/>
  <c r="S76" i="13"/>
  <c r="H76" i="13" s="1"/>
  <c r="Y76" i="13" s="1"/>
  <c r="S177" i="13"/>
  <c r="H177" i="13" s="1"/>
  <c r="S222" i="13"/>
  <c r="H222" i="13" s="1"/>
  <c r="S247" i="13"/>
  <c r="H247" i="13" s="1"/>
  <c r="S272" i="13"/>
  <c r="H272" i="13" s="1"/>
  <c r="S292" i="13"/>
  <c r="H292" i="13" s="1"/>
  <c r="S317" i="13"/>
  <c r="H317" i="13" s="1"/>
  <c r="S342" i="13"/>
  <c r="H342" i="13" s="1"/>
  <c r="S367" i="13"/>
  <c r="H367" i="13" s="1"/>
  <c r="S392" i="13"/>
  <c r="H392" i="13" s="1"/>
  <c r="S412" i="13"/>
  <c r="H412" i="13" s="1"/>
  <c r="S437" i="13"/>
  <c r="H437" i="13" s="1"/>
  <c r="S462" i="13"/>
  <c r="H462" i="13" s="1"/>
  <c r="S487" i="13"/>
  <c r="H487" i="13" s="1"/>
  <c r="S507" i="13"/>
  <c r="H507" i="13" s="1"/>
  <c r="S532" i="13"/>
  <c r="H532" i="13" s="1"/>
  <c r="S557" i="13"/>
  <c r="H557" i="13" s="1"/>
  <c r="S582" i="13"/>
  <c r="H582" i="13" s="1"/>
  <c r="S602" i="13"/>
  <c r="H602" i="13" s="1"/>
  <c r="S627" i="13"/>
  <c r="H627" i="13" s="1"/>
  <c r="S652" i="13"/>
  <c r="H652" i="13" s="1"/>
  <c r="S677" i="13"/>
  <c r="H677" i="13" s="1"/>
  <c r="S702" i="13"/>
  <c r="H702" i="13" s="1"/>
  <c r="S722" i="13"/>
  <c r="H722" i="13" s="1"/>
  <c r="S747" i="13"/>
  <c r="H747" i="13" s="1"/>
  <c r="S772" i="13"/>
  <c r="H772" i="13" s="1"/>
  <c r="S797" i="13"/>
  <c r="H797" i="13" s="1"/>
  <c r="S817" i="13"/>
  <c r="H817" i="13" s="1"/>
  <c r="S842" i="13"/>
  <c r="H842" i="13" s="1"/>
  <c r="S867" i="13"/>
  <c r="H867" i="13" s="1"/>
  <c r="S892" i="13"/>
  <c r="H892" i="13" s="1"/>
  <c r="S912" i="13"/>
  <c r="H912" i="13" s="1"/>
  <c r="S937" i="13"/>
  <c r="H937" i="13" s="1"/>
  <c r="S962" i="13"/>
  <c r="H962" i="13" s="1"/>
  <c r="S158" i="13"/>
  <c r="H158" i="13" s="1"/>
  <c r="S278" i="13"/>
  <c r="H278" i="13" s="1"/>
  <c r="S348" i="13"/>
  <c r="H348" i="13" s="1"/>
  <c r="S468" i="13"/>
  <c r="H468" i="13" s="1"/>
  <c r="S633" i="13"/>
  <c r="H633" i="13" s="1"/>
  <c r="S753" i="13"/>
  <c r="H753" i="13" s="1"/>
  <c r="S848" i="13"/>
  <c r="H848" i="13" s="1"/>
  <c r="S108" i="13"/>
  <c r="H108" i="13" s="1"/>
  <c r="S399" i="13"/>
  <c r="H399" i="13" s="1"/>
  <c r="S614" i="13"/>
  <c r="H614" i="13" s="1"/>
  <c r="S969" i="13"/>
  <c r="H969" i="13" s="1"/>
  <c r="S84" i="13"/>
  <c r="H84" i="13" s="1"/>
  <c r="S305" i="13"/>
  <c r="H305" i="13" s="1"/>
  <c r="S495" i="13"/>
  <c r="H495" i="13" s="1"/>
  <c r="S735" i="13"/>
  <c r="H735" i="13" s="1"/>
  <c r="S900" i="13"/>
  <c r="H900" i="13" s="1"/>
  <c r="S161" i="13"/>
  <c r="H161" i="13" s="1"/>
  <c r="S426" i="13"/>
  <c r="H426" i="13" s="1"/>
  <c r="S661" i="13"/>
  <c r="H661" i="13" s="1"/>
  <c r="S951" i="13"/>
  <c r="H951" i="13" s="1"/>
  <c r="S86" i="13"/>
  <c r="H86" i="13" s="1"/>
  <c r="S352" i="13"/>
  <c r="H352" i="13" s="1"/>
  <c r="S547" i="13"/>
  <c r="H547" i="13" s="1"/>
  <c r="S737" i="13"/>
  <c r="H737" i="13" s="1"/>
  <c r="S972" i="13"/>
  <c r="H972" i="13" s="1"/>
  <c r="S213" i="13"/>
  <c r="H213" i="13" s="1"/>
  <c r="S353" i="13"/>
  <c r="H353" i="13" s="1"/>
  <c r="S453" i="13"/>
  <c r="H453" i="13" s="1"/>
  <c r="S548" i="13"/>
  <c r="H548" i="13" s="1"/>
  <c r="S713" i="13"/>
  <c r="H713" i="13" s="1"/>
  <c r="S928" i="13"/>
  <c r="H928" i="13" s="1"/>
  <c r="S259" i="13"/>
  <c r="H259" i="13" s="1"/>
  <c r="S499" i="13"/>
  <c r="H499" i="13" s="1"/>
  <c r="S714" i="13"/>
  <c r="H714" i="13" s="1"/>
  <c r="S166" i="13"/>
  <c r="H166" i="13" s="1"/>
  <c r="S406" i="13"/>
  <c r="H406" i="13" s="1"/>
  <c r="S501" i="13"/>
  <c r="H501" i="13" s="1"/>
  <c r="S671" i="13"/>
  <c r="H671" i="13" s="1"/>
  <c r="S766" i="13"/>
  <c r="H766" i="13" s="1"/>
  <c r="S906" i="13"/>
  <c r="H906" i="13" s="1"/>
  <c r="S382" i="13"/>
  <c r="H382" i="13" s="1"/>
  <c r="S672" i="13"/>
  <c r="H672" i="13" s="1"/>
  <c r="S175" i="13"/>
  <c r="H175" i="13" s="1"/>
  <c r="S315" i="13"/>
  <c r="H315" i="13" s="1"/>
  <c r="S435" i="13"/>
  <c r="H435" i="13" s="1"/>
  <c r="S221" i="13"/>
  <c r="H221" i="13" s="1"/>
  <c r="S366" i="13"/>
  <c r="H366" i="13" s="1"/>
  <c r="S461" i="13"/>
  <c r="H461" i="13" s="1"/>
  <c r="S626" i="13"/>
  <c r="H626" i="13" s="1"/>
  <c r="S746" i="13"/>
  <c r="H746" i="13" s="1"/>
  <c r="W48" i="13"/>
  <c r="V48" i="13"/>
  <c r="Z48" i="13"/>
  <c r="Y48" i="13"/>
  <c r="X48" i="13"/>
  <c r="S77" i="13"/>
  <c r="H77" i="13" s="1"/>
  <c r="S150" i="13"/>
  <c r="H150" i="13" s="1"/>
  <c r="S178" i="13"/>
  <c r="H178" i="13" s="1"/>
  <c r="S198" i="13"/>
  <c r="H198" i="13" s="1"/>
  <c r="S223" i="13"/>
  <c r="H223" i="13" s="1"/>
  <c r="S248" i="13"/>
  <c r="H248" i="13" s="1"/>
  <c r="S273" i="13"/>
  <c r="H273" i="13" s="1"/>
  <c r="S298" i="13"/>
  <c r="H298" i="13" s="1"/>
  <c r="S318" i="13"/>
  <c r="H318" i="13" s="1"/>
  <c r="S343" i="13"/>
  <c r="H343" i="13" s="1"/>
  <c r="S368" i="13"/>
  <c r="H368" i="13" s="1"/>
  <c r="S393" i="13"/>
  <c r="H393" i="13" s="1"/>
  <c r="S413" i="13"/>
  <c r="H413" i="13" s="1"/>
  <c r="S438" i="13"/>
  <c r="H438" i="13" s="1"/>
  <c r="S463" i="13"/>
  <c r="H463" i="13" s="1"/>
  <c r="S488" i="13"/>
  <c r="H488" i="13" s="1"/>
  <c r="S508" i="13"/>
  <c r="H508" i="13" s="1"/>
  <c r="S533" i="13"/>
  <c r="H533" i="13" s="1"/>
  <c r="S558" i="13"/>
  <c r="H558" i="13" s="1"/>
  <c r="S583" i="13"/>
  <c r="H583" i="13" s="1"/>
  <c r="S608" i="13"/>
  <c r="H608" i="13" s="1"/>
  <c r="S628" i="13"/>
  <c r="H628" i="13" s="1"/>
  <c r="S653" i="13"/>
  <c r="H653" i="13" s="1"/>
  <c r="S678" i="13"/>
  <c r="H678" i="13" s="1"/>
  <c r="S703" i="13"/>
  <c r="H703" i="13" s="1"/>
  <c r="S723" i="13"/>
  <c r="H723" i="13" s="1"/>
  <c r="S748" i="13"/>
  <c r="H748" i="13" s="1"/>
  <c r="S773" i="13"/>
  <c r="H773" i="13" s="1"/>
  <c r="S798" i="13"/>
  <c r="H798" i="13" s="1"/>
  <c r="S818" i="13"/>
  <c r="H818" i="13" s="1"/>
  <c r="S843" i="13"/>
  <c r="H843" i="13" s="1"/>
  <c r="S868" i="13"/>
  <c r="H868" i="13" s="1"/>
  <c r="S893" i="13"/>
  <c r="H893" i="13" s="1"/>
  <c r="S918" i="13"/>
  <c r="H918" i="13" s="1"/>
  <c r="S938" i="13"/>
  <c r="H938" i="13" s="1"/>
  <c r="S963" i="13"/>
  <c r="H963" i="13" s="1"/>
  <c r="S107" i="13"/>
  <c r="H107" i="13" s="1"/>
  <c r="S398" i="13"/>
  <c r="H398" i="13" s="1"/>
  <c r="S708" i="13"/>
  <c r="H708" i="13" s="1"/>
  <c r="S968" i="13"/>
  <c r="H968" i="13" s="1"/>
  <c r="S209" i="13"/>
  <c r="H209" i="13" s="1"/>
  <c r="S349" i="13"/>
  <c r="H349" i="13" s="1"/>
  <c r="S494" i="13"/>
  <c r="H494" i="13" s="1"/>
  <c r="S684" i="13"/>
  <c r="H684" i="13" s="1"/>
  <c r="S924" i="13"/>
  <c r="H924" i="13" s="1"/>
  <c r="S210" i="13"/>
  <c r="H210" i="13" s="1"/>
  <c r="S400" i="13"/>
  <c r="H400" i="13" s="1"/>
  <c r="S540" i="13"/>
  <c r="H540" i="13" s="1"/>
  <c r="S710" i="13"/>
  <c r="H710" i="13" s="1"/>
  <c r="S925" i="13"/>
  <c r="H925" i="13" s="1"/>
  <c r="Z58" i="13"/>
  <c r="Y58" i="13"/>
  <c r="X58" i="13"/>
  <c r="W58" i="13"/>
  <c r="V58" i="13"/>
  <c r="S306" i="13"/>
  <c r="H306" i="13" s="1"/>
  <c r="S546" i="13"/>
  <c r="H546" i="13" s="1"/>
  <c r="S187" i="13"/>
  <c r="H187" i="13" s="1"/>
  <c r="S447" i="13"/>
  <c r="H447" i="13" s="1"/>
  <c r="S687" i="13"/>
  <c r="H687" i="13" s="1"/>
  <c r="S952" i="13"/>
  <c r="H952" i="13" s="1"/>
  <c r="S333" i="13"/>
  <c r="H333" i="13" s="1"/>
  <c r="S568" i="13"/>
  <c r="H568" i="13" s="1"/>
  <c r="S763" i="13"/>
  <c r="H763" i="13" s="1"/>
  <c r="S189" i="13"/>
  <c r="H189" i="13" s="1"/>
  <c r="S284" i="13"/>
  <c r="H284" i="13" s="1"/>
  <c r="S379" i="13"/>
  <c r="H379" i="13" s="1"/>
  <c r="S549" i="13"/>
  <c r="H549" i="13" s="1"/>
  <c r="S974" i="13"/>
  <c r="H974" i="13" s="1"/>
  <c r="S142" i="13"/>
  <c r="H142" i="13" s="1"/>
  <c r="S336" i="13"/>
  <c r="H336" i="13" s="1"/>
  <c r="S526" i="13"/>
  <c r="H526" i="13" s="1"/>
  <c r="S741" i="13"/>
  <c r="H741" i="13" s="1"/>
  <c r="S931" i="13"/>
  <c r="H931" i="13" s="1"/>
  <c r="S362" i="13"/>
  <c r="H362" i="13" s="1"/>
  <c r="S477" i="13"/>
  <c r="H477" i="13" s="1"/>
  <c r="S742" i="13"/>
  <c r="H742" i="13" s="1"/>
  <c r="S887" i="13"/>
  <c r="H887" i="13" s="1"/>
  <c r="V46" i="13"/>
  <c r="X46" i="13"/>
  <c r="W46" i="13"/>
  <c r="Z46" i="13"/>
  <c r="Y46" i="13"/>
  <c r="S195" i="13"/>
  <c r="H195" i="13" s="1"/>
  <c r="S365" i="13"/>
  <c r="H365" i="13" s="1"/>
  <c r="S505" i="13"/>
  <c r="H505" i="13" s="1"/>
  <c r="S75" i="13"/>
  <c r="H75" i="13" s="1"/>
  <c r="D340" i="11" s="1"/>
  <c r="S176" i="13"/>
  <c r="H176" i="13" s="1"/>
  <c r="S246" i="13"/>
  <c r="H246" i="13" s="1"/>
  <c r="S411" i="13"/>
  <c r="H411" i="13" s="1"/>
  <c r="S601" i="13"/>
  <c r="H601" i="13" s="1"/>
  <c r="S771" i="13"/>
  <c r="H771" i="13" s="1"/>
  <c r="S96" i="13"/>
  <c r="H96" i="13" s="1"/>
  <c r="X49" i="13"/>
  <c r="V49" i="13"/>
  <c r="Z49" i="13"/>
  <c r="Y49" i="13"/>
  <c r="W49" i="13"/>
  <c r="S98" i="13"/>
  <c r="H98" i="13" s="1"/>
  <c r="S152" i="13"/>
  <c r="H152" i="13" s="1"/>
  <c r="S179" i="13"/>
  <c r="H179" i="13" s="1"/>
  <c r="S199" i="13"/>
  <c r="H199" i="13" s="1"/>
  <c r="S224" i="13"/>
  <c r="H224" i="13" s="1"/>
  <c r="S249" i="13"/>
  <c r="H249" i="13" s="1"/>
  <c r="S274" i="13"/>
  <c r="H274" i="13" s="1"/>
  <c r="S299" i="13"/>
  <c r="H299" i="13" s="1"/>
  <c r="S319" i="13"/>
  <c r="H319" i="13" s="1"/>
  <c r="S344" i="13"/>
  <c r="H344" i="13" s="1"/>
  <c r="S369" i="13"/>
  <c r="H369" i="13" s="1"/>
  <c r="S394" i="13"/>
  <c r="H394" i="13" s="1"/>
  <c r="S414" i="13"/>
  <c r="H414" i="13" s="1"/>
  <c r="S439" i="13"/>
  <c r="H439" i="13" s="1"/>
  <c r="S464" i="13"/>
  <c r="H464" i="13" s="1"/>
  <c r="S489" i="13"/>
  <c r="H489" i="13" s="1"/>
  <c r="S509" i="13"/>
  <c r="H509" i="13" s="1"/>
  <c r="S534" i="13"/>
  <c r="H534" i="13" s="1"/>
  <c r="S559" i="13"/>
  <c r="H559" i="13" s="1"/>
  <c r="S584" i="13"/>
  <c r="H584" i="13" s="1"/>
  <c r="S609" i="13"/>
  <c r="H609" i="13" s="1"/>
  <c r="S629" i="13"/>
  <c r="H629" i="13" s="1"/>
  <c r="S654" i="13"/>
  <c r="H654" i="13" s="1"/>
  <c r="S679" i="13"/>
  <c r="H679" i="13" s="1"/>
  <c r="S704" i="13"/>
  <c r="H704" i="13" s="1"/>
  <c r="S724" i="13"/>
  <c r="H724" i="13" s="1"/>
  <c r="S749" i="13"/>
  <c r="H749" i="13" s="1"/>
  <c r="S774" i="13"/>
  <c r="H774" i="13" s="1"/>
  <c r="S799" i="13"/>
  <c r="H799" i="13" s="1"/>
  <c r="S819" i="13"/>
  <c r="H819" i="13" s="1"/>
  <c r="S844" i="13"/>
  <c r="H844" i="13" s="1"/>
  <c r="S869" i="13"/>
  <c r="H869" i="13" s="1"/>
  <c r="S894" i="13"/>
  <c r="H894" i="13" s="1"/>
  <c r="S919" i="13"/>
  <c r="H919" i="13" s="1"/>
  <c r="S939" i="13"/>
  <c r="H939" i="13" s="1"/>
  <c r="S964" i="13"/>
  <c r="H964" i="13" s="1"/>
  <c r="S253" i="13"/>
  <c r="H253" i="13" s="1"/>
  <c r="S518" i="13"/>
  <c r="H518" i="13" s="1"/>
  <c r="S803" i="13"/>
  <c r="H803" i="13" s="1"/>
  <c r="S898" i="13"/>
  <c r="H898" i="13" s="1"/>
  <c r="S229" i="13"/>
  <c r="H229" i="13" s="1"/>
  <c r="S444" i="13"/>
  <c r="H444" i="13" s="1"/>
  <c r="S639" i="13"/>
  <c r="H639" i="13" s="1"/>
  <c r="S160" i="13"/>
  <c r="H160" i="13" s="1"/>
  <c r="S330" i="13"/>
  <c r="H330" i="13" s="1"/>
  <c r="S520" i="13"/>
  <c r="H520" i="13" s="1"/>
  <c r="S685" i="13"/>
  <c r="H685" i="13" s="1"/>
  <c r="S875" i="13"/>
  <c r="H875" i="13" s="1"/>
  <c r="S331" i="13"/>
  <c r="H331" i="13" s="1"/>
  <c r="S616" i="13"/>
  <c r="H616" i="13" s="1"/>
  <c r="S971" i="13"/>
  <c r="H971" i="13" s="1"/>
  <c r="S162" i="13"/>
  <c r="H162" i="13" s="1"/>
  <c r="S377" i="13"/>
  <c r="H377" i="13" s="1"/>
  <c r="S472" i="13"/>
  <c r="H472" i="13" s="1"/>
  <c r="S617" i="13"/>
  <c r="H617" i="13" s="1"/>
  <c r="S877" i="13"/>
  <c r="H877" i="13" s="1"/>
  <c r="S112" i="13"/>
  <c r="H112" i="13" s="1"/>
  <c r="S403" i="13"/>
  <c r="H403" i="13" s="1"/>
  <c r="S593" i="13"/>
  <c r="H593" i="13" s="1"/>
  <c r="S858" i="13"/>
  <c r="H858" i="13" s="1"/>
  <c r="S524" i="13"/>
  <c r="H524" i="13" s="1"/>
  <c r="S594" i="13"/>
  <c r="H594" i="13" s="1"/>
  <c r="S739" i="13"/>
  <c r="H739" i="13" s="1"/>
  <c r="S879" i="13"/>
  <c r="H879" i="13" s="1"/>
  <c r="S115" i="13"/>
  <c r="H115" i="13" s="1"/>
  <c r="S261" i="13"/>
  <c r="H261" i="13" s="1"/>
  <c r="S431" i="13"/>
  <c r="H431" i="13" s="1"/>
  <c r="S621" i="13"/>
  <c r="H621" i="13" s="1"/>
  <c r="S786" i="13"/>
  <c r="H786" i="13" s="1"/>
  <c r="S647" i="13"/>
  <c r="H647" i="13" s="1"/>
  <c r="S147" i="13"/>
  <c r="H147" i="13" s="1"/>
  <c r="S245" i="13"/>
  <c r="H245" i="13" s="1"/>
  <c r="S385" i="13"/>
  <c r="H385" i="13" s="1"/>
  <c r="S530" i="13"/>
  <c r="H530" i="13" s="1"/>
  <c r="S95" i="13"/>
  <c r="H95" i="13" s="1"/>
  <c r="S148" i="13"/>
  <c r="H148" i="13" s="1"/>
  <c r="S196" i="13"/>
  <c r="H196" i="13" s="1"/>
  <c r="S316" i="13"/>
  <c r="H316" i="13" s="1"/>
  <c r="S436" i="13"/>
  <c r="H436" i="13" s="1"/>
  <c r="S556" i="13"/>
  <c r="H556" i="13" s="1"/>
  <c r="S796" i="13"/>
  <c r="H796" i="13" s="1"/>
  <c r="S197" i="13"/>
  <c r="H197" i="13" s="1"/>
  <c r="W50" i="13"/>
  <c r="V50" i="13"/>
  <c r="X50" i="13"/>
  <c r="Y50" i="13"/>
  <c r="Z50" i="13"/>
  <c r="S125" i="13"/>
  <c r="H125" i="13" s="1"/>
  <c r="X51" i="13"/>
  <c r="Z51" i="13"/>
  <c r="Y51" i="13"/>
  <c r="W51" i="13"/>
  <c r="V51" i="13"/>
  <c r="S79" i="13"/>
  <c r="H79" i="13" s="1"/>
  <c r="S99" i="13"/>
  <c r="H99" i="13" s="1"/>
  <c r="S126" i="13"/>
  <c r="H126" i="13" s="1"/>
  <c r="S153" i="13"/>
  <c r="H153" i="13" s="1"/>
  <c r="S180" i="13"/>
  <c r="H180" i="13" s="1"/>
  <c r="S205" i="13"/>
  <c r="H205" i="13" s="1"/>
  <c r="S225" i="13"/>
  <c r="H225" i="13" s="1"/>
  <c r="S250" i="13"/>
  <c r="H250" i="13" s="1"/>
  <c r="S275" i="13"/>
  <c r="H275" i="13" s="1"/>
  <c r="S300" i="13"/>
  <c r="H300" i="13" s="1"/>
  <c r="S320" i="13"/>
  <c r="H320" i="13" s="1"/>
  <c r="S345" i="13"/>
  <c r="H345" i="13" s="1"/>
  <c r="S370" i="13"/>
  <c r="H370" i="13" s="1"/>
  <c r="S395" i="13"/>
  <c r="H395" i="13" s="1"/>
  <c r="S415" i="13"/>
  <c r="H415" i="13" s="1"/>
  <c r="S440" i="13"/>
  <c r="H440" i="13" s="1"/>
  <c r="S465" i="13"/>
  <c r="H465" i="13" s="1"/>
  <c r="S490" i="13"/>
  <c r="H490" i="13" s="1"/>
  <c r="S515" i="13"/>
  <c r="H515" i="13" s="1"/>
  <c r="S535" i="13"/>
  <c r="H535" i="13" s="1"/>
  <c r="S560" i="13"/>
  <c r="H560" i="13" s="1"/>
  <c r="S585" i="13"/>
  <c r="H585" i="13" s="1"/>
  <c r="S610" i="13"/>
  <c r="H610" i="13" s="1"/>
  <c r="S630" i="13"/>
  <c r="H630" i="13" s="1"/>
  <c r="S655" i="13"/>
  <c r="H655" i="13" s="1"/>
  <c r="S680" i="13"/>
  <c r="H680" i="13" s="1"/>
  <c r="S705" i="13"/>
  <c r="H705" i="13" s="1"/>
  <c r="S725" i="13"/>
  <c r="H725" i="13" s="1"/>
  <c r="S750" i="13"/>
  <c r="H750" i="13" s="1"/>
  <c r="S775" i="13"/>
  <c r="H775" i="13" s="1"/>
  <c r="S800" i="13"/>
  <c r="H800" i="13" s="1"/>
  <c r="S825" i="13"/>
  <c r="H825" i="13" s="1"/>
  <c r="S845" i="13"/>
  <c r="H845" i="13" s="1"/>
  <c r="S870" i="13"/>
  <c r="H870" i="13" s="1"/>
  <c r="S895" i="13"/>
  <c r="H895" i="13" s="1"/>
  <c r="S920" i="13"/>
  <c r="H920" i="13" s="1"/>
  <c r="S940" i="13"/>
  <c r="H940" i="13" s="1"/>
  <c r="S965" i="13"/>
  <c r="H965" i="13" s="1"/>
  <c r="S228" i="13"/>
  <c r="H228" i="13" s="1"/>
  <c r="S423" i="13"/>
  <c r="H423" i="13" s="1"/>
  <c r="S658" i="13"/>
  <c r="H658" i="13" s="1"/>
  <c r="S873" i="13"/>
  <c r="H873" i="13" s="1"/>
  <c r="S304" i="13"/>
  <c r="H304" i="13" s="1"/>
  <c r="S589" i="13"/>
  <c r="H589" i="13" s="1"/>
  <c r="S874" i="13"/>
  <c r="H874" i="13" s="1"/>
  <c r="S255" i="13"/>
  <c r="H255" i="13" s="1"/>
  <c r="S445" i="13"/>
  <c r="H445" i="13" s="1"/>
  <c r="S565" i="13"/>
  <c r="H565" i="13" s="1"/>
  <c r="S850" i="13"/>
  <c r="H850" i="13" s="1"/>
  <c r="S186" i="13"/>
  <c r="H186" i="13" s="1"/>
  <c r="S401" i="13"/>
  <c r="H401" i="13" s="1"/>
  <c r="S591" i="13"/>
  <c r="H591" i="13" s="1"/>
  <c r="S901" i="13"/>
  <c r="H901" i="13" s="1"/>
  <c r="S111" i="13"/>
  <c r="H111" i="13" s="1"/>
  <c r="S402" i="13"/>
  <c r="H402" i="13" s="1"/>
  <c r="S592" i="13"/>
  <c r="H592" i="13" s="1"/>
  <c r="S832" i="13"/>
  <c r="H832" i="13" s="1"/>
  <c r="X60" i="13"/>
  <c r="Z60" i="13"/>
  <c r="Y60" i="13"/>
  <c r="W60" i="13"/>
  <c r="V60" i="13"/>
  <c r="S378" i="13"/>
  <c r="H378" i="13" s="1"/>
  <c r="S618" i="13"/>
  <c r="H618" i="13" s="1"/>
  <c r="S953" i="13"/>
  <c r="H953" i="13" s="1"/>
  <c r="S214" i="13"/>
  <c r="H214" i="13" s="1"/>
  <c r="S309" i="13"/>
  <c r="H309" i="13" s="1"/>
  <c r="S404" i="13"/>
  <c r="H404" i="13" s="1"/>
  <c r="S619" i="13"/>
  <c r="H619" i="13" s="1"/>
  <c r="S834" i="13"/>
  <c r="H834" i="13" s="1"/>
  <c r="S241" i="13"/>
  <c r="H241" i="13" s="1"/>
  <c r="S571" i="13"/>
  <c r="H571" i="13" s="1"/>
  <c r="S956" i="13"/>
  <c r="H956" i="13" s="1"/>
  <c r="S143" i="13"/>
  <c r="H143" i="13" s="1"/>
  <c r="S337" i="13"/>
  <c r="H337" i="13" s="1"/>
  <c r="S597" i="13"/>
  <c r="H597" i="13" s="1"/>
  <c r="S907" i="13"/>
  <c r="H907" i="13" s="1"/>
  <c r="S121" i="13"/>
  <c r="H121" i="13" s="1"/>
  <c r="S290" i="13"/>
  <c r="H290" i="13" s="1"/>
  <c r="S485" i="13"/>
  <c r="S122" i="13"/>
  <c r="H122" i="13" s="1"/>
  <c r="S271" i="13"/>
  <c r="H271" i="13" s="1"/>
  <c r="S486" i="13"/>
  <c r="H486" i="13" s="1"/>
  <c r="S816" i="13"/>
  <c r="H816" i="13" s="1"/>
  <c r="S149" i="13"/>
  <c r="H149" i="13" s="1"/>
  <c r="S97" i="13"/>
  <c r="H97" i="13" s="1"/>
  <c r="Z52" i="13"/>
  <c r="Y52" i="13"/>
  <c r="X52" i="13"/>
  <c r="W52" i="13"/>
  <c r="V52" i="13"/>
  <c r="S154" i="13"/>
  <c r="H154" i="13" s="1"/>
  <c r="S226" i="13"/>
  <c r="H226" i="13" s="1"/>
  <c r="S276" i="13"/>
  <c r="H276" i="13" s="1"/>
  <c r="S301" i="13"/>
  <c r="H301" i="13" s="1"/>
  <c r="S346" i="13"/>
  <c r="H346" i="13" s="1"/>
  <c r="S371" i="13"/>
  <c r="H371" i="13" s="1"/>
  <c r="S396" i="13"/>
  <c r="H396" i="13" s="1"/>
  <c r="S416" i="13"/>
  <c r="H416" i="13" s="1"/>
  <c r="S441" i="13"/>
  <c r="H441" i="13" s="1"/>
  <c r="S466" i="13"/>
  <c r="H466" i="13" s="1"/>
  <c r="S491" i="13"/>
  <c r="H491" i="13" s="1"/>
  <c r="S516" i="13"/>
  <c r="H516" i="13" s="1"/>
  <c r="S536" i="13"/>
  <c r="H536" i="13" s="1"/>
  <c r="S561" i="13"/>
  <c r="H561" i="13" s="1"/>
  <c r="S586" i="13"/>
  <c r="H586" i="13" s="1"/>
  <c r="S611" i="13"/>
  <c r="H611" i="13" s="1"/>
  <c r="S631" i="13"/>
  <c r="H631" i="13" s="1"/>
  <c r="S656" i="13"/>
  <c r="H656" i="13" s="1"/>
  <c r="S681" i="13"/>
  <c r="H681" i="13" s="1"/>
  <c r="S706" i="13"/>
  <c r="H706" i="13" s="1"/>
  <c r="S726" i="13"/>
  <c r="H726" i="13" s="1"/>
  <c r="S751" i="13"/>
  <c r="H751" i="13" s="1"/>
  <c r="S776" i="13"/>
  <c r="H776" i="13" s="1"/>
  <c r="S801" i="13"/>
  <c r="H801" i="13" s="1"/>
  <c r="S826" i="13"/>
  <c r="H826" i="13" s="1"/>
  <c r="S846" i="13"/>
  <c r="H846" i="13" s="1"/>
  <c r="S871" i="13"/>
  <c r="H871" i="13" s="1"/>
  <c r="S896" i="13"/>
  <c r="H896" i="13" s="1"/>
  <c r="S921" i="13"/>
  <c r="H921" i="13" s="1"/>
  <c r="S941" i="13"/>
  <c r="H941" i="13" s="1"/>
  <c r="S966" i="13"/>
  <c r="H966" i="13" s="1"/>
  <c r="S208" i="13"/>
  <c r="H208" i="13" s="1"/>
  <c r="S373" i="13"/>
  <c r="H373" i="13" s="1"/>
  <c r="S563" i="13"/>
  <c r="H563" i="13" s="1"/>
  <c r="S778" i="13"/>
  <c r="H778" i="13" s="1"/>
  <c r="S923" i="13"/>
  <c r="H923" i="13" s="1"/>
  <c r="S254" i="13"/>
  <c r="H254" i="13" s="1"/>
  <c r="S469" i="13"/>
  <c r="H469" i="13" s="1"/>
  <c r="S659" i="13"/>
  <c r="H659" i="13" s="1"/>
  <c r="S949" i="13"/>
  <c r="H949" i="13" s="1"/>
  <c r="S350" i="13"/>
  <c r="H350" i="13" s="1"/>
  <c r="S615" i="13"/>
  <c r="H615" i="13" s="1"/>
  <c r="S256" i="13"/>
  <c r="H256" i="13" s="1"/>
  <c r="S446" i="13"/>
  <c r="H446" i="13" s="1"/>
  <c r="S566" i="13"/>
  <c r="H566" i="13" s="1"/>
  <c r="S736" i="13"/>
  <c r="H736" i="13" s="1"/>
  <c r="S831" i="13"/>
  <c r="H831" i="13" s="1"/>
  <c r="S307" i="13"/>
  <c r="H307" i="13" s="1"/>
  <c r="S497" i="13"/>
  <c r="H497" i="13" s="1"/>
  <c r="S712" i="13"/>
  <c r="H712" i="13" s="1"/>
  <c r="S163" i="13"/>
  <c r="H163" i="13" s="1"/>
  <c r="S308" i="13"/>
  <c r="H308" i="13" s="1"/>
  <c r="S473" i="13"/>
  <c r="H473" i="13" s="1"/>
  <c r="S663" i="13"/>
  <c r="H663" i="13" s="1"/>
  <c r="S878" i="13"/>
  <c r="H878" i="13" s="1"/>
  <c r="S113" i="13"/>
  <c r="H113" i="13" s="1"/>
  <c r="S569" i="13"/>
  <c r="H569" i="13" s="1"/>
  <c r="S929" i="13"/>
  <c r="H929" i="13" s="1"/>
  <c r="Z42" i="13"/>
  <c r="X42" i="13"/>
  <c r="W42" i="13"/>
  <c r="V42" i="13"/>
  <c r="Y42" i="13"/>
  <c r="S216" i="13"/>
  <c r="H216" i="13" s="1"/>
  <c r="S476" i="13"/>
  <c r="H476" i="13" s="1"/>
  <c r="S691" i="13"/>
  <c r="H691" i="13" s="1"/>
  <c r="X64" i="13"/>
  <c r="V64" i="13"/>
  <c r="Z64" i="13"/>
  <c r="Y64" i="13"/>
  <c r="W64" i="13"/>
  <c r="S118" i="13"/>
  <c r="H118" i="13" s="1"/>
  <c r="S192" i="13"/>
  <c r="H192" i="13" s="1"/>
  <c r="S267" i="13"/>
  <c r="H267" i="13" s="1"/>
  <c r="S312" i="13"/>
  <c r="H312" i="13" s="1"/>
  <c r="S407" i="13"/>
  <c r="H407" i="13" s="1"/>
  <c r="S552" i="13"/>
  <c r="H552" i="13" s="1"/>
  <c r="S692" i="13"/>
  <c r="H692" i="13" s="1"/>
  <c r="S767" i="13"/>
  <c r="H767" i="13" s="1"/>
  <c r="S862" i="13"/>
  <c r="H862" i="13" s="1"/>
  <c r="S94" i="13"/>
  <c r="H94" i="13" s="1"/>
  <c r="S220" i="13"/>
  <c r="H220" i="13" s="1"/>
  <c r="S410" i="13"/>
  <c r="H410" i="13" s="1"/>
  <c r="Z47" i="13"/>
  <c r="Y47" i="13"/>
  <c r="X47" i="13"/>
  <c r="W47" i="13"/>
  <c r="V47" i="13"/>
  <c r="S341" i="13"/>
  <c r="H341" i="13" s="1"/>
  <c r="S531" i="13"/>
  <c r="H531" i="13" s="1"/>
  <c r="S841" i="13"/>
  <c r="H841" i="13" s="1"/>
  <c r="S123" i="13"/>
  <c r="H123" i="13" s="1"/>
  <c r="S124" i="13"/>
  <c r="H124" i="13" s="1"/>
  <c r="S78" i="13"/>
  <c r="H78" i="13" s="1"/>
  <c r="S80" i="13"/>
  <c r="H80" i="13" s="1"/>
  <c r="S100" i="13"/>
  <c r="H100" i="13" s="1"/>
  <c r="S127" i="13"/>
  <c r="H127" i="13" s="1"/>
  <c r="S181" i="13"/>
  <c r="H181" i="13" s="1"/>
  <c r="S206" i="13"/>
  <c r="H206" i="13" s="1"/>
  <c r="S251" i="13"/>
  <c r="H251" i="13" s="1"/>
  <c r="S321" i="13"/>
  <c r="H321" i="13" s="1"/>
  <c r="Z53" i="13"/>
  <c r="W53" i="13"/>
  <c r="Y53" i="13"/>
  <c r="X53" i="13"/>
  <c r="V53" i="13"/>
  <c r="S81" i="13"/>
  <c r="H81" i="13" s="1"/>
  <c r="S106" i="13"/>
  <c r="H106" i="13" s="1"/>
  <c r="S128" i="13"/>
  <c r="H128" i="13" s="1"/>
  <c r="S157" i="13"/>
  <c r="H157" i="13" s="1"/>
  <c r="S182" i="13"/>
  <c r="H182" i="13" s="1"/>
  <c r="S207" i="13"/>
  <c r="H207" i="13" s="1"/>
  <c r="S227" i="13"/>
  <c r="H227" i="13" s="1"/>
  <c r="S252" i="13"/>
  <c r="H252" i="13" s="1"/>
  <c r="S277" i="13"/>
  <c r="H277" i="13" s="1"/>
  <c r="S302" i="13"/>
  <c r="H302" i="13" s="1"/>
  <c r="S322" i="13"/>
  <c r="H322" i="13" s="1"/>
  <c r="S347" i="13"/>
  <c r="H347" i="13" s="1"/>
  <c r="S372" i="13"/>
  <c r="H372" i="13" s="1"/>
  <c r="S397" i="13"/>
  <c r="H397" i="13" s="1"/>
  <c r="S422" i="13"/>
  <c r="H422" i="13" s="1"/>
  <c r="S442" i="13"/>
  <c r="H442" i="13" s="1"/>
  <c r="S467" i="13"/>
  <c r="H467" i="13" s="1"/>
  <c r="S492" i="13"/>
  <c r="H492" i="13" s="1"/>
  <c r="S517" i="13"/>
  <c r="H517" i="13" s="1"/>
  <c r="S537" i="13"/>
  <c r="H537" i="13" s="1"/>
  <c r="S562" i="13"/>
  <c r="H562" i="13" s="1"/>
  <c r="S587" i="13"/>
  <c r="H587" i="13" s="1"/>
  <c r="S612" i="13"/>
  <c r="H612" i="13" s="1"/>
  <c r="S632" i="13"/>
  <c r="H632" i="13" s="1"/>
  <c r="S657" i="13"/>
  <c r="H657" i="13" s="1"/>
  <c r="S682" i="13"/>
  <c r="H682" i="13" s="1"/>
  <c r="S707" i="13"/>
  <c r="H707" i="13" s="1"/>
  <c r="S732" i="13"/>
  <c r="H732" i="13" s="1"/>
  <c r="S752" i="13"/>
  <c r="H752" i="13" s="1"/>
  <c r="S777" i="13"/>
  <c r="H777" i="13" s="1"/>
  <c r="S802" i="13"/>
  <c r="H802" i="13" s="1"/>
  <c r="S827" i="13"/>
  <c r="H827" i="13" s="1"/>
  <c r="S847" i="13"/>
  <c r="H847" i="13" s="1"/>
  <c r="S872" i="13"/>
  <c r="H872" i="13" s="1"/>
  <c r="S897" i="13"/>
  <c r="H897" i="13" s="1"/>
  <c r="S922" i="13"/>
  <c r="H922" i="13" s="1"/>
  <c r="S942" i="13"/>
  <c r="H942" i="13" s="1"/>
  <c r="S967" i="13"/>
  <c r="H967" i="13" s="1"/>
  <c r="S997" i="13"/>
  <c r="H997" i="13" s="1"/>
  <c r="S998" i="13"/>
  <c r="H998" i="13" s="1"/>
  <c r="S999" i="13"/>
  <c r="H999" i="13" s="1"/>
  <c r="S1003" i="13"/>
  <c r="H1003" i="13" s="1"/>
  <c r="S984" i="13"/>
  <c r="H984" i="13" s="1"/>
  <c r="S1004" i="13"/>
  <c r="H1004" i="13" s="1"/>
  <c r="S994" i="13"/>
  <c r="H994" i="13" s="1"/>
  <c r="S980" i="13"/>
  <c r="H980" i="13" s="1"/>
  <c r="S983" i="13"/>
  <c r="H983" i="13" s="1"/>
  <c r="S987" i="13"/>
  <c r="H987" i="13" s="1"/>
  <c r="S982" i="13"/>
  <c r="H982" i="13" s="1"/>
  <c r="S988" i="13"/>
  <c r="H988" i="13" s="1"/>
  <c r="S1001" i="13"/>
  <c r="H1001" i="13" s="1"/>
  <c r="S1005" i="13"/>
  <c r="H1005" i="13" s="1"/>
  <c r="S989" i="13"/>
  <c r="H989" i="13" s="1"/>
  <c r="S993" i="13"/>
  <c r="H993" i="13" s="1"/>
  <c r="S995" i="13"/>
  <c r="H995" i="13" s="1"/>
  <c r="S981" i="13"/>
  <c r="H981" i="13" s="1"/>
  <c r="S985" i="13"/>
  <c r="H985" i="13" s="1"/>
  <c r="S990" i="13"/>
  <c r="H990" i="13" s="1"/>
  <c r="S996" i="13"/>
  <c r="H996" i="13" s="1"/>
  <c r="S1000" i="13"/>
  <c r="H1000" i="13" s="1"/>
  <c r="S991" i="13"/>
  <c r="H991" i="13" s="1"/>
  <c r="S1002" i="13"/>
  <c r="H1002" i="13" s="1"/>
  <c r="S986" i="13"/>
  <c r="H986" i="13" s="1"/>
  <c r="S992" i="13"/>
  <c r="H992" i="13" s="1"/>
  <c r="S55" i="13"/>
  <c r="H55" i="13" s="1"/>
  <c r="S59" i="13"/>
  <c r="H59" i="13" s="1"/>
  <c r="S60" i="13"/>
  <c r="H60" i="13" s="1"/>
  <c r="S64" i="13"/>
  <c r="H64" i="13" s="1"/>
  <c r="S46" i="13"/>
  <c r="H46" i="13" s="1"/>
  <c r="S42" i="13"/>
  <c r="H42" i="13" s="1"/>
  <c r="S67" i="13"/>
  <c r="H67" i="13" s="1"/>
  <c r="S45" i="13"/>
  <c r="H45" i="13" s="1"/>
  <c r="S50" i="13"/>
  <c r="H50" i="13" s="1"/>
  <c r="S56" i="13"/>
  <c r="H56" i="13" s="1"/>
  <c r="S58" i="13"/>
  <c r="H58" i="13" s="1"/>
  <c r="S43" i="13"/>
  <c r="H43" i="13" s="1"/>
  <c r="S63" i="13"/>
  <c r="H63" i="13" s="1"/>
  <c r="S68" i="13"/>
  <c r="H68" i="13" s="1"/>
  <c r="S69" i="13"/>
  <c r="H69" i="13" s="1"/>
  <c r="S48" i="13"/>
  <c r="H48" i="13" s="1"/>
  <c r="S49" i="13"/>
  <c r="H49" i="13" s="1"/>
  <c r="S52" i="13"/>
  <c r="H52" i="13" s="1"/>
  <c r="S57" i="13"/>
  <c r="H57" i="13" s="1"/>
  <c r="S61" i="13"/>
  <c r="H61" i="13" s="1"/>
  <c r="S62" i="13"/>
  <c r="H62" i="13" s="1"/>
  <c r="S44" i="13"/>
  <c r="H44" i="13" s="1"/>
  <c r="S47" i="13"/>
  <c r="H47" i="13" s="1"/>
  <c r="S51" i="13"/>
  <c r="H51" i="13" s="1"/>
  <c r="S53" i="13"/>
  <c r="H53" i="13" s="1"/>
  <c r="H11" i="5"/>
  <c r="I32" i="5"/>
  <c r="H32" i="5"/>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332" i="11"/>
  <c r="H331" i="11"/>
  <c r="H330" i="11"/>
  <c r="H329" i="11"/>
  <c r="H328" i="11"/>
  <c r="H327" i="11"/>
  <c r="H326" i="11"/>
  <c r="H325" i="11"/>
  <c r="H324" i="11"/>
  <c r="H323" i="11"/>
  <c r="H322" i="11"/>
  <c r="H321" i="11"/>
  <c r="H320" i="11"/>
  <c r="H319" i="11"/>
  <c r="H318" i="11"/>
  <c r="H317" i="11"/>
  <c r="H316" i="11"/>
  <c r="H315" i="11"/>
  <c r="H314" i="11"/>
  <c r="H313" i="11"/>
  <c r="H312" i="11"/>
  <c r="H311" i="11"/>
  <c r="H310" i="11"/>
  <c r="H309" i="11"/>
  <c r="H308" i="11"/>
  <c r="H307" i="11"/>
  <c r="H306" i="11"/>
  <c r="H305" i="11"/>
  <c r="H304" i="11"/>
  <c r="H303" i="11"/>
  <c r="H302" i="11"/>
  <c r="H301" i="11"/>
  <c r="H300" i="11"/>
  <c r="H299" i="11"/>
  <c r="H298" i="11"/>
  <c r="H297" i="11"/>
  <c r="H296" i="11"/>
  <c r="H295" i="11"/>
  <c r="H294" i="11"/>
  <c r="H293" i="11"/>
  <c r="H292" i="11"/>
  <c r="H291" i="11"/>
  <c r="H290" i="11"/>
  <c r="H289" i="11"/>
  <c r="H288" i="11"/>
  <c r="H287" i="11"/>
  <c r="H286" i="11"/>
  <c r="H285" i="11"/>
  <c r="H284" i="11"/>
  <c r="H283" i="11"/>
  <c r="H282" i="11"/>
  <c r="H281" i="11"/>
  <c r="H280" i="11"/>
  <c r="H279" i="11"/>
  <c r="H278" i="11"/>
  <c r="H277" i="11"/>
  <c r="H276" i="11"/>
  <c r="H275" i="11"/>
  <c r="H274" i="11"/>
  <c r="H273" i="11"/>
  <c r="H272" i="11"/>
  <c r="H485" i="13" l="1"/>
  <c r="X485" i="13"/>
  <c r="AL456" i="13"/>
  <c r="AL803" i="13"/>
  <c r="AL213" i="13"/>
  <c r="AL463" i="13"/>
  <c r="AL612" i="13"/>
  <c r="AL561" i="13"/>
  <c r="AL952" i="13"/>
  <c r="AL475" i="13"/>
  <c r="AL766" i="13"/>
  <c r="AL192" i="13"/>
  <c r="AL786" i="13"/>
  <c r="AL818" i="13"/>
  <c r="AL396" i="13"/>
  <c r="AL415" i="13"/>
  <c r="AL405" i="13"/>
  <c r="AL526" i="13"/>
  <c r="AL317" i="13"/>
  <c r="AL429" i="13"/>
  <c r="AL26" i="13"/>
  <c r="AL444" i="13"/>
  <c r="AL924" i="13"/>
  <c r="AL664" i="13"/>
  <c r="AL127" i="13"/>
  <c r="AL406" i="13"/>
  <c r="AL967" i="13"/>
  <c r="AL250" i="13"/>
  <c r="AL551" i="13"/>
  <c r="AL806" i="13"/>
  <c r="AL689" i="13"/>
  <c r="AL631" i="13"/>
  <c r="AL217" i="13"/>
  <c r="AL492" i="13"/>
  <c r="AL862" i="13"/>
  <c r="AL404" i="13"/>
  <c r="AL85" i="13"/>
  <c r="AL732" i="13"/>
  <c r="AL506" i="13"/>
  <c r="AL784" i="13"/>
  <c r="AL725" i="13"/>
  <c r="AL487" i="13"/>
  <c r="AL319" i="13"/>
  <c r="AL159" i="13"/>
  <c r="AL939" i="13"/>
  <c r="AL938" i="13"/>
  <c r="AL531" i="13"/>
  <c r="AL147" i="13"/>
  <c r="AL223" i="13"/>
  <c r="AL349" i="13"/>
  <c r="AL329" i="13"/>
  <c r="AL941" i="13"/>
  <c r="AL52" i="13"/>
  <c r="AL706" i="13"/>
  <c r="AL369" i="13"/>
  <c r="AL678" i="13"/>
  <c r="AL244" i="13"/>
  <c r="AL164" i="13"/>
  <c r="AL167" i="13"/>
  <c r="AL61" i="13"/>
  <c r="AL338" i="13"/>
  <c r="AL464" i="13"/>
  <c r="AL672" i="13"/>
  <c r="AL519" i="13"/>
  <c r="AL866" i="13"/>
  <c r="AL613" i="13"/>
  <c r="AL745" i="13"/>
  <c r="AL282" i="13"/>
  <c r="AL288" i="13"/>
  <c r="AL302" i="13"/>
  <c r="AL94" i="13"/>
  <c r="AL611" i="13"/>
  <c r="AL907" i="13"/>
  <c r="AL556" i="13"/>
  <c r="AL461" i="13"/>
  <c r="AL426" i="13"/>
  <c r="AL890" i="13"/>
  <c r="AL811" i="13"/>
  <c r="AL351" i="13"/>
  <c r="AL77" i="13"/>
  <c r="AL849" i="13"/>
  <c r="AL618" i="13"/>
  <c r="AL509" i="13"/>
  <c r="AL651" i="13"/>
  <c r="AL765" i="13"/>
  <c r="AL377" i="13"/>
  <c r="AL83" i="13"/>
  <c r="AL107" i="13"/>
  <c r="AL569" i="13"/>
  <c r="AL494" i="13"/>
  <c r="AL211" i="13"/>
  <c r="AL408" i="13"/>
  <c r="AL341" i="13"/>
  <c r="AL508" i="13"/>
  <c r="AL992" i="13"/>
  <c r="AL57" i="13"/>
  <c r="AL691" i="13"/>
  <c r="AL560" i="13"/>
  <c r="AL875" i="13"/>
  <c r="AL299" i="13"/>
  <c r="AL209" i="13"/>
  <c r="AL608" i="13"/>
  <c r="AL474" i="13"/>
  <c r="AL686" i="13"/>
  <c r="AL409" i="13"/>
  <c r="AL269" i="13"/>
  <c r="AL174" i="13"/>
  <c r="AL955" i="13"/>
  <c r="AL550" i="13"/>
  <c r="AL782" i="13"/>
  <c r="AL398" i="13"/>
  <c r="AL644" i="13"/>
  <c r="AL307" i="13"/>
  <c r="AL373" i="13"/>
  <c r="AL111" i="13"/>
  <c r="AL589" i="13"/>
  <c r="AL796" i="13"/>
  <c r="AL115" i="13"/>
  <c r="AL365" i="13"/>
  <c r="AL58" i="13"/>
  <c r="AL352" i="13"/>
  <c r="AL797" i="13"/>
  <c r="AL131" i="13"/>
  <c r="AL936" i="13"/>
  <c r="AL861" i="13"/>
  <c r="AL185" i="13"/>
  <c r="AL838" i="13"/>
  <c r="AL897" i="13"/>
  <c r="AL628" i="13"/>
  <c r="AL212" i="13"/>
  <c r="AL684" i="13"/>
  <c r="AL225" i="13"/>
  <c r="AL50" i="13"/>
  <c r="AL593" i="13"/>
  <c r="AL844" i="13"/>
  <c r="AL199" i="13"/>
  <c r="AL748" i="13"/>
  <c r="AL108" i="13"/>
  <c r="AL683" i="13"/>
  <c r="AL68" i="13"/>
  <c r="AL20" i="13"/>
  <c r="AL82" i="13"/>
  <c r="AL926" i="13"/>
  <c r="AL125" i="13"/>
  <c r="AL332" i="13"/>
  <c r="AL971" i="13"/>
  <c r="AL705" i="13"/>
  <c r="AL226" i="13"/>
  <c r="AL304" i="13"/>
  <c r="AL969" i="13"/>
  <c r="AL650" i="13"/>
  <c r="AL350" i="13"/>
  <c r="AL271" i="13"/>
  <c r="AL584" i="13"/>
  <c r="AL178" i="13"/>
  <c r="AL622" i="13"/>
  <c r="AL795" i="13"/>
  <c r="AL459" i="13"/>
  <c r="AL215" i="13"/>
  <c r="AL182" i="13"/>
  <c r="AL227" i="13"/>
  <c r="AL776" i="13"/>
  <c r="AL752" i="13"/>
  <c r="AL277" i="13"/>
  <c r="AL80" i="13"/>
  <c r="AL214" i="13"/>
  <c r="AL255" i="13"/>
  <c r="AL879" i="13"/>
  <c r="AL331" i="13"/>
  <c r="AL903" i="13"/>
  <c r="AL16" i="13"/>
  <c r="AL640" i="13"/>
  <c r="AL558" i="13"/>
  <c r="AL91" i="13"/>
  <c r="AL216" i="13"/>
  <c r="AL32" i="13"/>
  <c r="AL149" i="13"/>
  <c r="AL592" i="13"/>
  <c r="AL654" i="13"/>
  <c r="AL284" i="13"/>
  <c r="AL272" i="13"/>
  <c r="AL905" i="13"/>
  <c r="AL190" i="13"/>
  <c r="AL754" i="13"/>
  <c r="AL321" i="13"/>
  <c r="AL682" i="13"/>
  <c r="AL410" i="13"/>
  <c r="AL290" i="13"/>
  <c r="AL750" i="13"/>
  <c r="AL687" i="13"/>
  <c r="AL713" i="13"/>
  <c r="AL859" i="13"/>
  <c r="AL564" i="13"/>
  <c r="AL478" i="13"/>
  <c r="AL13" i="13"/>
  <c r="AL130" i="13"/>
  <c r="AL498" i="13"/>
  <c r="AL458" i="13"/>
  <c r="AL831" i="13"/>
  <c r="AL378" i="13"/>
  <c r="AL261" i="13"/>
  <c r="AL724" i="13"/>
  <c r="AL414" i="13"/>
  <c r="AL249" i="13"/>
  <c r="AL708" i="13"/>
  <c r="AL318" i="13"/>
  <c r="AL951" i="13"/>
  <c r="AL243" i="13"/>
  <c r="AL491" i="13"/>
  <c r="AL154" i="13"/>
  <c r="AL825" i="13"/>
  <c r="AL614" i="13"/>
  <c r="AL581" i="13"/>
  <c r="AL891" i="13"/>
  <c r="AL460" i="13"/>
  <c r="AL788" i="13"/>
  <c r="AL738" i="13"/>
  <c r="AL981" i="13"/>
  <c r="AL968" i="13"/>
  <c r="AL158" i="13"/>
  <c r="AL837" i="13"/>
  <c r="AL92" i="13"/>
  <c r="AL275" i="13"/>
  <c r="AL60" i="13"/>
  <c r="AL477" i="13"/>
  <c r="AL743" i="13"/>
  <c r="AL927" i="13"/>
  <c r="AL520" i="13"/>
  <c r="AL210" i="13"/>
  <c r="AL720" i="13"/>
  <c r="AL717" i="13"/>
  <c r="AL710" i="13"/>
  <c r="AL744" i="13"/>
  <c r="AL345" i="13"/>
  <c r="AL379" i="13"/>
  <c r="AL712" i="13"/>
  <c r="AL774" i="13"/>
  <c r="AL447" i="13"/>
  <c r="AL734" i="13"/>
  <c r="AL659" i="13"/>
  <c r="AL533" i="13"/>
  <c r="AL842" i="13"/>
  <c r="AL93" i="13"/>
  <c r="AL335" i="13"/>
  <c r="AL847" i="13"/>
  <c r="AL679" i="13"/>
  <c r="AL578" i="13"/>
  <c r="AL183" i="13"/>
  <c r="AL100" i="13"/>
  <c r="AL123" i="13"/>
  <c r="AL552" i="13"/>
  <c r="AL267" i="13"/>
  <c r="AL929" i="13"/>
  <c r="AL778" i="13"/>
  <c r="AL346" i="13"/>
  <c r="AL486" i="13"/>
  <c r="AL571" i="13"/>
  <c r="AL832" i="13"/>
  <c r="AL186" i="13"/>
  <c r="AL465" i="13"/>
  <c r="AL99" i="13"/>
  <c r="AL385" i="13"/>
  <c r="AL403" i="13"/>
  <c r="AL609" i="13"/>
  <c r="AL534" i="13"/>
  <c r="AL362" i="13"/>
  <c r="AL974" i="13"/>
  <c r="AL353" i="13"/>
  <c r="AL86" i="13"/>
  <c r="AL735" i="13"/>
  <c r="AL84" i="13"/>
  <c r="AL702" i="13"/>
  <c r="AL643" i="13"/>
  <c r="AL970" i="13"/>
  <c r="AL676" i="13"/>
  <c r="AL527" i="13"/>
  <c r="AL910" i="13"/>
  <c r="AL770" i="13"/>
  <c r="AL625" i="13"/>
  <c r="AL555" i="13"/>
  <c r="AL238" i="13"/>
  <c r="AL864" i="13"/>
  <c r="AL794" i="13"/>
  <c r="AL649" i="13"/>
  <c r="AL29" i="13"/>
  <c r="AL648" i="13"/>
  <c r="AL363" i="13"/>
  <c r="AL218" i="13"/>
  <c r="AL67" i="13"/>
  <c r="AL577" i="13"/>
  <c r="AL63" i="13"/>
  <c r="AL454" i="13"/>
  <c r="AL493" i="13"/>
  <c r="AL656" i="13"/>
  <c r="AL814" i="13"/>
  <c r="AL673" i="13"/>
  <c r="AL53" i="13"/>
  <c r="AL18" i="13"/>
  <c r="AL900" i="13"/>
  <c r="AL427" i="13"/>
  <c r="AL721" i="13"/>
  <c r="AL958" i="13"/>
  <c r="AL726" i="13"/>
  <c r="AL540" i="13"/>
  <c r="AL912" i="13"/>
  <c r="AL361" i="13"/>
  <c r="AL943" i="13"/>
  <c r="AL690" i="13"/>
  <c r="AL98" i="13"/>
  <c r="AL889" i="13"/>
  <c r="AL10" i="13"/>
  <c r="AL813" i="13"/>
  <c r="AL412" i="13"/>
  <c r="AL322" i="13"/>
  <c r="AL619" i="13"/>
  <c r="AL445" i="13"/>
  <c r="AL658" i="13"/>
  <c r="AL180" i="13"/>
  <c r="AL25" i="13"/>
  <c r="AL197" i="13"/>
  <c r="AL148" i="13"/>
  <c r="AL14" i="13"/>
  <c r="AL616" i="13"/>
  <c r="AL330" i="13"/>
  <c r="AL964" i="13"/>
  <c r="AL394" i="13"/>
  <c r="AL49" i="13"/>
  <c r="AL601" i="13"/>
  <c r="AL348" i="13"/>
  <c r="AL957" i="13"/>
  <c r="AL381" i="13"/>
  <c r="AL471" i="13"/>
  <c r="AL87" i="13"/>
  <c r="AL109" i="13"/>
  <c r="AL719" i="13"/>
  <c r="AL504" i="13"/>
  <c r="AL374" i="13"/>
  <c r="AL670" i="13"/>
  <c r="AL809" i="13"/>
  <c r="AL133" i="13"/>
  <c r="AL467" i="13"/>
  <c r="AL27" i="13"/>
  <c r="AL206" i="13"/>
  <c r="AL220" i="13"/>
  <c r="AL30" i="13"/>
  <c r="AL921" i="13"/>
  <c r="AL846" i="13"/>
  <c r="AL97" i="13"/>
  <c r="AL535" i="13"/>
  <c r="AL436" i="13"/>
  <c r="AL739" i="13"/>
  <c r="AL617" i="13"/>
  <c r="AL162" i="13"/>
  <c r="AL894" i="13"/>
  <c r="AL819" i="13"/>
  <c r="AL749" i="13"/>
  <c r="AL568" i="13"/>
  <c r="AL798" i="13"/>
  <c r="AL438" i="13"/>
  <c r="AL48" i="13"/>
  <c r="AL315" i="13"/>
  <c r="AL399" i="13"/>
  <c r="AL753" i="13"/>
  <c r="AL28" i="13"/>
  <c r="AL291" i="13"/>
  <c r="AL237" i="13"/>
  <c r="AL286" i="13"/>
  <c r="AL695" i="13"/>
  <c r="AL787" i="13"/>
  <c r="AL934" i="13"/>
  <c r="AL289" i="13"/>
  <c r="AL219" i="13"/>
  <c r="AL829" i="13"/>
  <c r="AL503" i="13"/>
  <c r="AL523" i="13"/>
  <c r="AL595" i="13"/>
  <c r="AL525" i="13"/>
  <c r="AL808" i="13"/>
  <c r="AL777" i="13"/>
  <c r="AL692" i="13"/>
  <c r="AL228" i="13"/>
  <c r="AL950" i="13"/>
  <c r="AL557" i="13"/>
  <c r="AL537" i="13"/>
  <c r="AL397" i="13"/>
  <c r="AL497" i="13"/>
  <c r="AL208" i="13"/>
  <c r="AL179" i="13"/>
  <c r="AL176" i="13"/>
  <c r="AL737" i="13"/>
  <c r="AL342" i="13"/>
  <c r="AL177" i="13"/>
  <c r="AL43" i="13"/>
  <c r="AL756" i="13"/>
  <c r="AL840" i="13"/>
  <c r="AL44" i="13"/>
  <c r="AL132" i="13"/>
  <c r="AL303" i="13"/>
  <c r="AL718" i="13"/>
  <c r="AL433" i="13"/>
  <c r="AL857" i="13"/>
  <c r="AL827" i="13"/>
  <c r="AL163" i="13"/>
  <c r="AL736" i="13"/>
  <c r="AL256" i="13"/>
  <c r="AL469" i="13"/>
  <c r="AL416" i="13"/>
  <c r="AL121" i="13"/>
  <c r="AL901" i="13"/>
  <c r="AL680" i="13"/>
  <c r="AL887" i="13"/>
  <c r="AL925" i="13"/>
  <c r="AL723" i="13"/>
  <c r="AL298" i="13"/>
  <c r="AL166" i="13"/>
  <c r="AL538" i="13"/>
  <c r="AL579" i="13"/>
  <c r="AL364" i="13"/>
  <c r="AL881" i="13"/>
  <c r="AL641" i="13"/>
  <c r="AL863" i="13"/>
  <c r="AL145" i="13"/>
  <c r="AL836" i="13"/>
  <c r="AL711" i="13"/>
  <c r="AL236" i="13"/>
  <c r="AL733" i="13"/>
  <c r="AL740" i="13"/>
  <c r="AL455" i="13"/>
  <c r="AL240" i="13"/>
  <c r="AL230" i="13"/>
  <c r="AL260" i="13"/>
  <c r="AL78" i="13"/>
  <c r="AL800" i="13"/>
  <c r="AL621" i="13"/>
  <c r="AL189" i="13"/>
  <c r="AL746" i="13"/>
  <c r="AL747" i="13"/>
  <c r="AL677" i="13"/>
  <c r="AL532" i="13"/>
  <c r="AL76" i="13"/>
  <c r="AL90" i="13"/>
  <c r="AL600" i="13"/>
  <c r="AL311" i="13"/>
  <c r="AL694" i="13"/>
  <c r="AL146" i="13"/>
  <c r="AL470" i="13"/>
  <c r="AL140" i="13"/>
  <c r="AL880" i="13"/>
  <c r="AL810" i="13"/>
  <c r="AL380" i="13"/>
  <c r="AL89" i="13"/>
  <c r="AL242" i="13"/>
  <c r="AL895" i="13"/>
  <c r="AL499" i="13"/>
  <c r="AL655" i="13"/>
  <c r="AL799" i="13"/>
  <c r="AL439" i="13"/>
  <c r="AL336" i="13"/>
  <c r="AL546" i="13"/>
  <c r="AL653" i="13"/>
  <c r="AL366" i="13"/>
  <c r="AL382" i="13"/>
  <c r="AL548" i="13"/>
  <c r="AL278" i="13"/>
  <c r="AL602" i="13"/>
  <c r="AL462" i="13"/>
  <c r="AL716" i="13"/>
  <c r="AL428" i="13"/>
  <c r="AL642" i="13"/>
  <c r="AL807" i="13"/>
  <c r="AL434" i="13"/>
  <c r="AL932" i="13"/>
  <c r="AL191" i="13"/>
  <c r="AL908" i="13"/>
  <c r="AL623" i="13"/>
  <c r="AL553" i="13"/>
  <c r="AL268" i="13"/>
  <c r="AL310" i="13"/>
  <c r="AL898" i="13"/>
  <c r="AL701" i="13"/>
  <c r="AL313" i="13"/>
  <c r="AL128" i="13"/>
  <c r="AL118" i="13"/>
  <c r="AL874" i="13"/>
  <c r="AL530" i="13"/>
  <c r="AL888" i="13"/>
  <c r="AL422" i="13"/>
  <c r="AL308" i="13"/>
  <c r="AL516" i="13"/>
  <c r="AL856" i="13"/>
  <c r="AL522" i="13"/>
  <c r="AL207" i="13"/>
  <c r="AL923" i="13"/>
  <c r="AL23" i="13"/>
  <c r="AL393" i="13"/>
  <c r="AL435" i="13"/>
  <c r="AL772" i="13"/>
  <c r="AL588" i="13"/>
  <c r="AL620" i="13"/>
  <c r="AL961" i="13"/>
  <c r="AL241" i="13"/>
  <c r="AL998" i="13"/>
  <c r="AL587" i="13"/>
  <c r="AL442" i="13"/>
  <c r="AL181" i="13"/>
  <c r="AL22" i="13"/>
  <c r="AL254" i="13"/>
  <c r="AL536" i="13"/>
  <c r="AL466" i="13"/>
  <c r="AL34" i="13"/>
  <c r="AL440" i="13"/>
  <c r="AL153" i="13"/>
  <c r="AL79" i="13"/>
  <c r="AL245" i="13"/>
  <c r="AL472" i="13"/>
  <c r="AL12" i="13"/>
  <c r="AL685" i="13"/>
  <c r="AL229" i="13"/>
  <c r="AL518" i="13"/>
  <c r="AL411" i="13"/>
  <c r="AL75" i="13"/>
  <c r="AL742" i="13"/>
  <c r="AL931" i="13"/>
  <c r="AL549" i="13"/>
  <c r="AL333" i="13"/>
  <c r="AL583" i="13"/>
  <c r="AL368" i="13"/>
  <c r="AL671" i="13"/>
  <c r="AL259" i="13"/>
  <c r="AL495" i="13"/>
  <c r="AL892" i="13"/>
  <c r="AL817" i="13"/>
  <c r="AL392" i="13"/>
  <c r="AL247" i="13"/>
  <c r="AL281" i="13"/>
  <c r="AL899" i="13"/>
  <c r="AL779" i="13"/>
  <c r="AL960" i="13"/>
  <c r="AL502" i="13"/>
  <c r="AL757" i="13"/>
  <c r="AL839" i="13"/>
  <c r="AL484" i="13"/>
  <c r="AL193" i="13"/>
  <c r="AL119" i="13"/>
  <c r="AL860" i="13"/>
  <c r="AL165" i="13"/>
  <c r="AL755" i="13"/>
  <c r="AL562" i="13"/>
  <c r="AL122" i="13"/>
  <c r="AL771" i="13"/>
  <c r="AL959" i="13"/>
  <c r="AL902" i="13"/>
  <c r="AL354" i="13"/>
  <c r="AL106" i="13"/>
  <c r="AL872" i="13"/>
  <c r="AL802" i="13"/>
  <c r="AL657" i="13"/>
  <c r="AL81" i="13"/>
  <c r="AL663" i="13"/>
  <c r="AL896" i="13"/>
  <c r="AL681" i="13"/>
  <c r="AL423" i="13"/>
  <c r="AL940" i="13"/>
  <c r="AL431" i="13"/>
  <c r="AL594" i="13"/>
  <c r="AL858" i="13"/>
  <c r="AL112" i="13"/>
  <c r="AL160" i="13"/>
  <c r="AL869" i="13"/>
  <c r="AL868" i="13"/>
  <c r="AL150" i="13"/>
  <c r="AL547" i="13"/>
  <c r="AL161" i="13"/>
  <c r="AL962" i="13"/>
  <c r="AL660" i="13"/>
  <c r="AL804" i="13"/>
  <c r="AL624" i="13"/>
  <c r="AL930" i="13"/>
  <c r="AL645" i="13"/>
  <c r="AL360" i="13"/>
  <c r="AL922" i="13"/>
  <c r="AL312" i="13"/>
  <c r="AL367" i="13"/>
  <c r="AL19" i="13"/>
  <c r="AL276" i="13"/>
  <c r="AL565" i="13"/>
  <c r="AL376" i="13"/>
  <c r="AL801" i="13"/>
  <c r="AL46" i="13"/>
  <c r="AL279" i="13"/>
  <c r="AL56" i="13"/>
  <c r="AL876" i="13"/>
  <c r="AL539" i="13"/>
  <c r="AL384" i="13"/>
  <c r="AL835" i="13"/>
  <c r="AL893" i="13"/>
  <c r="AL143" i="13"/>
  <c r="AL984" i="13"/>
  <c r="AL942" i="13"/>
  <c r="AL372" i="13"/>
  <c r="AL24" i="13"/>
  <c r="AL47" i="13"/>
  <c r="AL767" i="13"/>
  <c r="AL407" i="13"/>
  <c r="AL615" i="13"/>
  <c r="AL563" i="13"/>
  <c r="AL966" i="13"/>
  <c r="AL751" i="13"/>
  <c r="AL301" i="13"/>
  <c r="AL402" i="13"/>
  <c r="AL591" i="13"/>
  <c r="AL870" i="13"/>
  <c r="AL585" i="13"/>
  <c r="AL515" i="13"/>
  <c r="AL300" i="13"/>
  <c r="AL316" i="13"/>
  <c r="AL15" i="13"/>
  <c r="AL96" i="13"/>
  <c r="AL400" i="13"/>
  <c r="AL413" i="13"/>
  <c r="AL626" i="13"/>
  <c r="AL582" i="13"/>
  <c r="AL340" i="13"/>
  <c r="AL424" i="13"/>
  <c r="AL815" i="13"/>
  <c r="AL339" i="13"/>
  <c r="AL194" i="13"/>
  <c r="AL120" i="13"/>
  <c r="AL45" i="13"/>
  <c r="AL432" i="13"/>
  <c r="AL830" i="13"/>
  <c r="AL280" i="13"/>
  <c r="AL693" i="13"/>
  <c r="AL457" i="13"/>
  <c r="AL375" i="13"/>
  <c r="AL709" i="13"/>
  <c r="AL184" i="13"/>
  <c r="AL715" i="13"/>
  <c r="AL258" i="13"/>
  <c r="AL129" i="13"/>
  <c r="AL401" i="13"/>
  <c r="AL845" i="13"/>
  <c r="AL843" i="13"/>
  <c r="AL590" i="13"/>
  <c r="AL347" i="13"/>
  <c r="AL873" i="13"/>
  <c r="AL630" i="13"/>
  <c r="AL524" i="13"/>
  <c r="AL222" i="13"/>
  <c r="AL632" i="13"/>
  <c r="AL871" i="13"/>
  <c r="AL848" i="13"/>
  <c r="AL69" i="13"/>
  <c r="AL168" i="13"/>
  <c r="AL239" i="13"/>
  <c r="AL337" i="13"/>
  <c r="AL35" i="13"/>
  <c r="AL878" i="13"/>
  <c r="AL64" i="13"/>
  <c r="AL395" i="13"/>
  <c r="AL567" i="13"/>
  <c r="AL252" i="13"/>
  <c r="AL986" i="13"/>
  <c r="AL1000" i="13"/>
  <c r="AL988" i="13"/>
  <c r="AL157" i="13"/>
  <c r="AL841" i="13"/>
  <c r="AL17" i="13"/>
  <c r="AL956" i="13"/>
  <c r="AL850" i="13"/>
  <c r="AL920" i="13"/>
  <c r="AL647" i="13"/>
  <c r="AL919" i="13"/>
  <c r="AL629" i="13"/>
  <c r="AL224" i="13"/>
  <c r="AL152" i="13"/>
  <c r="AL195" i="13"/>
  <c r="AL703" i="13"/>
  <c r="AL488" i="13"/>
  <c r="AL273" i="13"/>
  <c r="AL221" i="13"/>
  <c r="AL501" i="13"/>
  <c r="AL714" i="13"/>
  <c r="AL453" i="13"/>
  <c r="AL972" i="13"/>
  <c r="AL633" i="13"/>
  <c r="AL652" i="13"/>
  <c r="AL507" i="13"/>
  <c r="AL596" i="13"/>
  <c r="AL904" i="13"/>
  <c r="AL675" i="13"/>
  <c r="AL764" i="13"/>
  <c r="AL833" i="13"/>
  <c r="AL110" i="13"/>
  <c r="AL55" i="13"/>
  <c r="AL554" i="13"/>
  <c r="AL646" i="13"/>
  <c r="AL188" i="13"/>
  <c r="AL496" i="13"/>
  <c r="AL828" i="13"/>
  <c r="AL768" i="13"/>
  <c r="AL283" i="13"/>
  <c r="AL662" i="13"/>
  <c r="AL62" i="13"/>
  <c r="AL781" i="13"/>
  <c r="AL139" i="13"/>
  <c r="AL599" i="13"/>
  <c r="AL287" i="13"/>
  <c r="AL965" i="13"/>
  <c r="AL963" i="13"/>
  <c r="AL21" i="13"/>
  <c r="AL933" i="13"/>
  <c r="AL980" i="13"/>
  <c r="AL124" i="13"/>
  <c r="AL113" i="13"/>
  <c r="AL566" i="13"/>
  <c r="AL826" i="13"/>
  <c r="AL597" i="13"/>
  <c r="AL309" i="13"/>
  <c r="AL953" i="13"/>
  <c r="AL370" i="13"/>
  <c r="AL639" i="13"/>
  <c r="AL253" i="13"/>
  <c r="AL489" i="13"/>
  <c r="AL33" i="13"/>
  <c r="AL773" i="13"/>
  <c r="AL198" i="13"/>
  <c r="AL906" i="13"/>
  <c r="AL937" i="13"/>
  <c r="AL867" i="13"/>
  <c r="AL722" i="13"/>
  <c r="AL292" i="13"/>
  <c r="AL31" i="13"/>
  <c r="AL935" i="13"/>
  <c r="AL909" i="13"/>
  <c r="AL769" i="13"/>
  <c r="AL812" i="13"/>
  <c r="AL973" i="13"/>
  <c r="AL521" i="13"/>
  <c r="AL443" i="13"/>
  <c r="AL500" i="13"/>
  <c r="AL430" i="13"/>
  <c r="AL141" i="13"/>
  <c r="AL529" i="13"/>
  <c r="AL805" i="13"/>
  <c r="AL741" i="13"/>
  <c r="AL251" i="13"/>
  <c r="AL586" i="13"/>
  <c r="AL274" i="13"/>
  <c r="AL627" i="13"/>
  <c r="AL580" i="13"/>
  <c r="AL114" i="13"/>
  <c r="AL446" i="13"/>
  <c r="AL248" i="13"/>
  <c r="AL314" i="13"/>
  <c r="AL783" i="13"/>
  <c r="AL476" i="13"/>
  <c r="AL196" i="13"/>
  <c r="AL187" i="13"/>
  <c r="AL610" i="13"/>
  <c r="AL320" i="13"/>
  <c r="AL707" i="13"/>
  <c r="AL517" i="13"/>
  <c r="AL42" i="13"/>
  <c r="AL473" i="13"/>
  <c r="AL949" i="13"/>
  <c r="AL441" i="13"/>
  <c r="AL371" i="13"/>
  <c r="AL816" i="13"/>
  <c r="AL834" i="13"/>
  <c r="AL775" i="13"/>
  <c r="AL490" i="13"/>
  <c r="AL205" i="13"/>
  <c r="AL126" i="13"/>
  <c r="AL51" i="13"/>
  <c r="AL95" i="13"/>
  <c r="AL877" i="13"/>
  <c r="AL11" i="13"/>
  <c r="AL704" i="13"/>
  <c r="AL559" i="13"/>
  <c r="AL344" i="13"/>
  <c r="AL246" i="13"/>
  <c r="AL505" i="13"/>
  <c r="AL142" i="13"/>
  <c r="AL763" i="13"/>
  <c r="AL306" i="13"/>
  <c r="AL918" i="13"/>
  <c r="AL343" i="13"/>
  <c r="AL175" i="13"/>
  <c r="AL928" i="13"/>
  <c r="AL661" i="13"/>
  <c r="AL305" i="13"/>
  <c r="AL468" i="13"/>
  <c r="AL437" i="13"/>
  <c r="AL391" i="13"/>
  <c r="AL425" i="13"/>
  <c r="AL323" i="13"/>
  <c r="AL911" i="13"/>
  <c r="AL688" i="13"/>
  <c r="AL780" i="13"/>
  <c r="AL865" i="13"/>
  <c r="AL270" i="13"/>
  <c r="AL257" i="13"/>
  <c r="AL674" i="13"/>
  <c r="AL88" i="13"/>
  <c r="AL598" i="13"/>
  <c r="AL528" i="13"/>
  <c r="AL383" i="13"/>
  <c r="AL954" i="13"/>
  <c r="AL334" i="13"/>
  <c r="AL59" i="13"/>
  <c r="AL785" i="13"/>
  <c r="AL570" i="13"/>
  <c r="AL285" i="13"/>
  <c r="AL1005" i="13"/>
  <c r="AL983" i="13"/>
  <c r="AL999" i="13"/>
  <c r="AL995" i="13"/>
  <c r="AL987" i="13"/>
  <c r="AL989" i="13"/>
  <c r="AL1002" i="13"/>
  <c r="AL982" i="13"/>
  <c r="AL991" i="13"/>
  <c r="AL996" i="13"/>
  <c r="AL1001" i="13"/>
  <c r="AL994" i="13"/>
  <c r="AL1004" i="13"/>
  <c r="AL990" i="13"/>
  <c r="AL985" i="13"/>
  <c r="AL993" i="13"/>
  <c r="AL1003" i="13"/>
  <c r="AL997" i="13"/>
  <c r="B198" i="31"/>
  <c r="B192" i="31"/>
  <c r="B186" i="31"/>
  <c r="B180" i="31"/>
  <c r="B174" i="31"/>
  <c r="B168" i="31"/>
  <c r="B162" i="31"/>
  <c r="B156" i="31"/>
  <c r="B150" i="31"/>
  <c r="B144" i="31"/>
  <c r="B138" i="31"/>
  <c r="B132" i="31"/>
  <c r="B126" i="31"/>
  <c r="B120" i="31"/>
  <c r="B114" i="31"/>
  <c r="B108" i="31"/>
  <c r="B102" i="31"/>
  <c r="B96" i="31"/>
  <c r="B90" i="31"/>
  <c r="B84" i="31"/>
  <c r="B78" i="31"/>
  <c r="B72" i="31"/>
  <c r="B66" i="31"/>
  <c r="B60" i="31"/>
  <c r="B54" i="31"/>
  <c r="B48" i="31"/>
  <c r="B42" i="31"/>
  <c r="Y485" i="13" l="1"/>
  <c r="AL485" i="13" s="1"/>
  <c r="J22" i="1"/>
  <c r="D785" i="11"/>
  <c r="D862" i="11"/>
  <c r="D861" i="11"/>
  <c r="D860" i="11"/>
  <c r="D859" i="11"/>
  <c r="D858" i="11"/>
  <c r="D857" i="11"/>
  <c r="D856" i="11"/>
  <c r="D855" i="11"/>
  <c r="D854" i="11"/>
  <c r="D853" i="11"/>
  <c r="D852" i="11"/>
  <c r="D851" i="11"/>
  <c r="D850" i="11"/>
  <c r="D849" i="11"/>
  <c r="D848" i="11"/>
  <c r="D847" i="11"/>
  <c r="D846" i="11"/>
  <c r="D845" i="11"/>
  <c r="D844" i="11"/>
  <c r="D843" i="11"/>
  <c r="D842" i="11"/>
  <c r="D841" i="11"/>
  <c r="D840" i="11"/>
  <c r="D839" i="11"/>
  <c r="D838" i="11"/>
  <c r="D837" i="11"/>
  <c r="D836" i="11"/>
  <c r="D835" i="11"/>
  <c r="D834" i="11"/>
  <c r="D833" i="11"/>
  <c r="D832" i="11"/>
  <c r="D831" i="11"/>
  <c r="D830" i="11"/>
  <c r="D829" i="11"/>
  <c r="D828" i="11"/>
  <c r="D827" i="11"/>
  <c r="D826" i="11"/>
  <c r="D825" i="11"/>
  <c r="D824" i="11"/>
  <c r="D823" i="11"/>
  <c r="D822" i="11"/>
  <c r="D821" i="11"/>
  <c r="D820" i="11"/>
  <c r="D819" i="11"/>
  <c r="D818" i="11"/>
  <c r="D817" i="11"/>
  <c r="D816" i="11"/>
  <c r="D815" i="11"/>
  <c r="D814" i="11"/>
  <c r="D813" i="11"/>
  <c r="D812" i="11"/>
  <c r="D811" i="11"/>
  <c r="D810" i="11"/>
  <c r="D809" i="11"/>
  <c r="D808" i="11"/>
  <c r="D807" i="11"/>
  <c r="D806" i="11"/>
  <c r="D805" i="11"/>
  <c r="D804" i="11"/>
  <c r="D803" i="11"/>
  <c r="D802" i="11"/>
  <c r="D801" i="11"/>
  <c r="D800" i="11"/>
  <c r="D799" i="11"/>
  <c r="D798" i="11"/>
  <c r="D797" i="11"/>
  <c r="D796" i="11"/>
  <c r="D795" i="11"/>
  <c r="D794" i="11"/>
  <c r="D793" i="11"/>
  <c r="D792" i="11"/>
  <c r="D791" i="11"/>
  <c r="D790" i="11"/>
  <c r="D789" i="11"/>
  <c r="D788" i="11"/>
  <c r="D787" i="11"/>
  <c r="D784" i="11"/>
  <c r="D783" i="11"/>
  <c r="D780" i="11"/>
  <c r="D778" i="11"/>
  <c r="D777" i="11"/>
  <c r="D776" i="11"/>
  <c r="D775" i="11"/>
  <c r="D774" i="11"/>
  <c r="D773" i="11"/>
  <c r="D772" i="11"/>
  <c r="D771" i="11"/>
  <c r="D770" i="11"/>
  <c r="D769" i="11"/>
  <c r="D767" i="11"/>
  <c r="D766" i="11"/>
  <c r="D765" i="11"/>
  <c r="F862" i="11"/>
  <c r="F861" i="11"/>
  <c r="F860" i="11"/>
  <c r="F859" i="11"/>
  <c r="F858" i="11"/>
  <c r="F857" i="11"/>
  <c r="F856" i="11"/>
  <c r="F855" i="11"/>
  <c r="F854" i="11"/>
  <c r="F853" i="11"/>
  <c r="F852" i="11"/>
  <c r="F851" i="11"/>
  <c r="F850" i="11"/>
  <c r="F849" i="11"/>
  <c r="F848" i="11"/>
  <c r="F847" i="11"/>
  <c r="F846" i="11"/>
  <c r="F845" i="11"/>
  <c r="F844" i="11"/>
  <c r="F843" i="11"/>
  <c r="F842" i="11"/>
  <c r="F841" i="11"/>
  <c r="F840" i="11"/>
  <c r="F839" i="11"/>
  <c r="F838" i="11"/>
  <c r="F837" i="11"/>
  <c r="F836" i="11"/>
  <c r="F835" i="11"/>
  <c r="F834" i="11"/>
  <c r="F833" i="11"/>
  <c r="F832" i="11"/>
  <c r="F831" i="11"/>
  <c r="F830" i="11"/>
  <c r="F829" i="11"/>
  <c r="F828" i="11"/>
  <c r="F827" i="11"/>
  <c r="F826" i="11"/>
  <c r="F825" i="11"/>
  <c r="F824" i="11"/>
  <c r="F823" i="11"/>
  <c r="F822" i="11"/>
  <c r="F821" i="11"/>
  <c r="F820" i="11"/>
  <c r="F819" i="11"/>
  <c r="F818" i="11"/>
  <c r="F817" i="11"/>
  <c r="F816" i="11"/>
  <c r="F815" i="11"/>
  <c r="F814" i="11"/>
  <c r="F813" i="11"/>
  <c r="F812" i="11"/>
  <c r="F811" i="11"/>
  <c r="F810" i="11"/>
  <c r="F809" i="11"/>
  <c r="F808" i="11"/>
  <c r="F807" i="11"/>
  <c r="F806" i="11"/>
  <c r="F805" i="11"/>
  <c r="F804" i="11"/>
  <c r="F803" i="11"/>
  <c r="F802" i="11"/>
  <c r="F801" i="11"/>
  <c r="F800" i="11"/>
  <c r="F799" i="11"/>
  <c r="F798" i="11"/>
  <c r="F797" i="11"/>
  <c r="F796" i="11"/>
  <c r="F795" i="11"/>
  <c r="F794" i="11"/>
  <c r="F793" i="11"/>
  <c r="F792" i="11"/>
  <c r="F791" i="11"/>
  <c r="F790" i="11"/>
  <c r="F789" i="11"/>
  <c r="F788" i="11"/>
  <c r="F787" i="11"/>
  <c r="F786" i="11"/>
  <c r="K786" i="11" s="1"/>
  <c r="F785" i="11"/>
  <c r="F784" i="11"/>
  <c r="F783" i="11"/>
  <c r="F782" i="11"/>
  <c r="K782" i="11" s="1"/>
  <c r="F781" i="11"/>
  <c r="K781" i="11" s="1"/>
  <c r="F780" i="11"/>
  <c r="F779" i="11"/>
  <c r="K779" i="11" s="1"/>
  <c r="F778" i="11"/>
  <c r="F777" i="11"/>
  <c r="F776" i="11"/>
  <c r="F775" i="11"/>
  <c r="F774" i="11"/>
  <c r="F773" i="11"/>
  <c r="F772" i="11"/>
  <c r="F771" i="11"/>
  <c r="F770" i="11"/>
  <c r="F769" i="11"/>
  <c r="F768" i="11"/>
  <c r="F767" i="11"/>
  <c r="F766" i="11"/>
  <c r="F765" i="11"/>
  <c r="F764" i="11"/>
  <c r="D754" i="11"/>
  <c r="D756" i="11"/>
  <c r="D755" i="11"/>
  <c r="D753" i="11"/>
  <c r="D752" i="11"/>
  <c r="D751" i="11"/>
  <c r="D750" i="11"/>
  <c r="D749" i="11"/>
  <c r="D748" i="11"/>
  <c r="D747" i="11"/>
  <c r="D746" i="11"/>
  <c r="D745" i="11"/>
  <c r="D744" i="11"/>
  <c r="D743" i="11"/>
  <c r="D742" i="11"/>
  <c r="D741" i="11"/>
  <c r="D740" i="11"/>
  <c r="D739" i="11"/>
  <c r="D738" i="11"/>
  <c r="D737" i="11"/>
  <c r="D736" i="11"/>
  <c r="D735" i="11"/>
  <c r="D734" i="11"/>
  <c r="D733" i="11"/>
  <c r="D732" i="11"/>
  <c r="D731" i="11"/>
  <c r="D730" i="11"/>
  <c r="D729" i="11"/>
  <c r="D728" i="11"/>
  <c r="D727" i="11"/>
  <c r="D726" i="11"/>
  <c r="D725" i="11"/>
  <c r="D724" i="11"/>
  <c r="D723" i="11"/>
  <c r="D722" i="11"/>
  <c r="D721" i="11"/>
  <c r="D720" i="11"/>
  <c r="D719" i="11"/>
  <c r="D718" i="11"/>
  <c r="D717" i="11"/>
  <c r="D716" i="11"/>
  <c r="D715" i="11"/>
  <c r="D714" i="11"/>
  <c r="D713" i="11"/>
  <c r="D712" i="11"/>
  <c r="D711" i="11"/>
  <c r="D710" i="11"/>
  <c r="D709" i="11"/>
  <c r="D708" i="11"/>
  <c r="D707" i="11"/>
  <c r="D706" i="11"/>
  <c r="D705" i="11"/>
  <c r="D704" i="11"/>
  <c r="D703" i="11"/>
  <c r="D702" i="11"/>
  <c r="D701" i="11"/>
  <c r="D700" i="11"/>
  <c r="D699" i="11"/>
  <c r="D698" i="11"/>
  <c r="D697" i="11"/>
  <c r="D696" i="11"/>
  <c r="D695" i="11"/>
  <c r="D694" i="11"/>
  <c r="D693" i="11"/>
  <c r="D692" i="11"/>
  <c r="D691" i="11"/>
  <c r="D690" i="11"/>
  <c r="D689" i="11"/>
  <c r="D688" i="11"/>
  <c r="D687" i="11"/>
  <c r="D686" i="11"/>
  <c r="D685" i="11"/>
  <c r="D684" i="11"/>
  <c r="D683" i="11"/>
  <c r="D682" i="11"/>
  <c r="D681" i="11"/>
  <c r="D680" i="11"/>
  <c r="D679" i="11"/>
  <c r="D678" i="11"/>
  <c r="D677" i="11"/>
  <c r="D676" i="11"/>
  <c r="D675" i="11"/>
  <c r="D674" i="11"/>
  <c r="D673" i="11"/>
  <c r="D672" i="11"/>
  <c r="D671" i="11"/>
  <c r="D670" i="11"/>
  <c r="D669" i="11"/>
  <c r="D668" i="11"/>
  <c r="D667" i="11"/>
  <c r="D666" i="11"/>
  <c r="D665" i="11"/>
  <c r="D664" i="11"/>
  <c r="D663" i="11"/>
  <c r="D662" i="11"/>
  <c r="D661" i="11"/>
  <c r="D660" i="11"/>
  <c r="D659" i="11"/>
  <c r="F650" i="11"/>
  <c r="D658" i="11"/>
  <c r="D650" i="11"/>
  <c r="F649" i="11"/>
  <c r="D649" i="11"/>
  <c r="F648" i="11"/>
  <c r="D648" i="11"/>
  <c r="F647" i="11"/>
  <c r="D647" i="11"/>
  <c r="F646" i="11"/>
  <c r="D646" i="11"/>
  <c r="F645" i="11"/>
  <c r="D645" i="11"/>
  <c r="F644" i="11"/>
  <c r="D644" i="11"/>
  <c r="F643" i="11"/>
  <c r="D643" i="11"/>
  <c r="F642" i="11"/>
  <c r="D642" i="11"/>
  <c r="F641" i="11"/>
  <c r="D641" i="11"/>
  <c r="F640" i="11"/>
  <c r="D640" i="11"/>
  <c r="F639" i="11"/>
  <c r="D639" i="11"/>
  <c r="F638" i="11"/>
  <c r="D638" i="11"/>
  <c r="F637" i="11"/>
  <c r="D637" i="11"/>
  <c r="F636" i="11"/>
  <c r="D636" i="11"/>
  <c r="F635" i="11"/>
  <c r="D635" i="11"/>
  <c r="F634" i="11"/>
  <c r="D634" i="11"/>
  <c r="F633" i="11"/>
  <c r="D633" i="11"/>
  <c r="F632" i="11"/>
  <c r="D632" i="11"/>
  <c r="F631" i="11"/>
  <c r="D631" i="11"/>
  <c r="F630" i="11"/>
  <c r="D630" i="11"/>
  <c r="F629" i="11"/>
  <c r="D629" i="11"/>
  <c r="F628" i="11"/>
  <c r="D628" i="11"/>
  <c r="F627" i="11"/>
  <c r="D627" i="11"/>
  <c r="F626" i="11"/>
  <c r="D626" i="11"/>
  <c r="F625" i="11"/>
  <c r="D625" i="11"/>
  <c r="F624" i="11"/>
  <c r="D624" i="11"/>
  <c r="F623" i="11"/>
  <c r="D623" i="11"/>
  <c r="F622" i="11"/>
  <c r="D622" i="11"/>
  <c r="F621" i="11"/>
  <c r="D621" i="11"/>
  <c r="F620" i="11"/>
  <c r="D620" i="11"/>
  <c r="F619" i="11"/>
  <c r="D619" i="11"/>
  <c r="F618" i="11"/>
  <c r="D618" i="11"/>
  <c r="F617" i="11"/>
  <c r="D617" i="11"/>
  <c r="F616" i="11"/>
  <c r="D616" i="11"/>
  <c r="F615" i="11"/>
  <c r="D615" i="11"/>
  <c r="F614" i="11"/>
  <c r="D614" i="11"/>
  <c r="F613" i="11"/>
  <c r="D613" i="11"/>
  <c r="F612" i="11"/>
  <c r="D612" i="11"/>
  <c r="F611" i="11"/>
  <c r="D611" i="11"/>
  <c r="F610" i="11"/>
  <c r="D610" i="11"/>
  <c r="F609" i="11"/>
  <c r="D609" i="11"/>
  <c r="F608" i="11"/>
  <c r="D608" i="11"/>
  <c r="F607" i="11"/>
  <c r="D607" i="11"/>
  <c r="F606" i="11"/>
  <c r="D606" i="11"/>
  <c r="F605" i="11"/>
  <c r="D605" i="11"/>
  <c r="F604" i="11"/>
  <c r="D604" i="11"/>
  <c r="F603" i="11"/>
  <c r="D603" i="11"/>
  <c r="F602" i="11"/>
  <c r="D602" i="11"/>
  <c r="F601" i="11"/>
  <c r="D601" i="11"/>
  <c r="F600" i="11"/>
  <c r="D600" i="11"/>
  <c r="F599" i="11"/>
  <c r="D599" i="11"/>
  <c r="F598" i="11"/>
  <c r="D598" i="11"/>
  <c r="F597" i="11"/>
  <c r="D597" i="11"/>
  <c r="F596" i="11"/>
  <c r="D596" i="11"/>
  <c r="F595" i="11"/>
  <c r="D595" i="11"/>
  <c r="F594" i="11"/>
  <c r="D594" i="11"/>
  <c r="F593" i="11"/>
  <c r="D593" i="11"/>
  <c r="F592" i="11"/>
  <c r="D592" i="11"/>
  <c r="F591" i="11"/>
  <c r="D591" i="11"/>
  <c r="F590" i="11"/>
  <c r="D590" i="11"/>
  <c r="F589" i="11"/>
  <c r="D589" i="11"/>
  <c r="F588" i="11"/>
  <c r="D588" i="11"/>
  <c r="F587" i="11"/>
  <c r="D587" i="11"/>
  <c r="F586" i="11"/>
  <c r="D586" i="11"/>
  <c r="F585" i="11"/>
  <c r="D585" i="11"/>
  <c r="F584" i="11"/>
  <c r="D584" i="11"/>
  <c r="F583" i="11"/>
  <c r="D583" i="11"/>
  <c r="F582" i="11"/>
  <c r="D582" i="11"/>
  <c r="F581" i="11"/>
  <c r="D581" i="11"/>
  <c r="F580" i="11"/>
  <c r="D580" i="11"/>
  <c r="F579" i="11"/>
  <c r="D579" i="11"/>
  <c r="F578" i="11"/>
  <c r="D578" i="11"/>
  <c r="F577" i="11"/>
  <c r="D577" i="11"/>
  <c r="F576" i="11"/>
  <c r="D576" i="11"/>
  <c r="F575" i="11"/>
  <c r="D575" i="11"/>
  <c r="F574" i="11"/>
  <c r="D574" i="11"/>
  <c r="F573" i="11"/>
  <c r="D573" i="11"/>
  <c r="F572" i="11"/>
  <c r="D572" i="11"/>
  <c r="F571" i="11"/>
  <c r="D571" i="11"/>
  <c r="F570" i="11"/>
  <c r="D570" i="11"/>
  <c r="F569" i="11"/>
  <c r="D569" i="11"/>
  <c r="F568" i="11"/>
  <c r="D568" i="11"/>
  <c r="F567" i="11"/>
  <c r="D567" i="11"/>
  <c r="F566" i="11"/>
  <c r="D566" i="11"/>
  <c r="F565" i="11"/>
  <c r="D565" i="11"/>
  <c r="F564" i="11"/>
  <c r="D564" i="11"/>
  <c r="F563" i="11"/>
  <c r="D563" i="11"/>
  <c r="F562" i="11"/>
  <c r="D562" i="11"/>
  <c r="F561" i="11"/>
  <c r="F560" i="11"/>
  <c r="F559" i="11"/>
  <c r="D559" i="11"/>
  <c r="F558" i="11"/>
  <c r="D558" i="11"/>
  <c r="F557" i="11"/>
  <c r="F556" i="11"/>
  <c r="D556" i="11"/>
  <c r="F555" i="11"/>
  <c r="F554" i="11"/>
  <c r="D554" i="11"/>
  <c r="F553" i="11"/>
  <c r="D553" i="11"/>
  <c r="F552" i="11"/>
  <c r="F544" i="11"/>
  <c r="D544" i="11"/>
  <c r="F543" i="11"/>
  <c r="D543" i="11"/>
  <c r="F542" i="11"/>
  <c r="D542" i="11"/>
  <c r="F541" i="11"/>
  <c r="D541" i="11"/>
  <c r="F540" i="11"/>
  <c r="D540" i="11"/>
  <c r="F539" i="11"/>
  <c r="D539" i="11"/>
  <c r="F538" i="11"/>
  <c r="D538" i="11"/>
  <c r="F537" i="11"/>
  <c r="D537" i="11"/>
  <c r="F536" i="11"/>
  <c r="D536" i="11"/>
  <c r="F535" i="11"/>
  <c r="D535" i="11"/>
  <c r="F534" i="11"/>
  <c r="D534" i="11"/>
  <c r="F533" i="11"/>
  <c r="D533" i="11"/>
  <c r="F532" i="11"/>
  <c r="D532" i="11"/>
  <c r="F531" i="11"/>
  <c r="D531" i="11"/>
  <c r="F530" i="11"/>
  <c r="D530" i="11"/>
  <c r="F529" i="11"/>
  <c r="D529" i="11"/>
  <c r="F528" i="11"/>
  <c r="D528" i="11"/>
  <c r="F527" i="11"/>
  <c r="D527" i="11"/>
  <c r="F526" i="11"/>
  <c r="D526" i="11"/>
  <c r="F525" i="11"/>
  <c r="D525" i="11"/>
  <c r="F524" i="11"/>
  <c r="D524" i="11"/>
  <c r="F523" i="11"/>
  <c r="D523" i="11"/>
  <c r="F522" i="11"/>
  <c r="D522" i="11"/>
  <c r="F521" i="11"/>
  <c r="D521" i="11"/>
  <c r="F520" i="11"/>
  <c r="D520" i="11"/>
  <c r="F519" i="11"/>
  <c r="D519" i="11"/>
  <c r="F518" i="11"/>
  <c r="D518" i="11"/>
  <c r="F517" i="11"/>
  <c r="D517" i="11"/>
  <c r="F516" i="11"/>
  <c r="D516" i="11"/>
  <c r="F515" i="11"/>
  <c r="D515" i="11"/>
  <c r="F514" i="11"/>
  <c r="D514" i="11"/>
  <c r="F513" i="11"/>
  <c r="D513" i="11"/>
  <c r="F512" i="11"/>
  <c r="D512" i="11"/>
  <c r="F511" i="11"/>
  <c r="D511" i="11"/>
  <c r="F510" i="11"/>
  <c r="D510" i="11"/>
  <c r="F509" i="11"/>
  <c r="D509" i="11"/>
  <c r="F508" i="11"/>
  <c r="D508" i="11"/>
  <c r="F507" i="11"/>
  <c r="D507" i="11"/>
  <c r="F506" i="11"/>
  <c r="D506" i="11"/>
  <c r="F505" i="11"/>
  <c r="D505" i="11"/>
  <c r="F504" i="11"/>
  <c r="D504" i="11"/>
  <c r="F503" i="11"/>
  <c r="D503" i="11"/>
  <c r="F502" i="11"/>
  <c r="D502" i="11"/>
  <c r="F501" i="11"/>
  <c r="D501" i="11"/>
  <c r="F500" i="11"/>
  <c r="D500" i="11"/>
  <c r="F499" i="11"/>
  <c r="D499" i="11"/>
  <c r="F498" i="11"/>
  <c r="D498" i="11"/>
  <c r="F497" i="11"/>
  <c r="D497" i="11"/>
  <c r="F496" i="11"/>
  <c r="D496" i="11"/>
  <c r="F495" i="11"/>
  <c r="D495" i="11"/>
  <c r="F494" i="11"/>
  <c r="D494" i="11"/>
  <c r="F493" i="11"/>
  <c r="D493" i="11"/>
  <c r="F492" i="11"/>
  <c r="D492" i="11"/>
  <c r="F491" i="11"/>
  <c r="D491" i="11"/>
  <c r="F490" i="11"/>
  <c r="D490" i="11"/>
  <c r="F489" i="11"/>
  <c r="D489" i="11"/>
  <c r="F488" i="11"/>
  <c r="D488" i="11"/>
  <c r="F487" i="11"/>
  <c r="D487" i="11"/>
  <c r="F486" i="11"/>
  <c r="D486" i="11"/>
  <c r="F485" i="11"/>
  <c r="D485" i="11"/>
  <c r="F484" i="11"/>
  <c r="D484" i="11"/>
  <c r="F483" i="11"/>
  <c r="D483" i="11"/>
  <c r="F482" i="11"/>
  <c r="D482" i="11"/>
  <c r="F481" i="11"/>
  <c r="D481" i="11"/>
  <c r="F480" i="11"/>
  <c r="D480" i="11"/>
  <c r="F479" i="11"/>
  <c r="D479" i="11"/>
  <c r="F478" i="11"/>
  <c r="D478" i="11"/>
  <c r="F477" i="11"/>
  <c r="D477" i="11"/>
  <c r="F476" i="11"/>
  <c r="D476" i="11"/>
  <c r="F475" i="11"/>
  <c r="D475" i="11"/>
  <c r="F474" i="11"/>
  <c r="D474" i="11"/>
  <c r="F473" i="11"/>
  <c r="D473" i="11"/>
  <c r="F472" i="11"/>
  <c r="D472" i="11"/>
  <c r="F471" i="11"/>
  <c r="D471" i="11"/>
  <c r="F470" i="11"/>
  <c r="D470" i="11"/>
  <c r="F469" i="11"/>
  <c r="D469" i="11"/>
  <c r="F468" i="11"/>
  <c r="D468" i="11"/>
  <c r="F467" i="11"/>
  <c r="D467" i="11"/>
  <c r="F466" i="11"/>
  <c r="D466" i="11"/>
  <c r="F465" i="11"/>
  <c r="D465" i="11"/>
  <c r="F464" i="11"/>
  <c r="D464" i="11"/>
  <c r="F463" i="11"/>
  <c r="D463" i="11"/>
  <c r="F462" i="11"/>
  <c r="D462" i="11"/>
  <c r="F461" i="11"/>
  <c r="D461" i="11"/>
  <c r="F460" i="11"/>
  <c r="D460" i="11"/>
  <c r="F459" i="11"/>
  <c r="D459" i="11"/>
  <c r="F458" i="11"/>
  <c r="D458" i="11"/>
  <c r="F457" i="11"/>
  <c r="D457" i="11"/>
  <c r="F456" i="11"/>
  <c r="D456" i="11"/>
  <c r="F455" i="11"/>
  <c r="F454" i="11"/>
  <c r="F453" i="11"/>
  <c r="D453" i="11"/>
  <c r="F452" i="11"/>
  <c r="D452" i="11"/>
  <c r="F451" i="11"/>
  <c r="F450" i="11"/>
  <c r="F449" i="11"/>
  <c r="F448" i="11"/>
  <c r="F447" i="11"/>
  <c r="D447" i="11"/>
  <c r="F446" i="11"/>
  <c r="F438" i="11"/>
  <c r="D438" i="11"/>
  <c r="F437" i="11"/>
  <c r="D437" i="11"/>
  <c r="F436" i="11"/>
  <c r="D436" i="11"/>
  <c r="F435" i="11"/>
  <c r="D435" i="11"/>
  <c r="F434" i="11"/>
  <c r="D434" i="11"/>
  <c r="F433" i="11"/>
  <c r="D433" i="11"/>
  <c r="F432" i="11"/>
  <c r="D432" i="11"/>
  <c r="F431" i="11"/>
  <c r="D431" i="11"/>
  <c r="F430" i="11"/>
  <c r="D430" i="11"/>
  <c r="F429" i="11"/>
  <c r="D429" i="11"/>
  <c r="F428" i="11"/>
  <c r="D428" i="11"/>
  <c r="F427" i="11"/>
  <c r="D427" i="11"/>
  <c r="F426" i="11"/>
  <c r="D426" i="11"/>
  <c r="F425" i="11"/>
  <c r="D425" i="11"/>
  <c r="F424" i="11"/>
  <c r="D424" i="11"/>
  <c r="F423" i="11"/>
  <c r="D423" i="11"/>
  <c r="F422" i="11"/>
  <c r="D422" i="11"/>
  <c r="F421" i="11"/>
  <c r="D421" i="11"/>
  <c r="F420" i="11"/>
  <c r="D420" i="11"/>
  <c r="F419" i="11"/>
  <c r="D419" i="11"/>
  <c r="F418" i="11"/>
  <c r="D418" i="11"/>
  <c r="F417" i="11"/>
  <c r="D417" i="11"/>
  <c r="F416" i="11"/>
  <c r="D416" i="11"/>
  <c r="F415" i="11"/>
  <c r="D415" i="11"/>
  <c r="F414" i="11"/>
  <c r="D414" i="11"/>
  <c r="F413" i="11"/>
  <c r="D413" i="11"/>
  <c r="F412" i="11"/>
  <c r="D412" i="11"/>
  <c r="F411" i="11"/>
  <c r="D411" i="11"/>
  <c r="F410" i="11"/>
  <c r="D410" i="11"/>
  <c r="F409" i="11"/>
  <c r="D409" i="11"/>
  <c r="F408" i="11"/>
  <c r="D408" i="11"/>
  <c r="F407" i="11"/>
  <c r="D407" i="11"/>
  <c r="F406" i="11"/>
  <c r="D406" i="11"/>
  <c r="F405" i="11"/>
  <c r="D405" i="11"/>
  <c r="F404" i="11"/>
  <c r="D404" i="11"/>
  <c r="F403" i="11"/>
  <c r="D403" i="11"/>
  <c r="F402" i="11"/>
  <c r="D402" i="11"/>
  <c r="F401" i="11"/>
  <c r="D401" i="11"/>
  <c r="F400" i="11"/>
  <c r="D400" i="11"/>
  <c r="F399" i="11"/>
  <c r="D399" i="11"/>
  <c r="F398" i="11"/>
  <c r="D398" i="11"/>
  <c r="F397" i="11"/>
  <c r="D397" i="11"/>
  <c r="F396" i="11"/>
  <c r="D396" i="11"/>
  <c r="F395" i="11"/>
  <c r="D395" i="11"/>
  <c r="F394" i="11"/>
  <c r="D394" i="11"/>
  <c r="F393" i="11"/>
  <c r="D393" i="11"/>
  <c r="F392" i="11"/>
  <c r="D392" i="11"/>
  <c r="F391" i="11"/>
  <c r="D391" i="11"/>
  <c r="F390" i="11"/>
  <c r="D390" i="11"/>
  <c r="F389" i="11"/>
  <c r="D389" i="11"/>
  <c r="F388" i="11"/>
  <c r="D388" i="11"/>
  <c r="F387" i="11"/>
  <c r="D387" i="11"/>
  <c r="F386" i="11"/>
  <c r="D386" i="11"/>
  <c r="F385" i="11"/>
  <c r="D385" i="11"/>
  <c r="F384" i="11"/>
  <c r="D384" i="11"/>
  <c r="F383" i="11"/>
  <c r="D383" i="11"/>
  <c r="F382" i="11"/>
  <c r="D382" i="11"/>
  <c r="F381" i="11"/>
  <c r="D381" i="11"/>
  <c r="F380" i="11"/>
  <c r="D380" i="11"/>
  <c r="F379" i="11"/>
  <c r="D379" i="11"/>
  <c r="F378" i="11"/>
  <c r="D378" i="11"/>
  <c r="F377" i="11"/>
  <c r="D377" i="11"/>
  <c r="F376" i="11"/>
  <c r="D376" i="11"/>
  <c r="F375" i="11"/>
  <c r="D375" i="11"/>
  <c r="F374" i="11"/>
  <c r="D374" i="11"/>
  <c r="F373" i="11"/>
  <c r="D373" i="11"/>
  <c r="F372" i="11"/>
  <c r="D372" i="11"/>
  <c r="F371" i="11"/>
  <c r="D371" i="11"/>
  <c r="F370" i="11"/>
  <c r="D370" i="11"/>
  <c r="F369" i="11"/>
  <c r="D369" i="11"/>
  <c r="F368" i="11"/>
  <c r="D368" i="11"/>
  <c r="F367" i="11"/>
  <c r="D367" i="11"/>
  <c r="F366" i="11"/>
  <c r="D366" i="11"/>
  <c r="F365" i="11"/>
  <c r="D365" i="11"/>
  <c r="F364" i="11"/>
  <c r="D364" i="11"/>
  <c r="F363" i="11"/>
  <c r="D363" i="11"/>
  <c r="F362" i="11"/>
  <c r="D362" i="11"/>
  <c r="F361" i="11"/>
  <c r="D361" i="11"/>
  <c r="F360" i="11"/>
  <c r="D360" i="11"/>
  <c r="F359" i="11"/>
  <c r="D359" i="11"/>
  <c r="F358" i="11"/>
  <c r="D358" i="11"/>
  <c r="F357" i="11"/>
  <c r="D357" i="11"/>
  <c r="F356" i="11"/>
  <c r="D356" i="11"/>
  <c r="F355" i="11"/>
  <c r="D355" i="11"/>
  <c r="F354" i="11"/>
  <c r="D354" i="11"/>
  <c r="F352" i="11"/>
  <c r="K352" i="11" s="1"/>
  <c r="F351" i="11"/>
  <c r="K351" i="11" s="1"/>
  <c r="F350" i="11"/>
  <c r="K350" i="11" s="1"/>
  <c r="F349" i="11"/>
  <c r="K349" i="11" s="1"/>
  <c r="F348" i="11"/>
  <c r="K348" i="11" s="1"/>
  <c r="F347" i="11"/>
  <c r="K347" i="11" s="1"/>
  <c r="F346" i="11"/>
  <c r="K346" i="11" s="1"/>
  <c r="F345" i="11"/>
  <c r="K345" i="11" s="1"/>
  <c r="F344" i="11"/>
  <c r="K344" i="11" s="1"/>
  <c r="F343" i="11"/>
  <c r="K343" i="11" s="1"/>
  <c r="F342" i="11"/>
  <c r="F341" i="11"/>
  <c r="F340" i="11"/>
  <c r="D353" i="11"/>
  <c r="F353" i="11"/>
  <c r="D120" i="11"/>
  <c r="D119" i="11"/>
  <c r="D118" i="11"/>
  <c r="D117" i="11"/>
  <c r="D116" i="11"/>
  <c r="D115" i="11"/>
  <c r="D114" i="11"/>
  <c r="D113" i="11"/>
  <c r="D112" i="11"/>
  <c r="D111" i="11"/>
  <c r="D110" i="11"/>
  <c r="D109" i="11"/>
  <c r="D108" i="11"/>
  <c r="D107" i="11"/>
  <c r="D106" i="11"/>
  <c r="D105" i="11"/>
  <c r="D104" i="11"/>
  <c r="D103" i="11"/>
  <c r="D102" i="11"/>
  <c r="D101" i="11"/>
  <c r="D100" i="11"/>
  <c r="D99" i="11"/>
  <c r="D98" i="11"/>
  <c r="D97" i="11"/>
  <c r="D96" i="11"/>
  <c r="D95" i="11"/>
  <c r="D94" i="11"/>
  <c r="D93" i="11"/>
  <c r="D92" i="11"/>
  <c r="D91" i="11"/>
  <c r="D90" i="11"/>
  <c r="D89" i="11"/>
  <c r="D88" i="11"/>
  <c r="D87" i="11"/>
  <c r="D86" i="11"/>
  <c r="D85" i="11"/>
  <c r="D84" i="11"/>
  <c r="D83" i="11"/>
  <c r="D82" i="11"/>
  <c r="D81" i="11"/>
  <c r="D80" i="11"/>
  <c r="D79" i="11"/>
  <c r="D78" i="11"/>
  <c r="D77" i="11"/>
  <c r="D76" i="11"/>
  <c r="D75" i="11"/>
  <c r="D74" i="11"/>
  <c r="D73" i="11"/>
  <c r="D72" i="11"/>
  <c r="D71" i="11"/>
  <c r="D70" i="11"/>
  <c r="D69" i="11"/>
  <c r="D68" i="11"/>
  <c r="D67" i="11"/>
  <c r="D66" i="11"/>
  <c r="D65" i="11"/>
  <c r="D64" i="11"/>
  <c r="D63" i="11"/>
  <c r="D62" i="11"/>
  <c r="D61" i="11"/>
  <c r="D60" i="11"/>
  <c r="D59" i="11"/>
  <c r="D58" i="11"/>
  <c r="D57" i="11"/>
  <c r="D56" i="11"/>
  <c r="D55" i="11"/>
  <c r="D54" i="11"/>
  <c r="D53" i="11"/>
  <c r="D52" i="11"/>
  <c r="D51" i="11"/>
  <c r="D50" i="11"/>
  <c r="D49" i="11"/>
  <c r="D48" i="11"/>
  <c r="D47" i="11"/>
  <c r="D46" i="11"/>
  <c r="D45" i="11"/>
  <c r="D44" i="11"/>
  <c r="D42" i="11"/>
  <c r="D41" i="11"/>
  <c r="D40" i="11"/>
  <c r="D39" i="11"/>
  <c r="D38" i="11"/>
  <c r="D37" i="11"/>
  <c r="D36" i="11"/>
  <c r="D35" i="11"/>
  <c r="D34" i="11"/>
  <c r="D33" i="11"/>
  <c r="D32" i="11"/>
  <c r="D31" i="11"/>
  <c r="D30" i="11"/>
  <c r="D28" i="11"/>
  <c r="D27" i="11"/>
  <c r="D26" i="11"/>
  <c r="K359" i="11" l="1"/>
  <c r="K369" i="11"/>
  <c r="K379" i="11"/>
  <c r="K389" i="11"/>
  <c r="K399" i="11"/>
  <c r="K409" i="11"/>
  <c r="K629" i="11"/>
  <c r="K639" i="11"/>
  <c r="K649" i="11"/>
  <c r="K419" i="11"/>
  <c r="K429" i="11"/>
  <c r="K459" i="11"/>
  <c r="K469" i="11"/>
  <c r="K479" i="11"/>
  <c r="K489" i="11"/>
  <c r="K499" i="11"/>
  <c r="K509" i="11"/>
  <c r="K519" i="11"/>
  <c r="K529" i="11"/>
  <c r="K539" i="11"/>
  <c r="K468" i="11"/>
  <c r="K478" i="11"/>
  <c r="K488" i="11"/>
  <c r="K498" i="11"/>
  <c r="K508" i="11"/>
  <c r="K518" i="11"/>
  <c r="K528" i="11"/>
  <c r="K538" i="11"/>
  <c r="K556" i="11"/>
  <c r="K494" i="11"/>
  <c r="K504" i="11"/>
  <c r="K514" i="11"/>
  <c r="K524" i="11"/>
  <c r="K534" i="11"/>
  <c r="K458" i="11"/>
  <c r="K784" i="11"/>
  <c r="K806" i="11"/>
  <c r="K826" i="11"/>
  <c r="K846" i="11"/>
  <c r="K464" i="11"/>
  <c r="K474" i="11"/>
  <c r="K484" i="11"/>
  <c r="K361" i="11"/>
  <c r="K544" i="11"/>
  <c r="K520" i="11"/>
  <c r="K530" i="11"/>
  <c r="K540" i="11"/>
  <c r="K788" i="11"/>
  <c r="K808" i="11"/>
  <c r="K828" i="11"/>
  <c r="K558" i="11"/>
  <c r="K569" i="11"/>
  <c r="K579" i="11"/>
  <c r="K589" i="11"/>
  <c r="K599" i="11"/>
  <c r="K609" i="11"/>
  <c r="K619" i="11"/>
  <c r="K789" i="11"/>
  <c r="K809" i="11"/>
  <c r="K829" i="11"/>
  <c r="K849" i="11"/>
  <c r="K447" i="11"/>
  <c r="K460" i="11"/>
  <c r="K470" i="11"/>
  <c r="K480" i="11"/>
  <c r="K490" i="11"/>
  <c r="K500" i="11"/>
  <c r="K510" i="11"/>
  <c r="K790" i="11"/>
  <c r="K810" i="11"/>
  <c r="K830" i="11"/>
  <c r="K850" i="11"/>
  <c r="K420" i="11"/>
  <c r="K430" i="11"/>
  <c r="K371" i="11"/>
  <c r="K391" i="11"/>
  <c r="K401" i="11"/>
  <c r="K411" i="11"/>
  <c r="K381" i="11"/>
  <c r="K358" i="11"/>
  <c r="K368" i="11"/>
  <c r="K378" i="11"/>
  <c r="K388" i="11"/>
  <c r="K398" i="11"/>
  <c r="K408" i="11"/>
  <c r="K418" i="11"/>
  <c r="K428" i="11"/>
  <c r="K438" i="11"/>
  <c r="K568" i="11"/>
  <c r="K578" i="11"/>
  <c r="K588" i="11"/>
  <c r="K598" i="11"/>
  <c r="K608" i="11"/>
  <c r="K618" i="11"/>
  <c r="K628" i="11"/>
  <c r="K638" i="11"/>
  <c r="K648" i="11"/>
  <c r="K787" i="11"/>
  <c r="K807" i="11"/>
  <c r="K827" i="11"/>
  <c r="K847" i="11"/>
  <c r="K360" i="11"/>
  <c r="K370" i="11"/>
  <c r="K380" i="11"/>
  <c r="K390" i="11"/>
  <c r="K400" i="11"/>
  <c r="K410" i="11"/>
  <c r="K570" i="11"/>
  <c r="K580" i="11"/>
  <c r="K590" i="11"/>
  <c r="K600" i="11"/>
  <c r="K610" i="11"/>
  <c r="K620" i="11"/>
  <c r="K630" i="11"/>
  <c r="K640" i="11"/>
  <c r="K650" i="11"/>
  <c r="K765" i="11"/>
  <c r="K791" i="11"/>
  <c r="K811" i="11"/>
  <c r="K831" i="11"/>
  <c r="K851" i="11"/>
  <c r="K848" i="11"/>
  <c r="K456" i="11"/>
  <c r="K466" i="11"/>
  <c r="K476" i="11"/>
  <c r="K486" i="11"/>
  <c r="K496" i="11"/>
  <c r="K506" i="11"/>
  <c r="K516" i="11"/>
  <c r="K526" i="11"/>
  <c r="K536" i="11"/>
  <c r="K467" i="11"/>
  <c r="K477" i="11"/>
  <c r="K487" i="11"/>
  <c r="K497" i="11"/>
  <c r="K507" i="11"/>
  <c r="K517" i="11"/>
  <c r="K527" i="11"/>
  <c r="K537" i="11"/>
  <c r="K465" i="11"/>
  <c r="K475" i="11"/>
  <c r="K485" i="11"/>
  <c r="K495" i="11"/>
  <c r="K505" i="11"/>
  <c r="K515" i="11"/>
  <c r="K525" i="11"/>
  <c r="K535" i="11"/>
  <c r="K462" i="11"/>
  <c r="K472" i="11"/>
  <c r="K482" i="11"/>
  <c r="K492" i="11"/>
  <c r="K502" i="11"/>
  <c r="K512" i="11"/>
  <c r="K522" i="11"/>
  <c r="K532" i="11"/>
  <c r="K542" i="11"/>
  <c r="K363" i="11"/>
  <c r="K373" i="11"/>
  <c r="K383" i="11"/>
  <c r="K403" i="11"/>
  <c r="K413" i="11"/>
  <c r="K423" i="11"/>
  <c r="K433" i="11"/>
  <c r="K833" i="11"/>
  <c r="K853" i="11"/>
  <c r="K769" i="11"/>
  <c r="K794" i="11"/>
  <c r="K814" i="11"/>
  <c r="K834" i="11"/>
  <c r="K854" i="11"/>
  <c r="K362" i="11"/>
  <c r="K372" i="11"/>
  <c r="K382" i="11"/>
  <c r="K392" i="11"/>
  <c r="K402" i="11"/>
  <c r="K412" i="11"/>
  <c r="K422" i="11"/>
  <c r="K432" i="11"/>
  <c r="K562" i="11"/>
  <c r="K572" i="11"/>
  <c r="K582" i="11"/>
  <c r="K592" i="11"/>
  <c r="K602" i="11"/>
  <c r="K612" i="11"/>
  <c r="K622" i="11"/>
  <c r="K632" i="11"/>
  <c r="K642" i="11"/>
  <c r="K770" i="11"/>
  <c r="K795" i="11"/>
  <c r="K815" i="11"/>
  <c r="K835" i="11"/>
  <c r="K855" i="11"/>
  <c r="K393" i="11"/>
  <c r="K563" i="11"/>
  <c r="K573" i="11"/>
  <c r="K583" i="11"/>
  <c r="K593" i="11"/>
  <c r="K603" i="11"/>
  <c r="K613" i="11"/>
  <c r="K623" i="11"/>
  <c r="K633" i="11"/>
  <c r="K643" i="11"/>
  <c r="K772" i="11"/>
  <c r="K797" i="11"/>
  <c r="K817" i="11"/>
  <c r="K837" i="11"/>
  <c r="K857" i="11"/>
  <c r="K773" i="11"/>
  <c r="K457" i="11"/>
  <c r="K421" i="11"/>
  <c r="K431" i="11"/>
  <c r="K571" i="11"/>
  <c r="K581" i="11"/>
  <c r="K591" i="11"/>
  <c r="K601" i="11"/>
  <c r="K611" i="11"/>
  <c r="K621" i="11"/>
  <c r="K631" i="11"/>
  <c r="K641" i="11"/>
  <c r="K767" i="11"/>
  <c r="K793" i="11"/>
  <c r="K813" i="11"/>
  <c r="K355" i="11"/>
  <c r="K365" i="11"/>
  <c r="K375" i="11"/>
  <c r="K385" i="11"/>
  <c r="K395" i="11"/>
  <c r="K405" i="11"/>
  <c r="K415" i="11"/>
  <c r="K425" i="11"/>
  <c r="K435" i="11"/>
  <c r="K553" i="11"/>
  <c r="K565" i="11"/>
  <c r="K575" i="11"/>
  <c r="K585" i="11"/>
  <c r="K595" i="11"/>
  <c r="K605" i="11"/>
  <c r="K615" i="11"/>
  <c r="K625" i="11"/>
  <c r="K635" i="11"/>
  <c r="K645" i="11"/>
  <c r="K461" i="11"/>
  <c r="K471" i="11"/>
  <c r="K481" i="11"/>
  <c r="K491" i="11"/>
  <c r="K501" i="11"/>
  <c r="K511" i="11"/>
  <c r="K521" i="11"/>
  <c r="K531" i="11"/>
  <c r="K541" i="11"/>
  <c r="K766" i="11"/>
  <c r="K792" i="11"/>
  <c r="K812" i="11"/>
  <c r="K832" i="11"/>
  <c r="K852" i="11"/>
  <c r="K452" i="11"/>
  <c r="K463" i="11"/>
  <c r="K473" i="11"/>
  <c r="K483" i="11"/>
  <c r="K493" i="11"/>
  <c r="K503" i="11"/>
  <c r="K513" i="11"/>
  <c r="K523" i="11"/>
  <c r="K533" i="11"/>
  <c r="K543" i="11"/>
  <c r="K771" i="11"/>
  <c r="K796" i="11"/>
  <c r="K816" i="11"/>
  <c r="K836" i="11"/>
  <c r="K856" i="11"/>
  <c r="K798" i="11"/>
  <c r="K818" i="11"/>
  <c r="K838" i="11"/>
  <c r="K858" i="11"/>
  <c r="K354" i="11"/>
  <c r="K364" i="11"/>
  <c r="K374" i="11"/>
  <c r="K384" i="11"/>
  <c r="K394" i="11"/>
  <c r="K404" i="11"/>
  <c r="K414" i="11"/>
  <c r="K424" i="11"/>
  <c r="K434" i="11"/>
  <c r="K564" i="11"/>
  <c r="K574" i="11"/>
  <c r="K584" i="11"/>
  <c r="K594" i="11"/>
  <c r="K604" i="11"/>
  <c r="K614" i="11"/>
  <c r="K624" i="11"/>
  <c r="K634" i="11"/>
  <c r="K644" i="11"/>
  <c r="K774" i="11"/>
  <c r="K799" i="11"/>
  <c r="K819" i="11"/>
  <c r="K839" i="11"/>
  <c r="K859" i="11"/>
  <c r="K775" i="11"/>
  <c r="K800" i="11"/>
  <c r="K820" i="11"/>
  <c r="K840" i="11"/>
  <c r="K860" i="11"/>
  <c r="K776" i="11"/>
  <c r="K801" i="11"/>
  <c r="K821" i="11"/>
  <c r="K841" i="11"/>
  <c r="K861" i="11"/>
  <c r="K777" i="11"/>
  <c r="K802" i="11"/>
  <c r="K822" i="11"/>
  <c r="K842" i="11"/>
  <c r="K862" i="11"/>
  <c r="K356" i="11"/>
  <c r="K366" i="11"/>
  <c r="K376" i="11"/>
  <c r="K386" i="11"/>
  <c r="K396" i="11"/>
  <c r="K406" i="11"/>
  <c r="K416" i="11"/>
  <c r="K426" i="11"/>
  <c r="K436" i="11"/>
  <c r="K554" i="11"/>
  <c r="K566" i="11"/>
  <c r="K576" i="11"/>
  <c r="K586" i="11"/>
  <c r="K596" i="11"/>
  <c r="K606" i="11"/>
  <c r="K616" i="11"/>
  <c r="K626" i="11"/>
  <c r="K636" i="11"/>
  <c r="K646" i="11"/>
  <c r="K778" i="11"/>
  <c r="K803" i="11"/>
  <c r="K823" i="11"/>
  <c r="K843" i="11"/>
  <c r="K785" i="11"/>
  <c r="K780" i="11"/>
  <c r="K804" i="11"/>
  <c r="K824" i="11"/>
  <c r="K844" i="11"/>
  <c r="K353" i="11"/>
  <c r="K357" i="11"/>
  <c r="K367" i="11"/>
  <c r="K377" i="11"/>
  <c r="K387" i="11"/>
  <c r="K397" i="11"/>
  <c r="K407" i="11"/>
  <c r="K417" i="11"/>
  <c r="K427" i="11"/>
  <c r="K437" i="11"/>
  <c r="K567" i="11"/>
  <c r="K577" i="11"/>
  <c r="K587" i="11"/>
  <c r="K597" i="11"/>
  <c r="K607" i="11"/>
  <c r="K617" i="11"/>
  <c r="K627" i="11"/>
  <c r="K637" i="11"/>
  <c r="K647" i="11"/>
  <c r="K783" i="11"/>
  <c r="K805" i="11"/>
  <c r="K825" i="11"/>
  <c r="K845" i="11"/>
  <c r="F165" i="11"/>
  <c r="F149" i="11"/>
  <c r="F138" i="11"/>
  <c r="F136" i="11"/>
  <c r="F135" i="11"/>
  <c r="F133" i="11"/>
  <c r="F132" i="11"/>
  <c r="F130" i="11"/>
  <c r="F129" i="11"/>
  <c r="F128" i="11"/>
  <c r="F244" i="11"/>
  <c r="F242" i="11"/>
  <c r="F241" i="11"/>
  <c r="F239" i="11"/>
  <c r="F234" i="11"/>
  <c r="F152" i="11"/>
  <c r="D165" i="11"/>
  <c r="D152" i="11"/>
  <c r="K152" i="11" l="1"/>
  <c r="K165" i="11"/>
  <c r="N11" i="1" l="1"/>
  <c r="N10" i="1"/>
  <c r="C13" i="11"/>
  <c r="C12" i="11"/>
  <c r="B36" i="31" l="1"/>
  <c r="B30" i="31"/>
  <c r="B24" i="31" l="1"/>
  <c r="B18" i="31"/>
  <c r="C5" i="31"/>
  <c r="F332" i="11" l="1"/>
  <c r="F331" i="11"/>
  <c r="F330" i="11"/>
  <c r="F329" i="11"/>
  <c r="F328" i="11"/>
  <c r="F327" i="11"/>
  <c r="F326" i="11"/>
  <c r="F325" i="11"/>
  <c r="F324" i="11"/>
  <c r="F323" i="11"/>
  <c r="F322" i="11"/>
  <c r="F321" i="11"/>
  <c r="F320" i="11"/>
  <c r="F319" i="11"/>
  <c r="F318" i="11"/>
  <c r="F317" i="11"/>
  <c r="F316" i="11"/>
  <c r="F315" i="11"/>
  <c r="F314" i="11"/>
  <c r="F313" i="11"/>
  <c r="F312" i="11"/>
  <c r="F311" i="11"/>
  <c r="F310" i="11"/>
  <c r="F309" i="11"/>
  <c r="F308" i="11"/>
  <c r="F307" i="11"/>
  <c r="F306" i="11"/>
  <c r="F305" i="11"/>
  <c r="F304" i="11"/>
  <c r="F303" i="11"/>
  <c r="F302" i="11"/>
  <c r="F301" i="11"/>
  <c r="F300" i="11"/>
  <c r="F299" i="11"/>
  <c r="F298" i="11"/>
  <c r="F297" i="11"/>
  <c r="F296" i="11"/>
  <c r="F295" i="11"/>
  <c r="F294" i="11"/>
  <c r="F293" i="11"/>
  <c r="F292" i="11"/>
  <c r="F291" i="11"/>
  <c r="F290" i="11"/>
  <c r="F289" i="11"/>
  <c r="F288" i="11"/>
  <c r="F287" i="11"/>
  <c r="F286" i="11"/>
  <c r="F285" i="11"/>
  <c r="F284" i="11"/>
  <c r="F283" i="11"/>
  <c r="F282" i="11"/>
  <c r="F281" i="11"/>
  <c r="F280" i="11"/>
  <c r="F279" i="11"/>
  <c r="F278" i="11"/>
  <c r="F277" i="11"/>
  <c r="F276" i="11"/>
  <c r="F275" i="11"/>
  <c r="F274" i="11"/>
  <c r="F273" i="11"/>
  <c r="F272" i="11"/>
  <c r="F271" i="11"/>
  <c r="F270" i="11"/>
  <c r="F269" i="11"/>
  <c r="F268" i="11"/>
  <c r="F267" i="11"/>
  <c r="F266" i="11"/>
  <c r="F265" i="11"/>
  <c r="F263" i="11"/>
  <c r="F261" i="11"/>
  <c r="F260" i="11"/>
  <c r="F259" i="11"/>
  <c r="F253" i="11"/>
  <c r="F252" i="11"/>
  <c r="F251" i="11"/>
  <c r="F250" i="11"/>
  <c r="F249" i="11"/>
  <c r="F248" i="11"/>
  <c r="F247" i="11"/>
  <c r="F246" i="11"/>
  <c r="F245" i="11"/>
  <c r="F243" i="11"/>
  <c r="F240" i="11"/>
  <c r="F237" i="11"/>
  <c r="F226" i="11"/>
  <c r="F225" i="11"/>
  <c r="F224" i="11"/>
  <c r="F223" i="11"/>
  <c r="F222" i="11"/>
  <c r="F221" i="11"/>
  <c r="F220" i="11"/>
  <c r="F219" i="11"/>
  <c r="F218" i="11"/>
  <c r="F217" i="11"/>
  <c r="F216" i="11"/>
  <c r="F215" i="11"/>
  <c r="F214" i="11"/>
  <c r="F213" i="11"/>
  <c r="F212" i="11"/>
  <c r="F211" i="11"/>
  <c r="F210" i="11"/>
  <c r="F209" i="11"/>
  <c r="F208" i="11"/>
  <c r="F207" i="11"/>
  <c r="F206" i="11"/>
  <c r="F205" i="11"/>
  <c r="F204" i="11"/>
  <c r="F203" i="11"/>
  <c r="F202" i="11"/>
  <c r="F201" i="11"/>
  <c r="F200" i="11"/>
  <c r="F199" i="11"/>
  <c r="F198" i="11"/>
  <c r="F197" i="11"/>
  <c r="F196" i="11"/>
  <c r="F195" i="11"/>
  <c r="F194" i="11"/>
  <c r="F193" i="11"/>
  <c r="F192" i="11"/>
  <c r="F191" i="11"/>
  <c r="F190" i="11"/>
  <c r="F189" i="11"/>
  <c r="F188" i="11"/>
  <c r="F187" i="11"/>
  <c r="F186" i="11"/>
  <c r="F185" i="11"/>
  <c r="F184" i="11"/>
  <c r="F183" i="11"/>
  <c r="F182" i="11"/>
  <c r="F181" i="11"/>
  <c r="F180" i="11"/>
  <c r="F179" i="11"/>
  <c r="F178" i="11"/>
  <c r="F177" i="11"/>
  <c r="F176" i="11"/>
  <c r="F175" i="11"/>
  <c r="F174" i="11"/>
  <c r="F173" i="11"/>
  <c r="F172" i="11"/>
  <c r="F171" i="11"/>
  <c r="F170" i="11"/>
  <c r="F169" i="11"/>
  <c r="F168" i="11"/>
  <c r="F167" i="11"/>
  <c r="F166" i="11"/>
  <c r="F164" i="11"/>
  <c r="F163" i="11"/>
  <c r="F162" i="11"/>
  <c r="F161" i="11"/>
  <c r="F160" i="11"/>
  <c r="F159" i="11"/>
  <c r="F158" i="11"/>
  <c r="F157" i="11"/>
  <c r="F156" i="11"/>
  <c r="F155" i="11"/>
  <c r="F154" i="11"/>
  <c r="F151" i="11"/>
  <c r="F147" i="11"/>
  <c r="F146" i="11"/>
  <c r="F145" i="11"/>
  <c r="F144" i="11"/>
  <c r="F137" i="11"/>
  <c r="F131" i="11"/>
  <c r="D332" i="11"/>
  <c r="D331" i="11"/>
  <c r="K331" i="11" s="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3" i="11"/>
  <c r="D261" i="11"/>
  <c r="D260" i="11"/>
  <c r="D259" i="11"/>
  <c r="D253" i="11"/>
  <c r="D252" i="11"/>
  <c r="D250" i="11"/>
  <c r="D249" i="11"/>
  <c r="D244" i="11"/>
  <c r="D241" i="11"/>
  <c r="D238" i="11"/>
  <c r="D226" i="11"/>
  <c r="D225" i="11"/>
  <c r="D224" i="11"/>
  <c r="D223" i="11"/>
  <c r="D222" i="11"/>
  <c r="D221" i="11"/>
  <c r="D220" i="11"/>
  <c r="D219" i="11"/>
  <c r="D218" i="11"/>
  <c r="D217" i="11"/>
  <c r="D216" i="11"/>
  <c r="D215" i="11"/>
  <c r="D214" i="11"/>
  <c r="D213" i="11"/>
  <c r="D212" i="11"/>
  <c r="D211" i="11"/>
  <c r="D210" i="11"/>
  <c r="D209" i="11"/>
  <c r="D208" i="11"/>
  <c r="D207" i="11"/>
  <c r="D206" i="11"/>
  <c r="D205" i="11"/>
  <c r="D204" i="11"/>
  <c r="D203" i="11"/>
  <c r="D202" i="11"/>
  <c r="D201" i="11"/>
  <c r="D200" i="11"/>
  <c r="D199" i="11"/>
  <c r="D198" i="11"/>
  <c r="D197" i="11"/>
  <c r="D196" i="11"/>
  <c r="D195" i="11"/>
  <c r="D194" i="11"/>
  <c r="D193" i="11"/>
  <c r="D192" i="11"/>
  <c r="D191" i="11"/>
  <c r="D190" i="11"/>
  <c r="D189" i="11"/>
  <c r="D188" i="11"/>
  <c r="D187" i="11"/>
  <c r="D186" i="11"/>
  <c r="D185" i="11"/>
  <c r="D184" i="11"/>
  <c r="D183" i="11"/>
  <c r="D182" i="11"/>
  <c r="D181" i="11"/>
  <c r="D180" i="11"/>
  <c r="D179" i="11"/>
  <c r="D178" i="11"/>
  <c r="D177" i="11"/>
  <c r="D176" i="11"/>
  <c r="D175" i="11"/>
  <c r="D174" i="11"/>
  <c r="D173" i="11"/>
  <c r="D172" i="11"/>
  <c r="D171" i="11"/>
  <c r="D170" i="11"/>
  <c r="D169" i="11"/>
  <c r="D168" i="11"/>
  <c r="D167" i="11"/>
  <c r="D166" i="11"/>
  <c r="D164" i="11"/>
  <c r="D163" i="11"/>
  <c r="D162" i="11"/>
  <c r="D161" i="11"/>
  <c r="D160" i="11"/>
  <c r="D159" i="11"/>
  <c r="D158" i="11"/>
  <c r="D157" i="11"/>
  <c r="D156" i="11"/>
  <c r="D155" i="11"/>
  <c r="D154" i="11"/>
  <c r="D151" i="11"/>
  <c r="D149" i="11"/>
  <c r="K149" i="11" s="1"/>
  <c r="D145" i="11"/>
  <c r="D138" i="11"/>
  <c r="K138" i="11" s="1"/>
  <c r="D135" i="11"/>
  <c r="Q6" i="13"/>
  <c r="P6" i="13"/>
  <c r="O6" i="13"/>
  <c r="N6" i="13"/>
  <c r="M6" i="13"/>
  <c r="L6" i="13"/>
  <c r="Q5" i="13"/>
  <c r="P5" i="13"/>
  <c r="O5" i="13"/>
  <c r="N5" i="13"/>
  <c r="M5" i="13"/>
  <c r="L5" i="13"/>
  <c r="Q4" i="13"/>
  <c r="P4" i="13"/>
  <c r="O4" i="13"/>
  <c r="N4" i="13"/>
  <c r="M4" i="13"/>
  <c r="L4" i="13"/>
  <c r="R3" i="13"/>
  <c r="Q3" i="13"/>
  <c r="P3" i="13"/>
  <c r="O3" i="13"/>
  <c r="N3" i="13"/>
  <c r="M3" i="13"/>
  <c r="L3" i="13"/>
  <c r="R2" i="13"/>
  <c r="Q2" i="13"/>
  <c r="P2" i="13"/>
  <c r="O2" i="13"/>
  <c r="N2" i="13"/>
  <c r="M2" i="13"/>
  <c r="K209" i="11" l="1"/>
  <c r="K169" i="11"/>
  <c r="K250" i="11"/>
  <c r="K283" i="11"/>
  <c r="K323" i="11"/>
  <c r="K261" i="11"/>
  <c r="K303" i="11"/>
  <c r="K170" i="11"/>
  <c r="K271" i="11"/>
  <c r="K291" i="11"/>
  <c r="K311" i="11"/>
  <c r="K312" i="11"/>
  <c r="K210" i="11"/>
  <c r="K190" i="11"/>
  <c r="K278" i="11"/>
  <c r="K298" i="11"/>
  <c r="K318" i="11"/>
  <c r="K252" i="11"/>
  <c r="K279" i="11"/>
  <c r="K299" i="11"/>
  <c r="K319" i="11"/>
  <c r="K189" i="11"/>
  <c r="K330" i="11"/>
  <c r="K272" i="11"/>
  <c r="K292" i="11"/>
  <c r="K263" i="11"/>
  <c r="K259" i="11"/>
  <c r="K281" i="11"/>
  <c r="K301" i="11"/>
  <c r="K260" i="11"/>
  <c r="K270" i="11"/>
  <c r="K290" i="11"/>
  <c r="K310" i="11"/>
  <c r="K304" i="11"/>
  <c r="K265" i="11"/>
  <c r="K285" i="11"/>
  <c r="K305" i="11"/>
  <c r="K325" i="11"/>
  <c r="K284" i="11"/>
  <c r="K324" i="11"/>
  <c r="K266" i="11"/>
  <c r="K286" i="11"/>
  <c r="K306" i="11"/>
  <c r="K326" i="11"/>
  <c r="K268" i="11"/>
  <c r="K288" i="11"/>
  <c r="K308" i="11"/>
  <c r="K328" i="11"/>
  <c r="K269" i="11"/>
  <c r="K289" i="11"/>
  <c r="K309" i="11"/>
  <c r="K329" i="11"/>
  <c r="K321" i="11"/>
  <c r="K276" i="11"/>
  <c r="K296" i="11"/>
  <c r="K316" i="11"/>
  <c r="K320" i="11"/>
  <c r="K267" i="11"/>
  <c r="K287" i="11"/>
  <c r="K307" i="11"/>
  <c r="K327" i="11"/>
  <c r="K225" i="11"/>
  <c r="K205" i="11"/>
  <c r="K185" i="11"/>
  <c r="K253" i="11"/>
  <c r="K280" i="11"/>
  <c r="K300" i="11"/>
  <c r="K166" i="11"/>
  <c r="K186" i="11"/>
  <c r="K206" i="11"/>
  <c r="K226" i="11"/>
  <c r="K168" i="11"/>
  <c r="K188" i="11"/>
  <c r="K208" i="11"/>
  <c r="K221" i="11"/>
  <c r="K282" i="11"/>
  <c r="K277" i="11"/>
  <c r="K297" i="11"/>
  <c r="K317" i="11"/>
  <c r="K249" i="11"/>
  <c r="K187" i="11"/>
  <c r="K207" i="11"/>
  <c r="K167" i="11"/>
  <c r="K218" i="11"/>
  <c r="K177" i="11"/>
  <c r="K178" i="11"/>
  <c r="K217" i="11"/>
  <c r="K198" i="11"/>
  <c r="K156" i="11"/>
  <c r="K197" i="11"/>
  <c r="K160" i="11"/>
  <c r="K181" i="11"/>
  <c r="K201" i="11"/>
  <c r="K157" i="11"/>
  <c r="K184" i="11"/>
  <c r="K163" i="11"/>
  <c r="K204" i="11"/>
  <c r="K224" i="11"/>
  <c r="K164" i="11"/>
  <c r="K220" i="11"/>
  <c r="K200" i="11"/>
  <c r="K175" i="11"/>
  <c r="K195" i="11"/>
  <c r="K215" i="11"/>
  <c r="K302" i="11"/>
  <c r="K322" i="11"/>
  <c r="K172" i="11"/>
  <c r="K213" i="11"/>
  <c r="K158" i="11"/>
  <c r="K179" i="11"/>
  <c r="K199" i="11"/>
  <c r="K219" i="11"/>
  <c r="K171" i="11"/>
  <c r="K212" i="11"/>
  <c r="K154" i="11"/>
  <c r="K161" i="11"/>
  <c r="K162" i="11"/>
  <c r="K183" i="11"/>
  <c r="K203" i="11"/>
  <c r="K223" i="11"/>
  <c r="K211" i="11"/>
  <c r="K174" i="11"/>
  <c r="K216" i="11"/>
  <c r="K202" i="11"/>
  <c r="K193" i="11"/>
  <c r="K151" i="11"/>
  <c r="K196" i="11"/>
  <c r="K191" i="11"/>
  <c r="K145" i="11"/>
  <c r="K173" i="11"/>
  <c r="K214" i="11"/>
  <c r="K155" i="11"/>
  <c r="K159" i="11"/>
  <c r="K222" i="11"/>
  <c r="K273" i="11"/>
  <c r="K293" i="11"/>
  <c r="K313" i="11"/>
  <c r="K182" i="11"/>
  <c r="K274" i="11"/>
  <c r="K294" i="11"/>
  <c r="K314" i="11"/>
  <c r="K192" i="11"/>
  <c r="K194" i="11"/>
  <c r="K176" i="11"/>
  <c r="K180" i="11"/>
  <c r="K275" i="11"/>
  <c r="K295" i="11"/>
  <c r="K315" i="11"/>
  <c r="L2" i="13"/>
  <c r="D450" i="11" l="1"/>
  <c r="K450" i="11" s="1"/>
  <c r="D448" i="11"/>
  <c r="K448" i="11" s="1"/>
  <c r="D341" i="11"/>
  <c r="K341" i="11" s="1"/>
  <c r="D342" i="11" l="1"/>
  <c r="K342" i="11" s="1"/>
  <c r="G29" i="1"/>
  <c r="D29" i="1"/>
  <c r="F11" i="1"/>
  <c r="F171" i="5"/>
  <c r="F133" i="5" s="1"/>
  <c r="F151" i="5"/>
  <c r="D171" i="5"/>
  <c r="D133" i="5" s="1"/>
  <c r="D151" i="5"/>
  <c r="E11" i="1"/>
  <c r="D25" i="11"/>
  <c r="D768" i="11"/>
  <c r="K768" i="11" s="1"/>
  <c r="D23" i="11"/>
  <c r="D26" i="5"/>
  <c r="D47" i="5"/>
  <c r="D128" i="11"/>
  <c r="D29" i="11"/>
  <c r="F238" i="11"/>
  <c r="K238" i="11" s="1"/>
  <c r="D89" i="5"/>
  <c r="D110" i="5"/>
  <c r="F13" i="1" l="1"/>
  <c r="E561" i="11" s="1"/>
  <c r="F14" i="1"/>
  <c r="E560" i="11" s="1"/>
  <c r="F132" i="5"/>
  <c r="F131" i="5" s="1"/>
  <c r="F134" i="5" s="1"/>
  <c r="D132" i="5"/>
  <c r="D131" i="5" s="1"/>
  <c r="H386" i="13"/>
  <c r="D78" i="31" s="1"/>
  <c r="H510" i="13"/>
  <c r="D102" i="31" s="1"/>
  <c r="H634" i="13"/>
  <c r="D126" i="31" s="1"/>
  <c r="H882" i="13"/>
  <c r="D174" i="31" s="1"/>
  <c r="H134" i="13"/>
  <c r="D30" i="31" s="1"/>
  <c r="M293" i="13"/>
  <c r="M541" i="13"/>
  <c r="K572" i="13"/>
  <c r="F114" i="31" s="1"/>
  <c r="H758" i="13"/>
  <c r="D150" i="31" s="1"/>
  <c r="H262" i="13"/>
  <c r="D54" i="31" s="1"/>
  <c r="M417" i="13"/>
  <c r="M169" i="13"/>
  <c r="H169" i="13"/>
  <c r="D36" i="31" s="1"/>
  <c r="M200" i="13"/>
  <c r="H293" i="13"/>
  <c r="D60" i="31" s="1"/>
  <c r="M324" i="13"/>
  <c r="H417" i="13"/>
  <c r="D84" i="31" s="1"/>
  <c r="M448" i="13"/>
  <c r="H541" i="13"/>
  <c r="D108" i="31" s="1"/>
  <c r="H665" i="13"/>
  <c r="D132" i="31" s="1"/>
  <c r="H789" i="13"/>
  <c r="D156" i="31" s="1"/>
  <c r="H913" i="13"/>
  <c r="D180" i="31" s="1"/>
  <c r="K169" i="13"/>
  <c r="F36" i="31" s="1"/>
  <c r="M231" i="13"/>
  <c r="K293" i="13"/>
  <c r="F60" i="31" s="1"/>
  <c r="M355" i="13"/>
  <c r="K417" i="13"/>
  <c r="F84" i="31" s="1"/>
  <c r="K541" i="13"/>
  <c r="F108" i="31" s="1"/>
  <c r="M727" i="13"/>
  <c r="K789" i="13"/>
  <c r="F156" i="31" s="1"/>
  <c r="K386" i="13"/>
  <c r="F78" i="31" s="1"/>
  <c r="H231" i="13"/>
  <c r="D48" i="31" s="1"/>
  <c r="M262" i="13"/>
  <c r="M386" i="13"/>
  <c r="H727" i="13"/>
  <c r="D144" i="31" s="1"/>
  <c r="H851" i="13"/>
  <c r="D168" i="31" s="1"/>
  <c r="K913" i="13"/>
  <c r="F180" i="31" s="1"/>
  <c r="K231" i="13"/>
  <c r="F48" i="31" s="1"/>
  <c r="K355" i="13"/>
  <c r="F72" i="31" s="1"/>
  <c r="K479" i="13"/>
  <c r="F96" i="31" s="1"/>
  <c r="K603" i="13"/>
  <c r="F120" i="31" s="1"/>
  <c r="M665" i="13"/>
  <c r="K727" i="13"/>
  <c r="F144" i="31" s="1"/>
  <c r="M789" i="13"/>
  <c r="K851" i="13"/>
  <c r="F168" i="31" s="1"/>
  <c r="M913" i="13"/>
  <c r="K975" i="13"/>
  <c r="K262" i="13"/>
  <c r="F54" i="31" s="1"/>
  <c r="K510" i="13"/>
  <c r="F102" i="31" s="1"/>
  <c r="M696" i="13"/>
  <c r="K758" i="13"/>
  <c r="F150" i="31" s="1"/>
  <c r="M820" i="13"/>
  <c r="M944" i="13"/>
  <c r="H355" i="13"/>
  <c r="D72" i="31" s="1"/>
  <c r="M510" i="13"/>
  <c r="K665" i="13"/>
  <c r="F132" i="31" s="1"/>
  <c r="H975" i="13"/>
  <c r="D192" i="31" s="1"/>
  <c r="H200" i="13"/>
  <c r="D42" i="31" s="1"/>
  <c r="H324" i="13"/>
  <c r="D66" i="31" s="1"/>
  <c r="H448" i="13"/>
  <c r="D90" i="31" s="1"/>
  <c r="M479" i="13"/>
  <c r="H572" i="13"/>
  <c r="D114" i="31" s="1"/>
  <c r="M603" i="13"/>
  <c r="H696" i="13"/>
  <c r="D138" i="31" s="1"/>
  <c r="H820" i="13"/>
  <c r="D162" i="31" s="1"/>
  <c r="M851" i="13"/>
  <c r="H944" i="13"/>
  <c r="D186" i="31" s="1"/>
  <c r="M975" i="13"/>
  <c r="K134" i="13"/>
  <c r="F30" i="31" s="1"/>
  <c r="M572" i="13"/>
  <c r="K634" i="13"/>
  <c r="F126" i="31" s="1"/>
  <c r="K882" i="13"/>
  <c r="F174" i="31" s="1"/>
  <c r="H479" i="13"/>
  <c r="D96" i="31" s="1"/>
  <c r="H603" i="13"/>
  <c r="D120" i="31" s="1"/>
  <c r="M758" i="13"/>
  <c r="M134" i="13"/>
  <c r="K200" i="13"/>
  <c r="F42" i="31" s="1"/>
  <c r="K324" i="13"/>
  <c r="F66" i="31" s="1"/>
  <c r="K448" i="13"/>
  <c r="F90" i="31" s="1"/>
  <c r="M634" i="13"/>
  <c r="K696" i="13"/>
  <c r="F138" i="31" s="1"/>
  <c r="K820" i="13"/>
  <c r="F162" i="31" s="1"/>
  <c r="M882" i="13"/>
  <c r="K944" i="13"/>
  <c r="F186" i="31" s="1"/>
  <c r="H1006" i="13"/>
  <c r="D198" i="31" s="1"/>
  <c r="K1006" i="13"/>
  <c r="M1006" i="13"/>
  <c r="M101" i="13"/>
  <c r="H101" i="13"/>
  <c r="K101" i="13"/>
  <c r="H30" i="31" l="1"/>
  <c r="H36" i="31"/>
  <c r="H42" i="31"/>
  <c r="H48" i="31"/>
  <c r="H54" i="31"/>
  <c r="H60" i="31"/>
  <c r="H66" i="31"/>
  <c r="H72" i="31"/>
  <c r="H78" i="31"/>
  <c r="H84" i="31"/>
  <c r="H90" i="31"/>
  <c r="H96" i="31"/>
  <c r="H102" i="31"/>
  <c r="H108" i="31"/>
  <c r="H114" i="31"/>
  <c r="H120" i="31"/>
  <c r="H126" i="31"/>
  <c r="H132" i="31"/>
  <c r="H138" i="31"/>
  <c r="H144" i="31"/>
  <c r="H150" i="31"/>
  <c r="H156" i="31"/>
  <c r="H162" i="31"/>
  <c r="H168" i="31"/>
  <c r="H174" i="31"/>
  <c r="H180" i="31"/>
  <c r="H186" i="31"/>
  <c r="H192" i="31"/>
  <c r="H198" i="31"/>
  <c r="F192" i="31"/>
  <c r="F198" i="31"/>
  <c r="D24" i="31"/>
  <c r="F24" i="31"/>
  <c r="H24" i="31"/>
  <c r="E75" i="5" l="1"/>
  <c r="H862" i="11" l="1"/>
  <c r="H861" i="11"/>
  <c r="H860" i="11"/>
  <c r="H859" i="11"/>
  <c r="H858" i="11"/>
  <c r="H857" i="11"/>
  <c r="H856" i="11"/>
  <c r="H855" i="11"/>
  <c r="H854" i="11"/>
  <c r="H853" i="11"/>
  <c r="H852" i="11"/>
  <c r="H851" i="11"/>
  <c r="H850" i="11"/>
  <c r="H849" i="11"/>
  <c r="H848" i="11"/>
  <c r="H847" i="11"/>
  <c r="H846" i="11"/>
  <c r="H845" i="11"/>
  <c r="H844" i="11"/>
  <c r="H843" i="11"/>
  <c r="H842" i="11"/>
  <c r="H841" i="11"/>
  <c r="H840" i="11"/>
  <c r="H839" i="11"/>
  <c r="H838" i="11"/>
  <c r="H837" i="11"/>
  <c r="H836" i="11"/>
  <c r="H835" i="11"/>
  <c r="H834" i="11"/>
  <c r="H833" i="11"/>
  <c r="H832" i="11"/>
  <c r="H831" i="11"/>
  <c r="H830" i="11"/>
  <c r="H829" i="11"/>
  <c r="H828" i="11"/>
  <c r="H827" i="11"/>
  <c r="H826" i="11"/>
  <c r="H825" i="11"/>
  <c r="H824" i="11"/>
  <c r="H823" i="11"/>
  <c r="H822" i="11"/>
  <c r="H821" i="11"/>
  <c r="H820" i="11"/>
  <c r="H819" i="11"/>
  <c r="H818" i="11"/>
  <c r="H817" i="11"/>
  <c r="H816" i="11"/>
  <c r="H815" i="11"/>
  <c r="H814" i="11"/>
  <c r="H813" i="11"/>
  <c r="H812" i="11"/>
  <c r="H811" i="11"/>
  <c r="H810" i="11"/>
  <c r="H809" i="11"/>
  <c r="H808" i="11"/>
  <c r="H807" i="11"/>
  <c r="H806" i="11"/>
  <c r="H805" i="11"/>
  <c r="H804" i="11"/>
  <c r="H803" i="11"/>
  <c r="H802" i="11"/>
  <c r="H801" i="11"/>
  <c r="H800" i="11"/>
  <c r="H799" i="11"/>
  <c r="H798" i="11"/>
  <c r="H797" i="11"/>
  <c r="H796" i="11"/>
  <c r="H795" i="11"/>
  <c r="H794" i="11"/>
  <c r="H793" i="11"/>
  <c r="H792" i="11"/>
  <c r="H791" i="11"/>
  <c r="H790" i="11"/>
  <c r="H789" i="11"/>
  <c r="H788" i="11"/>
  <c r="H787" i="11"/>
  <c r="H786" i="11"/>
  <c r="H785" i="11"/>
  <c r="H784" i="11"/>
  <c r="H782" i="11"/>
  <c r="H781" i="11"/>
  <c r="H780" i="11"/>
  <c r="H779" i="11"/>
  <c r="H778" i="11"/>
  <c r="H777" i="11"/>
  <c r="H776" i="11"/>
  <c r="H775" i="11"/>
  <c r="H774" i="11"/>
  <c r="H773" i="11"/>
  <c r="H772" i="11"/>
  <c r="H771" i="11"/>
  <c r="H770" i="11"/>
  <c r="H769" i="11"/>
  <c r="H768" i="11"/>
  <c r="H767" i="11"/>
  <c r="H766" i="11"/>
  <c r="H765" i="11"/>
  <c r="H764" i="11"/>
  <c r="H27" i="11"/>
  <c r="F3" i="11" l="1"/>
  <c r="D69" i="5" l="1"/>
  <c r="D70" i="5"/>
  <c r="E76" i="5"/>
  <c r="E77" i="5"/>
  <c r="E78" i="5"/>
  <c r="E79" i="5"/>
  <c r="E80" i="5"/>
  <c r="E81" i="5"/>
  <c r="E82" i="5"/>
  <c r="E55" i="5"/>
  <c r="E118" i="5" s="1"/>
  <c r="E56" i="5"/>
  <c r="E119" i="5" s="1"/>
  <c r="E57" i="5"/>
  <c r="E120" i="5" s="1"/>
  <c r="E58" i="5"/>
  <c r="E121" i="5" s="1"/>
  <c r="E59" i="5"/>
  <c r="E122" i="5" s="1"/>
  <c r="E60" i="5"/>
  <c r="E123" i="5" s="1"/>
  <c r="E61" i="5"/>
  <c r="E124" i="5" s="1"/>
  <c r="E54" i="5"/>
  <c r="E117" i="5" s="1"/>
  <c r="E34" i="5"/>
  <c r="E97" i="5" s="1"/>
  <c r="E35" i="5"/>
  <c r="E98" i="5" s="1"/>
  <c r="E36" i="5"/>
  <c r="E99" i="5" s="1"/>
  <c r="E37" i="5"/>
  <c r="E100" i="5" s="1"/>
  <c r="E38" i="5"/>
  <c r="E101" i="5" s="1"/>
  <c r="E39" i="5"/>
  <c r="E102" i="5" s="1"/>
  <c r="E40" i="5"/>
  <c r="E103" i="5" s="1"/>
  <c r="E33" i="5"/>
  <c r="E96" i="5" s="1"/>
  <c r="D6" i="5" l="1"/>
  <c r="D7" i="5"/>
  <c r="A39" i="14" l="1"/>
  <c r="A38" i="14"/>
  <c r="A37" i="14"/>
  <c r="A36" i="14"/>
  <c r="A35" i="14"/>
  <c r="A34" i="14"/>
  <c r="A33" i="14"/>
  <c r="A32" i="14"/>
  <c r="A31" i="14"/>
  <c r="A30" i="14"/>
  <c r="A29" i="14"/>
  <c r="A28" i="14"/>
  <c r="F39" i="14"/>
  <c r="F38" i="14"/>
  <c r="F37" i="14"/>
  <c r="F36" i="14"/>
  <c r="F35" i="14"/>
  <c r="F34" i="14"/>
  <c r="F33" i="14"/>
  <c r="F32" i="14"/>
  <c r="F31" i="14"/>
  <c r="F30" i="14"/>
  <c r="F29" i="14"/>
  <c r="F28" i="14"/>
  <c r="D33" i="14" l="1"/>
  <c r="D37" i="14"/>
  <c r="D39" i="14"/>
  <c r="D35" i="14"/>
  <c r="D28" i="14"/>
  <c r="D29" i="14"/>
  <c r="D34" i="14"/>
  <c r="D38" i="14"/>
  <c r="D30" i="14"/>
  <c r="D31" i="14"/>
  <c r="D32" i="14"/>
  <c r="D36" i="14"/>
  <c r="E16" i="13" l="1"/>
  <c r="C12" i="24" l="1"/>
  <c r="C6" i="24" l="1"/>
  <c r="B24" i="11" l="1"/>
  <c r="A1" i="23" l="1"/>
  <c r="K212" i="23"/>
  <c r="J212" i="23"/>
  <c r="K211" i="23"/>
  <c r="J211" i="23"/>
  <c r="K210" i="23"/>
  <c r="J210" i="23"/>
  <c r="K209" i="23"/>
  <c r="J209" i="23"/>
  <c r="K208" i="23"/>
  <c r="J208" i="23"/>
  <c r="K207" i="23"/>
  <c r="J207" i="23"/>
  <c r="K206" i="23"/>
  <c r="J206" i="23"/>
  <c r="K205" i="23"/>
  <c r="J205" i="23"/>
  <c r="K204" i="23"/>
  <c r="F202" i="23"/>
  <c r="E202" i="23"/>
  <c r="K201" i="23"/>
  <c r="J201" i="23"/>
  <c r="K200" i="23"/>
  <c r="J200" i="23"/>
  <c r="K199" i="23"/>
  <c r="J199" i="23"/>
  <c r="K198" i="23"/>
  <c r="J198" i="23"/>
  <c r="K197" i="23"/>
  <c r="J197" i="23"/>
  <c r="K196" i="23"/>
  <c r="J196" i="23"/>
  <c r="K195" i="23"/>
  <c r="J195" i="23"/>
  <c r="K194" i="23"/>
  <c r="J194" i="23"/>
  <c r="K193" i="23"/>
  <c r="J193" i="23"/>
  <c r="K192" i="23"/>
  <c r="J192" i="23"/>
  <c r="F191" i="23"/>
  <c r="E191" i="23"/>
  <c r="K190" i="23"/>
  <c r="J190" i="23"/>
  <c r="K189" i="23"/>
  <c r="J189" i="23"/>
  <c r="K188" i="23"/>
  <c r="J188" i="23"/>
  <c r="K187" i="23"/>
  <c r="J187" i="23"/>
  <c r="K186" i="23"/>
  <c r="J186" i="23"/>
  <c r="K185" i="23"/>
  <c r="J185" i="23"/>
  <c r="K184" i="23"/>
  <c r="J184" i="23"/>
  <c r="K183" i="23"/>
  <c r="J183" i="23"/>
  <c r="K182" i="23"/>
  <c r="J182" i="23"/>
  <c r="K181" i="23"/>
  <c r="J181" i="23"/>
  <c r="F180" i="23"/>
  <c r="E180" i="23"/>
  <c r="K179" i="23"/>
  <c r="J179" i="23"/>
  <c r="K178" i="23"/>
  <c r="J178" i="23"/>
  <c r="K177" i="23"/>
  <c r="J177" i="23"/>
  <c r="K176" i="23"/>
  <c r="J176" i="23"/>
  <c r="K175" i="23"/>
  <c r="J175" i="23"/>
  <c r="K174" i="23"/>
  <c r="J174" i="23"/>
  <c r="K173" i="23"/>
  <c r="J173" i="23"/>
  <c r="K172" i="23"/>
  <c r="J172" i="23"/>
  <c r="K171" i="23"/>
  <c r="J171" i="23"/>
  <c r="K170" i="23"/>
  <c r="J170" i="23"/>
  <c r="F169" i="23"/>
  <c r="E169" i="23"/>
  <c r="K168" i="23"/>
  <c r="J168" i="23"/>
  <c r="K167" i="23"/>
  <c r="J167" i="23"/>
  <c r="K166" i="23"/>
  <c r="J166" i="23"/>
  <c r="K165" i="23"/>
  <c r="J165" i="23"/>
  <c r="K164" i="23"/>
  <c r="J164" i="23"/>
  <c r="K163" i="23"/>
  <c r="J163" i="23"/>
  <c r="K162" i="23"/>
  <c r="J162" i="23"/>
  <c r="K161" i="23"/>
  <c r="J161" i="23"/>
  <c r="K160" i="23"/>
  <c r="J160" i="23"/>
  <c r="K159" i="23"/>
  <c r="J159" i="23"/>
  <c r="F158" i="23"/>
  <c r="E158" i="23"/>
  <c r="K157" i="23"/>
  <c r="J157" i="23"/>
  <c r="K156" i="23"/>
  <c r="J156" i="23"/>
  <c r="K155" i="23"/>
  <c r="J155" i="23"/>
  <c r="K154" i="23"/>
  <c r="J154" i="23"/>
  <c r="K153" i="23"/>
  <c r="J153" i="23"/>
  <c r="K152" i="23"/>
  <c r="J152" i="23"/>
  <c r="K151" i="23"/>
  <c r="J151" i="23"/>
  <c r="K150" i="23"/>
  <c r="J150" i="23"/>
  <c r="K149" i="23"/>
  <c r="J149" i="23"/>
  <c r="K148" i="23"/>
  <c r="J148" i="23"/>
  <c r="F147" i="23"/>
  <c r="E147" i="23"/>
  <c r="K146" i="23"/>
  <c r="J146" i="23"/>
  <c r="K145" i="23"/>
  <c r="J145" i="23"/>
  <c r="K144" i="23"/>
  <c r="J144" i="23"/>
  <c r="K143" i="23"/>
  <c r="J143" i="23"/>
  <c r="K142" i="23"/>
  <c r="J142" i="23"/>
  <c r="K141" i="23"/>
  <c r="J141" i="23"/>
  <c r="K140" i="23"/>
  <c r="J140" i="23"/>
  <c r="K139" i="23"/>
  <c r="J139" i="23"/>
  <c r="K138" i="23"/>
  <c r="J138" i="23"/>
  <c r="K137" i="23"/>
  <c r="J137" i="23"/>
  <c r="F136" i="23"/>
  <c r="E136" i="23"/>
  <c r="K135" i="23"/>
  <c r="J135" i="23"/>
  <c r="K134" i="23"/>
  <c r="J134" i="23"/>
  <c r="K133" i="23"/>
  <c r="J133" i="23"/>
  <c r="K132" i="23"/>
  <c r="J132" i="23"/>
  <c r="K131" i="23"/>
  <c r="J131" i="23"/>
  <c r="K130" i="23"/>
  <c r="J130" i="23"/>
  <c r="K129" i="23"/>
  <c r="J129" i="23"/>
  <c r="K128" i="23"/>
  <c r="J128" i="23"/>
  <c r="K127" i="23"/>
  <c r="J127" i="23"/>
  <c r="K126" i="23"/>
  <c r="J126" i="23"/>
  <c r="F125" i="23"/>
  <c r="E125" i="23"/>
  <c r="K124" i="23"/>
  <c r="J124" i="23"/>
  <c r="K123" i="23"/>
  <c r="J123" i="23"/>
  <c r="K122" i="23"/>
  <c r="J122" i="23"/>
  <c r="K121" i="23"/>
  <c r="J121" i="23"/>
  <c r="K120" i="23"/>
  <c r="J120" i="23"/>
  <c r="K119" i="23"/>
  <c r="J119" i="23"/>
  <c r="K118" i="23"/>
  <c r="J118" i="23"/>
  <c r="K117" i="23"/>
  <c r="J117" i="23"/>
  <c r="K116" i="23"/>
  <c r="J116" i="23"/>
  <c r="K115" i="23"/>
  <c r="J115" i="23"/>
  <c r="F114" i="23"/>
  <c r="E114" i="23"/>
  <c r="K113" i="23"/>
  <c r="J113" i="23"/>
  <c r="K112" i="23"/>
  <c r="J112" i="23"/>
  <c r="K111" i="23"/>
  <c r="J111" i="23"/>
  <c r="K110" i="23"/>
  <c r="J110" i="23"/>
  <c r="K109" i="23"/>
  <c r="J109" i="23"/>
  <c r="K108" i="23"/>
  <c r="J108" i="23"/>
  <c r="K107" i="23"/>
  <c r="J107" i="23"/>
  <c r="K106" i="23"/>
  <c r="J106" i="23"/>
  <c r="K105" i="23"/>
  <c r="J105" i="23"/>
  <c r="K104" i="23"/>
  <c r="J104" i="23"/>
  <c r="F103" i="23"/>
  <c r="E103" i="23"/>
  <c r="K102" i="23"/>
  <c r="J102" i="23"/>
  <c r="K101" i="23"/>
  <c r="J101" i="23"/>
  <c r="K100" i="23"/>
  <c r="J100" i="23"/>
  <c r="K99" i="23"/>
  <c r="J99" i="23"/>
  <c r="K98" i="23"/>
  <c r="J98" i="23"/>
  <c r="K97" i="23"/>
  <c r="J97" i="23"/>
  <c r="K96" i="23"/>
  <c r="J96" i="23"/>
  <c r="K95" i="23"/>
  <c r="J95" i="23"/>
  <c r="K94" i="23"/>
  <c r="J94" i="23"/>
  <c r="K93" i="23"/>
  <c r="J93" i="23"/>
  <c r="F92" i="23"/>
  <c r="E92" i="23"/>
  <c r="K91" i="23"/>
  <c r="J91" i="23"/>
  <c r="K90" i="23"/>
  <c r="J90" i="23"/>
  <c r="K89" i="23"/>
  <c r="J89" i="23"/>
  <c r="K88" i="23"/>
  <c r="J88" i="23"/>
  <c r="K87" i="23"/>
  <c r="J87" i="23"/>
  <c r="K86" i="23"/>
  <c r="J86" i="23"/>
  <c r="K85" i="23"/>
  <c r="J85" i="23"/>
  <c r="K84" i="23"/>
  <c r="J84" i="23"/>
  <c r="K83" i="23"/>
  <c r="J83" i="23"/>
  <c r="K82" i="23"/>
  <c r="J82" i="23"/>
  <c r="F81" i="23"/>
  <c r="E81" i="23"/>
  <c r="K80" i="23"/>
  <c r="J80" i="23"/>
  <c r="K79" i="23"/>
  <c r="J79" i="23"/>
  <c r="K78" i="23"/>
  <c r="J78" i="23"/>
  <c r="K77" i="23"/>
  <c r="J77" i="23"/>
  <c r="K76" i="23"/>
  <c r="J76" i="23"/>
  <c r="K75" i="23"/>
  <c r="J75" i="23"/>
  <c r="K74" i="23"/>
  <c r="J74" i="23"/>
  <c r="K73" i="23"/>
  <c r="J73" i="23"/>
  <c r="K72" i="23"/>
  <c r="J72" i="23"/>
  <c r="K71" i="23"/>
  <c r="J71" i="23"/>
  <c r="F70" i="23"/>
  <c r="E70" i="23"/>
  <c r="K69" i="23"/>
  <c r="J69" i="23"/>
  <c r="K68" i="23"/>
  <c r="J68" i="23"/>
  <c r="K67" i="23"/>
  <c r="J67" i="23"/>
  <c r="K66" i="23"/>
  <c r="J66" i="23"/>
  <c r="K65" i="23"/>
  <c r="J65" i="23"/>
  <c r="K64" i="23"/>
  <c r="J64" i="23"/>
  <c r="K63" i="23"/>
  <c r="J63" i="23"/>
  <c r="K62" i="23"/>
  <c r="J62" i="23"/>
  <c r="K61" i="23"/>
  <c r="J61" i="23"/>
  <c r="K60" i="23"/>
  <c r="J60" i="23"/>
  <c r="F59" i="23"/>
  <c r="E59" i="23"/>
  <c r="K58" i="23"/>
  <c r="J58" i="23"/>
  <c r="K57" i="23"/>
  <c r="J57" i="23"/>
  <c r="K56" i="23"/>
  <c r="J56" i="23"/>
  <c r="K55" i="23"/>
  <c r="J55" i="23"/>
  <c r="K54" i="23"/>
  <c r="J54" i="23"/>
  <c r="K53" i="23"/>
  <c r="J53" i="23"/>
  <c r="K52" i="23"/>
  <c r="J52" i="23"/>
  <c r="K51" i="23"/>
  <c r="J51" i="23"/>
  <c r="K50" i="23"/>
  <c r="J50" i="23"/>
  <c r="K49" i="23"/>
  <c r="J49" i="23"/>
  <c r="F48" i="23"/>
  <c r="E48" i="23"/>
  <c r="K47" i="23"/>
  <c r="J47" i="23"/>
  <c r="K46" i="23"/>
  <c r="J46" i="23"/>
  <c r="K45" i="23"/>
  <c r="J45" i="23"/>
  <c r="K44" i="23"/>
  <c r="J44" i="23"/>
  <c r="K43" i="23"/>
  <c r="J43" i="23"/>
  <c r="K42" i="23"/>
  <c r="J42" i="23"/>
  <c r="K41" i="23"/>
  <c r="J41" i="23"/>
  <c r="K40" i="23"/>
  <c r="J40" i="23"/>
  <c r="K39" i="23"/>
  <c r="J39" i="23"/>
  <c r="K38" i="23"/>
  <c r="J38" i="23"/>
  <c r="F37" i="23"/>
  <c r="E37" i="23"/>
  <c r="K36" i="23"/>
  <c r="J36" i="23"/>
  <c r="K35" i="23"/>
  <c r="J35" i="23"/>
  <c r="K34" i="23"/>
  <c r="J34" i="23"/>
  <c r="K33" i="23"/>
  <c r="J33" i="23"/>
  <c r="K32" i="23"/>
  <c r="J32" i="23"/>
  <c r="K31" i="23"/>
  <c r="J31" i="23"/>
  <c r="K30" i="23"/>
  <c r="J30" i="23"/>
  <c r="K29" i="23"/>
  <c r="J29" i="23"/>
  <c r="K28" i="23"/>
  <c r="J28" i="23"/>
  <c r="K27" i="23"/>
  <c r="J27" i="23"/>
  <c r="F26" i="23"/>
  <c r="E26" i="23"/>
  <c r="K25" i="23"/>
  <c r="J25" i="23"/>
  <c r="K24" i="23"/>
  <c r="J24" i="23"/>
  <c r="K23" i="23"/>
  <c r="J23" i="23"/>
  <c r="K22" i="23"/>
  <c r="J22" i="23"/>
  <c r="K21" i="23"/>
  <c r="J21" i="23"/>
  <c r="K20" i="23"/>
  <c r="J20" i="23"/>
  <c r="K19" i="23"/>
  <c r="J19" i="23"/>
  <c r="K18" i="23"/>
  <c r="J18" i="23"/>
  <c r="K17" i="23"/>
  <c r="J17" i="23"/>
  <c r="K16" i="23"/>
  <c r="J16" i="23"/>
  <c r="F15" i="23"/>
  <c r="E15" i="23"/>
  <c r="K14" i="23"/>
  <c r="J14" i="23"/>
  <c r="K13" i="23"/>
  <c r="J13" i="23"/>
  <c r="K12" i="23"/>
  <c r="J12" i="23"/>
  <c r="K11" i="23"/>
  <c r="J11" i="23"/>
  <c r="K10" i="23"/>
  <c r="J10" i="23"/>
  <c r="K9" i="23"/>
  <c r="J9" i="23"/>
  <c r="K8" i="23"/>
  <c r="J8" i="23"/>
  <c r="K7" i="23"/>
  <c r="J7" i="23"/>
  <c r="K6" i="23"/>
  <c r="J6" i="23"/>
  <c r="K5" i="23"/>
  <c r="J5" i="23"/>
  <c r="F4" i="23"/>
  <c r="E4" i="23"/>
  <c r="R2" i="23"/>
  <c r="S2" i="23" s="1"/>
  <c r="N17" i="23" l="1"/>
  <c r="O53" i="23"/>
  <c r="M39" i="23"/>
  <c r="M3" i="23"/>
  <c r="J204" i="23" s="1"/>
  <c r="M204" i="23" s="1"/>
  <c r="N7" i="23"/>
  <c r="N89" i="23"/>
  <c r="M97" i="23"/>
  <c r="N39" i="23"/>
  <c r="P99" i="23"/>
  <c r="O56" i="23"/>
  <c r="M64" i="23"/>
  <c r="Q72" i="23"/>
  <c r="Q96" i="23"/>
  <c r="N100" i="23"/>
  <c r="S139" i="23"/>
  <c r="M33" i="23"/>
  <c r="P52" i="23"/>
  <c r="M18" i="23"/>
  <c r="J203" i="23"/>
  <c r="M201" i="23"/>
  <c r="K203" i="23"/>
  <c r="K202" i="23" s="1"/>
  <c r="S201" i="23"/>
  <c r="O25" i="23"/>
  <c r="O27" i="23"/>
  <c r="R127" i="23"/>
  <c r="O166" i="23"/>
  <c r="N5" i="23"/>
  <c r="N52" i="23"/>
  <c r="M62" i="23"/>
  <c r="Q82" i="23"/>
  <c r="Q90" i="23"/>
  <c r="S157" i="23"/>
  <c r="P166" i="23"/>
  <c r="O52" i="23"/>
  <c r="Q210" i="23"/>
  <c r="M34" i="23"/>
  <c r="P128" i="23"/>
  <c r="S145" i="23"/>
  <c r="P95" i="23"/>
  <c r="P145" i="23"/>
  <c r="S41" i="23"/>
  <c r="M23" i="23"/>
  <c r="P39" i="23"/>
  <c r="Q53" i="23"/>
  <c r="Q128" i="23"/>
  <c r="P10" i="23"/>
  <c r="Q55" i="23"/>
  <c r="R8" i="23"/>
  <c r="M12" i="23"/>
  <c r="O77" i="23"/>
  <c r="Q93" i="23"/>
  <c r="N109" i="23"/>
  <c r="R28" i="23"/>
  <c r="Q113" i="23"/>
  <c r="N94" i="23"/>
  <c r="S189" i="23"/>
  <c r="N75" i="23"/>
  <c r="M87" i="23"/>
  <c r="M95" i="23"/>
  <c r="R124" i="23"/>
  <c r="O124" i="23"/>
  <c r="O47" i="23"/>
  <c r="Q115" i="23"/>
  <c r="O115" i="23"/>
  <c r="M51" i="23"/>
  <c r="O51" i="23"/>
  <c r="R132" i="23"/>
  <c r="Q36" i="23"/>
  <c r="M27" i="23"/>
  <c r="Q68" i="23"/>
  <c r="N76" i="23"/>
  <c r="M84" i="23"/>
  <c r="M88" i="23"/>
  <c r="N173" i="23"/>
  <c r="Q182" i="23"/>
  <c r="P22" i="23"/>
  <c r="Q22" i="23"/>
  <c r="Q10" i="23"/>
  <c r="O42" i="23"/>
  <c r="P61" i="23"/>
  <c r="N69" i="23"/>
  <c r="M69" i="23"/>
  <c r="Q173" i="23"/>
  <c r="R197" i="23"/>
  <c r="P197" i="23"/>
  <c r="S207" i="23"/>
  <c r="O210" i="23"/>
  <c r="O44" i="23"/>
  <c r="P58" i="23"/>
  <c r="Q85" i="23"/>
  <c r="Q73" i="23"/>
  <c r="S185" i="23"/>
  <c r="O9" i="23"/>
  <c r="Q20" i="23"/>
  <c r="Q41" i="23"/>
  <c r="O49" i="23"/>
  <c r="O63" i="23"/>
  <c r="N151" i="23"/>
  <c r="M47" i="23"/>
  <c r="O64" i="23"/>
  <c r="O71" i="23"/>
  <c r="Q71" i="23"/>
  <c r="N30" i="23"/>
  <c r="O30" i="23"/>
  <c r="P65" i="23"/>
  <c r="O65" i="23"/>
  <c r="M71" i="23"/>
  <c r="O110" i="23"/>
  <c r="P110" i="23"/>
  <c r="S117" i="23"/>
  <c r="S126" i="23"/>
  <c r="Q25" i="23"/>
  <c r="M25" i="23"/>
  <c r="P31" i="23"/>
  <c r="O55" i="23"/>
  <c r="Q88" i="23"/>
  <c r="O19" i="23"/>
  <c r="Q28" i="23"/>
  <c r="P77" i="23"/>
  <c r="Q86" i="23"/>
  <c r="O86" i="23"/>
  <c r="P134" i="23"/>
  <c r="K48" i="23"/>
  <c r="Q80" i="23"/>
  <c r="M83" i="23"/>
  <c r="N112" i="23"/>
  <c r="O149" i="23"/>
  <c r="K147" i="23"/>
  <c r="Q11" i="23"/>
  <c r="N22" i="23"/>
  <c r="M28" i="23"/>
  <c r="P34" i="23"/>
  <c r="P43" i="23"/>
  <c r="P47" i="23"/>
  <c r="O54" i="23"/>
  <c r="M68" i="23"/>
  <c r="Q74" i="23"/>
  <c r="N84" i="23"/>
  <c r="Q84" i="23"/>
  <c r="Q95" i="23"/>
  <c r="R134" i="23"/>
  <c r="S175" i="23"/>
  <c r="O206" i="23"/>
  <c r="P206" i="23"/>
  <c r="Q16" i="23"/>
  <c r="M85" i="23"/>
  <c r="P87" i="23"/>
  <c r="O129" i="23"/>
  <c r="Q143" i="23"/>
  <c r="N143" i="23"/>
  <c r="M143" i="23"/>
  <c r="P146" i="23"/>
  <c r="R174" i="23"/>
  <c r="N131" i="23"/>
  <c r="P7" i="23"/>
  <c r="Q13" i="23"/>
  <c r="Q17" i="23"/>
  <c r="M17" i="23"/>
  <c r="P82" i="23"/>
  <c r="N85" i="23"/>
  <c r="Q87" i="23"/>
  <c r="O90" i="23"/>
  <c r="N122" i="23"/>
  <c r="S143" i="23"/>
  <c r="M144" i="23"/>
  <c r="Q42" i="23"/>
  <c r="M53" i="23"/>
  <c r="Q61" i="23"/>
  <c r="P63" i="23"/>
  <c r="P73" i="23"/>
  <c r="N88" i="23"/>
  <c r="N97" i="23"/>
  <c r="M127" i="23"/>
  <c r="M129" i="23"/>
  <c r="S195" i="23"/>
  <c r="S192" i="23"/>
  <c r="P192" i="23"/>
  <c r="O21" i="23"/>
  <c r="N29" i="23"/>
  <c r="Q39" i="23"/>
  <c r="K59" i="23"/>
  <c r="Q168" i="23"/>
  <c r="M128" i="23"/>
  <c r="M138" i="23"/>
  <c r="O198" i="23"/>
  <c r="S173" i="23"/>
  <c r="P211" i="23"/>
  <c r="K180" i="23"/>
  <c r="N157" i="23"/>
  <c r="N188" i="23"/>
  <c r="O197" i="23"/>
  <c r="Q201" i="23"/>
  <c r="Q211" i="23"/>
  <c r="Q32" i="23"/>
  <c r="O32" i="23"/>
  <c r="R12" i="23"/>
  <c r="K26" i="23"/>
  <c r="Q49" i="23"/>
  <c r="P49" i="23"/>
  <c r="J48" i="23"/>
  <c r="Q56" i="23"/>
  <c r="P98" i="23"/>
  <c r="N98" i="23"/>
  <c r="J103" i="23"/>
  <c r="J114" i="23"/>
  <c r="O7" i="23"/>
  <c r="M7" i="23"/>
  <c r="Q27" i="23"/>
  <c r="J26" i="23"/>
  <c r="O31" i="23"/>
  <c r="N55" i="23"/>
  <c r="M90" i="23"/>
  <c r="M115" i="23"/>
  <c r="P115" i="23"/>
  <c r="N121" i="23"/>
  <c r="N130" i="23"/>
  <c r="P142" i="23"/>
  <c r="S148" i="23"/>
  <c r="P148" i="23"/>
  <c r="R18" i="23"/>
  <c r="N20" i="23"/>
  <c r="N42" i="23"/>
  <c r="M49" i="23"/>
  <c r="P83" i="23"/>
  <c r="N83" i="23"/>
  <c r="K81" i="23"/>
  <c r="P88" i="23"/>
  <c r="N90" i="23"/>
  <c r="O94" i="23"/>
  <c r="Q98" i="23"/>
  <c r="O104" i="23"/>
  <c r="M110" i="23"/>
  <c r="O113" i="23"/>
  <c r="N113" i="23"/>
  <c r="P113" i="23"/>
  <c r="Q121" i="23"/>
  <c r="S130" i="23"/>
  <c r="R131" i="23"/>
  <c r="Q131" i="23"/>
  <c r="O131" i="23"/>
  <c r="Q152" i="23"/>
  <c r="O152" i="23"/>
  <c r="N152" i="23"/>
  <c r="R152" i="23"/>
  <c r="P105" i="23"/>
  <c r="N105" i="23"/>
  <c r="O179" i="23"/>
  <c r="N179" i="23"/>
  <c r="J81" i="23"/>
  <c r="M99" i="23"/>
  <c r="M113" i="23"/>
  <c r="Q7" i="23"/>
  <c r="N12" i="23"/>
  <c r="O17" i="23"/>
  <c r="N19" i="23"/>
  <c r="P21" i="23"/>
  <c r="P25" i="23"/>
  <c r="P27" i="23"/>
  <c r="M32" i="23"/>
  <c r="N54" i="23"/>
  <c r="M56" i="23"/>
  <c r="O58" i="23"/>
  <c r="O68" i="23"/>
  <c r="O76" i="23"/>
  <c r="O83" i="23"/>
  <c r="Q94" i="23"/>
  <c r="N99" i="23"/>
  <c r="M105" i="23"/>
  <c r="R115" i="23"/>
  <c r="N116" i="23"/>
  <c r="S122" i="23"/>
  <c r="Q124" i="23"/>
  <c r="N124" i="23"/>
  <c r="M124" i="23"/>
  <c r="Q14" i="23"/>
  <c r="O79" i="23"/>
  <c r="Q79" i="23"/>
  <c r="Q110" i="23"/>
  <c r="M10" i="23"/>
  <c r="O12" i="23"/>
  <c r="P17" i="23"/>
  <c r="Q19" i="23"/>
  <c r="Q21" i="23"/>
  <c r="O43" i="23"/>
  <c r="Q47" i="23"/>
  <c r="P53" i="23"/>
  <c r="N56" i="23"/>
  <c r="M61" i="23"/>
  <c r="M63" i="23"/>
  <c r="N68" i="23"/>
  <c r="O72" i="23"/>
  <c r="Q77" i="23"/>
  <c r="M77" i="23"/>
  <c r="N79" i="23"/>
  <c r="Q83" i="23"/>
  <c r="N87" i="23"/>
  <c r="O95" i="23"/>
  <c r="N95" i="23"/>
  <c r="O99" i="23"/>
  <c r="M109" i="23"/>
  <c r="M117" i="23"/>
  <c r="P127" i="23"/>
  <c r="O127" i="23"/>
  <c r="N127" i="23"/>
  <c r="P138" i="23"/>
  <c r="K169" i="23"/>
  <c r="P32" i="23"/>
  <c r="O105" i="23"/>
  <c r="N117" i="23"/>
  <c r="M6" i="23"/>
  <c r="O10" i="23"/>
  <c r="Q12" i="23"/>
  <c r="R19" i="23"/>
  <c r="O22" i="23"/>
  <c r="M22" i="23"/>
  <c r="M55" i="23"/>
  <c r="P55" i="23"/>
  <c r="P56" i="23"/>
  <c r="O61" i="23"/>
  <c r="P68" i="23"/>
  <c r="P71" i="23"/>
  <c r="N71" i="23"/>
  <c r="M75" i="23"/>
  <c r="P84" i="23"/>
  <c r="R117" i="23"/>
  <c r="M123" i="23"/>
  <c r="M130" i="23"/>
  <c r="R151" i="23"/>
  <c r="O151" i="23"/>
  <c r="P170" i="23"/>
  <c r="M170" i="23"/>
  <c r="R170" i="23"/>
  <c r="Q170" i="23"/>
  <c r="O13" i="23"/>
  <c r="O20" i="23"/>
  <c r="O39" i="23"/>
  <c r="M43" i="23"/>
  <c r="Q54" i="23"/>
  <c r="P64" i="23"/>
  <c r="R121" i="23"/>
  <c r="Q144" i="23"/>
  <c r="Q149" i="23"/>
  <c r="K125" i="23"/>
  <c r="J136" i="23"/>
  <c r="R146" i="23"/>
  <c r="M146" i="23"/>
  <c r="N164" i="23"/>
  <c r="P164" i="23"/>
  <c r="Q164" i="23"/>
  <c r="O164" i="23"/>
  <c r="M164" i="23"/>
  <c r="O183" i="23"/>
  <c r="M183" i="23"/>
  <c r="Q183" i="23"/>
  <c r="O121" i="23"/>
  <c r="R126" i="23"/>
  <c r="P129" i="23"/>
  <c r="M157" i="23"/>
  <c r="Q159" i="23"/>
  <c r="N144" i="23"/>
  <c r="R144" i="23"/>
  <c r="P149" i="23"/>
  <c r="S149" i="23"/>
  <c r="M149" i="23"/>
  <c r="K191" i="23"/>
  <c r="K92" i="23"/>
  <c r="P109" i="23"/>
  <c r="P111" i="23"/>
  <c r="P143" i="23"/>
  <c r="Q151" i="23"/>
  <c r="Q166" i="23"/>
  <c r="M174" i="23"/>
  <c r="M193" i="23"/>
  <c r="S193" i="23"/>
  <c r="R193" i="23"/>
  <c r="N193" i="23"/>
  <c r="Q193" i="23"/>
  <c r="M166" i="23"/>
  <c r="Q181" i="23"/>
  <c r="O139" i="23"/>
  <c r="O145" i="23"/>
  <c r="Q150" i="23"/>
  <c r="N162" i="23"/>
  <c r="R168" i="23"/>
  <c r="Q196" i="23"/>
  <c r="R155" i="23"/>
  <c r="N166" i="23"/>
  <c r="S182" i="23"/>
  <c r="M173" i="23"/>
  <c r="Q175" i="23"/>
  <c r="P189" i="23"/>
  <c r="P194" i="23"/>
  <c r="O194" i="23"/>
  <c r="R194" i="23"/>
  <c r="S176" i="23"/>
  <c r="P176" i="23"/>
  <c r="Q189" i="23"/>
  <c r="O199" i="23"/>
  <c r="M197" i="23"/>
  <c r="Q200" i="23"/>
  <c r="O205" i="23"/>
  <c r="O209" i="23"/>
  <c r="N209" i="23"/>
  <c r="M200" i="23"/>
  <c r="S198" i="23"/>
  <c r="R199" i="23"/>
  <c r="P200" i="23"/>
  <c r="N201" i="23"/>
  <c r="P207" i="23"/>
  <c r="N207" i="23"/>
  <c r="R212" i="23"/>
  <c r="Q212" i="23"/>
  <c r="S211" i="23"/>
  <c r="O211" i="23"/>
  <c r="N211" i="23"/>
  <c r="M211" i="23"/>
  <c r="M210" i="23"/>
  <c r="R210" i="23"/>
  <c r="Q208" i="23"/>
  <c r="P208" i="23"/>
  <c r="M208" i="23"/>
  <c r="R208" i="23"/>
  <c r="O208" i="23"/>
  <c r="N208" i="23"/>
  <c r="R205" i="23"/>
  <c r="S208" i="23"/>
  <c r="Q209" i="23"/>
  <c r="P209" i="23"/>
  <c r="S209" i="23"/>
  <c r="R209" i="23"/>
  <c r="M209" i="23"/>
  <c r="S205" i="23"/>
  <c r="P205" i="23"/>
  <c r="Q205" i="23"/>
  <c r="M205" i="23"/>
  <c r="N205" i="23"/>
  <c r="S206" i="23"/>
  <c r="Q207" i="23"/>
  <c r="Q206" i="23"/>
  <c r="N206" i="23"/>
  <c r="O207" i="23"/>
  <c r="M207" i="23"/>
  <c r="R207" i="23"/>
  <c r="M206" i="23"/>
  <c r="P210" i="23"/>
  <c r="O212" i="23"/>
  <c r="P212" i="23"/>
  <c r="N212" i="23"/>
  <c r="M212" i="23"/>
  <c r="S212" i="23"/>
  <c r="N210" i="23"/>
  <c r="S210" i="23"/>
  <c r="R206" i="23"/>
  <c r="R211" i="23"/>
  <c r="P195" i="23"/>
  <c r="M195" i="23"/>
  <c r="Q195" i="23"/>
  <c r="O195" i="23"/>
  <c r="R195" i="23"/>
  <c r="N195" i="23"/>
  <c r="Q192" i="23"/>
  <c r="O192" i="23"/>
  <c r="J191" i="23"/>
  <c r="N192" i="23"/>
  <c r="M192" i="23"/>
  <c r="R192" i="23"/>
  <c r="P193" i="23"/>
  <c r="N194" i="23"/>
  <c r="M194" i="23"/>
  <c r="O193" i="23"/>
  <c r="N196" i="23"/>
  <c r="O196" i="23"/>
  <c r="R196" i="23"/>
  <c r="M196" i="23"/>
  <c r="S196" i="23"/>
  <c r="P196" i="23"/>
  <c r="Q194" i="23"/>
  <c r="S194" i="23"/>
  <c r="P198" i="23"/>
  <c r="S199" i="23"/>
  <c r="N198" i="23"/>
  <c r="M198" i="23"/>
  <c r="R198" i="23"/>
  <c r="Q198" i="23"/>
  <c r="N197" i="23"/>
  <c r="N199" i="23"/>
  <c r="N200" i="23"/>
  <c r="S200" i="23"/>
  <c r="O200" i="23"/>
  <c r="P199" i="23"/>
  <c r="Q199" i="23"/>
  <c r="M199" i="23"/>
  <c r="Q197" i="23"/>
  <c r="S197" i="23"/>
  <c r="P201" i="23"/>
  <c r="O201" i="23"/>
  <c r="R201" i="23"/>
  <c r="R200" i="23"/>
  <c r="S184" i="23"/>
  <c r="Q184" i="23"/>
  <c r="N184" i="23"/>
  <c r="S181" i="23"/>
  <c r="O184" i="23"/>
  <c r="N183" i="23"/>
  <c r="P184" i="23"/>
  <c r="P181" i="23"/>
  <c r="R181" i="23"/>
  <c r="N181" i="23"/>
  <c r="O186" i="23"/>
  <c r="P186" i="23"/>
  <c r="N186" i="23"/>
  <c r="M186" i="23"/>
  <c r="S186" i="23"/>
  <c r="Q186" i="23"/>
  <c r="P187" i="23"/>
  <c r="M187" i="23"/>
  <c r="R187" i="23"/>
  <c r="N187" i="23"/>
  <c r="Q187" i="23"/>
  <c r="O187" i="23"/>
  <c r="M181" i="23"/>
  <c r="N182" i="23"/>
  <c r="O185" i="23"/>
  <c r="M185" i="23"/>
  <c r="Q185" i="23"/>
  <c r="P185" i="23"/>
  <c r="N185" i="23"/>
  <c r="R186" i="23"/>
  <c r="S187" i="23"/>
  <c r="P182" i="23"/>
  <c r="J180" i="23"/>
  <c r="O181" i="23"/>
  <c r="O182" i="23"/>
  <c r="P183" i="23"/>
  <c r="R183" i="23"/>
  <c r="S183" i="23"/>
  <c r="S188" i="23"/>
  <c r="R188" i="23"/>
  <c r="O188" i="23"/>
  <c r="Q188" i="23"/>
  <c r="M188" i="23"/>
  <c r="P188" i="23"/>
  <c r="R182" i="23"/>
  <c r="M182" i="23"/>
  <c r="P190" i="23"/>
  <c r="N190" i="23"/>
  <c r="S190" i="23"/>
  <c r="Q190" i="23"/>
  <c r="M190" i="23"/>
  <c r="R184" i="23"/>
  <c r="M184" i="23"/>
  <c r="R185" i="23"/>
  <c r="M189" i="23"/>
  <c r="N189" i="23"/>
  <c r="O189" i="23"/>
  <c r="R189" i="23"/>
  <c r="O190" i="23"/>
  <c r="R190" i="23"/>
  <c r="M172" i="23"/>
  <c r="P172" i="23"/>
  <c r="O172" i="23"/>
  <c r="N172" i="23"/>
  <c r="S172" i="23"/>
  <c r="P171" i="23"/>
  <c r="R171" i="23"/>
  <c r="S171" i="23"/>
  <c r="Q171" i="23"/>
  <c r="O171" i="23"/>
  <c r="Q172" i="23"/>
  <c r="S174" i="23"/>
  <c r="O174" i="23"/>
  <c r="Q174" i="23"/>
  <c r="P174" i="23"/>
  <c r="N174" i="23"/>
  <c r="J169" i="23"/>
  <c r="M171" i="23"/>
  <c r="N171" i="23"/>
  <c r="P177" i="23"/>
  <c r="N177" i="23"/>
  <c r="Q177" i="23"/>
  <c r="M177" i="23"/>
  <c r="S177" i="23"/>
  <c r="P175" i="23"/>
  <c r="N175" i="23"/>
  <c r="M175" i="23"/>
  <c r="R175" i="23"/>
  <c r="O175" i="23"/>
  <c r="R172" i="23"/>
  <c r="O170" i="23"/>
  <c r="P173" i="23"/>
  <c r="S170" i="23"/>
  <c r="N170" i="23"/>
  <c r="O173" i="23"/>
  <c r="Q176" i="23"/>
  <c r="Q178" i="23"/>
  <c r="P178" i="23"/>
  <c r="O178" i="23"/>
  <c r="M176" i="23"/>
  <c r="O176" i="23"/>
  <c r="N176" i="23"/>
  <c r="R176" i="23"/>
  <c r="N178" i="23"/>
  <c r="Q179" i="23"/>
  <c r="P179" i="23"/>
  <c r="R179" i="23"/>
  <c r="M179" i="23"/>
  <c r="S179" i="23"/>
  <c r="R178" i="23"/>
  <c r="R173" i="23"/>
  <c r="O177" i="23"/>
  <c r="R177" i="23"/>
  <c r="M178" i="23"/>
  <c r="S178" i="23"/>
  <c r="O162" i="23"/>
  <c r="R162" i="23"/>
  <c r="Q162" i="23"/>
  <c r="M162" i="23"/>
  <c r="O163" i="23"/>
  <c r="Q163" i="23"/>
  <c r="M163" i="23"/>
  <c r="R159" i="23"/>
  <c r="O165" i="23"/>
  <c r="N165" i="23"/>
  <c r="S159" i="23"/>
  <c r="R163" i="23"/>
  <c r="R160" i="23"/>
  <c r="M161" i="23"/>
  <c r="S161" i="23"/>
  <c r="Q161" i="23"/>
  <c r="P161" i="23"/>
  <c r="K158" i="23"/>
  <c r="N160" i="23"/>
  <c r="S162" i="23"/>
  <c r="M159" i="23"/>
  <c r="O160" i="23"/>
  <c r="N161" i="23"/>
  <c r="Q167" i="23"/>
  <c r="O167" i="23"/>
  <c r="M167" i="23"/>
  <c r="N167" i="23"/>
  <c r="S167" i="23"/>
  <c r="P167" i="23"/>
  <c r="P159" i="23"/>
  <c r="O159" i="23"/>
  <c r="P162" i="23"/>
  <c r="J158" i="23"/>
  <c r="N159" i="23"/>
  <c r="Q160" i="23"/>
  <c r="O161" i="23"/>
  <c r="P160" i="23"/>
  <c r="M160" i="23"/>
  <c r="S160" i="23"/>
  <c r="R161" i="23"/>
  <c r="P163" i="23"/>
  <c r="S164" i="23"/>
  <c r="R164" i="23"/>
  <c r="M165" i="23"/>
  <c r="N163" i="23"/>
  <c r="S163" i="23"/>
  <c r="Q165" i="23"/>
  <c r="M168" i="23"/>
  <c r="R165" i="23"/>
  <c r="N168" i="23"/>
  <c r="P165" i="23"/>
  <c r="S165" i="23"/>
  <c r="P168" i="23"/>
  <c r="S166" i="23"/>
  <c r="R166" i="23"/>
  <c r="O168" i="23"/>
  <c r="S168" i="23"/>
  <c r="R167" i="23"/>
  <c r="O150" i="23"/>
  <c r="R150" i="23"/>
  <c r="N150" i="23"/>
  <c r="M150" i="23"/>
  <c r="S150" i="23"/>
  <c r="O153" i="23"/>
  <c r="N156" i="23"/>
  <c r="R156" i="23"/>
  <c r="P156" i="23"/>
  <c r="O156" i="23"/>
  <c r="M156" i="23"/>
  <c r="S156" i="23"/>
  <c r="Q156" i="23"/>
  <c r="Q148" i="23"/>
  <c r="P155" i="23"/>
  <c r="Q155" i="23"/>
  <c r="N155" i="23"/>
  <c r="M155" i="23"/>
  <c r="S155" i="23"/>
  <c r="O155" i="23"/>
  <c r="R148" i="23"/>
  <c r="P150" i="23"/>
  <c r="P153" i="23"/>
  <c r="N154" i="23"/>
  <c r="O154" i="23"/>
  <c r="M154" i="23"/>
  <c r="R154" i="23"/>
  <c r="P154" i="23"/>
  <c r="S154" i="23"/>
  <c r="Q154" i="23"/>
  <c r="M148" i="23"/>
  <c r="O148" i="23"/>
  <c r="J147" i="23"/>
  <c r="N148" i="23"/>
  <c r="N149" i="23"/>
  <c r="P151" i="23"/>
  <c r="S151" i="23"/>
  <c r="M151" i="23"/>
  <c r="P152" i="23"/>
  <c r="M153" i="23"/>
  <c r="R153" i="23"/>
  <c r="S153" i="23"/>
  <c r="M152" i="23"/>
  <c r="Q153" i="23"/>
  <c r="N153" i="23"/>
  <c r="R149" i="23"/>
  <c r="S152" i="23"/>
  <c r="P157" i="23"/>
  <c r="Q157" i="23"/>
  <c r="R157" i="23"/>
  <c r="O157" i="23"/>
  <c r="S137" i="23"/>
  <c r="P141" i="23"/>
  <c r="N141" i="23"/>
  <c r="R141" i="23"/>
  <c r="Q141" i="23"/>
  <c r="O141" i="23"/>
  <c r="S141" i="23"/>
  <c r="M141" i="23"/>
  <c r="Q138" i="23"/>
  <c r="Q142" i="23"/>
  <c r="N137" i="23"/>
  <c r="K136" i="23"/>
  <c r="Q137" i="23"/>
  <c r="M137" i="23"/>
  <c r="O138" i="23"/>
  <c r="R138" i="23"/>
  <c r="S138" i="23"/>
  <c r="N138" i="23"/>
  <c r="M139" i="23"/>
  <c r="R139" i="23"/>
  <c r="Q139" i="23"/>
  <c r="P139" i="23"/>
  <c r="O140" i="23"/>
  <c r="N140" i="23"/>
  <c r="M140" i="23"/>
  <c r="O137" i="23"/>
  <c r="R140" i="23"/>
  <c r="P137" i="23"/>
  <c r="N139" i="23"/>
  <c r="S140" i="23"/>
  <c r="M142" i="23"/>
  <c r="R142" i="23"/>
  <c r="O142" i="23"/>
  <c r="N142" i="23"/>
  <c r="S142" i="23"/>
  <c r="Q140" i="23"/>
  <c r="P140" i="23"/>
  <c r="O143" i="23"/>
  <c r="R137" i="23"/>
  <c r="P144" i="23"/>
  <c r="Q145" i="23"/>
  <c r="N146" i="23"/>
  <c r="O144" i="23"/>
  <c r="S144" i="23"/>
  <c r="M145" i="23"/>
  <c r="S146" i="23"/>
  <c r="O146" i="23"/>
  <c r="Q146" i="23"/>
  <c r="N145" i="23"/>
  <c r="R143" i="23"/>
  <c r="R145" i="23"/>
  <c r="P126" i="23"/>
  <c r="Q126" i="23"/>
  <c r="O126" i="23"/>
  <c r="N126" i="23"/>
  <c r="M126" i="23"/>
  <c r="J125" i="23"/>
  <c r="Q127" i="23"/>
  <c r="S127" i="23"/>
  <c r="O130" i="23"/>
  <c r="R130" i="23"/>
  <c r="Q130" i="23"/>
  <c r="P130" i="23"/>
  <c r="O128" i="23"/>
  <c r="N129" i="23"/>
  <c r="S135" i="23"/>
  <c r="P135" i="23"/>
  <c r="R135" i="23"/>
  <c r="N135" i="23"/>
  <c r="Q135" i="23"/>
  <c r="O135" i="23"/>
  <c r="M135" i="23"/>
  <c r="R128" i="23"/>
  <c r="S129" i="23"/>
  <c r="P132" i="23"/>
  <c r="O132" i="23"/>
  <c r="M132" i="23"/>
  <c r="N128" i="23"/>
  <c r="S128" i="23"/>
  <c r="N133" i="23"/>
  <c r="S133" i="23"/>
  <c r="Q133" i="23"/>
  <c r="P133" i="23"/>
  <c r="Q129" i="23"/>
  <c r="Q132" i="23"/>
  <c r="M133" i="23"/>
  <c r="P131" i="23"/>
  <c r="N134" i="23"/>
  <c r="S134" i="23"/>
  <c r="Q134" i="23"/>
  <c r="M134" i="23"/>
  <c r="O134" i="23"/>
  <c r="S131" i="23"/>
  <c r="M131" i="23"/>
  <c r="R129" i="23"/>
  <c r="N132" i="23"/>
  <c r="S132" i="23"/>
  <c r="O133" i="23"/>
  <c r="R133" i="23"/>
  <c r="P119" i="23"/>
  <c r="N119" i="23"/>
  <c r="M119" i="23"/>
  <c r="R119" i="23"/>
  <c r="S119" i="23"/>
  <c r="K114" i="23"/>
  <c r="S116" i="23"/>
  <c r="M116" i="23"/>
  <c r="R118" i="23"/>
  <c r="Q118" i="23"/>
  <c r="P118" i="23"/>
  <c r="M118" i="23"/>
  <c r="S118" i="23"/>
  <c r="O118" i="23"/>
  <c r="N118" i="23"/>
  <c r="O116" i="23"/>
  <c r="S115" i="23"/>
  <c r="N115" i="23"/>
  <c r="Q116" i="23"/>
  <c r="P116" i="23"/>
  <c r="R116" i="23"/>
  <c r="P120" i="23"/>
  <c r="O120" i="23"/>
  <c r="R120" i="23"/>
  <c r="Q120" i="23"/>
  <c r="M120" i="23"/>
  <c r="P117" i="23"/>
  <c r="Q119" i="23"/>
  <c r="O119" i="23"/>
  <c r="O117" i="23"/>
  <c r="Q117" i="23"/>
  <c r="N120" i="23"/>
  <c r="S120" i="23"/>
  <c r="P121" i="23"/>
  <c r="P122" i="23"/>
  <c r="N123" i="23"/>
  <c r="S123" i="23"/>
  <c r="R123" i="23"/>
  <c r="O123" i="23"/>
  <c r="Q123" i="23"/>
  <c r="P123" i="23"/>
  <c r="M121" i="23"/>
  <c r="S121" i="23"/>
  <c r="O122" i="23"/>
  <c r="Q122" i="23"/>
  <c r="M122" i="23"/>
  <c r="R122" i="23"/>
  <c r="S124" i="23"/>
  <c r="P124" i="23"/>
  <c r="M45" i="23"/>
  <c r="R45" i="23"/>
  <c r="T2" i="23"/>
  <c r="T124" i="23" s="1"/>
  <c r="S8" i="23"/>
  <c r="N9" i="23"/>
  <c r="M9" i="23"/>
  <c r="Q9" i="23"/>
  <c r="P16" i="23"/>
  <c r="O14" i="23"/>
  <c r="K15" i="23"/>
  <c r="S16" i="23"/>
  <c r="O5" i="23"/>
  <c r="K4" i="23"/>
  <c r="S5" i="23"/>
  <c r="Q46" i="23"/>
  <c r="P46" i="23"/>
  <c r="M46" i="23"/>
  <c r="O46" i="23"/>
  <c r="N46" i="23"/>
  <c r="P14" i="23"/>
  <c r="O6" i="23"/>
  <c r="N6" i="23"/>
  <c r="Q8" i="23"/>
  <c r="N8" i="23"/>
  <c r="J4" i="23"/>
  <c r="P8" i="23"/>
  <c r="O8" i="23"/>
  <c r="R9" i="23"/>
  <c r="S14" i="23"/>
  <c r="S24" i="23"/>
  <c r="S40" i="23"/>
  <c r="S113" i="23"/>
  <c r="S111" i="23"/>
  <c r="S108" i="23"/>
  <c r="S107" i="23"/>
  <c r="S112" i="23"/>
  <c r="S110" i="23"/>
  <c r="S109" i="23"/>
  <c r="S106" i="23"/>
  <c r="S104" i="23"/>
  <c r="S101" i="23"/>
  <c r="S100" i="23"/>
  <c r="S99" i="23"/>
  <c r="S102" i="23"/>
  <c r="S105" i="23"/>
  <c r="S98" i="23"/>
  <c r="S96" i="23"/>
  <c r="S93" i="23"/>
  <c r="S85" i="23"/>
  <c r="S95" i="23"/>
  <c r="S94" i="23"/>
  <c r="S90" i="23"/>
  <c r="S84" i="23"/>
  <c r="S86" i="23"/>
  <c r="S97" i="23"/>
  <c r="S87" i="23"/>
  <c r="S83" i="23"/>
  <c r="S82" i="23"/>
  <c r="S80" i="23"/>
  <c r="S88" i="23"/>
  <c r="S77" i="23"/>
  <c r="S91" i="23"/>
  <c r="S79" i="23"/>
  <c r="S71" i="23"/>
  <c r="S78" i="23"/>
  <c r="S76" i="23"/>
  <c r="S66" i="23"/>
  <c r="S89" i="23"/>
  <c r="S73" i="23"/>
  <c r="S65" i="23"/>
  <c r="S61" i="23"/>
  <c r="S63" i="23"/>
  <c r="S56" i="23"/>
  <c r="S75" i="23"/>
  <c r="S53" i="23"/>
  <c r="S62" i="23"/>
  <c r="S52" i="23"/>
  <c r="S64" i="23"/>
  <c r="S51" i="23"/>
  <c r="S49" i="23"/>
  <c r="S47" i="23"/>
  <c r="S69" i="23"/>
  <c r="S74" i="23"/>
  <c r="S50" i="23"/>
  <c r="S55" i="23"/>
  <c r="S46" i="23"/>
  <c r="S39" i="23"/>
  <c r="S34" i="23"/>
  <c r="S72" i="23"/>
  <c r="S54" i="23"/>
  <c r="S44" i="23"/>
  <c r="S33" i="23"/>
  <c r="S67" i="23"/>
  <c r="S68" i="23"/>
  <c r="S38" i="23"/>
  <c r="S27" i="23"/>
  <c r="S25" i="23"/>
  <c r="S32" i="23"/>
  <c r="S31" i="23"/>
  <c r="S22" i="23"/>
  <c r="S29" i="23"/>
  <c r="S19" i="23"/>
  <c r="S58" i="23"/>
  <c r="S57" i="23"/>
  <c r="S28" i="23"/>
  <c r="S10" i="23"/>
  <c r="S60" i="23"/>
  <c r="S23" i="23"/>
  <c r="S20" i="23"/>
  <c r="S17" i="23"/>
  <c r="S7" i="23"/>
  <c r="S9" i="23"/>
  <c r="S45" i="23"/>
  <c r="S12" i="23"/>
  <c r="S35" i="23"/>
  <c r="S11" i="23"/>
  <c r="S36" i="23"/>
  <c r="S30" i="23"/>
  <c r="S21" i="23"/>
  <c r="S18" i="23"/>
  <c r="S6" i="23"/>
  <c r="P9" i="23"/>
  <c r="N40" i="23"/>
  <c r="M40" i="23"/>
  <c r="P6" i="23"/>
  <c r="N13" i="23"/>
  <c r="Q18" i="23"/>
  <c r="J15" i="23"/>
  <c r="P18" i="23"/>
  <c r="N18" i="23"/>
  <c r="O18" i="23"/>
  <c r="S42" i="23"/>
  <c r="S43" i="23"/>
  <c r="P11" i="23"/>
  <c r="M11" i="23"/>
  <c r="O11" i="23"/>
  <c r="N11" i="23"/>
  <c r="N24" i="23"/>
  <c r="M24" i="23"/>
  <c r="Q24" i="23"/>
  <c r="P24" i="23"/>
  <c r="O24" i="23"/>
  <c r="Q5" i="23"/>
  <c r="Q6" i="23"/>
  <c r="M8" i="23"/>
  <c r="R11" i="23"/>
  <c r="S13" i="23"/>
  <c r="O16" i="23"/>
  <c r="Q23" i="23"/>
  <c r="P23" i="23"/>
  <c r="O23" i="23"/>
  <c r="N38" i="23"/>
  <c r="M38" i="23"/>
  <c r="Q38" i="23"/>
  <c r="P38" i="23"/>
  <c r="M5" i="23"/>
  <c r="R6" i="23"/>
  <c r="N10" i="23"/>
  <c r="P12" i="23"/>
  <c r="M13" i="23"/>
  <c r="R14" i="23"/>
  <c r="R16" i="23"/>
  <c r="M29" i="23"/>
  <c r="P29" i="23"/>
  <c r="K37" i="23"/>
  <c r="R40" i="23"/>
  <c r="N60" i="23"/>
  <c r="M60" i="23"/>
  <c r="Q60" i="23"/>
  <c r="P60" i="23"/>
  <c r="O60" i="23"/>
  <c r="J59" i="23"/>
  <c r="P5" i="23"/>
  <c r="R7" i="23"/>
  <c r="P13" i="23"/>
  <c r="M14" i="23"/>
  <c r="M16" i="23"/>
  <c r="R17" i="23"/>
  <c r="N21" i="23"/>
  <c r="M21" i="23"/>
  <c r="R23" i="23"/>
  <c r="O29" i="23"/>
  <c r="Q30" i="23"/>
  <c r="P30" i="23"/>
  <c r="M30" i="23"/>
  <c r="M31" i="23"/>
  <c r="Q31" i="23"/>
  <c r="N31" i="23"/>
  <c r="R10" i="23"/>
  <c r="N14" i="23"/>
  <c r="N16" i="23"/>
  <c r="Q29" i="23"/>
  <c r="O33" i="23"/>
  <c r="N33" i="23"/>
  <c r="Q33" i="23"/>
  <c r="P33" i="23"/>
  <c r="N23" i="23"/>
  <c r="R113" i="23"/>
  <c r="R112" i="23"/>
  <c r="R109" i="23"/>
  <c r="R108" i="23"/>
  <c r="R106" i="23"/>
  <c r="R110" i="23"/>
  <c r="R105" i="23"/>
  <c r="R104" i="23"/>
  <c r="R102" i="23"/>
  <c r="R100" i="23"/>
  <c r="R107" i="23"/>
  <c r="R99" i="23"/>
  <c r="R95" i="23"/>
  <c r="R111" i="23"/>
  <c r="R94" i="23"/>
  <c r="R97" i="23"/>
  <c r="R101" i="23"/>
  <c r="R91" i="23"/>
  <c r="R90" i="23"/>
  <c r="R96" i="23"/>
  <c r="R88" i="23"/>
  <c r="R98" i="23"/>
  <c r="R87" i="23"/>
  <c r="R89" i="23"/>
  <c r="R86" i="23"/>
  <c r="R77" i="23"/>
  <c r="R74" i="23"/>
  <c r="R85" i="23"/>
  <c r="R82" i="23"/>
  <c r="R73" i="23"/>
  <c r="R80" i="23"/>
  <c r="R75" i="23"/>
  <c r="R69" i="23"/>
  <c r="R76" i="23"/>
  <c r="R72" i="23"/>
  <c r="R68" i="23"/>
  <c r="R84" i="23"/>
  <c r="R61" i="23"/>
  <c r="R71" i="23"/>
  <c r="R63" i="23"/>
  <c r="R56" i="23"/>
  <c r="R79" i="23"/>
  <c r="R66" i="23"/>
  <c r="R55" i="23"/>
  <c r="R93" i="23"/>
  <c r="R83" i="23"/>
  <c r="R64" i="23"/>
  <c r="R62" i="23"/>
  <c r="R52" i="23"/>
  <c r="R51" i="23"/>
  <c r="R49" i="23"/>
  <c r="R47" i="23"/>
  <c r="R53" i="23"/>
  <c r="R44" i="23"/>
  <c r="R67" i="23"/>
  <c r="R58" i="23"/>
  <c r="R43" i="23"/>
  <c r="R50" i="23"/>
  <c r="R46" i="23"/>
  <c r="R32" i="23"/>
  <c r="R39" i="23"/>
  <c r="R41" i="23"/>
  <c r="R38" i="23"/>
  <c r="R36" i="23"/>
  <c r="R57" i="23"/>
  <c r="R65" i="23"/>
  <c r="R54" i="23"/>
  <c r="R42" i="23"/>
  <c r="R35" i="23"/>
  <c r="R33" i="23"/>
  <c r="R30" i="23"/>
  <c r="R20" i="23"/>
  <c r="R27" i="23"/>
  <c r="R25" i="23"/>
  <c r="R31" i="23"/>
  <c r="R22" i="23"/>
  <c r="R78" i="23"/>
  <c r="R60" i="23"/>
  <c r="R21" i="23"/>
  <c r="R5" i="23"/>
  <c r="R13" i="23"/>
  <c r="M19" i="23"/>
  <c r="P19" i="23"/>
  <c r="R24" i="23"/>
  <c r="P28" i="23"/>
  <c r="O28" i="23"/>
  <c r="N28" i="23"/>
  <c r="R29" i="23"/>
  <c r="R34" i="23"/>
  <c r="N36" i="23"/>
  <c r="M36" i="23"/>
  <c r="P36" i="23"/>
  <c r="O36" i="23"/>
  <c r="M20" i="23"/>
  <c r="N25" i="23"/>
  <c r="N27" i="23"/>
  <c r="Q35" i="23"/>
  <c r="P35" i="23"/>
  <c r="M35" i="23"/>
  <c r="O38" i="23"/>
  <c r="P20" i="23"/>
  <c r="N34" i="23"/>
  <c r="N35" i="23"/>
  <c r="P41" i="23"/>
  <c r="N41" i="23"/>
  <c r="M41" i="23"/>
  <c r="N44" i="23"/>
  <c r="M44" i="23"/>
  <c r="O34" i="23"/>
  <c r="O35" i="23"/>
  <c r="P44" i="23"/>
  <c r="Q34" i="23"/>
  <c r="Q40" i="23"/>
  <c r="J37" i="23"/>
  <c r="P40" i="23"/>
  <c r="O40" i="23"/>
  <c r="O41" i="23"/>
  <c r="Q44" i="23"/>
  <c r="N32" i="23"/>
  <c r="Q43" i="23"/>
  <c r="O45" i="23"/>
  <c r="P50" i="23"/>
  <c r="O50" i="23"/>
  <c r="N50" i="23"/>
  <c r="P42" i="23"/>
  <c r="M42" i="23"/>
  <c r="N45" i="23"/>
  <c r="M50" i="23"/>
  <c r="P45" i="23"/>
  <c r="Q50" i="23"/>
  <c r="Q51" i="23"/>
  <c r="N51" i="23"/>
  <c r="P51" i="23"/>
  <c r="Q57" i="23"/>
  <c r="P57" i="23"/>
  <c r="O57" i="23"/>
  <c r="N57" i="23"/>
  <c r="M57" i="23"/>
  <c r="Q67" i="23"/>
  <c r="O67" i="23"/>
  <c r="N43" i="23"/>
  <c r="Q45" i="23"/>
  <c r="P62" i="23"/>
  <c r="O62" i="23"/>
  <c r="N62" i="23"/>
  <c r="Q62" i="23"/>
  <c r="P66" i="23"/>
  <c r="N66" i="23"/>
  <c r="M66" i="23"/>
  <c r="Q66" i="23"/>
  <c r="O66" i="23"/>
  <c r="N47" i="23"/>
  <c r="N49" i="23"/>
  <c r="M52" i="23"/>
  <c r="N53" i="23"/>
  <c r="P78" i="23"/>
  <c r="O78" i="23"/>
  <c r="N78" i="23"/>
  <c r="M78" i="23"/>
  <c r="Q78" i="23"/>
  <c r="Q52" i="23"/>
  <c r="P54" i="23"/>
  <c r="M54" i="23"/>
  <c r="N63" i="23"/>
  <c r="N58" i="23"/>
  <c r="M58" i="23"/>
  <c r="Q58" i="23"/>
  <c r="O75" i="23"/>
  <c r="Q75" i="23"/>
  <c r="P75" i="23"/>
  <c r="N65" i="23"/>
  <c r="M65" i="23"/>
  <c r="Q65" i="23"/>
  <c r="N61" i="23"/>
  <c r="P67" i="23"/>
  <c r="M67" i="23"/>
  <c r="M73" i="23"/>
  <c r="O73" i="23"/>
  <c r="N73" i="23"/>
  <c r="Q64" i="23"/>
  <c r="N64" i="23"/>
  <c r="N67" i="23"/>
  <c r="P69" i="23"/>
  <c r="Q69" i="23"/>
  <c r="O69" i="23"/>
  <c r="P72" i="23"/>
  <c r="M72" i="23"/>
  <c r="N72" i="23"/>
  <c r="J70" i="23"/>
  <c r="P74" i="23"/>
  <c r="N74" i="23"/>
  <c r="M74" i="23"/>
  <c r="M76" i="23"/>
  <c r="Q76" i="23"/>
  <c r="P76" i="23"/>
  <c r="Q63" i="23"/>
  <c r="O74" i="23"/>
  <c r="P80" i="23"/>
  <c r="O80" i="23"/>
  <c r="N80" i="23"/>
  <c r="M80" i="23"/>
  <c r="N82" i="23"/>
  <c r="O82" i="23"/>
  <c r="M82" i="23"/>
  <c r="K70" i="23"/>
  <c r="M79" i="23"/>
  <c r="P79" i="23"/>
  <c r="P91" i="23"/>
  <c r="N91" i="23"/>
  <c r="M91" i="23"/>
  <c r="Q91" i="23"/>
  <c r="N77" i="23"/>
  <c r="O84" i="23"/>
  <c r="P101" i="23"/>
  <c r="O101" i="23"/>
  <c r="N101" i="23"/>
  <c r="M101" i="23"/>
  <c r="Q101" i="23"/>
  <c r="P85" i="23"/>
  <c r="O85" i="23"/>
  <c r="P86" i="23"/>
  <c r="M86" i="23"/>
  <c r="N86" i="23"/>
  <c r="Q89" i="23"/>
  <c r="O89" i="23"/>
  <c r="O87" i="23"/>
  <c r="M89" i="23"/>
  <c r="P89" i="23"/>
  <c r="P90" i="23"/>
  <c r="N93" i="23"/>
  <c r="P93" i="23"/>
  <c r="O93" i="23"/>
  <c r="M100" i="23"/>
  <c r="P100" i="23"/>
  <c r="Q100" i="23"/>
  <c r="O88" i="23"/>
  <c r="O91" i="23"/>
  <c r="O96" i="23"/>
  <c r="P96" i="23"/>
  <c r="N96" i="23"/>
  <c r="M96" i="23"/>
  <c r="J92" i="23"/>
  <c r="M94" i="23"/>
  <c r="P94" i="23"/>
  <c r="Q97" i="23"/>
  <c r="P97" i="23"/>
  <c r="O97" i="23"/>
  <c r="P104" i="23"/>
  <c r="K103" i="23"/>
  <c r="Q104" i="23"/>
  <c r="N104" i="23"/>
  <c r="P102" i="23"/>
  <c r="Q102" i="23"/>
  <c r="O102" i="23"/>
  <c r="N102" i="23"/>
  <c r="O108" i="23"/>
  <c r="P108" i="23"/>
  <c r="N108" i="23"/>
  <c r="Q108" i="23"/>
  <c r="M93" i="23"/>
  <c r="P106" i="23"/>
  <c r="N106" i="23"/>
  <c r="M106" i="23"/>
  <c r="Q106" i="23"/>
  <c r="M98" i="23"/>
  <c r="O98" i="23"/>
  <c r="O100" i="23"/>
  <c r="Q99" i="23"/>
  <c r="M108" i="23"/>
  <c r="Q107" i="23"/>
  <c r="N107" i="23"/>
  <c r="M107" i="23"/>
  <c r="Q105" i="23"/>
  <c r="N111" i="23"/>
  <c r="M111" i="23"/>
  <c r="Q111" i="23"/>
  <c r="M102" i="23"/>
  <c r="M104" i="23"/>
  <c r="O107" i="23"/>
  <c r="Q109" i="23"/>
  <c r="N110" i="23"/>
  <c r="O106" i="23"/>
  <c r="P107" i="23"/>
  <c r="O109" i="23"/>
  <c r="M112" i="23"/>
  <c r="P112" i="23"/>
  <c r="Q112" i="23"/>
  <c r="O112" i="23"/>
  <c r="O111" i="23"/>
  <c r="S92" i="23" l="1"/>
  <c r="O204" i="23"/>
  <c r="N204" i="23"/>
  <c r="R204" i="23"/>
  <c r="M26" i="23"/>
  <c r="N103" i="23"/>
  <c r="P204" i="23"/>
  <c r="S204" i="23"/>
  <c r="Q204" i="23"/>
  <c r="M203" i="23"/>
  <c r="N81" i="23"/>
  <c r="T115" i="23"/>
  <c r="T143" i="23"/>
  <c r="Q48" i="23"/>
  <c r="R3" i="23"/>
  <c r="W3" i="23" s="1"/>
  <c r="AB3" i="23" s="1"/>
  <c r="AG3" i="23" s="1"/>
  <c r="AL3" i="23" s="1"/>
  <c r="AQ3" i="23" s="1"/>
  <c r="AV3" i="23" s="1"/>
  <c r="BA3" i="23" s="1"/>
  <c r="BF3" i="23" s="1"/>
  <c r="BK3" i="23" s="1"/>
  <c r="BP3" i="23" s="1"/>
  <c r="BU3" i="23" s="1"/>
  <c r="BZ3" i="23" s="1"/>
  <c r="CE3" i="23" s="1"/>
  <c r="CJ3" i="23" s="1"/>
  <c r="CO3" i="23" s="1"/>
  <c r="CT3" i="23" s="1"/>
  <c r="CY3" i="23" s="1"/>
  <c r="DD3" i="23" s="1"/>
  <c r="DI3" i="23" s="1"/>
  <c r="DN3" i="23" s="1"/>
  <c r="DS3" i="23" s="1"/>
  <c r="DX3" i="23" s="1"/>
  <c r="EC3" i="23" s="1"/>
  <c r="EH3" i="23" s="1"/>
  <c r="EM3" i="23" s="1"/>
  <c r="ER3" i="23" s="1"/>
  <c r="EW3" i="23" s="1"/>
  <c r="FB3" i="23" s="1"/>
  <c r="FG3" i="23" s="1"/>
  <c r="FL3" i="23" s="1"/>
  <c r="FQ3" i="23" s="1"/>
  <c r="FV3" i="23" s="1"/>
  <c r="GA3" i="23" s="1"/>
  <c r="GF3" i="23" s="1"/>
  <c r="GK3" i="23" s="1"/>
  <c r="GP3" i="23" s="1"/>
  <c r="GU3" i="23" s="1"/>
  <c r="GZ3" i="23" s="1"/>
  <c r="HE3" i="23" s="1"/>
  <c r="HJ3" i="23" s="1"/>
  <c r="HO3" i="23" s="1"/>
  <c r="HT3" i="23" s="1"/>
  <c r="HY3" i="23" s="1"/>
  <c r="ID3" i="23" s="1"/>
  <c r="II3" i="23" s="1"/>
  <c r="IN3" i="23" s="1"/>
  <c r="N48" i="23"/>
  <c r="M48" i="23"/>
  <c r="Q81" i="23"/>
  <c r="R81" i="23"/>
  <c r="N26" i="23"/>
  <c r="S48" i="23"/>
  <c r="O48" i="23"/>
  <c r="S81" i="23"/>
  <c r="M81" i="23"/>
  <c r="P26" i="23"/>
  <c r="T117" i="23"/>
  <c r="O203" i="23"/>
  <c r="S26" i="23"/>
  <c r="T165" i="23"/>
  <c r="S203" i="23"/>
  <c r="T152" i="23"/>
  <c r="Q203" i="23"/>
  <c r="P203" i="23"/>
  <c r="R26" i="23"/>
  <c r="N203" i="23"/>
  <c r="R203" i="23"/>
  <c r="J202" i="23"/>
  <c r="S202" i="23" s="1"/>
  <c r="Q26" i="23"/>
  <c r="T164" i="23"/>
  <c r="T121" i="23"/>
  <c r="T133" i="23"/>
  <c r="T135" i="23"/>
  <c r="T122" i="23"/>
  <c r="T176" i="23"/>
  <c r="T166" i="23"/>
  <c r="T189" i="23"/>
  <c r="T207" i="23"/>
  <c r="T130" i="23"/>
  <c r="T123" i="23"/>
  <c r="T120" i="23"/>
  <c r="T155" i="23"/>
  <c r="T200" i="23"/>
  <c r="T134" i="23"/>
  <c r="T159" i="23"/>
  <c r="T157" i="23"/>
  <c r="T173" i="23"/>
  <c r="T209" i="23"/>
  <c r="T149" i="23"/>
  <c r="T212" i="23"/>
  <c r="T208" i="23"/>
  <c r="T145" i="23"/>
  <c r="T195" i="23"/>
  <c r="T196" i="23"/>
  <c r="T211" i="23"/>
  <c r="T205" i="23"/>
  <c r="T204" i="23"/>
  <c r="T194" i="23"/>
  <c r="T198" i="23"/>
  <c r="T206" i="23"/>
  <c r="T184" i="23"/>
  <c r="T193" i="23"/>
  <c r="T201" i="23"/>
  <c r="T161" i="23"/>
  <c r="T199" i="23"/>
  <c r="T187" i="23"/>
  <c r="T174" i="23"/>
  <c r="T183" i="23"/>
  <c r="T185" i="23"/>
  <c r="T182" i="23"/>
  <c r="T188" i="23"/>
  <c r="T160" i="23"/>
  <c r="T167" i="23"/>
  <c r="T156" i="23"/>
  <c r="T197" i="23"/>
  <c r="T181" i="23"/>
  <c r="T171" i="23"/>
  <c r="T163" i="23"/>
  <c r="T178" i="23"/>
  <c r="T210" i="23"/>
  <c r="T190" i="23"/>
  <c r="T172" i="23"/>
  <c r="T175" i="23"/>
  <c r="T162" i="23"/>
  <c r="T154" i="23"/>
  <c r="T192" i="23"/>
  <c r="T186" i="23"/>
  <c r="T177" i="23"/>
  <c r="T148" i="23"/>
  <c r="T151" i="23"/>
  <c r="T126" i="23"/>
  <c r="T127" i="23"/>
  <c r="T153" i="23"/>
  <c r="T138" i="23"/>
  <c r="T129" i="23"/>
  <c r="T168" i="23"/>
  <c r="T150" i="23"/>
  <c r="T139" i="23"/>
  <c r="T142" i="23"/>
  <c r="T140" i="23"/>
  <c r="T170" i="23"/>
  <c r="T128" i="23"/>
  <c r="T131" i="23"/>
  <c r="T116" i="23"/>
  <c r="T203" i="23"/>
  <c r="T137" i="23"/>
  <c r="T132" i="23"/>
  <c r="T118" i="23"/>
  <c r="T179" i="23"/>
  <c r="T141" i="23"/>
  <c r="T144" i="23"/>
  <c r="T146" i="23"/>
  <c r="T119" i="23"/>
  <c r="S136" i="23"/>
  <c r="M136" i="23"/>
  <c r="S15" i="23"/>
  <c r="Q136" i="23"/>
  <c r="O26" i="23"/>
  <c r="T136" i="23"/>
  <c r="R15" i="23"/>
  <c r="M114" i="23"/>
  <c r="R48" i="23"/>
  <c r="P48" i="23"/>
  <c r="N114" i="23"/>
  <c r="Q114" i="23"/>
  <c r="R136" i="23"/>
  <c r="P81" i="23"/>
  <c r="O81" i="23"/>
  <c r="O136" i="23"/>
  <c r="N136" i="23"/>
  <c r="P136" i="23"/>
  <c r="M103" i="23"/>
  <c r="R191" i="23"/>
  <c r="P191" i="23"/>
  <c r="S191" i="23"/>
  <c r="Q191" i="23"/>
  <c r="O191" i="23"/>
  <c r="N191" i="23"/>
  <c r="M191" i="23"/>
  <c r="T191" i="23"/>
  <c r="Q180" i="23"/>
  <c r="N180" i="23"/>
  <c r="T180" i="23"/>
  <c r="P180" i="23"/>
  <c r="O180" i="23"/>
  <c r="S180" i="23"/>
  <c r="R180" i="23"/>
  <c r="M180" i="23"/>
  <c r="N169" i="23"/>
  <c r="T169" i="23"/>
  <c r="O169" i="23"/>
  <c r="M169" i="23"/>
  <c r="R169" i="23"/>
  <c r="Q169" i="23"/>
  <c r="P169" i="23"/>
  <c r="S169" i="23"/>
  <c r="S158" i="23"/>
  <c r="Q158" i="23"/>
  <c r="P158" i="23"/>
  <c r="T158" i="23"/>
  <c r="O158" i="23"/>
  <c r="R158" i="23"/>
  <c r="N158" i="23"/>
  <c r="M158" i="23"/>
  <c r="O147" i="23"/>
  <c r="M147" i="23"/>
  <c r="T147" i="23"/>
  <c r="S147" i="23"/>
  <c r="Q147" i="23"/>
  <c r="R147" i="23"/>
  <c r="N147" i="23"/>
  <c r="P147" i="23"/>
  <c r="O125" i="23"/>
  <c r="S125" i="23"/>
  <c r="R125" i="23"/>
  <c r="Q125" i="23"/>
  <c r="P125" i="23"/>
  <c r="M125" i="23"/>
  <c r="T125" i="23"/>
  <c r="N125" i="23"/>
  <c r="T114" i="23"/>
  <c r="S114" i="23"/>
  <c r="R114" i="23"/>
  <c r="O114" i="23"/>
  <c r="P114" i="23"/>
  <c r="Q70" i="23"/>
  <c r="N70" i="23"/>
  <c r="P70" i="23"/>
  <c r="O70" i="23"/>
  <c r="M70" i="23"/>
  <c r="Q37" i="23"/>
  <c r="P37" i="23"/>
  <c r="M37" i="23"/>
  <c r="N37" i="23"/>
  <c r="O37" i="23"/>
  <c r="Q59" i="23"/>
  <c r="P59" i="23"/>
  <c r="O59" i="23"/>
  <c r="N59" i="23"/>
  <c r="M59" i="23"/>
  <c r="S103" i="23"/>
  <c r="M4" i="23"/>
  <c r="R4" i="23"/>
  <c r="P4" i="23"/>
  <c r="Q4" i="23"/>
  <c r="O4" i="23"/>
  <c r="N4" i="23"/>
  <c r="O103" i="23"/>
  <c r="Q103" i="23"/>
  <c r="R103" i="23"/>
  <c r="P103" i="23"/>
  <c r="S4" i="23"/>
  <c r="R70" i="23"/>
  <c r="O15" i="23"/>
  <c r="Q15" i="23"/>
  <c r="P15" i="23"/>
  <c r="M15" i="23"/>
  <c r="N15" i="23"/>
  <c r="M92" i="23"/>
  <c r="P92" i="23"/>
  <c r="O92" i="23"/>
  <c r="N92" i="23"/>
  <c r="Q92" i="23"/>
  <c r="R37" i="23"/>
  <c r="R59" i="23"/>
  <c r="S37" i="23"/>
  <c r="S59" i="23"/>
  <c r="S70" i="23"/>
  <c r="T111" i="23"/>
  <c r="T113" i="23"/>
  <c r="T110" i="23"/>
  <c r="T109" i="23"/>
  <c r="T112" i="23"/>
  <c r="T106" i="23"/>
  <c r="T104" i="23"/>
  <c r="T102" i="23"/>
  <c r="T97" i="23"/>
  <c r="T98" i="23"/>
  <c r="T96" i="23"/>
  <c r="T103" i="23"/>
  <c r="T101" i="23"/>
  <c r="T105" i="23"/>
  <c r="T107" i="23"/>
  <c r="T94" i="23"/>
  <c r="T100" i="23"/>
  <c r="T99" i="23"/>
  <c r="T93" i="23"/>
  <c r="T92" i="23"/>
  <c r="T91" i="23"/>
  <c r="T95" i="23"/>
  <c r="T87" i="23"/>
  <c r="T108" i="23"/>
  <c r="T88" i="23"/>
  <c r="T84" i="23"/>
  <c r="T79" i="23"/>
  <c r="T76" i="23"/>
  <c r="T90" i="23"/>
  <c r="T89" i="23"/>
  <c r="T83" i="23"/>
  <c r="T80" i="23"/>
  <c r="T75" i="23"/>
  <c r="T77" i="23"/>
  <c r="T70" i="23"/>
  <c r="T85" i="23"/>
  <c r="T81" i="23"/>
  <c r="T71" i="23"/>
  <c r="T63" i="23"/>
  <c r="T78" i="23"/>
  <c r="T74" i="23"/>
  <c r="T82" i="23"/>
  <c r="T73" i="23"/>
  <c r="T64" i="23"/>
  <c r="T60" i="23"/>
  <c r="T58" i="23"/>
  <c r="T72" i="23"/>
  <c r="T69" i="23"/>
  <c r="T67" i="23"/>
  <c r="T59" i="23"/>
  <c r="T57" i="23"/>
  <c r="T66" i="23"/>
  <c r="T62" i="23"/>
  <c r="T56" i="23"/>
  <c r="T52" i="23"/>
  <c r="T53" i="23"/>
  <c r="T54" i="23"/>
  <c r="T48" i="23"/>
  <c r="T46" i="23"/>
  <c r="T86" i="23"/>
  <c r="T68" i="23"/>
  <c r="T45" i="23"/>
  <c r="T39" i="23"/>
  <c r="T47" i="23"/>
  <c r="T34" i="23"/>
  <c r="T61" i="23"/>
  <c r="T49" i="23"/>
  <c r="T42" i="23"/>
  <c r="T31" i="23"/>
  <c r="T51" i="23"/>
  <c r="T40" i="23"/>
  <c r="T65" i="23"/>
  <c r="T55" i="23"/>
  <c r="T32" i="23"/>
  <c r="T22" i="23"/>
  <c r="T29" i="23"/>
  <c r="T19" i="23"/>
  <c r="T43" i="23"/>
  <c r="T37" i="23"/>
  <c r="T26" i="23"/>
  <c r="T24" i="23"/>
  <c r="T41" i="23"/>
  <c r="T36" i="23"/>
  <c r="T23" i="23"/>
  <c r="T20" i="23"/>
  <c r="T17" i="23"/>
  <c r="T7" i="23"/>
  <c r="T16" i="23"/>
  <c r="T44" i="23"/>
  <c r="T12" i="23"/>
  <c r="T4" i="23"/>
  <c r="T50" i="23"/>
  <c r="T35" i="23"/>
  <c r="T28" i="23"/>
  <c r="T9" i="23"/>
  <c r="T14" i="23"/>
  <c r="T6" i="23"/>
  <c r="T33" i="23"/>
  <c r="T30" i="23"/>
  <c r="T27" i="23"/>
  <c r="T21" i="23"/>
  <c r="T18" i="23"/>
  <c r="T8" i="23"/>
  <c r="U2" i="23"/>
  <c r="U114" i="23" s="1"/>
  <c r="T15" i="23"/>
  <c r="T13" i="23"/>
  <c r="T5" i="23"/>
  <c r="T10" i="23"/>
  <c r="T11" i="23"/>
  <c r="T38" i="23"/>
  <c r="T25" i="23"/>
  <c r="R92" i="23"/>
  <c r="E6" i="16"/>
  <c r="E7" i="16"/>
  <c r="H5" i="16"/>
  <c r="G5" i="16"/>
  <c r="F5" i="16"/>
  <c r="E5" i="16"/>
  <c r="D5" i="16"/>
  <c r="C5" i="16"/>
  <c r="B5" i="16"/>
  <c r="H756" i="11"/>
  <c r="H755" i="11"/>
  <c r="H754" i="11"/>
  <c r="H753" i="11"/>
  <c r="H752" i="11"/>
  <c r="H751" i="11"/>
  <c r="H750" i="11"/>
  <c r="H749" i="11"/>
  <c r="H748" i="11"/>
  <c r="H747" i="11"/>
  <c r="H746" i="11"/>
  <c r="H745" i="11"/>
  <c r="H744" i="11"/>
  <c r="H743" i="11"/>
  <c r="H742" i="11"/>
  <c r="H741" i="11"/>
  <c r="H740" i="11"/>
  <c r="H739" i="11"/>
  <c r="H738" i="11"/>
  <c r="H737" i="11"/>
  <c r="H736" i="11"/>
  <c r="H735" i="11"/>
  <c r="H734" i="11"/>
  <c r="H733" i="11"/>
  <c r="H732" i="11"/>
  <c r="H731" i="11"/>
  <c r="H730" i="11"/>
  <c r="H729" i="11"/>
  <c r="H728" i="11"/>
  <c r="H727" i="11"/>
  <c r="H726" i="11"/>
  <c r="H725" i="11"/>
  <c r="H724" i="11"/>
  <c r="H723" i="11"/>
  <c r="H722" i="11"/>
  <c r="H721" i="11"/>
  <c r="H720" i="11"/>
  <c r="H719" i="11"/>
  <c r="H718" i="11"/>
  <c r="H717" i="11"/>
  <c r="H716" i="11"/>
  <c r="H715" i="11"/>
  <c r="H714" i="11"/>
  <c r="H713" i="11"/>
  <c r="H712" i="11"/>
  <c r="H711" i="11"/>
  <c r="H710" i="11"/>
  <c r="H709" i="11"/>
  <c r="H708" i="11"/>
  <c r="H707" i="11"/>
  <c r="H706" i="11"/>
  <c r="H705" i="11"/>
  <c r="H704" i="11"/>
  <c r="H703" i="11"/>
  <c r="H702" i="11"/>
  <c r="H701" i="11"/>
  <c r="H700" i="11"/>
  <c r="H699" i="11"/>
  <c r="H698" i="11"/>
  <c r="H697" i="11"/>
  <c r="H696" i="11"/>
  <c r="H695" i="11"/>
  <c r="H694" i="11"/>
  <c r="H693" i="11"/>
  <c r="H692" i="11"/>
  <c r="H691" i="11"/>
  <c r="H690" i="11"/>
  <c r="H689" i="11"/>
  <c r="H688" i="11"/>
  <c r="H687" i="11"/>
  <c r="H686" i="11"/>
  <c r="H685" i="11"/>
  <c r="H684" i="11"/>
  <c r="H683" i="11"/>
  <c r="H682" i="11"/>
  <c r="H681" i="11"/>
  <c r="H680" i="11"/>
  <c r="H679" i="11"/>
  <c r="H678" i="11"/>
  <c r="H677" i="11"/>
  <c r="H676" i="11"/>
  <c r="H675" i="11"/>
  <c r="H674" i="11"/>
  <c r="H673" i="11"/>
  <c r="H672" i="11"/>
  <c r="H671" i="11"/>
  <c r="H670" i="11"/>
  <c r="H669" i="11"/>
  <c r="H668" i="11"/>
  <c r="H667" i="11"/>
  <c r="H666" i="11"/>
  <c r="H665" i="11"/>
  <c r="H664" i="11"/>
  <c r="H663" i="11"/>
  <c r="H662" i="11"/>
  <c r="H661" i="11"/>
  <c r="H660" i="11"/>
  <c r="H659" i="11"/>
  <c r="H658" i="11"/>
  <c r="H650" i="11"/>
  <c r="H649" i="11"/>
  <c r="H648" i="11"/>
  <c r="H647" i="11"/>
  <c r="H646" i="11"/>
  <c r="H645" i="11"/>
  <c r="H644" i="11"/>
  <c r="H643" i="11"/>
  <c r="H642" i="11"/>
  <c r="H641" i="11"/>
  <c r="H640" i="11"/>
  <c r="H639" i="11"/>
  <c r="H638" i="11"/>
  <c r="H637" i="11"/>
  <c r="H636" i="11"/>
  <c r="H635" i="11"/>
  <c r="H634" i="11"/>
  <c r="H633" i="11"/>
  <c r="H632" i="11"/>
  <c r="H631" i="11"/>
  <c r="H630" i="11"/>
  <c r="H629" i="11"/>
  <c r="H628" i="11"/>
  <c r="H627" i="11"/>
  <c r="H626" i="11"/>
  <c r="H625" i="11"/>
  <c r="H624" i="11"/>
  <c r="H623" i="11"/>
  <c r="H622" i="11"/>
  <c r="H621" i="11"/>
  <c r="H620" i="11"/>
  <c r="H619" i="11"/>
  <c r="H618" i="11"/>
  <c r="H617" i="11"/>
  <c r="H616" i="11"/>
  <c r="H615" i="11"/>
  <c r="H614" i="11"/>
  <c r="H613" i="11"/>
  <c r="H612" i="11"/>
  <c r="H611" i="11"/>
  <c r="H610" i="11"/>
  <c r="H609" i="11"/>
  <c r="H608" i="11"/>
  <c r="H607" i="11"/>
  <c r="H606" i="11"/>
  <c r="H605" i="11"/>
  <c r="H604" i="11"/>
  <c r="H603" i="11"/>
  <c r="H602" i="11"/>
  <c r="H601" i="11"/>
  <c r="H600" i="11"/>
  <c r="H599" i="11"/>
  <c r="H598" i="11"/>
  <c r="H597" i="11"/>
  <c r="H596" i="11"/>
  <c r="H595" i="11"/>
  <c r="H594" i="11"/>
  <c r="H593" i="11"/>
  <c r="H592" i="11"/>
  <c r="H591" i="11"/>
  <c r="H590" i="11"/>
  <c r="H589" i="11"/>
  <c r="H588" i="11"/>
  <c r="H587" i="11"/>
  <c r="H586" i="11"/>
  <c r="H585" i="11"/>
  <c r="H584" i="11"/>
  <c r="H583" i="11"/>
  <c r="H582" i="11"/>
  <c r="H581" i="11"/>
  <c r="H580" i="11"/>
  <c r="H579" i="11"/>
  <c r="H578" i="11"/>
  <c r="H577" i="11"/>
  <c r="H576" i="11"/>
  <c r="H575" i="11"/>
  <c r="H574" i="11"/>
  <c r="H573" i="11"/>
  <c r="H572" i="11"/>
  <c r="H571" i="11"/>
  <c r="H570" i="11"/>
  <c r="H569" i="11"/>
  <c r="H568" i="11"/>
  <c r="H567" i="11"/>
  <c r="H566" i="11"/>
  <c r="H565" i="11"/>
  <c r="H564" i="11"/>
  <c r="H563" i="11"/>
  <c r="H562" i="11"/>
  <c r="H561" i="11"/>
  <c r="H560" i="11"/>
  <c r="H558" i="11"/>
  <c r="H557" i="11"/>
  <c r="H556" i="11"/>
  <c r="H555" i="11"/>
  <c r="H554" i="11"/>
  <c r="H553" i="11"/>
  <c r="H552" i="11"/>
  <c r="H544" i="11"/>
  <c r="H543" i="11"/>
  <c r="H542" i="11"/>
  <c r="H541" i="11"/>
  <c r="H540" i="11"/>
  <c r="H539" i="11"/>
  <c r="H538" i="11"/>
  <c r="H537" i="11"/>
  <c r="H536" i="11"/>
  <c r="H535" i="11"/>
  <c r="H534" i="11"/>
  <c r="H533" i="11"/>
  <c r="H532" i="11"/>
  <c r="H531" i="11"/>
  <c r="H530" i="11"/>
  <c r="H529" i="11"/>
  <c r="H528" i="11"/>
  <c r="H527" i="11"/>
  <c r="H526" i="11"/>
  <c r="H525" i="11"/>
  <c r="H524" i="11"/>
  <c r="H523" i="11"/>
  <c r="H522" i="11"/>
  <c r="H521" i="11"/>
  <c r="H520" i="11"/>
  <c r="H519" i="11"/>
  <c r="H518" i="11"/>
  <c r="H517" i="11"/>
  <c r="H516" i="11"/>
  <c r="H515" i="11"/>
  <c r="H514" i="11"/>
  <c r="H513" i="11"/>
  <c r="H512" i="11"/>
  <c r="H511" i="11"/>
  <c r="H510" i="11"/>
  <c r="H509" i="11"/>
  <c r="H508" i="11"/>
  <c r="H507" i="11"/>
  <c r="H506" i="11"/>
  <c r="H505" i="11"/>
  <c r="H504" i="11"/>
  <c r="H503" i="11"/>
  <c r="H502" i="11"/>
  <c r="H501" i="11"/>
  <c r="H500" i="11"/>
  <c r="H499" i="11"/>
  <c r="H498" i="11"/>
  <c r="H497" i="11"/>
  <c r="H496" i="11"/>
  <c r="H495" i="11"/>
  <c r="H494" i="11"/>
  <c r="H493" i="11"/>
  <c r="H492" i="11"/>
  <c r="H491" i="11"/>
  <c r="H490" i="11"/>
  <c r="H489" i="11"/>
  <c r="H488" i="11"/>
  <c r="H487" i="11"/>
  <c r="H486" i="11"/>
  <c r="H485" i="11"/>
  <c r="H484" i="11"/>
  <c r="H483" i="11"/>
  <c r="H482" i="11"/>
  <c r="H481" i="11"/>
  <c r="H480" i="11"/>
  <c r="H479" i="11"/>
  <c r="H478" i="11"/>
  <c r="H477" i="11"/>
  <c r="H476" i="11"/>
  <c r="H475" i="11"/>
  <c r="H474" i="11"/>
  <c r="H473" i="11"/>
  <c r="H472" i="11"/>
  <c r="H471" i="11"/>
  <c r="H470" i="11"/>
  <c r="H469" i="11"/>
  <c r="H468" i="11"/>
  <c r="H467" i="11"/>
  <c r="H466" i="11"/>
  <c r="H465" i="11"/>
  <c r="H464" i="11"/>
  <c r="H463" i="11"/>
  <c r="H462" i="11"/>
  <c r="H461" i="11"/>
  <c r="H460" i="11"/>
  <c r="H459" i="11"/>
  <c r="H458" i="11"/>
  <c r="H457" i="11"/>
  <c r="H456" i="11"/>
  <c r="H455" i="11"/>
  <c r="H454" i="11"/>
  <c r="H452" i="11"/>
  <c r="H451" i="11"/>
  <c r="H450" i="11"/>
  <c r="H449" i="11"/>
  <c r="H448" i="11"/>
  <c r="H447" i="11"/>
  <c r="H446" i="11"/>
  <c r="H438" i="11"/>
  <c r="H437" i="11"/>
  <c r="H436" i="11"/>
  <c r="H435" i="11"/>
  <c r="H434" i="11"/>
  <c r="H433" i="11"/>
  <c r="H432" i="11"/>
  <c r="H431" i="11"/>
  <c r="H430" i="11"/>
  <c r="H429" i="11"/>
  <c r="H428" i="11"/>
  <c r="H427" i="11"/>
  <c r="H426" i="11"/>
  <c r="H425" i="11"/>
  <c r="H424" i="11"/>
  <c r="H423" i="11"/>
  <c r="H422" i="11"/>
  <c r="H421" i="11"/>
  <c r="H420" i="11"/>
  <c r="H419" i="11"/>
  <c r="H418" i="11"/>
  <c r="H417" i="11"/>
  <c r="H416" i="11"/>
  <c r="H415" i="11"/>
  <c r="H414" i="11"/>
  <c r="H413" i="11"/>
  <c r="H412" i="11"/>
  <c r="H411" i="11"/>
  <c r="H410" i="11"/>
  <c r="H409" i="11"/>
  <c r="H408" i="11"/>
  <c r="H407" i="11"/>
  <c r="H406" i="11"/>
  <c r="H405" i="11"/>
  <c r="H404" i="11"/>
  <c r="H403" i="11"/>
  <c r="H402" i="11"/>
  <c r="H401" i="11"/>
  <c r="H400" i="11"/>
  <c r="H399" i="11"/>
  <c r="H398" i="11"/>
  <c r="H397" i="11"/>
  <c r="H396" i="11"/>
  <c r="H395" i="11"/>
  <c r="H394" i="11"/>
  <c r="H393" i="11"/>
  <c r="H392" i="11"/>
  <c r="H391" i="11"/>
  <c r="H390" i="11"/>
  <c r="H389" i="11"/>
  <c r="H388" i="11"/>
  <c r="H387" i="11"/>
  <c r="H386" i="11"/>
  <c r="H385" i="11"/>
  <c r="H384" i="11"/>
  <c r="H383" i="11"/>
  <c r="H382" i="11"/>
  <c r="H381" i="11"/>
  <c r="H380" i="11"/>
  <c r="H379" i="11"/>
  <c r="H378" i="11"/>
  <c r="H377" i="11"/>
  <c r="H376" i="11"/>
  <c r="H375" i="11"/>
  <c r="H374" i="11"/>
  <c r="H373" i="11"/>
  <c r="H372" i="11"/>
  <c r="H371" i="11"/>
  <c r="H370" i="11"/>
  <c r="H369" i="11"/>
  <c r="H368" i="11"/>
  <c r="H367" i="11"/>
  <c r="H366" i="11"/>
  <c r="H365" i="11"/>
  <c r="H364" i="11"/>
  <c r="H363" i="11"/>
  <c r="H362" i="11"/>
  <c r="H361" i="11"/>
  <c r="H360" i="11"/>
  <c r="H359" i="11"/>
  <c r="H358" i="11"/>
  <c r="H357" i="11"/>
  <c r="H356" i="11"/>
  <c r="H355" i="11"/>
  <c r="H354" i="11"/>
  <c r="H353" i="11"/>
  <c r="H352" i="11"/>
  <c r="H351" i="11"/>
  <c r="H350" i="11"/>
  <c r="H349" i="11"/>
  <c r="H348" i="11"/>
  <c r="H346" i="11"/>
  <c r="H345" i="11"/>
  <c r="H344" i="11"/>
  <c r="H343" i="11"/>
  <c r="H342" i="11"/>
  <c r="H341" i="11"/>
  <c r="H340" i="11"/>
  <c r="H271" i="11"/>
  <c r="H270" i="11"/>
  <c r="H269" i="11"/>
  <c r="H268" i="11"/>
  <c r="H267" i="11"/>
  <c r="H266" i="11"/>
  <c r="H265" i="11"/>
  <c r="H264" i="11"/>
  <c r="H263" i="11"/>
  <c r="H262" i="11"/>
  <c r="H261" i="11"/>
  <c r="H260" i="11"/>
  <c r="H259" i="11"/>
  <c r="H258" i="11"/>
  <c r="H257" i="11"/>
  <c r="H256" i="11"/>
  <c r="H255" i="11"/>
  <c r="H254" i="11"/>
  <c r="H253" i="11"/>
  <c r="H252" i="11"/>
  <c r="H251" i="11"/>
  <c r="H250" i="11"/>
  <c r="H249" i="11"/>
  <c r="H248" i="11"/>
  <c r="H247" i="11"/>
  <c r="H246" i="11"/>
  <c r="H245" i="11"/>
  <c r="H244" i="11"/>
  <c r="H243" i="11"/>
  <c r="H242" i="11"/>
  <c r="H240" i="11"/>
  <c r="H239" i="11"/>
  <c r="H238" i="11"/>
  <c r="H237" i="11"/>
  <c r="H236" i="11"/>
  <c r="H235" i="11"/>
  <c r="H234" i="11"/>
  <c r="H226" i="11"/>
  <c r="H225" i="11"/>
  <c r="H224" i="11"/>
  <c r="H223" i="11"/>
  <c r="H222" i="11"/>
  <c r="H221" i="11"/>
  <c r="H220" i="11"/>
  <c r="H219" i="11"/>
  <c r="H218" i="11"/>
  <c r="H217" i="11"/>
  <c r="H216" i="11"/>
  <c r="H215" i="11"/>
  <c r="H214" i="11"/>
  <c r="H213" i="11"/>
  <c r="H212" i="11"/>
  <c r="H211" i="11"/>
  <c r="H210" i="11"/>
  <c r="H209" i="11"/>
  <c r="H208" i="11"/>
  <c r="H207" i="11"/>
  <c r="H206" i="11"/>
  <c r="H205" i="11"/>
  <c r="H204" i="11"/>
  <c r="H203" i="11"/>
  <c r="H202" i="11"/>
  <c r="H201" i="11"/>
  <c r="H200" i="11"/>
  <c r="H199" i="11"/>
  <c r="H198" i="11"/>
  <c r="H197" i="11"/>
  <c r="H196" i="11"/>
  <c r="H195" i="11"/>
  <c r="H194" i="11"/>
  <c r="H193" i="11"/>
  <c r="H192" i="11"/>
  <c r="H191" i="11"/>
  <c r="H190" i="11"/>
  <c r="H189" i="11"/>
  <c r="H188" i="11"/>
  <c r="H187" i="11"/>
  <c r="H186" i="11"/>
  <c r="H185" i="11"/>
  <c r="H184" i="11"/>
  <c r="H183" i="11"/>
  <c r="H182" i="11"/>
  <c r="H181" i="11"/>
  <c r="H180" i="11"/>
  <c r="H179" i="11"/>
  <c r="H178" i="11"/>
  <c r="H177" i="11"/>
  <c r="H176" i="11"/>
  <c r="H175" i="11"/>
  <c r="H174" i="11"/>
  <c r="H173" i="11"/>
  <c r="H172" i="11"/>
  <c r="H171" i="11"/>
  <c r="H170" i="11"/>
  <c r="H169" i="11"/>
  <c r="H168" i="11"/>
  <c r="H167" i="11"/>
  <c r="H166" i="11"/>
  <c r="H165" i="11"/>
  <c r="H164" i="11"/>
  <c r="H163" i="11"/>
  <c r="H162" i="11"/>
  <c r="H161" i="11"/>
  <c r="H160" i="11"/>
  <c r="H159" i="11"/>
  <c r="H158" i="11"/>
  <c r="H157" i="11"/>
  <c r="H156" i="11"/>
  <c r="H155" i="11"/>
  <c r="H154" i="11"/>
  <c r="H153" i="11"/>
  <c r="H152" i="11"/>
  <c r="H151" i="11"/>
  <c r="H150" i="11"/>
  <c r="H149" i="11"/>
  <c r="H148" i="11"/>
  <c r="H147" i="11"/>
  <c r="H146" i="11"/>
  <c r="H145" i="11"/>
  <c r="H144" i="11"/>
  <c r="H143" i="11"/>
  <c r="H142" i="11"/>
  <c r="H141" i="11"/>
  <c r="H140" i="11"/>
  <c r="H139" i="11"/>
  <c r="H138" i="11"/>
  <c r="H137" i="11"/>
  <c r="H136" i="11"/>
  <c r="H134" i="11"/>
  <c r="H133" i="11"/>
  <c r="H132" i="11"/>
  <c r="H131" i="11"/>
  <c r="H130" i="11"/>
  <c r="H129" i="11"/>
  <c r="H128" i="11"/>
  <c r="H50" i="11"/>
  <c r="H49" i="11"/>
  <c r="H48" i="11"/>
  <c r="H46" i="11"/>
  <c r="H45" i="11"/>
  <c r="H44" i="11"/>
  <c r="H43" i="11"/>
  <c r="H42" i="11"/>
  <c r="H41" i="11"/>
  <c r="H40" i="11"/>
  <c r="H38" i="11"/>
  <c r="H37" i="11"/>
  <c r="H36" i="11"/>
  <c r="H34" i="11"/>
  <c r="H33" i="11"/>
  <c r="H32" i="11"/>
  <c r="H23" i="11"/>
  <c r="H24" i="11"/>
  <c r="H25" i="11"/>
  <c r="H26" i="11"/>
  <c r="H22"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148" i="11"/>
  <c r="B149" i="11"/>
  <c r="B144" i="11"/>
  <c r="B145" i="11"/>
  <c r="B146" i="11"/>
  <c r="B147" i="11"/>
  <c r="Q202" i="23" l="1"/>
  <c r="T202" i="23"/>
  <c r="O202" i="23"/>
  <c r="N202" i="23"/>
  <c r="M202" i="23"/>
  <c r="P202" i="23"/>
  <c r="R202" i="23"/>
  <c r="U169" i="23"/>
  <c r="U147" i="23"/>
  <c r="U136" i="23"/>
  <c r="U210" i="23"/>
  <c r="U132" i="23"/>
  <c r="U185" i="23"/>
  <c r="U124" i="23"/>
  <c r="U126" i="23"/>
  <c r="U206" i="23"/>
  <c r="U122" i="23"/>
  <c r="U166" i="23"/>
  <c r="U212" i="23"/>
  <c r="U179" i="23"/>
  <c r="U178" i="23"/>
  <c r="U127" i="23"/>
  <c r="U133" i="23"/>
  <c r="U115" i="23"/>
  <c r="U128" i="23"/>
  <c r="U164" i="23"/>
  <c r="U116" i="23"/>
  <c r="U196" i="23"/>
  <c r="U200" i="23"/>
  <c r="U153" i="23"/>
  <c r="U140" i="23"/>
  <c r="U194" i="23"/>
  <c r="U134" i="23"/>
  <c r="U205" i="23"/>
  <c r="U203" i="23"/>
  <c r="U209" i="23"/>
  <c r="U195" i="23"/>
  <c r="U198" i="23"/>
  <c r="U138" i="23"/>
  <c r="U199" i="23"/>
  <c r="U181" i="23"/>
  <c r="U201" i="23"/>
  <c r="U204" i="23"/>
  <c r="U192" i="23"/>
  <c r="U211" i="23"/>
  <c r="U197" i="23"/>
  <c r="U135" i="23"/>
  <c r="U208" i="23"/>
  <c r="U207" i="23"/>
  <c r="U193" i="23"/>
  <c r="U188" i="23"/>
  <c r="U175" i="23"/>
  <c r="U170" i="23"/>
  <c r="U176" i="23"/>
  <c r="U190" i="23"/>
  <c r="U172" i="23"/>
  <c r="U165" i="23"/>
  <c r="U159" i="23"/>
  <c r="U160" i="23"/>
  <c r="U186" i="23"/>
  <c r="U173" i="23"/>
  <c r="U154" i="23"/>
  <c r="U163" i="23"/>
  <c r="U168" i="23"/>
  <c r="U155" i="23"/>
  <c r="U189" i="23"/>
  <c r="U141" i="23"/>
  <c r="U184" i="23"/>
  <c r="U150" i="23"/>
  <c r="U152" i="23"/>
  <c r="U183" i="23"/>
  <c r="U162" i="23"/>
  <c r="U167" i="23"/>
  <c r="U151" i="23"/>
  <c r="U187" i="23"/>
  <c r="U129" i="23"/>
  <c r="U149" i="23"/>
  <c r="U143" i="23"/>
  <c r="U148" i="23"/>
  <c r="U145" i="23"/>
  <c r="U146" i="23"/>
  <c r="U157" i="23"/>
  <c r="U137" i="23"/>
  <c r="U131" i="23"/>
  <c r="U174" i="23"/>
  <c r="U142" i="23"/>
  <c r="U144" i="23"/>
  <c r="U130" i="23"/>
  <c r="U171" i="23"/>
  <c r="U156" i="23"/>
  <c r="U117" i="23"/>
  <c r="U182" i="23"/>
  <c r="U177" i="23"/>
  <c r="U139" i="23"/>
  <c r="U123" i="23"/>
  <c r="U161" i="23"/>
  <c r="U121" i="23"/>
  <c r="U119" i="23"/>
  <c r="U120" i="23"/>
  <c r="U118" i="23"/>
  <c r="U202" i="23"/>
  <c r="U158" i="23"/>
  <c r="U125" i="23"/>
  <c r="U191" i="23"/>
  <c r="U180" i="23"/>
  <c r="U112" i="23"/>
  <c r="U111" i="23"/>
  <c r="U108" i="23"/>
  <c r="U113" i="23"/>
  <c r="U110" i="23"/>
  <c r="U104" i="23"/>
  <c r="U102" i="23"/>
  <c r="U107" i="23"/>
  <c r="U103" i="23"/>
  <c r="U105" i="23"/>
  <c r="U99" i="23"/>
  <c r="U106" i="23"/>
  <c r="U101" i="23"/>
  <c r="U98" i="23"/>
  <c r="U94" i="23"/>
  <c r="U109" i="23"/>
  <c r="U93" i="23"/>
  <c r="U100" i="23"/>
  <c r="U95" i="23"/>
  <c r="U92" i="23"/>
  <c r="U90" i="23"/>
  <c r="U89" i="23"/>
  <c r="U96" i="23"/>
  <c r="U87" i="23"/>
  <c r="U97" i="23"/>
  <c r="U86" i="23"/>
  <c r="U88" i="23"/>
  <c r="U91" i="23"/>
  <c r="U79" i="23"/>
  <c r="U76" i="23"/>
  <c r="U84" i="23"/>
  <c r="U81" i="23"/>
  <c r="U73" i="23"/>
  <c r="U72" i="23"/>
  <c r="U85" i="23"/>
  <c r="U71" i="23"/>
  <c r="U68" i="23"/>
  <c r="U82" i="23"/>
  <c r="U69" i="23"/>
  <c r="U67" i="23"/>
  <c r="U70" i="23"/>
  <c r="U63" i="23"/>
  <c r="U75" i="23"/>
  <c r="U64" i="23"/>
  <c r="U60" i="23"/>
  <c r="U58" i="23"/>
  <c r="U80" i="23"/>
  <c r="U77" i="23"/>
  <c r="U65" i="23"/>
  <c r="U55" i="23"/>
  <c r="U83" i="23"/>
  <c r="U74" i="23"/>
  <c r="U54" i="23"/>
  <c r="U53" i="23"/>
  <c r="U48" i="23"/>
  <c r="U78" i="23"/>
  <c r="U61" i="23"/>
  <c r="U43" i="23"/>
  <c r="U57" i="23"/>
  <c r="U42" i="23"/>
  <c r="U56" i="23"/>
  <c r="U52" i="23"/>
  <c r="U47" i="23"/>
  <c r="U59" i="23"/>
  <c r="U49" i="23"/>
  <c r="U31" i="23"/>
  <c r="U41" i="23"/>
  <c r="U38" i="23"/>
  <c r="U36" i="23"/>
  <c r="U45" i="23"/>
  <c r="U37" i="23"/>
  <c r="U35" i="23"/>
  <c r="U66" i="23"/>
  <c r="U62" i="23"/>
  <c r="U46" i="23"/>
  <c r="U29" i="23"/>
  <c r="U19" i="23"/>
  <c r="U26" i="23"/>
  <c r="U24" i="23"/>
  <c r="U40" i="23"/>
  <c r="U21" i="23"/>
  <c r="U50" i="23"/>
  <c r="U30" i="23"/>
  <c r="U20" i="23"/>
  <c r="U44" i="23"/>
  <c r="U23" i="23"/>
  <c r="U12" i="23"/>
  <c r="U4" i="23"/>
  <c r="U28" i="23"/>
  <c r="U9" i="23"/>
  <c r="U39" i="23"/>
  <c r="U32" i="23"/>
  <c r="U22" i="23"/>
  <c r="U16" i="23"/>
  <c r="U14" i="23"/>
  <c r="U6" i="23"/>
  <c r="U25" i="23"/>
  <c r="U11" i="23"/>
  <c r="U15" i="23"/>
  <c r="U13" i="23"/>
  <c r="U5" i="23"/>
  <c r="U51" i="23"/>
  <c r="U17" i="23"/>
  <c r="U34" i="23"/>
  <c r="U7" i="23"/>
  <c r="U10" i="23"/>
  <c r="U33" i="23"/>
  <c r="U27" i="23"/>
  <c r="U18" i="23"/>
  <c r="U8" i="23"/>
  <c r="V2" i="23"/>
  <c r="V201" i="23" l="1"/>
  <c r="V127" i="23"/>
  <c r="V146" i="23"/>
  <c r="V164" i="23"/>
  <c r="V176" i="23"/>
  <c r="V211" i="23"/>
  <c r="V188" i="23"/>
  <c r="V170" i="23"/>
  <c r="V129" i="23"/>
  <c r="V138" i="23"/>
  <c r="V115" i="23"/>
  <c r="V144" i="23"/>
  <c r="V141" i="23"/>
  <c r="V149" i="23"/>
  <c r="V199" i="23"/>
  <c r="V204" i="23"/>
  <c r="V168" i="23"/>
  <c r="V126" i="23"/>
  <c r="V208" i="23"/>
  <c r="V200" i="23"/>
  <c r="V124" i="23"/>
  <c r="V166" i="23"/>
  <c r="V197" i="23"/>
  <c r="V209" i="23"/>
  <c r="V116" i="23"/>
  <c r="V195" i="23"/>
  <c r="V183" i="23"/>
  <c r="V205" i="23"/>
  <c r="V194" i="23"/>
  <c r="V212" i="23"/>
  <c r="V203" i="23"/>
  <c r="V206" i="23"/>
  <c r="V198" i="23"/>
  <c r="V182" i="23"/>
  <c r="V174" i="23"/>
  <c r="V207" i="23"/>
  <c r="V210" i="23"/>
  <c r="V186" i="23"/>
  <c r="V196" i="23"/>
  <c r="V187" i="23"/>
  <c r="V189" i="23"/>
  <c r="V192" i="23"/>
  <c r="V185" i="23"/>
  <c r="V193" i="23"/>
  <c r="V184" i="23"/>
  <c r="V190" i="23"/>
  <c r="V181" i="23"/>
  <c r="V175" i="23"/>
  <c r="V173" i="23"/>
  <c r="V155" i="23"/>
  <c r="V154" i="23"/>
  <c r="V159" i="23"/>
  <c r="V163" i="23"/>
  <c r="V153" i="23"/>
  <c r="V162" i="23"/>
  <c r="V151" i="23"/>
  <c r="V140" i="23"/>
  <c r="V178" i="23"/>
  <c r="V148" i="23"/>
  <c r="V142" i="23"/>
  <c r="V165" i="23"/>
  <c r="V152" i="23"/>
  <c r="V145" i="23"/>
  <c r="V172" i="23"/>
  <c r="V160" i="23"/>
  <c r="V171" i="23"/>
  <c r="V167" i="23"/>
  <c r="V150" i="23"/>
  <c r="V143" i="23"/>
  <c r="V161" i="23"/>
  <c r="V156" i="23"/>
  <c r="V130" i="23"/>
  <c r="V179" i="23"/>
  <c r="V131" i="23"/>
  <c r="V177" i="23"/>
  <c r="V139" i="23"/>
  <c r="V134" i="23"/>
  <c r="V117" i="23"/>
  <c r="V133" i="23"/>
  <c r="V132" i="23"/>
  <c r="V119" i="23"/>
  <c r="V122" i="23"/>
  <c r="V157" i="23"/>
  <c r="V128" i="23"/>
  <c r="V120" i="23"/>
  <c r="V135" i="23"/>
  <c r="V121" i="23"/>
  <c r="V137" i="23"/>
  <c r="V123" i="23"/>
  <c r="V118" i="23"/>
  <c r="V202" i="23"/>
  <c r="V125" i="23"/>
  <c r="V169" i="23"/>
  <c r="V147" i="23"/>
  <c r="V191" i="23"/>
  <c r="V180" i="23"/>
  <c r="V158" i="23"/>
  <c r="V114" i="23"/>
  <c r="V136" i="23"/>
  <c r="V110" i="23"/>
  <c r="V112" i="23"/>
  <c r="V113" i="23"/>
  <c r="V109" i="23"/>
  <c r="V108" i="23"/>
  <c r="V105" i="23"/>
  <c r="V106" i="23"/>
  <c r="V104" i="23"/>
  <c r="V103" i="23"/>
  <c r="V100" i="23"/>
  <c r="V99" i="23"/>
  <c r="V102" i="23"/>
  <c r="V107" i="23"/>
  <c r="V98" i="23"/>
  <c r="V95" i="23"/>
  <c r="V97" i="23"/>
  <c r="V96" i="23"/>
  <c r="V111" i="23"/>
  <c r="V89" i="23"/>
  <c r="V88" i="23"/>
  <c r="V87" i="23"/>
  <c r="V93" i="23"/>
  <c r="V91" i="23"/>
  <c r="V90" i="23"/>
  <c r="V82" i="23"/>
  <c r="V85" i="23"/>
  <c r="V81" i="23"/>
  <c r="V84" i="23"/>
  <c r="V92" i="23"/>
  <c r="V78" i="23"/>
  <c r="V94" i="23"/>
  <c r="V77" i="23"/>
  <c r="V71" i="23"/>
  <c r="V86" i="23"/>
  <c r="V79" i="23"/>
  <c r="V72" i="23"/>
  <c r="V65" i="23"/>
  <c r="V101" i="23"/>
  <c r="V83" i="23"/>
  <c r="V75" i="23"/>
  <c r="V64" i="23"/>
  <c r="V60" i="23"/>
  <c r="V58" i="23"/>
  <c r="V80" i="23"/>
  <c r="V73" i="23"/>
  <c r="V66" i="23"/>
  <c r="V62" i="23"/>
  <c r="V52" i="23"/>
  <c r="V76" i="23"/>
  <c r="V68" i="23"/>
  <c r="V61" i="23"/>
  <c r="V51" i="23"/>
  <c r="V48" i="23"/>
  <c r="V69" i="23"/>
  <c r="V54" i="23"/>
  <c r="V70" i="23"/>
  <c r="V55" i="23"/>
  <c r="V50" i="23"/>
  <c r="V63" i="23"/>
  <c r="V49" i="23"/>
  <c r="V47" i="23"/>
  <c r="V59" i="23"/>
  <c r="V42" i="23"/>
  <c r="V41" i="23"/>
  <c r="V38" i="23"/>
  <c r="V36" i="23"/>
  <c r="V74" i="23"/>
  <c r="V53" i="23"/>
  <c r="V44" i="23"/>
  <c r="V43" i="23"/>
  <c r="V33" i="23"/>
  <c r="V57" i="23"/>
  <c r="V32" i="23"/>
  <c r="V31" i="23"/>
  <c r="V26" i="23"/>
  <c r="V24" i="23"/>
  <c r="V40" i="23"/>
  <c r="V37" i="23"/>
  <c r="V21" i="23"/>
  <c r="V45" i="23"/>
  <c r="V28" i="23"/>
  <c r="V35" i="23"/>
  <c r="V34" i="23"/>
  <c r="V27" i="23"/>
  <c r="V25" i="23"/>
  <c r="V56" i="23"/>
  <c r="V9" i="23"/>
  <c r="V39" i="23"/>
  <c r="V22" i="23"/>
  <c r="V16" i="23"/>
  <c r="V14" i="23"/>
  <c r="V6" i="23"/>
  <c r="V19" i="23"/>
  <c r="V11" i="23"/>
  <c r="V18" i="23"/>
  <c r="V8" i="23"/>
  <c r="W2" i="23"/>
  <c r="V46" i="23"/>
  <c r="V10" i="23"/>
  <c r="V67" i="23"/>
  <c r="V17" i="23"/>
  <c r="V30" i="23"/>
  <c r="V7" i="23"/>
  <c r="V13" i="23"/>
  <c r="V4" i="23"/>
  <c r="V23" i="23"/>
  <c r="V5" i="23"/>
  <c r="V29" i="23"/>
  <c r="V15" i="23"/>
  <c r="V12" i="23"/>
  <c r="V20" i="23"/>
  <c r="B756" i="11"/>
  <c r="B755" i="11"/>
  <c r="B754" i="11"/>
  <c r="B753" i="11"/>
  <c r="B752" i="11"/>
  <c r="B751" i="11"/>
  <c r="B750" i="11"/>
  <c r="B749" i="11"/>
  <c r="B748" i="11"/>
  <c r="B747" i="11"/>
  <c r="B746" i="11"/>
  <c r="B745" i="11"/>
  <c r="B744" i="11"/>
  <c r="B743" i="11"/>
  <c r="B742" i="11"/>
  <c r="B741" i="11"/>
  <c r="B740" i="11"/>
  <c r="B739" i="11"/>
  <c r="B738" i="11"/>
  <c r="B737" i="11"/>
  <c r="B736" i="11"/>
  <c r="B735" i="11"/>
  <c r="B734" i="11"/>
  <c r="B733" i="11"/>
  <c r="B732" i="11"/>
  <c r="B731" i="11"/>
  <c r="B730" i="11"/>
  <c r="B729" i="11"/>
  <c r="B728" i="11"/>
  <c r="B727" i="11"/>
  <c r="B726" i="11"/>
  <c r="B725" i="11"/>
  <c r="B724" i="11"/>
  <c r="B723" i="11"/>
  <c r="B722" i="11"/>
  <c r="B721" i="11"/>
  <c r="B720" i="11"/>
  <c r="B719" i="11"/>
  <c r="B718" i="11"/>
  <c r="B717" i="11"/>
  <c r="B716" i="11"/>
  <c r="B715" i="11"/>
  <c r="B714" i="11"/>
  <c r="B713" i="11"/>
  <c r="B712" i="11"/>
  <c r="B711" i="11"/>
  <c r="B710" i="11"/>
  <c r="B709" i="11"/>
  <c r="B708" i="11"/>
  <c r="B707" i="11"/>
  <c r="B706" i="11"/>
  <c r="B705" i="11"/>
  <c r="B704" i="11"/>
  <c r="B703" i="11"/>
  <c r="B702" i="11"/>
  <c r="B701" i="11"/>
  <c r="B700" i="11"/>
  <c r="B699" i="11"/>
  <c r="B698" i="11"/>
  <c r="B697" i="11"/>
  <c r="B696" i="11"/>
  <c r="B695" i="11"/>
  <c r="B694" i="11"/>
  <c r="B693" i="11"/>
  <c r="B692" i="11"/>
  <c r="B691" i="11"/>
  <c r="B690" i="11"/>
  <c r="B689" i="11"/>
  <c r="B688" i="11"/>
  <c r="B687" i="11"/>
  <c r="B686" i="11"/>
  <c r="B685" i="11"/>
  <c r="B684" i="11"/>
  <c r="B683" i="11"/>
  <c r="B682" i="11"/>
  <c r="B681" i="11"/>
  <c r="B680" i="11"/>
  <c r="B679" i="11"/>
  <c r="B678" i="11"/>
  <c r="B677" i="11"/>
  <c r="B676" i="11"/>
  <c r="B675" i="11"/>
  <c r="B674" i="11"/>
  <c r="B673" i="11"/>
  <c r="B672" i="11"/>
  <c r="B671" i="11"/>
  <c r="B670" i="11"/>
  <c r="B669" i="11"/>
  <c r="B668" i="11"/>
  <c r="B667" i="11"/>
  <c r="B666" i="11"/>
  <c r="B665" i="11"/>
  <c r="B664" i="11"/>
  <c r="B663" i="11"/>
  <c r="B662" i="11"/>
  <c r="B661" i="11"/>
  <c r="B660" i="11"/>
  <c r="B659" i="11"/>
  <c r="B658" i="11"/>
  <c r="B650" i="11"/>
  <c r="B649" i="11"/>
  <c r="B648" i="11"/>
  <c r="B647" i="11"/>
  <c r="B646" i="11"/>
  <c r="B645" i="11"/>
  <c r="B644" i="11"/>
  <c r="B643" i="11"/>
  <c r="B642" i="11"/>
  <c r="B641" i="11"/>
  <c r="B640" i="11"/>
  <c r="B639" i="11"/>
  <c r="B638" i="11"/>
  <c r="B637" i="11"/>
  <c r="B636" i="11"/>
  <c r="B635" i="11"/>
  <c r="B634" i="11"/>
  <c r="B633" i="11"/>
  <c r="B632" i="11"/>
  <c r="B631" i="11"/>
  <c r="B630" i="11"/>
  <c r="B629" i="11"/>
  <c r="B628" i="11"/>
  <c r="B627" i="11"/>
  <c r="B626" i="11"/>
  <c r="B625" i="11"/>
  <c r="B624" i="11"/>
  <c r="B623" i="11"/>
  <c r="B622" i="11"/>
  <c r="B621" i="11"/>
  <c r="B620" i="11"/>
  <c r="B619" i="11"/>
  <c r="B618" i="11"/>
  <c r="B617" i="11"/>
  <c r="B616" i="11"/>
  <c r="B615" i="11"/>
  <c r="B614" i="11"/>
  <c r="B613" i="11"/>
  <c r="B612" i="11"/>
  <c r="B611" i="11"/>
  <c r="B610" i="11"/>
  <c r="B609" i="11"/>
  <c r="B608" i="11"/>
  <c r="B607" i="11"/>
  <c r="B606" i="11"/>
  <c r="B605" i="11"/>
  <c r="B604" i="11"/>
  <c r="B603" i="11"/>
  <c r="B602" i="11"/>
  <c r="B601" i="11"/>
  <c r="B600" i="11"/>
  <c r="B599" i="11"/>
  <c r="B598" i="11"/>
  <c r="B597" i="11"/>
  <c r="B596" i="11"/>
  <c r="B595" i="11"/>
  <c r="B594" i="11"/>
  <c r="B593" i="11"/>
  <c r="B592" i="11"/>
  <c r="B591" i="11"/>
  <c r="B590" i="11"/>
  <c r="B589" i="11"/>
  <c r="B588" i="11"/>
  <c r="B587" i="11"/>
  <c r="B586" i="11"/>
  <c r="B585" i="11"/>
  <c r="B584" i="11"/>
  <c r="B583" i="11"/>
  <c r="B582" i="11"/>
  <c r="B581" i="11"/>
  <c r="B580" i="11"/>
  <c r="B579" i="11"/>
  <c r="B578" i="11"/>
  <c r="B577" i="11"/>
  <c r="B576" i="11"/>
  <c r="B575" i="11"/>
  <c r="B574" i="11"/>
  <c r="B573" i="11"/>
  <c r="B572" i="11"/>
  <c r="B571" i="11"/>
  <c r="B570" i="11"/>
  <c r="B569" i="11"/>
  <c r="B568" i="11"/>
  <c r="B567" i="11"/>
  <c r="B566" i="11"/>
  <c r="B565" i="11"/>
  <c r="B564" i="11"/>
  <c r="B563" i="11"/>
  <c r="B562" i="11"/>
  <c r="B561" i="11"/>
  <c r="B560" i="11"/>
  <c r="B559" i="11"/>
  <c r="B558" i="11"/>
  <c r="B557" i="11"/>
  <c r="B556" i="11"/>
  <c r="B555" i="11"/>
  <c r="B554" i="11"/>
  <c r="B553" i="11"/>
  <c r="B552" i="11"/>
  <c r="B544" i="11"/>
  <c r="B543" i="11"/>
  <c r="B542" i="11"/>
  <c r="B541" i="11"/>
  <c r="B540" i="11"/>
  <c r="B539" i="11"/>
  <c r="B538" i="11"/>
  <c r="B537" i="11"/>
  <c r="B536" i="11"/>
  <c r="B535" i="11"/>
  <c r="B534" i="11"/>
  <c r="B533" i="11"/>
  <c r="B532" i="11"/>
  <c r="B531" i="11"/>
  <c r="B530" i="11"/>
  <c r="B529" i="11"/>
  <c r="B528" i="11"/>
  <c r="B527" i="11"/>
  <c r="B526" i="11"/>
  <c r="B525" i="11"/>
  <c r="B524" i="11"/>
  <c r="B523" i="11"/>
  <c r="B522" i="11"/>
  <c r="B521" i="11"/>
  <c r="B520" i="11"/>
  <c r="B519" i="11"/>
  <c r="B518" i="11"/>
  <c r="B517" i="11"/>
  <c r="B516" i="11"/>
  <c r="B515" i="11"/>
  <c r="B514" i="11"/>
  <c r="B513" i="11"/>
  <c r="B512" i="11"/>
  <c r="B511" i="11"/>
  <c r="B510" i="11"/>
  <c r="B509" i="11"/>
  <c r="B508" i="11"/>
  <c r="B507" i="11"/>
  <c r="B506" i="11"/>
  <c r="B505" i="11"/>
  <c r="B504" i="11"/>
  <c r="B503" i="11"/>
  <c r="B502" i="11"/>
  <c r="B501" i="11"/>
  <c r="B500" i="11"/>
  <c r="B499" i="11"/>
  <c r="B498" i="11"/>
  <c r="B497" i="11"/>
  <c r="B496" i="11"/>
  <c r="B495" i="11"/>
  <c r="B494" i="11"/>
  <c r="B493" i="11"/>
  <c r="B492" i="11"/>
  <c r="B491" i="11"/>
  <c r="B490" i="11"/>
  <c r="B489" i="11"/>
  <c r="B488" i="11"/>
  <c r="B487" i="11"/>
  <c r="B486" i="11"/>
  <c r="B485" i="11"/>
  <c r="B484" i="11"/>
  <c r="B483" i="11"/>
  <c r="B482" i="11"/>
  <c r="B481" i="11"/>
  <c r="B480" i="11"/>
  <c r="B479" i="11"/>
  <c r="B478" i="11"/>
  <c r="B477" i="11"/>
  <c r="B476" i="11"/>
  <c r="B475" i="11"/>
  <c r="B474" i="11"/>
  <c r="B473" i="11"/>
  <c r="B472" i="11"/>
  <c r="B471" i="11"/>
  <c r="B470" i="11"/>
  <c r="B469" i="11"/>
  <c r="B468" i="11"/>
  <c r="B467" i="11"/>
  <c r="B466" i="11"/>
  <c r="B465" i="11"/>
  <c r="B464" i="11"/>
  <c r="B463" i="11"/>
  <c r="B462" i="11"/>
  <c r="B461" i="11"/>
  <c r="B460" i="11"/>
  <c r="B459" i="11"/>
  <c r="B458" i="11"/>
  <c r="B457" i="11"/>
  <c r="B456" i="11"/>
  <c r="B455" i="11"/>
  <c r="B454" i="11"/>
  <c r="B453" i="11"/>
  <c r="B452" i="11"/>
  <c r="B451" i="11"/>
  <c r="B450" i="11"/>
  <c r="B449" i="11"/>
  <c r="B448" i="11"/>
  <c r="B447" i="11"/>
  <c r="B446" i="11"/>
  <c r="B438" i="11"/>
  <c r="B437" i="11"/>
  <c r="B436" i="11"/>
  <c r="B435" i="11"/>
  <c r="B434" i="11"/>
  <c r="B433" i="11"/>
  <c r="B432" i="11"/>
  <c r="B431" i="11"/>
  <c r="B430" i="11"/>
  <c r="B429" i="11"/>
  <c r="B428" i="11"/>
  <c r="B427" i="11"/>
  <c r="B426" i="11"/>
  <c r="B425" i="11"/>
  <c r="B424" i="11"/>
  <c r="B423" i="11"/>
  <c r="B422" i="11"/>
  <c r="B421" i="11"/>
  <c r="B420" i="11"/>
  <c r="B419" i="11"/>
  <c r="B418" i="11"/>
  <c r="B417" i="11"/>
  <c r="B416" i="11"/>
  <c r="B415" i="11"/>
  <c r="B414" i="11"/>
  <c r="B413" i="11"/>
  <c r="B412" i="11"/>
  <c r="B411" i="11"/>
  <c r="B410" i="11"/>
  <c r="B409" i="11"/>
  <c r="B408" i="11"/>
  <c r="B407" i="11"/>
  <c r="B406" i="11"/>
  <c r="B405" i="11"/>
  <c r="B404" i="11"/>
  <c r="B403" i="11"/>
  <c r="B402" i="11"/>
  <c r="B401" i="11"/>
  <c r="B400" i="11"/>
  <c r="B399" i="11"/>
  <c r="B398" i="11"/>
  <c r="B397" i="11"/>
  <c r="B396" i="11"/>
  <c r="B395" i="11"/>
  <c r="B394" i="11"/>
  <c r="B393" i="11"/>
  <c r="B392" i="11"/>
  <c r="B391" i="11"/>
  <c r="B390" i="11"/>
  <c r="B389" i="11"/>
  <c r="B388" i="11"/>
  <c r="B387" i="11"/>
  <c r="B386" i="11"/>
  <c r="B385" i="11"/>
  <c r="B384" i="11"/>
  <c r="B383" i="11"/>
  <c r="B382" i="11"/>
  <c r="B381" i="11"/>
  <c r="B380" i="11"/>
  <c r="B379" i="11"/>
  <c r="B378" i="11"/>
  <c r="B377" i="11"/>
  <c r="B376" i="11"/>
  <c r="B375" i="11"/>
  <c r="B374" i="11"/>
  <c r="B373" i="11"/>
  <c r="B372" i="11"/>
  <c r="B371" i="11"/>
  <c r="B370" i="11"/>
  <c r="B369" i="11"/>
  <c r="B368" i="11"/>
  <c r="B367" i="11"/>
  <c r="B366" i="11"/>
  <c r="B365" i="11"/>
  <c r="B364" i="11"/>
  <c r="B363" i="11"/>
  <c r="B362" i="11"/>
  <c r="B361" i="11"/>
  <c r="B360" i="11"/>
  <c r="B359" i="11"/>
  <c r="B358" i="11"/>
  <c r="B357" i="11"/>
  <c r="B356" i="11"/>
  <c r="B355" i="11"/>
  <c r="B354" i="11"/>
  <c r="B353" i="11"/>
  <c r="B352" i="11"/>
  <c r="B351" i="11"/>
  <c r="B350" i="11"/>
  <c r="B349" i="11"/>
  <c r="B348" i="11"/>
  <c r="F439" i="11"/>
  <c r="B347" i="11"/>
  <c r="B346" i="11"/>
  <c r="B345" i="11"/>
  <c r="B344" i="11"/>
  <c r="B343" i="11"/>
  <c r="B342" i="11"/>
  <c r="B341" i="11"/>
  <c r="B340" i="11"/>
  <c r="B332" i="11"/>
  <c r="B331" i="11"/>
  <c r="B330" i="11"/>
  <c r="B329" i="11"/>
  <c r="B328" i="11"/>
  <c r="B327" i="11"/>
  <c r="B326" i="11"/>
  <c r="B325" i="11"/>
  <c r="B324" i="11"/>
  <c r="B323" i="11"/>
  <c r="B322" i="11"/>
  <c r="B321" i="11"/>
  <c r="B320" i="11"/>
  <c r="B319" i="11"/>
  <c r="B318" i="11"/>
  <c r="B317" i="11"/>
  <c r="B316" i="11"/>
  <c r="B315" i="11"/>
  <c r="B314" i="11"/>
  <c r="B313" i="11"/>
  <c r="B312" i="11"/>
  <c r="B311" i="11"/>
  <c r="B310" i="11"/>
  <c r="B309" i="11"/>
  <c r="B308" i="11"/>
  <c r="B307" i="11"/>
  <c r="B306" i="11"/>
  <c r="B305" i="11"/>
  <c r="B304" i="11"/>
  <c r="B303" i="11"/>
  <c r="B302" i="11"/>
  <c r="B301" i="11"/>
  <c r="B300" i="11"/>
  <c r="B299" i="11"/>
  <c r="B298" i="11"/>
  <c r="B297" i="11"/>
  <c r="B296" i="11"/>
  <c r="B295" i="11"/>
  <c r="B294" i="11"/>
  <c r="B293" i="11"/>
  <c r="B292" i="11"/>
  <c r="B291" i="11"/>
  <c r="B290" i="11"/>
  <c r="B289" i="11"/>
  <c r="B288" i="11"/>
  <c r="B287" i="11"/>
  <c r="B286" i="11"/>
  <c r="B285" i="11"/>
  <c r="B284" i="11"/>
  <c r="B283" i="11"/>
  <c r="B282" i="11"/>
  <c r="B281" i="11"/>
  <c r="B280" i="11"/>
  <c r="B279" i="11"/>
  <c r="B278" i="11"/>
  <c r="B277" i="11"/>
  <c r="B276" i="11"/>
  <c r="B275" i="11"/>
  <c r="B274" i="11"/>
  <c r="B273" i="11"/>
  <c r="B272" i="11"/>
  <c r="B271" i="11"/>
  <c r="B270" i="11"/>
  <c r="B269" i="11"/>
  <c r="B268" i="11"/>
  <c r="B267" i="11"/>
  <c r="B266" i="11"/>
  <c r="B265" i="11"/>
  <c r="B264" i="11"/>
  <c r="B263" i="11"/>
  <c r="B262" i="11"/>
  <c r="B261" i="11"/>
  <c r="B260" i="11"/>
  <c r="B259" i="11"/>
  <c r="B258" i="11"/>
  <c r="B257" i="11"/>
  <c r="B256" i="11"/>
  <c r="B255" i="11"/>
  <c r="B254" i="11"/>
  <c r="B253" i="11"/>
  <c r="B252" i="11"/>
  <c r="B251" i="11"/>
  <c r="B250" i="11"/>
  <c r="B249" i="11"/>
  <c r="B248" i="11"/>
  <c r="B247" i="11"/>
  <c r="B246" i="11"/>
  <c r="B245" i="11"/>
  <c r="B244" i="11"/>
  <c r="B243" i="11"/>
  <c r="B242" i="11"/>
  <c r="B241" i="11"/>
  <c r="B240" i="11"/>
  <c r="B239" i="11"/>
  <c r="B238" i="11"/>
  <c r="B237" i="11"/>
  <c r="B236" i="11"/>
  <c r="B235" i="11"/>
  <c r="B234" i="11"/>
  <c r="B143" i="11"/>
  <c r="B142" i="11"/>
  <c r="B141" i="11"/>
  <c r="B140" i="11"/>
  <c r="B139" i="11"/>
  <c r="B138" i="11"/>
  <c r="B137" i="11"/>
  <c r="B136" i="11"/>
  <c r="B135" i="11"/>
  <c r="B134" i="11"/>
  <c r="B133" i="11"/>
  <c r="B132" i="11"/>
  <c r="B131" i="11"/>
  <c r="B130" i="11"/>
  <c r="B129" i="11"/>
  <c r="B128" i="11"/>
  <c r="B120" i="11"/>
  <c r="B119" i="11"/>
  <c r="B118" i="11"/>
  <c r="B117" i="11"/>
  <c r="B116" i="11"/>
  <c r="B115" i="11"/>
  <c r="B114" i="11"/>
  <c r="B113" i="11"/>
  <c r="B112" i="11"/>
  <c r="B111" i="11"/>
  <c r="B110" i="11"/>
  <c r="B109" i="11"/>
  <c r="B108" i="11"/>
  <c r="B107" i="11"/>
  <c r="B106" i="11"/>
  <c r="B105" i="11"/>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3" i="11"/>
  <c r="B22" i="11"/>
  <c r="C6" i="16" s="1"/>
  <c r="E757" i="11"/>
  <c r="D757" i="11"/>
  <c r="F651" i="11"/>
  <c r="F545" i="11"/>
  <c r="B2" i="16"/>
  <c r="B1" i="16"/>
  <c r="W129" i="23" l="1"/>
  <c r="W131" i="23"/>
  <c r="W210" i="23"/>
  <c r="W123" i="23"/>
  <c r="W182" i="23"/>
  <c r="W116" i="23"/>
  <c r="W189" i="23"/>
  <c r="W124" i="23"/>
  <c r="W128" i="23"/>
  <c r="W171" i="23"/>
  <c r="W211" i="23"/>
  <c r="W164" i="23"/>
  <c r="W193" i="23"/>
  <c r="W166" i="23"/>
  <c r="W197" i="23"/>
  <c r="W143" i="23"/>
  <c r="W127" i="23"/>
  <c r="W134" i="23"/>
  <c r="W205" i="23"/>
  <c r="W173" i="23"/>
  <c r="W203" i="23"/>
  <c r="W212" i="23"/>
  <c r="W163" i="23"/>
  <c r="W208" i="23"/>
  <c r="W206" i="23"/>
  <c r="W196" i="23"/>
  <c r="W201" i="23"/>
  <c r="W194" i="23"/>
  <c r="W199" i="23"/>
  <c r="W204" i="23"/>
  <c r="W200" i="23"/>
  <c r="W198" i="23"/>
  <c r="W184" i="23"/>
  <c r="W186" i="23"/>
  <c r="W181" i="23"/>
  <c r="W195" i="23"/>
  <c r="W185" i="23"/>
  <c r="W187" i="23"/>
  <c r="W172" i="23"/>
  <c r="W175" i="23"/>
  <c r="W209" i="23"/>
  <c r="W207" i="23"/>
  <c r="W179" i="23"/>
  <c r="W177" i="23"/>
  <c r="W192" i="23"/>
  <c r="W165" i="23"/>
  <c r="W162" i="23"/>
  <c r="W167" i="23"/>
  <c r="W155" i="23"/>
  <c r="W161" i="23"/>
  <c r="W168" i="23"/>
  <c r="W148" i="23"/>
  <c r="W154" i="23"/>
  <c r="W140" i="23"/>
  <c r="W174" i="23"/>
  <c r="W178" i="23"/>
  <c r="W157" i="23"/>
  <c r="W139" i="23"/>
  <c r="W188" i="23"/>
  <c r="W176" i="23"/>
  <c r="W160" i="23"/>
  <c r="W156" i="23"/>
  <c r="W151" i="23"/>
  <c r="W183" i="23"/>
  <c r="W150" i="23"/>
  <c r="W137" i="23"/>
  <c r="W146" i="23"/>
  <c r="W132" i="23"/>
  <c r="W141" i="23"/>
  <c r="W130" i="23"/>
  <c r="W135" i="23"/>
  <c r="W119" i="23"/>
  <c r="W118" i="23"/>
  <c r="W117" i="23"/>
  <c r="W149" i="23"/>
  <c r="W145" i="23"/>
  <c r="W121" i="23"/>
  <c r="W122" i="23"/>
  <c r="W120" i="23"/>
  <c r="W152" i="23"/>
  <c r="W138" i="23"/>
  <c r="W144" i="23"/>
  <c r="W133" i="23"/>
  <c r="W142" i="23"/>
  <c r="W190" i="23"/>
  <c r="W126" i="23"/>
  <c r="W153" i="23"/>
  <c r="W170" i="23"/>
  <c r="W115" i="23"/>
  <c r="W159" i="23"/>
  <c r="W180" i="23"/>
  <c r="W158" i="23"/>
  <c r="W147" i="23"/>
  <c r="W169" i="23"/>
  <c r="W114" i="23"/>
  <c r="W202" i="23"/>
  <c r="W136" i="23"/>
  <c r="W125" i="23"/>
  <c r="W191" i="23"/>
  <c r="W113" i="23"/>
  <c r="W111" i="23"/>
  <c r="W112" i="23"/>
  <c r="W110" i="23"/>
  <c r="W109" i="23"/>
  <c r="W106" i="23"/>
  <c r="W105" i="23"/>
  <c r="W107" i="23"/>
  <c r="W100" i="23"/>
  <c r="W103" i="23"/>
  <c r="W108" i="23"/>
  <c r="W101" i="23"/>
  <c r="W96" i="23"/>
  <c r="W102" i="23"/>
  <c r="W95" i="23"/>
  <c r="W98" i="23"/>
  <c r="W93" i="23"/>
  <c r="W91" i="23"/>
  <c r="W104" i="23"/>
  <c r="W99" i="23"/>
  <c r="W90" i="23"/>
  <c r="W88" i="23"/>
  <c r="W97" i="23"/>
  <c r="W92" i="23"/>
  <c r="W89" i="23"/>
  <c r="W84" i="23"/>
  <c r="W81" i="23"/>
  <c r="W78" i="23"/>
  <c r="W86" i="23"/>
  <c r="W85" i="23"/>
  <c r="W83" i="23"/>
  <c r="W82" i="23"/>
  <c r="W80" i="23"/>
  <c r="W75" i="23"/>
  <c r="W87" i="23"/>
  <c r="W74" i="23"/>
  <c r="W79" i="23"/>
  <c r="W72" i="23"/>
  <c r="W73" i="23"/>
  <c r="W70" i="23"/>
  <c r="W64" i="23"/>
  <c r="W77" i="23"/>
  <c r="W71" i="23"/>
  <c r="W66" i="23"/>
  <c r="W65" i="23"/>
  <c r="W62" i="23"/>
  <c r="W59" i="23"/>
  <c r="W57" i="23"/>
  <c r="W56" i="23"/>
  <c r="W69" i="23"/>
  <c r="W54" i="23"/>
  <c r="W76" i="23"/>
  <c r="W61" i="23"/>
  <c r="W55" i="23"/>
  <c r="W50" i="23"/>
  <c r="W67" i="23"/>
  <c r="W45" i="23"/>
  <c r="W94" i="23"/>
  <c r="W60" i="23"/>
  <c r="W51" i="23"/>
  <c r="W44" i="23"/>
  <c r="W49" i="23"/>
  <c r="W42" i="23"/>
  <c r="W41" i="23"/>
  <c r="W38" i="23"/>
  <c r="W53" i="23"/>
  <c r="W43" i="23"/>
  <c r="W33" i="23"/>
  <c r="W40" i="23"/>
  <c r="W68" i="23"/>
  <c r="W46" i="23"/>
  <c r="W39" i="23"/>
  <c r="W37" i="23"/>
  <c r="W21" i="23"/>
  <c r="W28" i="23"/>
  <c r="W23" i="23"/>
  <c r="W63" i="23"/>
  <c r="W22" i="23"/>
  <c r="W52" i="23"/>
  <c r="W47" i="23"/>
  <c r="W16" i="23"/>
  <c r="W14" i="23"/>
  <c r="W6" i="23"/>
  <c r="W35" i="23"/>
  <c r="W32" i="23"/>
  <c r="W19" i="23"/>
  <c r="W11" i="23"/>
  <c r="W15" i="23"/>
  <c r="W13" i="23"/>
  <c r="W25" i="23"/>
  <c r="W18" i="23"/>
  <c r="W8" i="23"/>
  <c r="X2" i="23"/>
  <c r="W30" i="23"/>
  <c r="W27" i="23"/>
  <c r="W5" i="23"/>
  <c r="W48" i="23"/>
  <c r="W36" i="23"/>
  <c r="W17" i="23"/>
  <c r="W7" i="23"/>
  <c r="W34" i="23"/>
  <c r="W31" i="23"/>
  <c r="W29" i="23"/>
  <c r="W24" i="23"/>
  <c r="W20" i="23"/>
  <c r="W12" i="23"/>
  <c r="W9" i="23"/>
  <c r="W10" i="23"/>
  <c r="W58" i="23"/>
  <c r="W26" i="23"/>
  <c r="W4" i="23"/>
  <c r="C40" i="5"/>
  <c r="C39" i="5"/>
  <c r="C38" i="5"/>
  <c r="C37" i="5"/>
  <c r="C36" i="5"/>
  <c r="C35" i="5"/>
  <c r="C34" i="5"/>
  <c r="C33" i="5"/>
  <c r="C42" i="5" l="1"/>
  <c r="C44" i="5" s="1"/>
  <c r="X139" i="23"/>
  <c r="X115" i="23"/>
  <c r="X186" i="23"/>
  <c r="X121" i="23"/>
  <c r="X174" i="23"/>
  <c r="X168" i="23"/>
  <c r="X117" i="23"/>
  <c r="X152" i="23"/>
  <c r="X149" i="23"/>
  <c r="X127" i="23"/>
  <c r="X151" i="23"/>
  <c r="X146" i="23"/>
  <c r="X166" i="23"/>
  <c r="X123" i="23"/>
  <c r="X161" i="23"/>
  <c r="X131" i="23"/>
  <c r="X157" i="23"/>
  <c r="X170" i="23"/>
  <c r="X143" i="23"/>
  <c r="X194" i="23"/>
  <c r="X203" i="23"/>
  <c r="X178" i="23"/>
  <c r="X144" i="23"/>
  <c r="X209" i="23"/>
  <c r="X164" i="23"/>
  <c r="X211" i="23"/>
  <c r="X208" i="23"/>
  <c r="X188" i="23"/>
  <c r="X206" i="23"/>
  <c r="X198" i="23"/>
  <c r="X192" i="23"/>
  <c r="X200" i="23"/>
  <c r="X210" i="23"/>
  <c r="X212" i="23"/>
  <c r="X195" i="23"/>
  <c r="X193" i="23"/>
  <c r="X196" i="23"/>
  <c r="X182" i="23"/>
  <c r="X197" i="23"/>
  <c r="X201" i="23"/>
  <c r="X184" i="23"/>
  <c r="X207" i="23"/>
  <c r="X204" i="23"/>
  <c r="X183" i="23"/>
  <c r="X190" i="23"/>
  <c r="X205" i="23"/>
  <c r="X172" i="23"/>
  <c r="X185" i="23"/>
  <c r="X171" i="23"/>
  <c r="X177" i="23"/>
  <c r="X199" i="23"/>
  <c r="X187" i="23"/>
  <c r="X175" i="23"/>
  <c r="X167" i="23"/>
  <c r="X165" i="23"/>
  <c r="X162" i="23"/>
  <c r="X155" i="23"/>
  <c r="X189" i="23"/>
  <c r="X159" i="23"/>
  <c r="X148" i="23"/>
  <c r="X154" i="23"/>
  <c r="X141" i="23"/>
  <c r="X179" i="23"/>
  <c r="X133" i="23"/>
  <c r="X150" i="23"/>
  <c r="X135" i="23"/>
  <c r="X134" i="23"/>
  <c r="X163" i="23"/>
  <c r="X128" i="23"/>
  <c r="X132" i="23"/>
  <c r="X145" i="23"/>
  <c r="X118" i="23"/>
  <c r="X116" i="23"/>
  <c r="X119" i="23"/>
  <c r="X176" i="23"/>
  <c r="X138" i="23"/>
  <c r="X142" i="23"/>
  <c r="X126" i="23"/>
  <c r="X181" i="23"/>
  <c r="X160" i="23"/>
  <c r="X120" i="23"/>
  <c r="X140" i="23"/>
  <c r="X156" i="23"/>
  <c r="X130" i="23"/>
  <c r="X124" i="23"/>
  <c r="X153" i="23"/>
  <c r="X173" i="23"/>
  <c r="X129" i="23"/>
  <c r="X137" i="23"/>
  <c r="X122" i="23"/>
  <c r="X202" i="23"/>
  <c r="X136" i="23"/>
  <c r="X180" i="23"/>
  <c r="X158" i="23"/>
  <c r="X169" i="23"/>
  <c r="X114" i="23"/>
  <c r="X125" i="23"/>
  <c r="X147" i="23"/>
  <c r="X191" i="23"/>
  <c r="X113" i="23"/>
  <c r="X107" i="23"/>
  <c r="X112" i="23"/>
  <c r="X111" i="23"/>
  <c r="X110" i="23"/>
  <c r="X109" i="23"/>
  <c r="X103" i="23"/>
  <c r="X101" i="23"/>
  <c r="X105" i="23"/>
  <c r="X108" i="23"/>
  <c r="X100" i="23"/>
  <c r="X98" i="23"/>
  <c r="X95" i="23"/>
  <c r="X104" i="23"/>
  <c r="X96" i="23"/>
  <c r="X99" i="23"/>
  <c r="X102" i="23"/>
  <c r="X94" i="23"/>
  <c r="X92" i="23"/>
  <c r="X91" i="23"/>
  <c r="X86" i="23"/>
  <c r="X85" i="23"/>
  <c r="X97" i="23"/>
  <c r="X93" i="23"/>
  <c r="X90" i="23"/>
  <c r="X106" i="23"/>
  <c r="X83" i="23"/>
  <c r="X81" i="23"/>
  <c r="X78" i="23"/>
  <c r="X82" i="23"/>
  <c r="X80" i="23"/>
  <c r="X72" i="23"/>
  <c r="X79" i="23"/>
  <c r="X71" i="23"/>
  <c r="X69" i="23"/>
  <c r="X88" i="23"/>
  <c r="X87" i="23"/>
  <c r="X73" i="23"/>
  <c r="X84" i="23"/>
  <c r="X74" i="23"/>
  <c r="X67" i="23"/>
  <c r="X77" i="23"/>
  <c r="X76" i="23"/>
  <c r="X66" i="23"/>
  <c r="X75" i="23"/>
  <c r="X65" i="23"/>
  <c r="X62" i="23"/>
  <c r="X59" i="23"/>
  <c r="X57" i="23"/>
  <c r="X89" i="23"/>
  <c r="X54" i="23"/>
  <c r="X63" i="23"/>
  <c r="X53" i="23"/>
  <c r="X61" i="23"/>
  <c r="X55" i="23"/>
  <c r="X50" i="23"/>
  <c r="X70" i="23"/>
  <c r="X58" i="23"/>
  <c r="X42" i="23"/>
  <c r="X56" i="23"/>
  <c r="X52" i="23"/>
  <c r="X41" i="23"/>
  <c r="X43" i="23"/>
  <c r="X44" i="23"/>
  <c r="X40" i="23"/>
  <c r="X60" i="23"/>
  <c r="X37" i="23"/>
  <c r="X35" i="23"/>
  <c r="X34" i="23"/>
  <c r="X64" i="23"/>
  <c r="X68" i="23"/>
  <c r="X28" i="23"/>
  <c r="X45" i="23"/>
  <c r="X23" i="23"/>
  <c r="X48" i="23"/>
  <c r="X47" i="23"/>
  <c r="X39" i="23"/>
  <c r="X30" i="23"/>
  <c r="X20" i="23"/>
  <c r="X51" i="23"/>
  <c r="X33" i="23"/>
  <c r="X32" i="23"/>
  <c r="X29" i="23"/>
  <c r="X19" i="23"/>
  <c r="X22" i="23"/>
  <c r="X11" i="23"/>
  <c r="X38" i="23"/>
  <c r="X10" i="23"/>
  <c r="X25" i="23"/>
  <c r="X18" i="23"/>
  <c r="X8" i="23"/>
  <c r="Y2" i="23"/>
  <c r="X49" i="23"/>
  <c r="X27" i="23"/>
  <c r="X15" i="23"/>
  <c r="X13" i="23"/>
  <c r="X5" i="23"/>
  <c r="X31" i="23"/>
  <c r="X24" i="23"/>
  <c r="X12" i="23"/>
  <c r="X4" i="23"/>
  <c r="X26" i="23"/>
  <c r="X9" i="23"/>
  <c r="X36" i="23"/>
  <c r="X14" i="23"/>
  <c r="X21" i="23"/>
  <c r="X46" i="23"/>
  <c r="X17" i="23"/>
  <c r="X16" i="23"/>
  <c r="X6" i="23"/>
  <c r="X7" i="23"/>
  <c r="D77" i="5"/>
  <c r="D56" i="5"/>
  <c r="D119" i="5" s="1"/>
  <c r="D35" i="5"/>
  <c r="D98" i="5" s="1"/>
  <c r="G86" i="5" l="1"/>
  <c r="AF2" i="13" s="1"/>
  <c r="G85" i="5"/>
  <c r="AE2" i="13" s="1"/>
  <c r="AE76" i="13" s="1"/>
  <c r="AM76" i="13" s="1"/>
  <c r="G84" i="5"/>
  <c r="AD2" i="13" s="1"/>
  <c r="G119" i="5"/>
  <c r="F119" i="5"/>
  <c r="G77" i="5"/>
  <c r="F77" i="5"/>
  <c r="G98" i="5"/>
  <c r="F98" i="5"/>
  <c r="F56" i="5"/>
  <c r="F35" i="5"/>
  <c r="D34" i="5"/>
  <c r="D97" i="5" s="1"/>
  <c r="D75" i="5"/>
  <c r="D78" i="5"/>
  <c r="D80" i="5"/>
  <c r="D76" i="5"/>
  <c r="D81" i="5"/>
  <c r="D55" i="5"/>
  <c r="D118" i="5" s="1"/>
  <c r="D79" i="5"/>
  <c r="D82" i="5"/>
  <c r="Y154" i="23"/>
  <c r="Y200" i="23"/>
  <c r="Y145" i="23"/>
  <c r="Y134" i="23"/>
  <c r="Y129" i="23"/>
  <c r="Y164" i="23"/>
  <c r="Y117" i="23"/>
  <c r="Y152" i="23"/>
  <c r="Y149" i="23"/>
  <c r="Y201" i="23"/>
  <c r="Y124" i="23"/>
  <c r="Y115" i="23"/>
  <c r="Y116" i="23"/>
  <c r="Y121" i="23"/>
  <c r="Y128" i="23"/>
  <c r="Y139" i="23"/>
  <c r="Y151" i="23"/>
  <c r="Y193" i="23"/>
  <c r="Y199" i="23"/>
  <c r="Y208" i="23"/>
  <c r="Y166" i="23"/>
  <c r="Y205" i="23"/>
  <c r="Y206" i="23"/>
  <c r="Y207" i="23"/>
  <c r="Y212" i="23"/>
  <c r="Y196" i="23"/>
  <c r="Y210" i="23"/>
  <c r="Y192" i="23"/>
  <c r="Y209" i="23"/>
  <c r="Y203" i="23"/>
  <c r="Y181" i="23"/>
  <c r="Y204" i="23"/>
  <c r="Y211" i="23"/>
  <c r="Y198" i="23"/>
  <c r="Y197" i="23"/>
  <c r="Y195" i="23"/>
  <c r="Y173" i="23"/>
  <c r="Y184" i="23"/>
  <c r="Y186" i="23"/>
  <c r="Y189" i="23"/>
  <c r="Y188" i="23"/>
  <c r="Y171" i="23"/>
  <c r="Y172" i="23"/>
  <c r="Y177" i="23"/>
  <c r="Y175" i="23"/>
  <c r="Y168" i="23"/>
  <c r="Y187" i="23"/>
  <c r="Y183" i="23"/>
  <c r="Y160" i="23"/>
  <c r="Y163" i="23"/>
  <c r="Y161" i="23"/>
  <c r="Y174" i="23"/>
  <c r="Y178" i="23"/>
  <c r="Y165" i="23"/>
  <c r="Y156" i="23"/>
  <c r="Y185" i="23"/>
  <c r="Y179" i="23"/>
  <c r="Y159" i="23"/>
  <c r="Y157" i="23"/>
  <c r="Y138" i="23"/>
  <c r="Y182" i="23"/>
  <c r="Y155" i="23"/>
  <c r="Y130" i="23"/>
  <c r="Y133" i="23"/>
  <c r="Y190" i="23"/>
  <c r="Y167" i="23"/>
  <c r="Y137" i="23"/>
  <c r="Y144" i="23"/>
  <c r="Y126" i="23"/>
  <c r="Y131" i="23"/>
  <c r="Y141" i="23"/>
  <c r="Y142" i="23"/>
  <c r="Y127" i="23"/>
  <c r="Y118" i="23"/>
  <c r="Y194" i="23"/>
  <c r="Y176" i="23"/>
  <c r="Y143" i="23"/>
  <c r="Y132" i="23"/>
  <c r="Y123" i="23"/>
  <c r="Y170" i="23"/>
  <c r="Y148" i="23"/>
  <c r="Y122" i="23"/>
  <c r="Y150" i="23"/>
  <c r="Y153" i="23"/>
  <c r="Y135" i="23"/>
  <c r="Y162" i="23"/>
  <c r="Y146" i="23"/>
  <c r="Y119" i="23"/>
  <c r="Y120" i="23"/>
  <c r="Y140" i="23"/>
  <c r="Y114" i="23"/>
  <c r="Y136" i="23"/>
  <c r="Y169" i="23"/>
  <c r="Y158" i="23"/>
  <c r="Y125" i="23"/>
  <c r="Y202" i="23"/>
  <c r="Y147" i="23"/>
  <c r="Y180" i="23"/>
  <c r="Y191" i="23"/>
  <c r="Y113" i="23"/>
  <c r="Y108" i="23"/>
  <c r="Y107" i="23"/>
  <c r="Y109" i="23"/>
  <c r="Y111" i="23"/>
  <c r="Y106" i="23"/>
  <c r="Y101" i="23"/>
  <c r="Y112" i="23"/>
  <c r="Y103" i="23"/>
  <c r="Y105" i="23"/>
  <c r="Y104" i="23"/>
  <c r="Y97" i="23"/>
  <c r="Y100" i="23"/>
  <c r="Y96" i="23"/>
  <c r="Y94" i="23"/>
  <c r="Y92" i="23"/>
  <c r="Y91" i="23"/>
  <c r="Y93" i="23"/>
  <c r="Y89" i="23"/>
  <c r="Y110" i="23"/>
  <c r="Y102" i="23"/>
  <c r="Y95" i="23"/>
  <c r="Y90" i="23"/>
  <c r="Y81" i="23"/>
  <c r="Y87" i="23"/>
  <c r="Y86" i="23"/>
  <c r="Y84" i="23"/>
  <c r="Y82" i="23"/>
  <c r="Y80" i="23"/>
  <c r="Y99" i="23"/>
  <c r="Y85" i="23"/>
  <c r="Y83" i="23"/>
  <c r="Y77" i="23"/>
  <c r="Y76" i="23"/>
  <c r="Y79" i="23"/>
  <c r="Y73" i="23"/>
  <c r="Y72" i="23"/>
  <c r="Y74" i="23"/>
  <c r="Y69" i="23"/>
  <c r="Y64" i="23"/>
  <c r="Y63" i="23"/>
  <c r="Y71" i="23"/>
  <c r="Y66" i="23"/>
  <c r="Y59" i="23"/>
  <c r="Y57" i="23"/>
  <c r="Y88" i="23"/>
  <c r="Y78" i="23"/>
  <c r="Y68" i="23"/>
  <c r="Y67" i="23"/>
  <c r="Y61" i="23"/>
  <c r="Y51" i="23"/>
  <c r="Y70" i="23"/>
  <c r="Y60" i="23"/>
  <c r="Y58" i="23"/>
  <c r="Y65" i="23"/>
  <c r="Y49" i="23"/>
  <c r="Y47" i="23"/>
  <c r="Y75" i="23"/>
  <c r="Y53" i="23"/>
  <c r="Y48" i="23"/>
  <c r="Y46" i="23"/>
  <c r="Y44" i="23"/>
  <c r="Y40" i="23"/>
  <c r="Y37" i="23"/>
  <c r="Y35" i="23"/>
  <c r="Y98" i="23"/>
  <c r="Y45" i="23"/>
  <c r="Y32" i="23"/>
  <c r="Y50" i="23"/>
  <c r="Y31" i="23"/>
  <c r="Y62" i="23"/>
  <c r="Y55" i="23"/>
  <c r="Y56" i="23"/>
  <c r="Y23" i="23"/>
  <c r="Y43" i="23"/>
  <c r="Y39" i="23"/>
  <c r="Y30" i="23"/>
  <c r="Y20" i="23"/>
  <c r="Y54" i="23"/>
  <c r="Y52" i="23"/>
  <c r="Y36" i="23"/>
  <c r="Y27" i="23"/>
  <c r="Y25" i="23"/>
  <c r="Y38" i="23"/>
  <c r="Y26" i="23"/>
  <c r="Y24" i="23"/>
  <c r="Y28" i="23"/>
  <c r="Y19" i="23"/>
  <c r="Y18" i="23"/>
  <c r="Y8" i="23"/>
  <c r="Z2" i="23"/>
  <c r="Y21" i="23"/>
  <c r="Y15" i="23"/>
  <c r="Y13" i="23"/>
  <c r="Y5" i="23"/>
  <c r="Y41" i="23"/>
  <c r="Y33" i="23"/>
  <c r="Y10" i="23"/>
  <c r="Y17" i="23"/>
  <c r="Y7" i="23"/>
  <c r="Y34" i="23"/>
  <c r="Y29" i="23"/>
  <c r="Y9" i="23"/>
  <c r="Y42" i="23"/>
  <c r="Y16" i="23"/>
  <c r="Y14" i="23"/>
  <c r="Y22" i="23"/>
  <c r="Y12" i="23"/>
  <c r="Y6" i="23"/>
  <c r="Y4" i="23"/>
  <c r="Y11" i="23"/>
  <c r="D39" i="5"/>
  <c r="D102" i="5" s="1"/>
  <c r="D60" i="5"/>
  <c r="D123" i="5" s="1"/>
  <c r="D40" i="5"/>
  <c r="D103" i="5" s="1"/>
  <c r="D61" i="5"/>
  <c r="D124" i="5" s="1"/>
  <c r="D54" i="5"/>
  <c r="D117" i="5" s="1"/>
  <c r="D36" i="5"/>
  <c r="D99" i="5" s="1"/>
  <c r="D57" i="5"/>
  <c r="D120" i="5" s="1"/>
  <c r="D37" i="5"/>
  <c r="D100" i="5" s="1"/>
  <c r="D58" i="5"/>
  <c r="D121" i="5" s="1"/>
  <c r="D38" i="5"/>
  <c r="D101" i="5" s="1"/>
  <c r="D59" i="5"/>
  <c r="D122" i="5" s="1"/>
  <c r="AD983" i="13" l="1"/>
  <c r="AD485" i="13"/>
  <c r="AE983" i="13"/>
  <c r="AE485" i="13"/>
  <c r="G79" i="5"/>
  <c r="F79" i="5"/>
  <c r="G118" i="5"/>
  <c r="F118" i="5"/>
  <c r="G124" i="5"/>
  <c r="F124" i="5"/>
  <c r="G103" i="5"/>
  <c r="F103" i="5"/>
  <c r="G81" i="5"/>
  <c r="F81" i="5"/>
  <c r="F96" i="5"/>
  <c r="H96" i="5" s="1"/>
  <c r="G101" i="5"/>
  <c r="F101" i="5"/>
  <c r="G121" i="5"/>
  <c r="F121" i="5"/>
  <c r="G123" i="5"/>
  <c r="F123" i="5"/>
  <c r="G76" i="5"/>
  <c r="F76" i="5"/>
  <c r="G100" i="5"/>
  <c r="F100" i="5"/>
  <c r="G80" i="5"/>
  <c r="F80" i="5"/>
  <c r="G102" i="5"/>
  <c r="F102" i="5"/>
  <c r="G78" i="5"/>
  <c r="F78" i="5"/>
  <c r="G99" i="5"/>
  <c r="F99" i="5"/>
  <c r="G75" i="5"/>
  <c r="F75" i="5"/>
  <c r="G122" i="5"/>
  <c r="F122" i="5"/>
  <c r="G120" i="5"/>
  <c r="F120" i="5"/>
  <c r="G117" i="5"/>
  <c r="F117" i="5"/>
  <c r="G82" i="5"/>
  <c r="F82" i="5"/>
  <c r="G97" i="5"/>
  <c r="F97" i="5"/>
  <c r="I77" i="5"/>
  <c r="H77" i="5"/>
  <c r="H98" i="5"/>
  <c r="I98" i="5"/>
  <c r="H119" i="5"/>
  <c r="I119" i="5"/>
  <c r="F34" i="5"/>
  <c r="F33" i="5"/>
  <c r="F40" i="5"/>
  <c r="F36" i="5"/>
  <c r="F54" i="5"/>
  <c r="F59" i="5"/>
  <c r="F58" i="5"/>
  <c r="F60" i="5"/>
  <c r="F55" i="5"/>
  <c r="F38" i="5"/>
  <c r="F37" i="5"/>
  <c r="F39" i="5"/>
  <c r="F61" i="5"/>
  <c r="F57" i="5"/>
  <c r="Z127" i="23"/>
  <c r="Z131" i="23"/>
  <c r="Z115" i="23"/>
  <c r="Z192" i="23"/>
  <c r="Z124" i="23"/>
  <c r="Z144" i="23"/>
  <c r="Z170" i="23"/>
  <c r="Z135" i="23"/>
  <c r="Z120" i="23"/>
  <c r="Z166" i="23"/>
  <c r="Z128" i="23"/>
  <c r="Z121" i="23"/>
  <c r="Z197" i="23"/>
  <c r="Z198" i="23"/>
  <c r="Z164" i="23"/>
  <c r="Z187" i="23"/>
  <c r="Z204" i="23"/>
  <c r="Z203" i="23"/>
  <c r="Z209" i="23"/>
  <c r="Z205" i="23"/>
  <c r="Z196" i="23"/>
  <c r="Z207" i="23"/>
  <c r="Z210" i="23"/>
  <c r="Z194" i="23"/>
  <c r="Z200" i="23"/>
  <c r="Z212" i="23"/>
  <c r="Z195" i="23"/>
  <c r="Z208" i="23"/>
  <c r="Z206" i="23"/>
  <c r="Z211" i="23"/>
  <c r="Z181" i="23"/>
  <c r="Z186" i="23"/>
  <c r="Z199" i="23"/>
  <c r="Z193" i="23"/>
  <c r="Z185" i="23"/>
  <c r="Z172" i="23"/>
  <c r="Z201" i="23"/>
  <c r="Z162" i="23"/>
  <c r="Z190" i="23"/>
  <c r="Z171" i="23"/>
  <c r="Z177" i="23"/>
  <c r="Z163" i="23"/>
  <c r="Z156" i="23"/>
  <c r="Z155" i="23"/>
  <c r="Z168" i="23"/>
  <c r="Z182" i="23"/>
  <c r="Z178" i="23"/>
  <c r="Z160" i="23"/>
  <c r="Z159" i="23"/>
  <c r="Z153" i="23"/>
  <c r="Z141" i="23"/>
  <c r="Z188" i="23"/>
  <c r="Z189" i="23"/>
  <c r="Z176" i="23"/>
  <c r="Z150" i="23"/>
  <c r="Z173" i="23"/>
  <c r="Z154" i="23"/>
  <c r="Z174" i="23"/>
  <c r="Z175" i="23"/>
  <c r="Z179" i="23"/>
  <c r="Z165" i="23"/>
  <c r="Z148" i="23"/>
  <c r="Z151" i="23"/>
  <c r="Z142" i="23"/>
  <c r="Z140" i="23"/>
  <c r="Z183" i="23"/>
  <c r="Z139" i="23"/>
  <c r="Z184" i="23"/>
  <c r="Z167" i="23"/>
  <c r="Z138" i="23"/>
  <c r="Z143" i="23"/>
  <c r="Z132" i="23"/>
  <c r="Z134" i="23"/>
  <c r="Z149" i="23"/>
  <c r="Z116" i="23"/>
  <c r="Z118" i="23"/>
  <c r="Z146" i="23"/>
  <c r="Z145" i="23"/>
  <c r="Z117" i="23"/>
  <c r="Z161" i="23"/>
  <c r="Z126" i="23"/>
  <c r="Z130" i="23"/>
  <c r="Z123" i="23"/>
  <c r="Z137" i="23"/>
  <c r="Z152" i="23"/>
  <c r="Z119" i="23"/>
  <c r="Z129" i="23"/>
  <c r="Z122" i="23"/>
  <c r="Z133" i="23"/>
  <c r="Z157" i="23"/>
  <c r="Z202" i="23"/>
  <c r="Z180" i="23"/>
  <c r="Z136" i="23"/>
  <c r="Z147" i="23"/>
  <c r="Z169" i="23"/>
  <c r="Z158" i="23"/>
  <c r="Z114" i="23"/>
  <c r="Z191" i="23"/>
  <c r="Z125" i="23"/>
  <c r="Z113" i="23"/>
  <c r="Z112" i="23"/>
  <c r="Z109" i="23"/>
  <c r="Z111" i="23"/>
  <c r="Z108" i="23"/>
  <c r="Z106" i="23"/>
  <c r="Z107" i="23"/>
  <c r="Z105" i="23"/>
  <c r="Z104" i="23"/>
  <c r="Z102" i="23"/>
  <c r="Z100" i="23"/>
  <c r="Z110" i="23"/>
  <c r="Z103" i="23"/>
  <c r="Z99" i="23"/>
  <c r="Z101" i="23"/>
  <c r="Z95" i="23"/>
  <c r="Z94" i="23"/>
  <c r="Z96" i="23"/>
  <c r="Z97" i="23"/>
  <c r="Z91" i="23"/>
  <c r="Z92" i="23"/>
  <c r="Z90" i="23"/>
  <c r="Z93" i="23"/>
  <c r="Z88" i="23"/>
  <c r="Z87" i="23"/>
  <c r="Z98" i="23"/>
  <c r="Z85" i="23"/>
  <c r="Z83" i="23"/>
  <c r="Z86" i="23"/>
  <c r="Z77" i="23"/>
  <c r="Z74" i="23"/>
  <c r="Z73" i="23"/>
  <c r="Z81" i="23"/>
  <c r="Z84" i="23"/>
  <c r="Z69" i="23"/>
  <c r="Z78" i="23"/>
  <c r="Z75" i="23"/>
  <c r="Z70" i="23"/>
  <c r="Z80" i="23"/>
  <c r="Z71" i="23"/>
  <c r="Z68" i="23"/>
  <c r="Z82" i="23"/>
  <c r="Z89" i="23"/>
  <c r="Z67" i="23"/>
  <c r="Z61" i="23"/>
  <c r="Z56" i="23"/>
  <c r="Z55" i="23"/>
  <c r="Z76" i="23"/>
  <c r="Z79" i="23"/>
  <c r="Z65" i="23"/>
  <c r="Z58" i="23"/>
  <c r="Z49" i="23"/>
  <c r="Z47" i="23"/>
  <c r="Z44" i="23"/>
  <c r="Z62" i="23"/>
  <c r="Z59" i="23"/>
  <c r="Z43" i="23"/>
  <c r="Z53" i="23"/>
  <c r="Z37" i="23"/>
  <c r="Z60" i="23"/>
  <c r="Z45" i="23"/>
  <c r="Z32" i="23"/>
  <c r="Z64" i="23"/>
  <c r="Z63" i="23"/>
  <c r="Z51" i="23"/>
  <c r="Z48" i="23"/>
  <c r="Z39" i="23"/>
  <c r="Z66" i="23"/>
  <c r="Z52" i="23"/>
  <c r="Z38" i="23"/>
  <c r="Z36" i="23"/>
  <c r="Z54" i="23"/>
  <c r="Z40" i="23"/>
  <c r="Z30" i="23"/>
  <c r="Z20" i="23"/>
  <c r="Z27" i="23"/>
  <c r="Z25" i="23"/>
  <c r="Z34" i="23"/>
  <c r="Z22" i="23"/>
  <c r="Z72" i="23"/>
  <c r="Z46" i="23"/>
  <c r="Z42" i="23"/>
  <c r="Z31" i="23"/>
  <c r="Z21" i="23"/>
  <c r="Z35" i="23"/>
  <c r="Z15" i="23"/>
  <c r="Z13" i="23"/>
  <c r="Z5" i="23"/>
  <c r="Z50" i="23"/>
  <c r="Z10" i="23"/>
  <c r="Z12" i="23"/>
  <c r="Z41" i="23"/>
  <c r="Z33" i="23"/>
  <c r="Z17" i="23"/>
  <c r="Z7" i="23"/>
  <c r="Z4" i="23"/>
  <c r="Z57" i="23"/>
  <c r="Z26" i="23"/>
  <c r="Z16" i="23"/>
  <c r="Z14" i="23"/>
  <c r="Z6" i="23"/>
  <c r="Z23" i="23"/>
  <c r="Z18" i="23"/>
  <c r="Z8" i="23"/>
  <c r="Z29" i="23"/>
  <c r="Z24" i="23"/>
  <c r="Z28" i="23"/>
  <c r="AA2" i="23"/>
  <c r="Z9" i="23"/>
  <c r="Z11" i="23"/>
  <c r="Z19" i="23"/>
  <c r="F13" i="17"/>
  <c r="F11" i="17"/>
  <c r="M36" i="20"/>
  <c r="M35" i="20"/>
  <c r="E35" i="20"/>
  <c r="E8" i="20"/>
  <c r="G33" i="5"/>
  <c r="AE7" i="13" l="1"/>
  <c r="AM485" i="13"/>
  <c r="AD7" i="13"/>
  <c r="I75" i="5"/>
  <c r="H75" i="5"/>
  <c r="H123" i="5"/>
  <c r="I123" i="5"/>
  <c r="H82" i="5"/>
  <c r="I82" i="5"/>
  <c r="H102" i="5"/>
  <c r="I102" i="5"/>
  <c r="H100" i="5"/>
  <c r="I100" i="5"/>
  <c r="H121" i="5"/>
  <c r="I121" i="5"/>
  <c r="H80" i="5"/>
  <c r="I80" i="5"/>
  <c r="H81" i="5"/>
  <c r="I81" i="5"/>
  <c r="H97" i="5"/>
  <c r="I97" i="5"/>
  <c r="H124" i="5"/>
  <c r="I124" i="5"/>
  <c r="H103" i="5"/>
  <c r="I103" i="5"/>
  <c r="H118" i="5"/>
  <c r="I118" i="5"/>
  <c r="H120" i="5"/>
  <c r="I120" i="5"/>
  <c r="H78" i="5"/>
  <c r="I78" i="5"/>
  <c r="H76" i="5"/>
  <c r="I76" i="5"/>
  <c r="I79" i="5"/>
  <c r="H79" i="5"/>
  <c r="H101" i="5"/>
  <c r="I101" i="5"/>
  <c r="H122" i="5"/>
  <c r="I122" i="5"/>
  <c r="H33" i="5"/>
  <c r="I33" i="5"/>
  <c r="H99" i="5"/>
  <c r="I99" i="5"/>
  <c r="G60" i="5"/>
  <c r="H60" i="5" s="1"/>
  <c r="G37" i="5"/>
  <c r="H37" i="5" s="1"/>
  <c r="G57" i="5"/>
  <c r="H57" i="5" s="1"/>
  <c r="G61" i="5"/>
  <c r="H61" i="5" s="1"/>
  <c r="G38" i="5"/>
  <c r="H38" i="5" s="1"/>
  <c r="G58" i="5"/>
  <c r="H58" i="5" s="1"/>
  <c r="G36" i="5"/>
  <c r="H36" i="5" s="1"/>
  <c r="G14" i="5"/>
  <c r="G19" i="5"/>
  <c r="G12" i="5"/>
  <c r="G13" i="5"/>
  <c r="G18" i="5"/>
  <c r="G16" i="5"/>
  <c r="G17" i="5"/>
  <c r="G15" i="5"/>
  <c r="G56" i="5"/>
  <c r="G35" i="5"/>
  <c r="G55" i="5"/>
  <c r="H55" i="5" s="1"/>
  <c r="G59" i="5"/>
  <c r="H59" i="5" s="1"/>
  <c r="G34" i="5"/>
  <c r="H34" i="5" s="1"/>
  <c r="G39" i="5"/>
  <c r="H39" i="5" s="1"/>
  <c r="G54" i="5"/>
  <c r="H54" i="5" s="1"/>
  <c r="G40" i="5"/>
  <c r="H40" i="5" s="1"/>
  <c r="AA185" i="23"/>
  <c r="AA151" i="23"/>
  <c r="AA152" i="23"/>
  <c r="AA194" i="23"/>
  <c r="AA132" i="23"/>
  <c r="AA193" i="23"/>
  <c r="AA192" i="23"/>
  <c r="AA145" i="23"/>
  <c r="AA144" i="23"/>
  <c r="AA122" i="23"/>
  <c r="AA148" i="23"/>
  <c r="AA179" i="23"/>
  <c r="AA127" i="23"/>
  <c r="AA131" i="23"/>
  <c r="AA146" i="23"/>
  <c r="AA149" i="23"/>
  <c r="AA143" i="23"/>
  <c r="AA189" i="23"/>
  <c r="AA196" i="23"/>
  <c r="AA211" i="23"/>
  <c r="AA209" i="23"/>
  <c r="AA203" i="23"/>
  <c r="AA208" i="23"/>
  <c r="AA207" i="23"/>
  <c r="AA212" i="23"/>
  <c r="AA210" i="23"/>
  <c r="AA197" i="23"/>
  <c r="AA199" i="23"/>
  <c r="AA204" i="23"/>
  <c r="AA195" i="23"/>
  <c r="AA205" i="23"/>
  <c r="AA206" i="23"/>
  <c r="AA201" i="23"/>
  <c r="AA187" i="23"/>
  <c r="AA198" i="23"/>
  <c r="AA200" i="23"/>
  <c r="AA184" i="23"/>
  <c r="AA183" i="23"/>
  <c r="AA171" i="23"/>
  <c r="AA170" i="23"/>
  <c r="AA188" i="23"/>
  <c r="AA190" i="23"/>
  <c r="AA173" i="23"/>
  <c r="AA181" i="23"/>
  <c r="AA175" i="23"/>
  <c r="AA177" i="23"/>
  <c r="AA160" i="23"/>
  <c r="AA150" i="23"/>
  <c r="AA162" i="23"/>
  <c r="AA159" i="23"/>
  <c r="AA166" i="23"/>
  <c r="AA155" i="23"/>
  <c r="AA172" i="23"/>
  <c r="AA168" i="23"/>
  <c r="AA153" i="23"/>
  <c r="AA156" i="23"/>
  <c r="AA174" i="23"/>
  <c r="AA161" i="23"/>
  <c r="AA141" i="23"/>
  <c r="AA182" i="23"/>
  <c r="AA164" i="23"/>
  <c r="AA137" i="23"/>
  <c r="AA186" i="23"/>
  <c r="AA163" i="23"/>
  <c r="AA167" i="23"/>
  <c r="AA139" i="23"/>
  <c r="AA126" i="23"/>
  <c r="AA154" i="23"/>
  <c r="AA140" i="23"/>
  <c r="AA130" i="23"/>
  <c r="AA176" i="23"/>
  <c r="AA142" i="23"/>
  <c r="AA133" i="23"/>
  <c r="AA128" i="23"/>
  <c r="AA135" i="23"/>
  <c r="AA118" i="23"/>
  <c r="AA115" i="23"/>
  <c r="AA157" i="23"/>
  <c r="AA119" i="23"/>
  <c r="AA117" i="23"/>
  <c r="AA138" i="23"/>
  <c r="AA120" i="23"/>
  <c r="AA123" i="23"/>
  <c r="AA165" i="23"/>
  <c r="AA129" i="23"/>
  <c r="AA116" i="23"/>
  <c r="AA178" i="23"/>
  <c r="AA134" i="23"/>
  <c r="AA124" i="23"/>
  <c r="AA121" i="23"/>
  <c r="AA136" i="23"/>
  <c r="AA202" i="23"/>
  <c r="AA114" i="23"/>
  <c r="AA191" i="23"/>
  <c r="AA169" i="23"/>
  <c r="AA125" i="23"/>
  <c r="AA147" i="23"/>
  <c r="AA180" i="23"/>
  <c r="AA158" i="23"/>
  <c r="AA113" i="23"/>
  <c r="AA112" i="23"/>
  <c r="AA109" i="23"/>
  <c r="AA111" i="23"/>
  <c r="AA107" i="23"/>
  <c r="AA108" i="23"/>
  <c r="AA110" i="23"/>
  <c r="AA106" i="23"/>
  <c r="AA104" i="23"/>
  <c r="AA102" i="23"/>
  <c r="AA101" i="23"/>
  <c r="AA105" i="23"/>
  <c r="AA100" i="23"/>
  <c r="AA97" i="23"/>
  <c r="AA98" i="23"/>
  <c r="AA94" i="23"/>
  <c r="AA93" i="23"/>
  <c r="AA92" i="23"/>
  <c r="AA91" i="23"/>
  <c r="AA95" i="23"/>
  <c r="AA85" i="23"/>
  <c r="AA84" i="23"/>
  <c r="AA96" i="23"/>
  <c r="AA89" i="23"/>
  <c r="AA83" i="23"/>
  <c r="AA88" i="23"/>
  <c r="AA82" i="23"/>
  <c r="AA80" i="23"/>
  <c r="AA99" i="23"/>
  <c r="AA86" i="23"/>
  <c r="AA77" i="23"/>
  <c r="AA79" i="23"/>
  <c r="AA71" i="23"/>
  <c r="AA78" i="23"/>
  <c r="AA70" i="23"/>
  <c r="AA87" i="23"/>
  <c r="AA74" i="23"/>
  <c r="AA69" i="23"/>
  <c r="AA75" i="23"/>
  <c r="AA66" i="23"/>
  <c r="AA90" i="23"/>
  <c r="AA65" i="23"/>
  <c r="AA103" i="23"/>
  <c r="AA73" i="23"/>
  <c r="AA67" i="23"/>
  <c r="AA61" i="23"/>
  <c r="AA81" i="23"/>
  <c r="AA68" i="23"/>
  <c r="AA56" i="23"/>
  <c r="AA76" i="23"/>
  <c r="AA53" i="23"/>
  <c r="AA64" i="23"/>
  <c r="AA62" i="23"/>
  <c r="AA52" i="23"/>
  <c r="AA58" i="23"/>
  <c r="AA49" i="23"/>
  <c r="AA47" i="23"/>
  <c r="AA72" i="23"/>
  <c r="AA63" i="23"/>
  <c r="AA60" i="23"/>
  <c r="AA57" i="23"/>
  <c r="AA51" i="23"/>
  <c r="AA54" i="23"/>
  <c r="AA50" i="23"/>
  <c r="AA45" i="23"/>
  <c r="AA48" i="23"/>
  <c r="AA39" i="23"/>
  <c r="AA46" i="23"/>
  <c r="AA34" i="23"/>
  <c r="AA55" i="23"/>
  <c r="AA42" i="23"/>
  <c r="AA41" i="23"/>
  <c r="AA33" i="23"/>
  <c r="AA59" i="23"/>
  <c r="AA43" i="23"/>
  <c r="AA27" i="23"/>
  <c r="AA25" i="23"/>
  <c r="AA36" i="23"/>
  <c r="AA22" i="23"/>
  <c r="AA35" i="23"/>
  <c r="AA29" i="23"/>
  <c r="AA19" i="23"/>
  <c r="AA44" i="23"/>
  <c r="AA28" i="23"/>
  <c r="AA32" i="23"/>
  <c r="AA10" i="23"/>
  <c r="AA9" i="23"/>
  <c r="AA37" i="23"/>
  <c r="AA17" i="23"/>
  <c r="AA7" i="23"/>
  <c r="AA40" i="23"/>
  <c r="AA38" i="23"/>
  <c r="AA30" i="23"/>
  <c r="AA21" i="23"/>
  <c r="AA12" i="23"/>
  <c r="AA4" i="23"/>
  <c r="AA24" i="23"/>
  <c r="AA23" i="23"/>
  <c r="AA20" i="23"/>
  <c r="AA11" i="23"/>
  <c r="AA18" i="23"/>
  <c r="AA14" i="23"/>
  <c r="AA16" i="23"/>
  <c r="AA15" i="23"/>
  <c r="AA5" i="23"/>
  <c r="AA8" i="23"/>
  <c r="AA6" i="23"/>
  <c r="AB2" i="23"/>
  <c r="AA26" i="23"/>
  <c r="AA31" i="23"/>
  <c r="AA13" i="23"/>
  <c r="H105" i="5" l="1"/>
  <c r="H84" i="5"/>
  <c r="I55" i="5"/>
  <c r="I40" i="5"/>
  <c r="I54" i="5"/>
  <c r="I18" i="5"/>
  <c r="H18" i="5"/>
  <c r="I38" i="5"/>
  <c r="I39" i="5"/>
  <c r="I13" i="5"/>
  <c r="H13" i="5"/>
  <c r="I12" i="5"/>
  <c r="H12" i="5"/>
  <c r="I60" i="5"/>
  <c r="I36" i="5"/>
  <c r="I58" i="5"/>
  <c r="I59" i="5"/>
  <c r="I35" i="5"/>
  <c r="H35" i="5"/>
  <c r="H42" i="5" s="1"/>
  <c r="I19" i="5"/>
  <c r="H19" i="5"/>
  <c r="H17" i="5"/>
  <c r="I17" i="5"/>
  <c r="I56" i="5"/>
  <c r="H56" i="5"/>
  <c r="H63" i="5" s="1"/>
  <c r="I14" i="5"/>
  <c r="H14" i="5"/>
  <c r="I96" i="5"/>
  <c r="I57" i="5"/>
  <c r="I61" i="5"/>
  <c r="I37" i="5"/>
  <c r="I34" i="5"/>
  <c r="I16" i="5"/>
  <c r="G81" i="1" s="1"/>
  <c r="H81" i="1" s="1"/>
  <c r="E27" i="11" s="1"/>
  <c r="H16" i="5"/>
  <c r="I15" i="5"/>
  <c r="H15" i="5"/>
  <c r="H117" i="5"/>
  <c r="H126" i="5" s="1"/>
  <c r="I117" i="5"/>
  <c r="AB176" i="23"/>
  <c r="AB173" i="23"/>
  <c r="AB206" i="23"/>
  <c r="AB117" i="23"/>
  <c r="AB142" i="23"/>
  <c r="AB210" i="23"/>
  <c r="AB133" i="23"/>
  <c r="AB127" i="23"/>
  <c r="AB167" i="23"/>
  <c r="AB124" i="23"/>
  <c r="AB159" i="23"/>
  <c r="AB190" i="23"/>
  <c r="AB157" i="23"/>
  <c r="AB115" i="23"/>
  <c r="AB120" i="23"/>
  <c r="AB146" i="23"/>
  <c r="AB121" i="23"/>
  <c r="AB129" i="23"/>
  <c r="AB183" i="23"/>
  <c r="AB203" i="23"/>
  <c r="AB207" i="23"/>
  <c r="AB189" i="23"/>
  <c r="AB174" i="23"/>
  <c r="AB200" i="23"/>
  <c r="AB199" i="23"/>
  <c r="AB209" i="23"/>
  <c r="AB211" i="23"/>
  <c r="AB170" i="23"/>
  <c r="AB149" i="23"/>
  <c r="AB143" i="23"/>
  <c r="AB201" i="23"/>
  <c r="AB208" i="23"/>
  <c r="AB212" i="23"/>
  <c r="AB196" i="23"/>
  <c r="AB193" i="23"/>
  <c r="AB204" i="23"/>
  <c r="AB194" i="23"/>
  <c r="AB205" i="23"/>
  <c r="AB192" i="23"/>
  <c r="AB182" i="23"/>
  <c r="AB187" i="23"/>
  <c r="AB198" i="23"/>
  <c r="AB185" i="23"/>
  <c r="AB171" i="23"/>
  <c r="AB186" i="23"/>
  <c r="AB181" i="23"/>
  <c r="AB177" i="23"/>
  <c r="AB175" i="23"/>
  <c r="AB154" i="23"/>
  <c r="AB197" i="23"/>
  <c r="AB160" i="23"/>
  <c r="AB165" i="23"/>
  <c r="AB188" i="23"/>
  <c r="AB195" i="23"/>
  <c r="AB178" i="23"/>
  <c r="AB166" i="23"/>
  <c r="AB153" i="23"/>
  <c r="AB172" i="23"/>
  <c r="AB179" i="23"/>
  <c r="AB150" i="23"/>
  <c r="AB141" i="23"/>
  <c r="AB137" i="23"/>
  <c r="AB145" i="23"/>
  <c r="AB139" i="23"/>
  <c r="AB144" i="23"/>
  <c r="AB128" i="23"/>
  <c r="AB184" i="23"/>
  <c r="AB161" i="23"/>
  <c r="AB152" i="23"/>
  <c r="AB134" i="23"/>
  <c r="AB131" i="23"/>
  <c r="AB123" i="23"/>
  <c r="AB156" i="23"/>
  <c r="AB164" i="23"/>
  <c r="AB168" i="23"/>
  <c r="AB155" i="23"/>
  <c r="AB140" i="23"/>
  <c r="AB138" i="23"/>
  <c r="AB118" i="23"/>
  <c r="AB162" i="23"/>
  <c r="AB163" i="23"/>
  <c r="AB151" i="23"/>
  <c r="AB119" i="23"/>
  <c r="AB132" i="23"/>
  <c r="AB130" i="23"/>
  <c r="AB116" i="23"/>
  <c r="AB148" i="23"/>
  <c r="AB122" i="23"/>
  <c r="AB135" i="23"/>
  <c r="AB126" i="23"/>
  <c r="AB136" i="23"/>
  <c r="AB114" i="23"/>
  <c r="AB202" i="23"/>
  <c r="AB158" i="23"/>
  <c r="AB180" i="23"/>
  <c r="AB169" i="23"/>
  <c r="AB147" i="23"/>
  <c r="AB191" i="23"/>
  <c r="AB125" i="23"/>
  <c r="AB111" i="23"/>
  <c r="AB113" i="23"/>
  <c r="AB110" i="23"/>
  <c r="AB112" i="23"/>
  <c r="AB107" i="23"/>
  <c r="AB108" i="23"/>
  <c r="AB106" i="23"/>
  <c r="AB105" i="23"/>
  <c r="AB102" i="23"/>
  <c r="AB97" i="23"/>
  <c r="AB99" i="23"/>
  <c r="AB96" i="23"/>
  <c r="AB109" i="23"/>
  <c r="AB104" i="23"/>
  <c r="AB95" i="23"/>
  <c r="AB93" i="23"/>
  <c r="AB100" i="23"/>
  <c r="AB94" i="23"/>
  <c r="AB103" i="23"/>
  <c r="AB98" i="23"/>
  <c r="AB91" i="23"/>
  <c r="AB89" i="23"/>
  <c r="AB86" i="23"/>
  <c r="AB85" i="23"/>
  <c r="AB92" i="23"/>
  <c r="AB79" i="23"/>
  <c r="AB101" i="23"/>
  <c r="AB87" i="23"/>
  <c r="AB76" i="23"/>
  <c r="AB88" i="23"/>
  <c r="AB84" i="23"/>
  <c r="AB81" i="23"/>
  <c r="AB75" i="23"/>
  <c r="AB78" i="23"/>
  <c r="AB70" i="23"/>
  <c r="AB63" i="23"/>
  <c r="AB72" i="23"/>
  <c r="AB80" i="23"/>
  <c r="AB77" i="23"/>
  <c r="AB68" i="23"/>
  <c r="AB69" i="23"/>
  <c r="AB60" i="23"/>
  <c r="AB58" i="23"/>
  <c r="AB65" i="23"/>
  <c r="AB59" i="23"/>
  <c r="AB57" i="23"/>
  <c r="AB83" i="23"/>
  <c r="AB90" i="23"/>
  <c r="AB67" i="23"/>
  <c r="AB51" i="23"/>
  <c r="AB52" i="23"/>
  <c r="AB48" i="23"/>
  <c r="AB46" i="23"/>
  <c r="AB66" i="23"/>
  <c r="AB64" i="23"/>
  <c r="AB55" i="23"/>
  <c r="AB45" i="23"/>
  <c r="AB82" i="23"/>
  <c r="AB39" i="23"/>
  <c r="AB74" i="23"/>
  <c r="AB61" i="23"/>
  <c r="AB34" i="23"/>
  <c r="AB62" i="23"/>
  <c r="AB54" i="23"/>
  <c r="AB31" i="23"/>
  <c r="AB56" i="23"/>
  <c r="AB47" i="23"/>
  <c r="AB43" i="23"/>
  <c r="AB40" i="23"/>
  <c r="AB53" i="23"/>
  <c r="AB71" i="23"/>
  <c r="AB36" i="23"/>
  <c r="AB22" i="23"/>
  <c r="AB35" i="23"/>
  <c r="AB29" i="23"/>
  <c r="AB19" i="23"/>
  <c r="AB49" i="23"/>
  <c r="AB41" i="23"/>
  <c r="AB33" i="23"/>
  <c r="AB26" i="23"/>
  <c r="AB24" i="23"/>
  <c r="AB23" i="23"/>
  <c r="AB73" i="23"/>
  <c r="AB50" i="23"/>
  <c r="AB37" i="23"/>
  <c r="AB25" i="23"/>
  <c r="AB17" i="23"/>
  <c r="AB7" i="23"/>
  <c r="AB14" i="23"/>
  <c r="AB6" i="23"/>
  <c r="AB38" i="23"/>
  <c r="AB30" i="23"/>
  <c r="AB27" i="23"/>
  <c r="AB21" i="23"/>
  <c r="AB12" i="23"/>
  <c r="AB4" i="23"/>
  <c r="AB9" i="23"/>
  <c r="AB16" i="23"/>
  <c r="AB42" i="23"/>
  <c r="AB18" i="23"/>
  <c r="AB8" i="23"/>
  <c r="AC2" i="23"/>
  <c r="AB28" i="23"/>
  <c r="AB15" i="23"/>
  <c r="AB13" i="23"/>
  <c r="AB32" i="23"/>
  <c r="AB5" i="23"/>
  <c r="AB44" i="23"/>
  <c r="AB10" i="23"/>
  <c r="AB11" i="23"/>
  <c r="AB20" i="23"/>
  <c r="N41" i="5" l="1"/>
  <c r="N39" i="5"/>
  <c r="N40" i="5"/>
  <c r="G97" i="1"/>
  <c r="H97" i="1" s="1"/>
  <c r="E244" i="11" s="1"/>
  <c r="K244" i="11" s="1"/>
  <c r="G100" i="1"/>
  <c r="H100" i="1" s="1"/>
  <c r="G98" i="1"/>
  <c r="H98" i="1" s="1"/>
  <c r="H21" i="5"/>
  <c r="G51" i="1"/>
  <c r="G52" i="1"/>
  <c r="G48" i="1"/>
  <c r="G102" i="1"/>
  <c r="H102" i="1" s="1"/>
  <c r="I126" i="5"/>
  <c r="I105" i="5"/>
  <c r="AC143" i="23"/>
  <c r="AC197" i="23"/>
  <c r="AC207" i="23"/>
  <c r="AC206" i="23"/>
  <c r="AC170" i="23"/>
  <c r="AC122" i="23"/>
  <c r="AC179" i="23"/>
  <c r="AC164" i="23"/>
  <c r="AC165" i="23"/>
  <c r="AC124" i="23"/>
  <c r="AC173" i="23"/>
  <c r="AC140" i="23"/>
  <c r="AC115" i="23"/>
  <c r="AC132" i="23"/>
  <c r="AC149" i="23"/>
  <c r="AC181" i="23"/>
  <c r="AC193" i="23"/>
  <c r="AC194" i="23"/>
  <c r="AC183" i="23"/>
  <c r="AC166" i="23"/>
  <c r="AC199" i="23"/>
  <c r="AC212" i="23"/>
  <c r="AC190" i="23"/>
  <c r="AC205" i="23"/>
  <c r="AC204" i="23"/>
  <c r="AC210" i="23"/>
  <c r="AC175" i="23"/>
  <c r="AC211" i="23"/>
  <c r="AC195" i="23"/>
  <c r="AC208" i="23"/>
  <c r="AC209" i="23"/>
  <c r="AC196" i="23"/>
  <c r="AC200" i="23"/>
  <c r="AC151" i="23"/>
  <c r="AC145" i="23"/>
  <c r="AC198" i="23"/>
  <c r="AC201" i="23"/>
  <c r="AC203" i="23"/>
  <c r="AC187" i="23"/>
  <c r="AC186" i="23"/>
  <c r="AC182" i="23"/>
  <c r="AC171" i="23"/>
  <c r="AC188" i="23"/>
  <c r="AC184" i="23"/>
  <c r="AC177" i="23"/>
  <c r="AC162" i="23"/>
  <c r="AC174" i="23"/>
  <c r="AC167" i="23"/>
  <c r="AC156" i="23"/>
  <c r="AC148" i="23"/>
  <c r="AC117" i="23"/>
  <c r="AC163" i="23"/>
  <c r="AC154" i="23"/>
  <c r="AC152" i="23"/>
  <c r="AC185" i="23"/>
  <c r="AC178" i="23"/>
  <c r="AC172" i="23"/>
  <c r="AC150" i="23"/>
  <c r="AC157" i="23"/>
  <c r="AC161" i="23"/>
  <c r="AC155" i="23"/>
  <c r="AC144" i="23"/>
  <c r="AC189" i="23"/>
  <c r="AC138" i="23"/>
  <c r="AC126" i="23"/>
  <c r="AC133" i="23"/>
  <c r="AC159" i="23"/>
  <c r="AC146" i="23"/>
  <c r="AC129" i="23"/>
  <c r="AC134" i="23"/>
  <c r="AC142" i="23"/>
  <c r="AC128" i="23"/>
  <c r="AC141" i="23"/>
  <c r="AC130" i="23"/>
  <c r="AC135" i="23"/>
  <c r="AC131" i="23"/>
  <c r="AC120" i="23"/>
  <c r="AC123" i="23"/>
  <c r="AC160" i="23"/>
  <c r="AC137" i="23"/>
  <c r="AC116" i="23"/>
  <c r="AC118" i="23"/>
  <c r="AC121" i="23"/>
  <c r="AC119" i="23"/>
  <c r="AC168" i="23"/>
  <c r="AC192" i="23"/>
  <c r="AC153" i="23"/>
  <c r="AC127" i="23"/>
  <c r="AC139" i="23"/>
  <c r="AC176" i="23"/>
  <c r="AC125" i="23"/>
  <c r="AC136" i="23"/>
  <c r="AC202" i="23"/>
  <c r="AC158" i="23"/>
  <c r="AC191" i="23"/>
  <c r="AC180" i="23"/>
  <c r="AC114" i="23"/>
  <c r="AC147" i="23"/>
  <c r="AC169" i="23"/>
  <c r="AC112" i="23"/>
  <c r="AC113" i="23"/>
  <c r="AC108" i="23"/>
  <c r="AC111" i="23"/>
  <c r="AC110" i="23"/>
  <c r="AC107" i="23"/>
  <c r="AC104" i="23"/>
  <c r="AC102" i="23"/>
  <c r="AC103" i="23"/>
  <c r="AC106" i="23"/>
  <c r="AC109" i="23"/>
  <c r="AC99" i="23"/>
  <c r="AC98" i="23"/>
  <c r="AC105" i="23"/>
  <c r="AC94" i="23"/>
  <c r="AC100" i="23"/>
  <c r="AC93" i="23"/>
  <c r="AC97" i="23"/>
  <c r="AC92" i="23"/>
  <c r="AC90" i="23"/>
  <c r="AC101" i="23"/>
  <c r="AC89" i="23"/>
  <c r="AC95" i="23"/>
  <c r="AC87" i="23"/>
  <c r="AC86" i="23"/>
  <c r="AC91" i="23"/>
  <c r="AC96" i="23"/>
  <c r="AC84" i="23"/>
  <c r="AC79" i="23"/>
  <c r="AC76" i="23"/>
  <c r="AC73" i="23"/>
  <c r="AC82" i="23"/>
  <c r="AC80" i="23"/>
  <c r="AC72" i="23"/>
  <c r="AC78" i="23"/>
  <c r="AC75" i="23"/>
  <c r="AC70" i="23"/>
  <c r="AC68" i="23"/>
  <c r="AC67" i="23"/>
  <c r="AC88" i="23"/>
  <c r="AC81" i="23"/>
  <c r="AC69" i="23"/>
  <c r="AC60" i="23"/>
  <c r="AC58" i="23"/>
  <c r="AC74" i="23"/>
  <c r="AC63" i="23"/>
  <c r="AC55" i="23"/>
  <c r="AC66" i="23"/>
  <c r="AC54" i="23"/>
  <c r="AC85" i="23"/>
  <c r="AC65" i="23"/>
  <c r="AC51" i="23"/>
  <c r="AC77" i="23"/>
  <c r="AC57" i="23"/>
  <c r="AC52" i="23"/>
  <c r="AC48" i="23"/>
  <c r="AC56" i="23"/>
  <c r="AC53" i="23"/>
  <c r="AC43" i="23"/>
  <c r="AC42" i="23"/>
  <c r="AC61" i="23"/>
  <c r="AC64" i="23"/>
  <c r="AC62" i="23"/>
  <c r="AC46" i="23"/>
  <c r="AC31" i="23"/>
  <c r="AC50" i="23"/>
  <c r="AC38" i="23"/>
  <c r="AC36" i="23"/>
  <c r="AC49" i="23"/>
  <c r="AC44" i="23"/>
  <c r="AC37" i="23"/>
  <c r="AC35" i="23"/>
  <c r="AC71" i="23"/>
  <c r="AC59" i="23"/>
  <c r="AC45" i="23"/>
  <c r="AC39" i="23"/>
  <c r="AC29" i="23"/>
  <c r="AC19" i="23"/>
  <c r="AC47" i="23"/>
  <c r="AC41" i="23"/>
  <c r="AC34" i="23"/>
  <c r="AC33" i="23"/>
  <c r="AC26" i="23"/>
  <c r="AC24" i="23"/>
  <c r="AC32" i="23"/>
  <c r="AC21" i="23"/>
  <c r="AC30" i="23"/>
  <c r="AC20" i="23"/>
  <c r="AC27" i="23"/>
  <c r="AC12" i="23"/>
  <c r="AC4" i="23"/>
  <c r="AC83" i="23"/>
  <c r="AC9" i="23"/>
  <c r="AC11" i="23"/>
  <c r="AC40" i="23"/>
  <c r="AC16" i="23"/>
  <c r="AC14" i="23"/>
  <c r="AC6" i="23"/>
  <c r="AC28" i="23"/>
  <c r="AC15" i="23"/>
  <c r="AC13" i="23"/>
  <c r="AC5" i="23"/>
  <c r="AC22" i="23"/>
  <c r="AC23" i="23"/>
  <c r="AC10" i="23"/>
  <c r="AD2" i="23"/>
  <c r="AC18" i="23"/>
  <c r="AC17" i="23"/>
  <c r="AC8" i="23"/>
  <c r="AC25" i="23"/>
  <c r="AC7" i="23"/>
  <c r="L9" i="2"/>
  <c r="N9" i="2"/>
  <c r="I107" i="5" l="1"/>
  <c r="I128" i="5"/>
  <c r="AD189" i="23"/>
  <c r="AD176" i="23"/>
  <c r="AD126" i="23"/>
  <c r="AD166" i="23"/>
  <c r="AD135" i="23"/>
  <c r="AD164" i="23"/>
  <c r="AD200" i="23"/>
  <c r="AD145" i="23"/>
  <c r="AD194" i="23"/>
  <c r="AD152" i="23"/>
  <c r="AD197" i="23"/>
  <c r="AD149" i="23"/>
  <c r="AD157" i="23"/>
  <c r="AD193" i="23"/>
  <c r="AD173" i="23"/>
  <c r="AD208" i="23"/>
  <c r="AD203" i="23"/>
  <c r="AD204" i="23"/>
  <c r="AD205" i="23"/>
  <c r="AD209" i="23"/>
  <c r="AD195" i="23"/>
  <c r="AD210" i="23"/>
  <c r="AD196" i="23"/>
  <c r="AD199" i="23"/>
  <c r="AD181" i="23"/>
  <c r="AD206" i="23"/>
  <c r="AD186" i="23"/>
  <c r="AD167" i="23"/>
  <c r="AD207" i="23"/>
  <c r="AD212" i="23"/>
  <c r="AD184" i="23"/>
  <c r="AD201" i="23"/>
  <c r="AD187" i="23"/>
  <c r="AD185" i="23"/>
  <c r="AD190" i="23"/>
  <c r="AD198" i="23"/>
  <c r="AD174" i="23"/>
  <c r="AD188" i="23"/>
  <c r="AD211" i="23"/>
  <c r="AD192" i="23"/>
  <c r="AD163" i="23"/>
  <c r="AD182" i="23"/>
  <c r="AD179" i="23"/>
  <c r="AD177" i="23"/>
  <c r="AD175" i="23"/>
  <c r="AD178" i="23"/>
  <c r="AD160" i="23"/>
  <c r="AD183" i="23"/>
  <c r="AD165" i="23"/>
  <c r="AD161" i="23"/>
  <c r="AD151" i="23"/>
  <c r="AD137" i="23"/>
  <c r="AD142" i="23"/>
  <c r="AD170" i="23"/>
  <c r="AD155" i="23"/>
  <c r="AD138" i="23"/>
  <c r="AD143" i="23"/>
  <c r="AD141" i="23"/>
  <c r="AD153" i="23"/>
  <c r="AD127" i="23"/>
  <c r="AD129" i="23"/>
  <c r="AD172" i="23"/>
  <c r="AD139" i="23"/>
  <c r="AD133" i="23"/>
  <c r="AD115" i="23"/>
  <c r="AD124" i="23"/>
  <c r="AD168" i="23"/>
  <c r="AD150" i="23"/>
  <c r="AD130" i="23"/>
  <c r="AD122" i="23"/>
  <c r="AD121" i="23"/>
  <c r="AD159" i="23"/>
  <c r="AD148" i="23"/>
  <c r="AD134" i="23"/>
  <c r="AD131" i="23"/>
  <c r="AD116" i="23"/>
  <c r="AD132" i="23"/>
  <c r="AD162" i="23"/>
  <c r="AD144" i="23"/>
  <c r="AD154" i="23"/>
  <c r="AD118" i="23"/>
  <c r="AD128" i="23"/>
  <c r="AD156" i="23"/>
  <c r="AD171" i="23"/>
  <c r="AD120" i="23"/>
  <c r="AD117" i="23"/>
  <c r="AD123" i="23"/>
  <c r="AD146" i="23"/>
  <c r="AD140" i="23"/>
  <c r="AD119" i="23"/>
  <c r="AD147" i="23"/>
  <c r="AD169" i="23"/>
  <c r="AD125" i="23"/>
  <c r="AD136" i="23"/>
  <c r="AD180" i="23"/>
  <c r="AD202" i="23"/>
  <c r="AD158" i="23"/>
  <c r="AD114" i="23"/>
  <c r="AD191" i="23"/>
  <c r="AD113" i="23"/>
  <c r="AD112" i="23"/>
  <c r="AD111" i="23"/>
  <c r="AD109" i="23"/>
  <c r="AD108" i="23"/>
  <c r="AD106" i="23"/>
  <c r="AD107" i="23"/>
  <c r="AD103" i="23"/>
  <c r="AD101" i="23"/>
  <c r="AD102" i="23"/>
  <c r="AD98" i="23"/>
  <c r="AD105" i="23"/>
  <c r="AD104" i="23"/>
  <c r="AD99" i="23"/>
  <c r="AD96" i="23"/>
  <c r="AD95" i="23"/>
  <c r="AD97" i="23"/>
  <c r="AD91" i="23"/>
  <c r="AD90" i="23"/>
  <c r="AD110" i="23"/>
  <c r="AD93" i="23"/>
  <c r="AD89" i="23"/>
  <c r="AD86" i="23"/>
  <c r="AD94" i="23"/>
  <c r="AD88" i="23"/>
  <c r="AD87" i="23"/>
  <c r="AD82" i="23"/>
  <c r="AD80" i="23"/>
  <c r="AD81" i="23"/>
  <c r="AD92" i="23"/>
  <c r="AD78" i="23"/>
  <c r="AD83" i="23"/>
  <c r="AD77" i="23"/>
  <c r="AD84" i="23"/>
  <c r="AD76" i="23"/>
  <c r="AD71" i="23"/>
  <c r="AD65" i="23"/>
  <c r="AD100" i="23"/>
  <c r="AD74" i="23"/>
  <c r="AD73" i="23"/>
  <c r="AD69" i="23"/>
  <c r="AD64" i="23"/>
  <c r="AD60" i="23"/>
  <c r="AD58" i="23"/>
  <c r="AD63" i="23"/>
  <c r="AD72" i="23"/>
  <c r="AD62" i="23"/>
  <c r="AD52" i="23"/>
  <c r="AD85" i="23"/>
  <c r="AD61" i="23"/>
  <c r="AD51" i="23"/>
  <c r="AD79" i="23"/>
  <c r="AD70" i="23"/>
  <c r="AD67" i="23"/>
  <c r="AD57" i="23"/>
  <c r="AD48" i="23"/>
  <c r="AD56" i="23"/>
  <c r="AD53" i="23"/>
  <c r="AD68" i="23"/>
  <c r="AD59" i="23"/>
  <c r="AD50" i="23"/>
  <c r="AD49" i="23"/>
  <c r="AD47" i="23"/>
  <c r="AD75" i="23"/>
  <c r="AD46" i="23"/>
  <c r="AD54" i="23"/>
  <c r="AD38" i="23"/>
  <c r="AD36" i="23"/>
  <c r="AD41" i="23"/>
  <c r="AD33" i="23"/>
  <c r="AD32" i="23"/>
  <c r="AD66" i="23"/>
  <c r="AD35" i="23"/>
  <c r="AD34" i="23"/>
  <c r="AD26" i="23"/>
  <c r="AD24" i="23"/>
  <c r="AD21" i="23"/>
  <c r="AD55" i="23"/>
  <c r="AD28" i="23"/>
  <c r="AD40" i="23"/>
  <c r="AD37" i="23"/>
  <c r="AD27" i="23"/>
  <c r="AD25" i="23"/>
  <c r="AD39" i="23"/>
  <c r="AD30" i="23"/>
  <c r="AD9" i="23"/>
  <c r="AD31" i="23"/>
  <c r="AD20" i="23"/>
  <c r="AD18" i="23"/>
  <c r="AD8" i="23"/>
  <c r="AE2" i="23"/>
  <c r="AD45" i="23"/>
  <c r="AD16" i="23"/>
  <c r="AD14" i="23"/>
  <c r="AD6" i="23"/>
  <c r="AD29" i="23"/>
  <c r="AD23" i="23"/>
  <c r="AD11" i="23"/>
  <c r="AD22" i="23"/>
  <c r="AD10" i="23"/>
  <c r="AD44" i="23"/>
  <c r="AD43" i="23"/>
  <c r="AD19" i="23"/>
  <c r="AD17" i="23"/>
  <c r="AD42" i="23"/>
  <c r="AD15" i="23"/>
  <c r="AD12" i="23"/>
  <c r="AD5" i="23"/>
  <c r="AD4" i="23"/>
  <c r="AD13" i="23"/>
  <c r="AD7" i="23"/>
  <c r="K70" i="13"/>
  <c r="H70" i="13"/>
  <c r="E14" i="13"/>
  <c r="M20" i="13"/>
  <c r="M17" i="13"/>
  <c r="E17" i="13"/>
  <c r="M16" i="13"/>
  <c r="M15" i="13"/>
  <c r="E15" i="13"/>
  <c r="E20" i="13"/>
  <c r="M33" i="13"/>
  <c r="M32" i="13"/>
  <c r="M31" i="13"/>
  <c r="M30" i="13"/>
  <c r="M29" i="13"/>
  <c r="M28" i="13"/>
  <c r="M27" i="13"/>
  <c r="M26" i="13"/>
  <c r="M25" i="13"/>
  <c r="M24" i="13"/>
  <c r="M23" i="13"/>
  <c r="M22" i="13"/>
  <c r="M21" i="13"/>
  <c r="M19" i="13"/>
  <c r="M18" i="13"/>
  <c r="M14" i="13"/>
  <c r="M13" i="13"/>
  <c r="M12" i="13"/>
  <c r="M11" i="13"/>
  <c r="M10" i="13"/>
  <c r="E33" i="13"/>
  <c r="E32" i="13"/>
  <c r="E31" i="13"/>
  <c r="E30" i="13"/>
  <c r="E29" i="13"/>
  <c r="E28" i="13"/>
  <c r="E27" i="13"/>
  <c r="E26" i="13"/>
  <c r="E25" i="13"/>
  <c r="E24" i="13"/>
  <c r="E23" i="13"/>
  <c r="E22" i="13"/>
  <c r="E21" i="13"/>
  <c r="E19" i="13"/>
  <c r="E18" i="13"/>
  <c r="E13" i="13"/>
  <c r="E12" i="13"/>
  <c r="E11" i="13"/>
  <c r="E10" i="13"/>
  <c r="F7" i="2"/>
  <c r="K7" i="2"/>
  <c r="J9" i="2"/>
  <c r="A38" i="1"/>
  <c r="A39" i="1"/>
  <c r="A40" i="1"/>
  <c r="A41" i="1"/>
  <c r="A42" i="1"/>
  <c r="A43" i="1"/>
  <c r="A44" i="1"/>
  <c r="A37" i="1"/>
  <c r="A104" i="1"/>
  <c r="A105" i="1"/>
  <c r="A103" i="1"/>
  <c r="A127" i="1"/>
  <c r="A128" i="1"/>
  <c r="A129" i="1"/>
  <c r="E23" i="11" l="1"/>
  <c r="E26" i="11"/>
  <c r="E25" i="11"/>
  <c r="E44" i="11"/>
  <c r="E46" i="11"/>
  <c r="AB983" i="13"/>
  <c r="AM983" i="13" s="1"/>
  <c r="F46" i="11"/>
  <c r="F24" i="11"/>
  <c r="F119" i="11"/>
  <c r="K119" i="11" s="1"/>
  <c r="F111" i="11"/>
  <c r="K111" i="11" s="1"/>
  <c r="F103" i="11"/>
  <c r="K103" i="11" s="1"/>
  <c r="F95" i="11"/>
  <c r="K95" i="11" s="1"/>
  <c r="F87" i="11"/>
  <c r="K87" i="11" s="1"/>
  <c r="F79" i="11"/>
  <c r="K79" i="11" s="1"/>
  <c r="F71" i="11"/>
  <c r="K71" i="11" s="1"/>
  <c r="F63" i="11"/>
  <c r="K63" i="11" s="1"/>
  <c r="F55" i="11"/>
  <c r="K55" i="11" s="1"/>
  <c r="F39" i="11"/>
  <c r="K39" i="11" s="1"/>
  <c r="F23" i="11"/>
  <c r="F80" i="11"/>
  <c r="K80" i="11" s="1"/>
  <c r="F118" i="11"/>
  <c r="K118" i="11" s="1"/>
  <c r="F110" i="11"/>
  <c r="K110" i="11" s="1"/>
  <c r="F102" i="11"/>
  <c r="K102" i="11" s="1"/>
  <c r="F94" i="11"/>
  <c r="K94" i="11" s="1"/>
  <c r="F86" i="11"/>
  <c r="K86" i="11" s="1"/>
  <c r="F78" i="11"/>
  <c r="K78" i="11" s="1"/>
  <c r="F70" i="11"/>
  <c r="K70" i="11" s="1"/>
  <c r="F62" i="11"/>
  <c r="K62" i="11" s="1"/>
  <c r="F54" i="11"/>
  <c r="K54" i="11" s="1"/>
  <c r="F30" i="11"/>
  <c r="K30" i="11" s="1"/>
  <c r="F22" i="11"/>
  <c r="F64" i="11"/>
  <c r="K64" i="11" s="1"/>
  <c r="F117" i="11"/>
  <c r="K117" i="11" s="1"/>
  <c r="F109" i="11"/>
  <c r="K109" i="11" s="1"/>
  <c r="F101" i="11"/>
  <c r="K101" i="11" s="1"/>
  <c r="F93" i="11"/>
  <c r="K93" i="11" s="1"/>
  <c r="F85" i="11"/>
  <c r="K85" i="11" s="1"/>
  <c r="F77" i="11"/>
  <c r="K77" i="11" s="1"/>
  <c r="F69" i="11"/>
  <c r="K69" i="11" s="1"/>
  <c r="F61" i="11"/>
  <c r="K61" i="11" s="1"/>
  <c r="F53" i="11"/>
  <c r="K53" i="11" s="1"/>
  <c r="F37" i="11"/>
  <c r="K37" i="11" s="1"/>
  <c r="F29" i="11"/>
  <c r="K29" i="11" s="1"/>
  <c r="F120" i="11"/>
  <c r="K120" i="11" s="1"/>
  <c r="F116" i="11"/>
  <c r="K116" i="11" s="1"/>
  <c r="F108" i="11"/>
  <c r="K108" i="11" s="1"/>
  <c r="F100" i="11"/>
  <c r="K100" i="11" s="1"/>
  <c r="F92" i="11"/>
  <c r="K92" i="11" s="1"/>
  <c r="F84" i="11"/>
  <c r="K84" i="11" s="1"/>
  <c r="F76" i="11"/>
  <c r="K76" i="11" s="1"/>
  <c r="F68" i="11"/>
  <c r="K68" i="11" s="1"/>
  <c r="F60" i="11"/>
  <c r="K60" i="11" s="1"/>
  <c r="F52" i="11"/>
  <c r="K52" i="11" s="1"/>
  <c r="F44" i="11"/>
  <c r="F112" i="11"/>
  <c r="K112" i="11" s="1"/>
  <c r="F72" i="11"/>
  <c r="K72" i="11" s="1"/>
  <c r="F115" i="11"/>
  <c r="K115" i="11" s="1"/>
  <c r="F107" i="11"/>
  <c r="K107" i="11" s="1"/>
  <c r="F99" i="11"/>
  <c r="K99" i="11" s="1"/>
  <c r="F91" i="11"/>
  <c r="K91" i="11" s="1"/>
  <c r="F83" i="11"/>
  <c r="K83" i="11" s="1"/>
  <c r="F75" i="11"/>
  <c r="K75" i="11" s="1"/>
  <c r="F67" i="11"/>
  <c r="K67" i="11" s="1"/>
  <c r="F59" i="11"/>
  <c r="K59" i="11" s="1"/>
  <c r="F51" i="11"/>
  <c r="K51" i="11" s="1"/>
  <c r="F27" i="11"/>
  <c r="K27" i="11" s="1"/>
  <c r="F88" i="11"/>
  <c r="K88" i="11" s="1"/>
  <c r="F114" i="11"/>
  <c r="K114" i="11" s="1"/>
  <c r="F106" i="11"/>
  <c r="K106" i="11" s="1"/>
  <c r="F98" i="11"/>
  <c r="K98" i="11" s="1"/>
  <c r="F90" i="11"/>
  <c r="K90" i="11" s="1"/>
  <c r="F82" i="11"/>
  <c r="K82" i="11" s="1"/>
  <c r="F74" i="11"/>
  <c r="K74" i="11" s="1"/>
  <c r="F66" i="11"/>
  <c r="K66" i="11" s="1"/>
  <c r="F58" i="11"/>
  <c r="K58" i="11" s="1"/>
  <c r="F50" i="11"/>
  <c r="K50" i="11" s="1"/>
  <c r="F34" i="11"/>
  <c r="K34" i="11" s="1"/>
  <c r="F26" i="11"/>
  <c r="F96" i="11"/>
  <c r="K96" i="11" s="1"/>
  <c r="F56" i="11"/>
  <c r="K56" i="11" s="1"/>
  <c r="F113" i="11"/>
  <c r="K113" i="11" s="1"/>
  <c r="F105" i="11"/>
  <c r="K105" i="11" s="1"/>
  <c r="F97" i="11"/>
  <c r="K97" i="11" s="1"/>
  <c r="F89" i="11"/>
  <c r="K89" i="11" s="1"/>
  <c r="F81" i="11"/>
  <c r="K81" i="11" s="1"/>
  <c r="F73" i="11"/>
  <c r="K73" i="11" s="1"/>
  <c r="F65" i="11"/>
  <c r="K65" i="11" s="1"/>
  <c r="F57" i="11"/>
  <c r="K57" i="11" s="1"/>
  <c r="F41" i="11"/>
  <c r="K41" i="11" s="1"/>
  <c r="F25" i="11"/>
  <c r="F104" i="11"/>
  <c r="K104" i="11" s="1"/>
  <c r="F47" i="11"/>
  <c r="K47" i="11" s="1"/>
  <c r="F35" i="11"/>
  <c r="K35" i="11" s="1"/>
  <c r="F28" i="11"/>
  <c r="K28" i="11" s="1"/>
  <c r="F49" i="11"/>
  <c r="K49" i="11" s="1"/>
  <c r="F32" i="11"/>
  <c r="K32" i="11" s="1"/>
  <c r="F33" i="11"/>
  <c r="K33" i="11" s="1"/>
  <c r="F236" i="11"/>
  <c r="F139" i="11"/>
  <c r="F255" i="11"/>
  <c r="F143" i="11"/>
  <c r="F258" i="11"/>
  <c r="F148" i="11"/>
  <c r="F256" i="11"/>
  <c r="F262" i="11"/>
  <c r="F142" i="11"/>
  <c r="F257" i="11"/>
  <c r="F235" i="11"/>
  <c r="F746" i="11"/>
  <c r="K746" i="11" s="1"/>
  <c r="F738" i="11"/>
  <c r="K738" i="11" s="1"/>
  <c r="F730" i="11"/>
  <c r="K730" i="11" s="1"/>
  <c r="F722" i="11"/>
  <c r="K722" i="11" s="1"/>
  <c r="F714" i="11"/>
  <c r="K714" i="11" s="1"/>
  <c r="F706" i="11"/>
  <c r="K706" i="11" s="1"/>
  <c r="F698" i="11"/>
  <c r="K698" i="11" s="1"/>
  <c r="F690" i="11"/>
  <c r="K690" i="11" s="1"/>
  <c r="F682" i="11"/>
  <c r="K682" i="11" s="1"/>
  <c r="F674" i="11"/>
  <c r="K674" i="11" s="1"/>
  <c r="F666" i="11"/>
  <c r="K666" i="11" s="1"/>
  <c r="F658" i="11"/>
  <c r="K658" i="11" s="1"/>
  <c r="F751" i="11"/>
  <c r="K751" i="11" s="1"/>
  <c r="F743" i="11"/>
  <c r="K743" i="11" s="1"/>
  <c r="F735" i="11"/>
  <c r="K735" i="11" s="1"/>
  <c r="F727" i="11"/>
  <c r="K727" i="11" s="1"/>
  <c r="F719" i="11"/>
  <c r="K719" i="11" s="1"/>
  <c r="F711" i="11"/>
  <c r="K711" i="11" s="1"/>
  <c r="F703" i="11"/>
  <c r="K703" i="11" s="1"/>
  <c r="F695" i="11"/>
  <c r="K695" i="11" s="1"/>
  <c r="F687" i="11"/>
  <c r="K687" i="11" s="1"/>
  <c r="F679" i="11"/>
  <c r="K679" i="11" s="1"/>
  <c r="F671" i="11"/>
  <c r="K671" i="11" s="1"/>
  <c r="F663" i="11"/>
  <c r="K663" i="11" s="1"/>
  <c r="F754" i="11"/>
  <c r="K754" i="11" s="1"/>
  <c r="F748" i="11"/>
  <c r="K748" i="11" s="1"/>
  <c r="F740" i="11"/>
  <c r="K740" i="11" s="1"/>
  <c r="F732" i="11"/>
  <c r="K732" i="11" s="1"/>
  <c r="F724" i="11"/>
  <c r="K724" i="11" s="1"/>
  <c r="F716" i="11"/>
  <c r="K716" i="11" s="1"/>
  <c r="F708" i="11"/>
  <c r="K708" i="11" s="1"/>
  <c r="F700" i="11"/>
  <c r="K700" i="11" s="1"/>
  <c r="F692" i="11"/>
  <c r="K692" i="11" s="1"/>
  <c r="F684" i="11"/>
  <c r="K684" i="11" s="1"/>
  <c r="F676" i="11"/>
  <c r="K676" i="11" s="1"/>
  <c r="F668" i="11"/>
  <c r="K668" i="11" s="1"/>
  <c r="F660" i="11"/>
  <c r="K660" i="11" s="1"/>
  <c r="F753" i="11"/>
  <c r="K753" i="11" s="1"/>
  <c r="F745" i="11"/>
  <c r="K745" i="11" s="1"/>
  <c r="F737" i="11"/>
  <c r="K737" i="11" s="1"/>
  <c r="F729" i="11"/>
  <c r="K729" i="11" s="1"/>
  <c r="F721" i="11"/>
  <c r="K721" i="11" s="1"/>
  <c r="F713" i="11"/>
  <c r="K713" i="11" s="1"/>
  <c r="F705" i="11"/>
  <c r="K705" i="11" s="1"/>
  <c r="F697" i="11"/>
  <c r="K697" i="11" s="1"/>
  <c r="F689" i="11"/>
  <c r="K689" i="11" s="1"/>
  <c r="F681" i="11"/>
  <c r="K681" i="11" s="1"/>
  <c r="F673" i="11"/>
  <c r="K673" i="11" s="1"/>
  <c r="F665" i="11"/>
  <c r="K665" i="11" s="1"/>
  <c r="F756" i="11"/>
  <c r="K756" i="11" s="1"/>
  <c r="F750" i="11"/>
  <c r="K750" i="11" s="1"/>
  <c r="F742" i="11"/>
  <c r="K742" i="11" s="1"/>
  <c r="F734" i="11"/>
  <c r="K734" i="11" s="1"/>
  <c r="F726" i="11"/>
  <c r="K726" i="11" s="1"/>
  <c r="F718" i="11"/>
  <c r="K718" i="11" s="1"/>
  <c r="F710" i="11"/>
  <c r="K710" i="11" s="1"/>
  <c r="F702" i="11"/>
  <c r="K702" i="11" s="1"/>
  <c r="F694" i="11"/>
  <c r="K694" i="11" s="1"/>
  <c r="F686" i="11"/>
  <c r="K686" i="11" s="1"/>
  <c r="F678" i="11"/>
  <c r="K678" i="11" s="1"/>
  <c r="F670" i="11"/>
  <c r="K670" i="11" s="1"/>
  <c r="F662" i="11"/>
  <c r="K662" i="11" s="1"/>
  <c r="F747" i="11"/>
  <c r="K747" i="11" s="1"/>
  <c r="F739" i="11"/>
  <c r="K739" i="11" s="1"/>
  <c r="F731" i="11"/>
  <c r="K731" i="11" s="1"/>
  <c r="F723" i="11"/>
  <c r="K723" i="11" s="1"/>
  <c r="F715" i="11"/>
  <c r="K715" i="11" s="1"/>
  <c r="F707" i="11"/>
  <c r="K707" i="11" s="1"/>
  <c r="F699" i="11"/>
  <c r="K699" i="11" s="1"/>
  <c r="F691" i="11"/>
  <c r="K691" i="11" s="1"/>
  <c r="F683" i="11"/>
  <c r="K683" i="11" s="1"/>
  <c r="F675" i="11"/>
  <c r="K675" i="11" s="1"/>
  <c r="F667" i="11"/>
  <c r="K667" i="11" s="1"/>
  <c r="F659" i="11"/>
  <c r="K659" i="11" s="1"/>
  <c r="F752" i="11"/>
  <c r="K752" i="11" s="1"/>
  <c r="F744" i="11"/>
  <c r="K744" i="11" s="1"/>
  <c r="F736" i="11"/>
  <c r="K736" i="11" s="1"/>
  <c r="F728" i="11"/>
  <c r="K728" i="11" s="1"/>
  <c r="F720" i="11"/>
  <c r="K720" i="11" s="1"/>
  <c r="F712" i="11"/>
  <c r="K712" i="11" s="1"/>
  <c r="F704" i="11"/>
  <c r="K704" i="11" s="1"/>
  <c r="F696" i="11"/>
  <c r="K696" i="11" s="1"/>
  <c r="F688" i="11"/>
  <c r="K688" i="11" s="1"/>
  <c r="F680" i="11"/>
  <c r="K680" i="11" s="1"/>
  <c r="F664" i="11"/>
  <c r="K664" i="11" s="1"/>
  <c r="F755" i="11"/>
  <c r="K755" i="11" s="1"/>
  <c r="F749" i="11"/>
  <c r="K749" i="11" s="1"/>
  <c r="F741" i="11"/>
  <c r="K741" i="11" s="1"/>
  <c r="F733" i="11"/>
  <c r="K733" i="11" s="1"/>
  <c r="F725" i="11"/>
  <c r="K725" i="11" s="1"/>
  <c r="F717" i="11"/>
  <c r="K717" i="11" s="1"/>
  <c r="F709" i="11"/>
  <c r="K709" i="11" s="1"/>
  <c r="F701" i="11"/>
  <c r="K701" i="11" s="1"/>
  <c r="F693" i="11"/>
  <c r="K693" i="11" s="1"/>
  <c r="F685" i="11"/>
  <c r="K685" i="11" s="1"/>
  <c r="F677" i="11"/>
  <c r="K677" i="11" s="1"/>
  <c r="F669" i="11"/>
  <c r="K669" i="11" s="1"/>
  <c r="F661" i="11"/>
  <c r="K661" i="11" s="1"/>
  <c r="F153" i="11"/>
  <c r="F150" i="11"/>
  <c r="D18" i="31"/>
  <c r="F18" i="31"/>
  <c r="F254" i="11"/>
  <c r="F140" i="11"/>
  <c r="F264" i="11"/>
  <c r="F141" i="11"/>
  <c r="AE124" i="23"/>
  <c r="AE115" i="23"/>
  <c r="AE175" i="23"/>
  <c r="AE166" i="23"/>
  <c r="AE127" i="23"/>
  <c r="AE128" i="23"/>
  <c r="AE164" i="23"/>
  <c r="AE142" i="23"/>
  <c r="AE157" i="23"/>
  <c r="AE200" i="23"/>
  <c r="AE189" i="23"/>
  <c r="AE188" i="23"/>
  <c r="AE209" i="23"/>
  <c r="AE205" i="23"/>
  <c r="AE198" i="23"/>
  <c r="AE204" i="23"/>
  <c r="AE211" i="23"/>
  <c r="AE207" i="23"/>
  <c r="AE206" i="23"/>
  <c r="AE210" i="23"/>
  <c r="AE154" i="23"/>
  <c r="AE208" i="23"/>
  <c r="AE196" i="23"/>
  <c r="AE199" i="23"/>
  <c r="AE181" i="23"/>
  <c r="AE187" i="23"/>
  <c r="AE203" i="23"/>
  <c r="AE212" i="23"/>
  <c r="AE186" i="23"/>
  <c r="AE195" i="23"/>
  <c r="AE184" i="23"/>
  <c r="AE197" i="23"/>
  <c r="AE194" i="23"/>
  <c r="AE190" i="23"/>
  <c r="AE182" i="23"/>
  <c r="AE201" i="23"/>
  <c r="AE192" i="23"/>
  <c r="AE185" i="23"/>
  <c r="AE155" i="23"/>
  <c r="AE148" i="23"/>
  <c r="AE183" i="23"/>
  <c r="AE161" i="23"/>
  <c r="AE174" i="23"/>
  <c r="AE176" i="23"/>
  <c r="AE160" i="23"/>
  <c r="AE170" i="23"/>
  <c r="AE177" i="23"/>
  <c r="AE178" i="23"/>
  <c r="AE193" i="23"/>
  <c r="AE171" i="23"/>
  <c r="AE163" i="23"/>
  <c r="AE152" i="23"/>
  <c r="AE172" i="23"/>
  <c r="AE150" i="23"/>
  <c r="AE146" i="23"/>
  <c r="AE165" i="23"/>
  <c r="AE151" i="23"/>
  <c r="AE129" i="23"/>
  <c r="AE168" i="23"/>
  <c r="AE156" i="23"/>
  <c r="AE149" i="23"/>
  <c r="AE140" i="23"/>
  <c r="AE135" i="23"/>
  <c r="AE173" i="23"/>
  <c r="AE117" i="23"/>
  <c r="AE159" i="23"/>
  <c r="AE167" i="23"/>
  <c r="AE119" i="23"/>
  <c r="AE139" i="23"/>
  <c r="AE132" i="23"/>
  <c r="AE134" i="23"/>
  <c r="AE116" i="23"/>
  <c r="AE122" i="23"/>
  <c r="AE138" i="23"/>
  <c r="AE144" i="23"/>
  <c r="AE137" i="23"/>
  <c r="AE145" i="23"/>
  <c r="AE126" i="23"/>
  <c r="AE131" i="23"/>
  <c r="AE118" i="23"/>
  <c r="AE123" i="23"/>
  <c r="AE179" i="23"/>
  <c r="AE143" i="23"/>
  <c r="AE120" i="23"/>
  <c r="AE133" i="23"/>
  <c r="AE162" i="23"/>
  <c r="AE130" i="23"/>
  <c r="AE121" i="23"/>
  <c r="AE153" i="23"/>
  <c r="AE141" i="23"/>
  <c r="AE202" i="23"/>
  <c r="AE191" i="23"/>
  <c r="AE158" i="23"/>
  <c r="AE180" i="23"/>
  <c r="AE114" i="23"/>
  <c r="AE136" i="23"/>
  <c r="AE169" i="23"/>
  <c r="AE147" i="23"/>
  <c r="AE125" i="23"/>
  <c r="AE113" i="23"/>
  <c r="AE111" i="23"/>
  <c r="AE112" i="23"/>
  <c r="AE110" i="23"/>
  <c r="AE109" i="23"/>
  <c r="AE106" i="23"/>
  <c r="AE108" i="23"/>
  <c r="AE105" i="23"/>
  <c r="AE107" i="23"/>
  <c r="AE104" i="23"/>
  <c r="AE102" i="23"/>
  <c r="AE100" i="23"/>
  <c r="AE96" i="23"/>
  <c r="AE103" i="23"/>
  <c r="AE101" i="23"/>
  <c r="AE95" i="23"/>
  <c r="AE99" i="23"/>
  <c r="AE94" i="23"/>
  <c r="AE91" i="23"/>
  <c r="AE98" i="23"/>
  <c r="AE97" i="23"/>
  <c r="AE92" i="23"/>
  <c r="AE89" i="23"/>
  <c r="AE88" i="23"/>
  <c r="AE87" i="23"/>
  <c r="AE90" i="23"/>
  <c r="AE78" i="23"/>
  <c r="AE75" i="23"/>
  <c r="AE85" i="23"/>
  <c r="AE74" i="23"/>
  <c r="AE86" i="23"/>
  <c r="AE76" i="23"/>
  <c r="AE71" i="23"/>
  <c r="AE83" i="23"/>
  <c r="AE82" i="23"/>
  <c r="AE77" i="23"/>
  <c r="AE81" i="23"/>
  <c r="AE79" i="23"/>
  <c r="AE84" i="23"/>
  <c r="AE69" i="23"/>
  <c r="AE63" i="23"/>
  <c r="AE72" i="23"/>
  <c r="AE62" i="23"/>
  <c r="AE64" i="23"/>
  <c r="AE59" i="23"/>
  <c r="AE57" i="23"/>
  <c r="AE93" i="23"/>
  <c r="AE67" i="23"/>
  <c r="AE56" i="23"/>
  <c r="AE53" i="23"/>
  <c r="AE52" i="23"/>
  <c r="AE68" i="23"/>
  <c r="AE60" i="23"/>
  <c r="AE50" i="23"/>
  <c r="AE80" i="23"/>
  <c r="AE54" i="23"/>
  <c r="AE45" i="23"/>
  <c r="AE61" i="23"/>
  <c r="AE44" i="23"/>
  <c r="AE48" i="23"/>
  <c r="AE38" i="23"/>
  <c r="AE51" i="23"/>
  <c r="AE41" i="23"/>
  <c r="AE33" i="23"/>
  <c r="AE73" i="23"/>
  <c r="AE65" i="23"/>
  <c r="AE42" i="23"/>
  <c r="AE40" i="23"/>
  <c r="AE70" i="23"/>
  <c r="AE58" i="23"/>
  <c r="AE39" i="23"/>
  <c r="AE47" i="23"/>
  <c r="AE21" i="23"/>
  <c r="AE55" i="23"/>
  <c r="AE49" i="23"/>
  <c r="AE32" i="23"/>
  <c r="AE28" i="23"/>
  <c r="AE31" i="23"/>
  <c r="AE23" i="23"/>
  <c r="AE22" i="23"/>
  <c r="AE16" i="23"/>
  <c r="AE14" i="23"/>
  <c r="AE6" i="23"/>
  <c r="AE13" i="23"/>
  <c r="AE11" i="23"/>
  <c r="AE36" i="23"/>
  <c r="AE26" i="23"/>
  <c r="AE5" i="23"/>
  <c r="AE29" i="23"/>
  <c r="AE24" i="23"/>
  <c r="AE20" i="23"/>
  <c r="AE18" i="23"/>
  <c r="AE8" i="23"/>
  <c r="AF2" i="23"/>
  <c r="AE46" i="23"/>
  <c r="AE15" i="23"/>
  <c r="AE43" i="23"/>
  <c r="AE19" i="23"/>
  <c r="AE17" i="23"/>
  <c r="AE7" i="23"/>
  <c r="AE25" i="23"/>
  <c r="AE12" i="23"/>
  <c r="AE66" i="23"/>
  <c r="AE30" i="23"/>
  <c r="AE10" i="23"/>
  <c r="AE27" i="23"/>
  <c r="AE34" i="23"/>
  <c r="AE4" i="23"/>
  <c r="AE35" i="23"/>
  <c r="AE9" i="23"/>
  <c r="AE37" i="23"/>
  <c r="M34" i="13"/>
  <c r="E34" i="13"/>
  <c r="A27" i="14"/>
  <c r="C202" i="23" s="1"/>
  <c r="A26" i="14"/>
  <c r="C191" i="23" s="1"/>
  <c r="A25" i="14"/>
  <c r="C180" i="23" s="1"/>
  <c r="A24" i="14"/>
  <c r="C169" i="23" s="1"/>
  <c r="A23" i="14"/>
  <c r="C158" i="23" s="1"/>
  <c r="A22" i="14"/>
  <c r="C147" i="23" s="1"/>
  <c r="A21" i="14"/>
  <c r="C136" i="23" s="1"/>
  <c r="A20" i="14"/>
  <c r="C125" i="23" s="1"/>
  <c r="A19" i="14"/>
  <c r="C114" i="23" s="1"/>
  <c r="A18" i="14"/>
  <c r="C103" i="23" s="1"/>
  <c r="A17" i="14"/>
  <c r="C92" i="23" s="1"/>
  <c r="A16" i="14"/>
  <c r="C81" i="23" s="1"/>
  <c r="A15" i="14"/>
  <c r="C70" i="23" s="1"/>
  <c r="A14" i="14"/>
  <c r="C59" i="23" s="1"/>
  <c r="A13" i="14"/>
  <c r="C48" i="23" s="1"/>
  <c r="A12" i="14"/>
  <c r="C37" i="23" s="1"/>
  <c r="A11" i="14"/>
  <c r="C26" i="23" s="1"/>
  <c r="A10" i="14"/>
  <c r="C15" i="23" s="1"/>
  <c r="A9" i="14"/>
  <c r="C4" i="23" s="1"/>
  <c r="A8" i="14"/>
  <c r="O9" i="2"/>
  <c r="C2" i="11"/>
  <c r="K46" i="11" l="1"/>
  <c r="K44" i="11"/>
  <c r="K25" i="11"/>
  <c r="K26" i="11"/>
  <c r="K23" i="11"/>
  <c r="AC7" i="13"/>
  <c r="M36" i="13"/>
  <c r="F134" i="11"/>
  <c r="AF148" i="23"/>
  <c r="AF210" i="23"/>
  <c r="AF131" i="23"/>
  <c r="AF197" i="23"/>
  <c r="AF122" i="23"/>
  <c r="AF134" i="23"/>
  <c r="AF164" i="23"/>
  <c r="AF144" i="23"/>
  <c r="AF121" i="23"/>
  <c r="AF127" i="23"/>
  <c r="AF168" i="23"/>
  <c r="AF166" i="23"/>
  <c r="AF182" i="23"/>
  <c r="AF204" i="23"/>
  <c r="AF192" i="23"/>
  <c r="AF201" i="23"/>
  <c r="AF178" i="23"/>
  <c r="AF205" i="23"/>
  <c r="AF128" i="23"/>
  <c r="AF211" i="23"/>
  <c r="AF208" i="23"/>
  <c r="AF207" i="23"/>
  <c r="AF212" i="23"/>
  <c r="AF209" i="23"/>
  <c r="AF193" i="23"/>
  <c r="AF195" i="23"/>
  <c r="AF196" i="23"/>
  <c r="AF198" i="23"/>
  <c r="AF199" i="23"/>
  <c r="AF129" i="23"/>
  <c r="AF181" i="23"/>
  <c r="AF203" i="23"/>
  <c r="AF186" i="23"/>
  <c r="AF184" i="23"/>
  <c r="AF194" i="23"/>
  <c r="AF200" i="23"/>
  <c r="AF183" i="23"/>
  <c r="AF171" i="23"/>
  <c r="AF189" i="23"/>
  <c r="AF174" i="23"/>
  <c r="AF173" i="23"/>
  <c r="AF163" i="23"/>
  <c r="AF161" i="23"/>
  <c r="AF150" i="23"/>
  <c r="AF155" i="23"/>
  <c r="AF176" i="23"/>
  <c r="AF156" i="23"/>
  <c r="AF206" i="23"/>
  <c r="AF170" i="23"/>
  <c r="AF179" i="23"/>
  <c r="AF154" i="23"/>
  <c r="AF159" i="23"/>
  <c r="AF142" i="23"/>
  <c r="AF190" i="23"/>
  <c r="AF177" i="23"/>
  <c r="AF175" i="23"/>
  <c r="AF160" i="23"/>
  <c r="AF149" i="23"/>
  <c r="AF165" i="23"/>
  <c r="AF137" i="23"/>
  <c r="AF138" i="23"/>
  <c r="AF126" i="23"/>
  <c r="AF130" i="23"/>
  <c r="AF135" i="23"/>
  <c r="AF152" i="23"/>
  <c r="AF188" i="23"/>
  <c r="AF133" i="23"/>
  <c r="AF157" i="23"/>
  <c r="AF116" i="23"/>
  <c r="AF172" i="23"/>
  <c r="AF162" i="23"/>
  <c r="AF167" i="23"/>
  <c r="AF139" i="23"/>
  <c r="AF120" i="23"/>
  <c r="AF187" i="23"/>
  <c r="AF136" i="23"/>
  <c r="AF123" i="23"/>
  <c r="AF185" i="23"/>
  <c r="AF151" i="23"/>
  <c r="AF153" i="23"/>
  <c r="AF143" i="23"/>
  <c r="AF132" i="23"/>
  <c r="AF115" i="23"/>
  <c r="AF146" i="23"/>
  <c r="AF145" i="23"/>
  <c r="AF117" i="23"/>
  <c r="AF141" i="23"/>
  <c r="AF118" i="23"/>
  <c r="AF119" i="23"/>
  <c r="AF140" i="23"/>
  <c r="AF124" i="23"/>
  <c r="AF125" i="23"/>
  <c r="AF202" i="23"/>
  <c r="AF147" i="23"/>
  <c r="AF191" i="23"/>
  <c r="AF158" i="23"/>
  <c r="AF169" i="23"/>
  <c r="AF114" i="23"/>
  <c r="AF180" i="23"/>
  <c r="AF111" i="23"/>
  <c r="AF107" i="23"/>
  <c r="AF112" i="23"/>
  <c r="AF113" i="23"/>
  <c r="AF103" i="23"/>
  <c r="AF101" i="23"/>
  <c r="AF109" i="23"/>
  <c r="AF108" i="23"/>
  <c r="AF105" i="23"/>
  <c r="AF102" i="23"/>
  <c r="AF104" i="23"/>
  <c r="AF99" i="23"/>
  <c r="AF110" i="23"/>
  <c r="AF98" i="23"/>
  <c r="AF95" i="23"/>
  <c r="AF93" i="23"/>
  <c r="AF100" i="23"/>
  <c r="AF97" i="23"/>
  <c r="AF106" i="23"/>
  <c r="AF86" i="23"/>
  <c r="AF96" i="23"/>
  <c r="AF85" i="23"/>
  <c r="AF87" i="23"/>
  <c r="AF94" i="23"/>
  <c r="AF88" i="23"/>
  <c r="AF92" i="23"/>
  <c r="AF83" i="23"/>
  <c r="AF78" i="23"/>
  <c r="AF90" i="23"/>
  <c r="AF89" i="23"/>
  <c r="AF84" i="23"/>
  <c r="AF81" i="23"/>
  <c r="AF72" i="23"/>
  <c r="AF79" i="23"/>
  <c r="AF71" i="23"/>
  <c r="AF69" i="23"/>
  <c r="AF76" i="23"/>
  <c r="AF82" i="23"/>
  <c r="AF77" i="23"/>
  <c r="AF80" i="23"/>
  <c r="AF67" i="23"/>
  <c r="AF70" i="23"/>
  <c r="AF66" i="23"/>
  <c r="AF62" i="23"/>
  <c r="AF74" i="23"/>
  <c r="AF64" i="23"/>
  <c r="AF59" i="23"/>
  <c r="AF57" i="23"/>
  <c r="AF65" i="23"/>
  <c r="AF54" i="23"/>
  <c r="AF75" i="23"/>
  <c r="AF73" i="23"/>
  <c r="AF68" i="23"/>
  <c r="AF53" i="23"/>
  <c r="AF91" i="23"/>
  <c r="AF60" i="23"/>
  <c r="AF56" i="23"/>
  <c r="AF50" i="23"/>
  <c r="AF63" i="23"/>
  <c r="AF55" i="23"/>
  <c r="AF42" i="23"/>
  <c r="AF41" i="23"/>
  <c r="AF51" i="23"/>
  <c r="AF40" i="23"/>
  <c r="AF47" i="23"/>
  <c r="AF43" i="23"/>
  <c r="AF37" i="23"/>
  <c r="AF35" i="23"/>
  <c r="AF45" i="23"/>
  <c r="AF34" i="23"/>
  <c r="AF61" i="23"/>
  <c r="AF58" i="23"/>
  <c r="AF49" i="23"/>
  <c r="AF33" i="23"/>
  <c r="AF32" i="23"/>
  <c r="AF28" i="23"/>
  <c r="AF52" i="23"/>
  <c r="AF48" i="23"/>
  <c r="AF31" i="23"/>
  <c r="AF23" i="23"/>
  <c r="AF44" i="23"/>
  <c r="AF38" i="23"/>
  <c r="AF30" i="23"/>
  <c r="AF20" i="23"/>
  <c r="AF29" i="23"/>
  <c r="AF19" i="23"/>
  <c r="AF21" i="23"/>
  <c r="AF11" i="23"/>
  <c r="AF24" i="23"/>
  <c r="AF18" i="23"/>
  <c r="AF8" i="23"/>
  <c r="AG2" i="23"/>
  <c r="AF46" i="23"/>
  <c r="AF36" i="23"/>
  <c r="AF26" i="23"/>
  <c r="AF15" i="23"/>
  <c r="AF13" i="23"/>
  <c r="AF5" i="23"/>
  <c r="AF10" i="23"/>
  <c r="AF25" i="23"/>
  <c r="AF12" i="23"/>
  <c r="AF4" i="23"/>
  <c r="AF27" i="23"/>
  <c r="AF22" i="23"/>
  <c r="AF17" i="23"/>
  <c r="AF39" i="23"/>
  <c r="AF16" i="23"/>
  <c r="AF6" i="23"/>
  <c r="AF7" i="23"/>
  <c r="AF14" i="23"/>
  <c r="AF9" i="23"/>
  <c r="M70" i="13"/>
  <c r="K17" i="13"/>
  <c r="K20" i="13"/>
  <c r="K16" i="13"/>
  <c r="K15" i="13"/>
  <c r="K33" i="13"/>
  <c r="K18" i="13"/>
  <c r="K25" i="13"/>
  <c r="K12" i="13"/>
  <c r="K32" i="13"/>
  <c r="K11" i="13"/>
  <c r="K19" i="13"/>
  <c r="K23" i="13"/>
  <c r="K10" i="13"/>
  <c r="K26" i="13"/>
  <c r="K13" i="13"/>
  <c r="K22" i="13"/>
  <c r="K24" i="13"/>
  <c r="K27" i="13"/>
  <c r="K21" i="13"/>
  <c r="K31" i="13"/>
  <c r="K30" i="13"/>
  <c r="K29" i="13"/>
  <c r="K28" i="13"/>
  <c r="K14" i="13"/>
  <c r="J7" i="2"/>
  <c r="M9" i="2"/>
  <c r="H9" i="2"/>
  <c r="D15" i="14"/>
  <c r="D19" i="14"/>
  <c r="D23" i="14"/>
  <c r="D16" i="14"/>
  <c r="D20" i="14"/>
  <c r="D24" i="14"/>
  <c r="D25" i="14"/>
  <c r="D11" i="14"/>
  <c r="D21" i="14"/>
  <c r="D14" i="14"/>
  <c r="D18" i="14"/>
  <c r="D22" i="14"/>
  <c r="D26" i="14"/>
  <c r="D17" i="14"/>
  <c r="D13" i="14"/>
  <c r="D12" i="14"/>
  <c r="D10" i="14"/>
  <c r="C10" i="6"/>
  <c r="I49" i="5"/>
  <c r="I47" i="5"/>
  <c r="I28" i="5"/>
  <c r="I26" i="5"/>
  <c r="D129" i="11" l="1"/>
  <c r="K129" i="11" s="1"/>
  <c r="D130" i="11"/>
  <c r="H12" i="31"/>
  <c r="A6" i="24"/>
  <c r="D143" i="11"/>
  <c r="K143" i="11" s="1"/>
  <c r="D139" i="11"/>
  <c r="K139" i="11" s="1"/>
  <c r="D148" i="11"/>
  <c r="K148" i="11" s="1"/>
  <c r="D142" i="11"/>
  <c r="K142" i="11" s="1"/>
  <c r="D153" i="11"/>
  <c r="K153" i="11" s="1"/>
  <c r="D150" i="11"/>
  <c r="K150" i="11" s="1"/>
  <c r="H18" i="31"/>
  <c r="D147" i="11"/>
  <c r="K147" i="11" s="1"/>
  <c r="D141" i="11"/>
  <c r="K141" i="11" s="1"/>
  <c r="D146" i="11"/>
  <c r="K146" i="11" s="1"/>
  <c r="D140" i="11"/>
  <c r="K140" i="11" s="1"/>
  <c r="D144" i="11"/>
  <c r="K144" i="11" s="1"/>
  <c r="M7" i="13"/>
  <c r="D6" i="13" s="1"/>
  <c r="D27" i="14"/>
  <c r="AG185" i="23"/>
  <c r="AG131" i="23"/>
  <c r="AG115" i="23"/>
  <c r="AG200" i="23"/>
  <c r="AG143" i="23"/>
  <c r="AG124" i="23"/>
  <c r="AG146" i="23"/>
  <c r="AG122" i="23"/>
  <c r="AG164" i="23"/>
  <c r="AG121" i="23"/>
  <c r="AG138" i="23"/>
  <c r="AG189" i="23"/>
  <c r="AG201" i="23"/>
  <c r="AG129" i="23"/>
  <c r="AG144" i="23"/>
  <c r="AG133" i="23"/>
  <c r="AG178" i="23"/>
  <c r="AG182" i="23"/>
  <c r="AG204" i="23"/>
  <c r="AG166" i="23"/>
  <c r="AG203" i="23"/>
  <c r="AG208" i="23"/>
  <c r="AG205" i="23"/>
  <c r="AG206" i="23"/>
  <c r="AG212" i="23"/>
  <c r="AG211" i="23"/>
  <c r="AG193" i="23"/>
  <c r="AG196" i="23"/>
  <c r="AG209" i="23"/>
  <c r="AG194" i="23"/>
  <c r="AG181" i="23"/>
  <c r="AG168" i="23"/>
  <c r="AG210" i="23"/>
  <c r="AG207" i="23"/>
  <c r="AG149" i="23"/>
  <c r="AG195" i="23"/>
  <c r="AG192" i="23"/>
  <c r="AG134" i="23"/>
  <c r="AG187" i="23"/>
  <c r="AG199" i="23"/>
  <c r="AG198" i="23"/>
  <c r="AG186" i="23"/>
  <c r="AG190" i="23"/>
  <c r="AG177" i="23"/>
  <c r="AG170" i="23"/>
  <c r="AG171" i="23"/>
  <c r="AG173" i="23"/>
  <c r="AG176" i="23"/>
  <c r="AG188" i="23"/>
  <c r="AG175" i="23"/>
  <c r="AG148" i="23"/>
  <c r="AG172" i="23"/>
  <c r="AG179" i="23"/>
  <c r="AG156" i="23"/>
  <c r="AG154" i="23"/>
  <c r="AG159" i="23"/>
  <c r="AG165" i="23"/>
  <c r="AG160" i="23"/>
  <c r="AG157" i="23"/>
  <c r="AG139" i="23"/>
  <c r="AG161" i="23"/>
  <c r="AG141" i="23"/>
  <c r="AG140" i="23"/>
  <c r="AG183" i="23"/>
  <c r="AG135" i="23"/>
  <c r="AG150" i="23"/>
  <c r="AG151" i="23"/>
  <c r="AG174" i="23"/>
  <c r="AG167" i="23"/>
  <c r="AG155" i="23"/>
  <c r="AG153" i="23"/>
  <c r="AG130" i="23"/>
  <c r="AG184" i="23"/>
  <c r="AG137" i="23"/>
  <c r="AG162" i="23"/>
  <c r="AG197" i="23"/>
  <c r="AG123" i="23"/>
  <c r="AG145" i="23"/>
  <c r="AG119" i="23"/>
  <c r="AG117" i="23"/>
  <c r="AG142" i="23"/>
  <c r="AG118" i="23"/>
  <c r="AG152" i="23"/>
  <c r="AG126" i="23"/>
  <c r="AG120" i="23"/>
  <c r="AG128" i="23"/>
  <c r="AG127" i="23"/>
  <c r="AG163" i="23"/>
  <c r="AG116" i="23"/>
  <c r="AG132" i="23"/>
  <c r="AG169" i="23"/>
  <c r="AG147" i="23"/>
  <c r="AG125" i="23"/>
  <c r="AG136" i="23"/>
  <c r="AG191" i="23"/>
  <c r="AG180" i="23"/>
  <c r="AG202" i="23"/>
  <c r="AG158" i="23"/>
  <c r="AG114" i="23"/>
  <c r="AG112" i="23"/>
  <c r="AG111" i="23"/>
  <c r="AG113" i="23"/>
  <c r="AG110" i="23"/>
  <c r="AG107" i="23"/>
  <c r="AG108" i="23"/>
  <c r="AG109" i="23"/>
  <c r="AG105" i="23"/>
  <c r="AG104" i="23"/>
  <c r="AG100" i="23"/>
  <c r="AG98" i="23"/>
  <c r="AG106" i="23"/>
  <c r="AG97" i="23"/>
  <c r="AG99" i="23"/>
  <c r="AG95" i="23"/>
  <c r="AG103" i="23"/>
  <c r="AG102" i="23"/>
  <c r="AG101" i="23"/>
  <c r="AG90" i="23"/>
  <c r="AG94" i="23"/>
  <c r="AG93" i="23"/>
  <c r="AG96" i="23"/>
  <c r="AG88" i="23"/>
  <c r="AG92" i="23"/>
  <c r="AG81" i="23"/>
  <c r="AG85" i="23"/>
  <c r="AG89" i="23"/>
  <c r="AG87" i="23"/>
  <c r="AG84" i="23"/>
  <c r="AG82" i="23"/>
  <c r="AG80" i="23"/>
  <c r="AG77" i="23"/>
  <c r="AG76" i="23"/>
  <c r="AG86" i="23"/>
  <c r="AG71" i="23"/>
  <c r="AG83" i="23"/>
  <c r="AG73" i="23"/>
  <c r="AG72" i="23"/>
  <c r="AG64" i="23"/>
  <c r="AG75" i="23"/>
  <c r="AG63" i="23"/>
  <c r="AG74" i="23"/>
  <c r="AG59" i="23"/>
  <c r="AG57" i="23"/>
  <c r="AG78" i="23"/>
  <c r="AG65" i="23"/>
  <c r="AG91" i="23"/>
  <c r="AG79" i="23"/>
  <c r="AG70" i="23"/>
  <c r="AG66" i="23"/>
  <c r="AG61" i="23"/>
  <c r="AG51" i="23"/>
  <c r="AG60" i="23"/>
  <c r="AG58" i="23"/>
  <c r="AG68" i="23"/>
  <c r="AG55" i="23"/>
  <c r="AG54" i="23"/>
  <c r="AG62" i="23"/>
  <c r="AG49" i="23"/>
  <c r="AG47" i="23"/>
  <c r="AG48" i="23"/>
  <c r="AG46" i="23"/>
  <c r="AG41" i="23"/>
  <c r="AG40" i="23"/>
  <c r="AG50" i="23"/>
  <c r="AG43" i="23"/>
  <c r="AG42" i="23"/>
  <c r="AG37" i="23"/>
  <c r="AG35" i="23"/>
  <c r="AG69" i="23"/>
  <c r="AG44" i="23"/>
  <c r="AG32" i="23"/>
  <c r="AG67" i="23"/>
  <c r="AG31" i="23"/>
  <c r="AG56" i="23"/>
  <c r="AG53" i="23"/>
  <c r="AG52" i="23"/>
  <c r="AG23" i="23"/>
  <c r="AG38" i="23"/>
  <c r="AG30" i="23"/>
  <c r="AG20" i="23"/>
  <c r="AG27" i="23"/>
  <c r="AG25" i="23"/>
  <c r="AG39" i="23"/>
  <c r="AG36" i="23"/>
  <c r="AG26" i="23"/>
  <c r="AG24" i="23"/>
  <c r="AG45" i="23"/>
  <c r="AG18" i="23"/>
  <c r="AG8" i="23"/>
  <c r="AH2" i="23"/>
  <c r="AG17" i="23"/>
  <c r="AG7" i="23"/>
  <c r="AG33" i="23"/>
  <c r="AG29" i="23"/>
  <c r="AG15" i="23"/>
  <c r="AG13" i="23"/>
  <c r="AG5" i="23"/>
  <c r="AG34" i="23"/>
  <c r="AG10" i="23"/>
  <c r="AG22" i="23"/>
  <c r="AG9" i="23"/>
  <c r="AG16" i="23"/>
  <c r="AG14" i="23"/>
  <c r="AG4" i="23"/>
  <c r="AG11" i="23"/>
  <c r="AG28" i="23"/>
  <c r="AG21" i="23"/>
  <c r="AG12" i="23"/>
  <c r="AG6" i="23"/>
  <c r="AG19" i="23"/>
  <c r="D9" i="14"/>
  <c r="D92" i="14"/>
  <c r="D66" i="14"/>
  <c r="K34" i="13"/>
  <c r="H15" i="13"/>
  <c r="H17" i="13"/>
  <c r="H20" i="13"/>
  <c r="H16" i="13"/>
  <c r="H26" i="13"/>
  <c r="H10" i="13"/>
  <c r="H12" i="13"/>
  <c r="H13" i="13"/>
  <c r="H29" i="13"/>
  <c r="H21" i="13"/>
  <c r="H19" i="13"/>
  <c r="H27" i="13"/>
  <c r="H11" i="13"/>
  <c r="H28" i="13"/>
  <c r="H14" i="13"/>
  <c r="H32" i="13"/>
  <c r="H25" i="13"/>
  <c r="H18" i="13"/>
  <c r="H30" i="13"/>
  <c r="H22" i="13"/>
  <c r="H24" i="13"/>
  <c r="H31" i="13"/>
  <c r="H23" i="13"/>
  <c r="H33" i="13"/>
  <c r="H7" i="2"/>
  <c r="J29" i="1" l="1"/>
  <c r="H9" i="31"/>
  <c r="D257" i="11"/>
  <c r="D235" i="11"/>
  <c r="K36" i="13"/>
  <c r="F12" i="31" s="1"/>
  <c r="F9" i="31" s="1"/>
  <c r="D236" i="11"/>
  <c r="D256" i="11"/>
  <c r="D262" i="11"/>
  <c r="D248" i="11"/>
  <c r="D246" i="11"/>
  <c r="D251" i="11"/>
  <c r="D247" i="11"/>
  <c r="D255" i="11"/>
  <c r="D245" i="11"/>
  <c r="D134" i="11"/>
  <c r="D254" i="11"/>
  <c r="D258" i="11"/>
  <c r="D264" i="11"/>
  <c r="AH152" i="23"/>
  <c r="AH127" i="23"/>
  <c r="AH176" i="23"/>
  <c r="AH156" i="23"/>
  <c r="AH128" i="23"/>
  <c r="AH203" i="23"/>
  <c r="AH207" i="23"/>
  <c r="AH123" i="23"/>
  <c r="AH210" i="23"/>
  <c r="AH201" i="23"/>
  <c r="AH166" i="23"/>
  <c r="AH151" i="23"/>
  <c r="AH115" i="23"/>
  <c r="AH146" i="23"/>
  <c r="AH117" i="23"/>
  <c r="AH124" i="23"/>
  <c r="AH164" i="23"/>
  <c r="AH170" i="23"/>
  <c r="AH138" i="23"/>
  <c r="AH194" i="23"/>
  <c r="AH193" i="23"/>
  <c r="AH197" i="23"/>
  <c r="AH209" i="23"/>
  <c r="AH205" i="23"/>
  <c r="AH183" i="23"/>
  <c r="AH192" i="23"/>
  <c r="AH198" i="23"/>
  <c r="AH208" i="23"/>
  <c r="AH211" i="23"/>
  <c r="AH196" i="23"/>
  <c r="AH186" i="23"/>
  <c r="AH212" i="23"/>
  <c r="AH130" i="23"/>
  <c r="AH204" i="23"/>
  <c r="AH206" i="23"/>
  <c r="AH195" i="23"/>
  <c r="AH188" i="23"/>
  <c r="AH187" i="23"/>
  <c r="AH185" i="23"/>
  <c r="AH174" i="23"/>
  <c r="AH200" i="23"/>
  <c r="AH175" i="23"/>
  <c r="AH148" i="23"/>
  <c r="AH179" i="23"/>
  <c r="AH153" i="23"/>
  <c r="AH182" i="23"/>
  <c r="AH184" i="23"/>
  <c r="AH177" i="23"/>
  <c r="AH162" i="23"/>
  <c r="AH181" i="23"/>
  <c r="AH161" i="23"/>
  <c r="AH159" i="23"/>
  <c r="AH163" i="23"/>
  <c r="AH155" i="23"/>
  <c r="AH189" i="23"/>
  <c r="AH171" i="23"/>
  <c r="AH160" i="23"/>
  <c r="AH172" i="23"/>
  <c r="AH150" i="23"/>
  <c r="AH149" i="23"/>
  <c r="AH145" i="23"/>
  <c r="AH126" i="23"/>
  <c r="AH178" i="23"/>
  <c r="AH132" i="23"/>
  <c r="AH199" i="23"/>
  <c r="AH141" i="23"/>
  <c r="AH144" i="23"/>
  <c r="AH131" i="23"/>
  <c r="AH165" i="23"/>
  <c r="AH167" i="23"/>
  <c r="AH154" i="23"/>
  <c r="AH137" i="23"/>
  <c r="AH118" i="23"/>
  <c r="AH122" i="23"/>
  <c r="AH139" i="23"/>
  <c r="AH134" i="23"/>
  <c r="AH119" i="23"/>
  <c r="AH142" i="23"/>
  <c r="AH120" i="23"/>
  <c r="AH116" i="23"/>
  <c r="AH173" i="23"/>
  <c r="AH135" i="23"/>
  <c r="AH121" i="23"/>
  <c r="AH190" i="23"/>
  <c r="AH157" i="23"/>
  <c r="AH133" i="23"/>
  <c r="AH129" i="23"/>
  <c r="AH168" i="23"/>
  <c r="AH140" i="23"/>
  <c r="AH143" i="23"/>
  <c r="AH158" i="23"/>
  <c r="AH169" i="23"/>
  <c r="AH202" i="23"/>
  <c r="AH136" i="23"/>
  <c r="AH125" i="23"/>
  <c r="AH191" i="23"/>
  <c r="AH114" i="23"/>
  <c r="AH180" i="23"/>
  <c r="AH147" i="23"/>
  <c r="AH113" i="23"/>
  <c r="AH112" i="23"/>
  <c r="AH109" i="23"/>
  <c r="AH108" i="23"/>
  <c r="AH106" i="23"/>
  <c r="AH107" i="23"/>
  <c r="AH111" i="23"/>
  <c r="AH110" i="23"/>
  <c r="AH105" i="23"/>
  <c r="AH104" i="23"/>
  <c r="AH102" i="23"/>
  <c r="AH101" i="23"/>
  <c r="AH100" i="23"/>
  <c r="AH99" i="23"/>
  <c r="AH95" i="23"/>
  <c r="AH94" i="23"/>
  <c r="AH98" i="23"/>
  <c r="AH96" i="23"/>
  <c r="AH91" i="23"/>
  <c r="AH92" i="23"/>
  <c r="AH90" i="23"/>
  <c r="AH97" i="23"/>
  <c r="AH103" i="23"/>
  <c r="AH89" i="23"/>
  <c r="AH88" i="23"/>
  <c r="AH87" i="23"/>
  <c r="AH84" i="23"/>
  <c r="AH82" i="23"/>
  <c r="AH81" i="23"/>
  <c r="AH80" i="23"/>
  <c r="AH77" i="23"/>
  <c r="AH83" i="23"/>
  <c r="AH74" i="23"/>
  <c r="AH93" i="23"/>
  <c r="AH86" i="23"/>
  <c r="AH73" i="23"/>
  <c r="AH72" i="23"/>
  <c r="AH69" i="23"/>
  <c r="AH85" i="23"/>
  <c r="AH68" i="23"/>
  <c r="AH78" i="23"/>
  <c r="AH65" i="23"/>
  <c r="AH64" i="23"/>
  <c r="AH79" i="23"/>
  <c r="AH76" i="23"/>
  <c r="AH70" i="23"/>
  <c r="AH66" i="23"/>
  <c r="AH61" i="23"/>
  <c r="AH56" i="23"/>
  <c r="AH71" i="23"/>
  <c r="AH55" i="23"/>
  <c r="AH63" i="23"/>
  <c r="AH54" i="23"/>
  <c r="AH62" i="23"/>
  <c r="AH59" i="23"/>
  <c r="AH49" i="23"/>
  <c r="AH47" i="23"/>
  <c r="AH44" i="23"/>
  <c r="AH58" i="23"/>
  <c r="AH52" i="23"/>
  <c r="AH51" i="23"/>
  <c r="AH43" i="23"/>
  <c r="AH60" i="23"/>
  <c r="AH50" i="23"/>
  <c r="AH42" i="23"/>
  <c r="AH37" i="23"/>
  <c r="AH32" i="23"/>
  <c r="AH39" i="23"/>
  <c r="AH53" i="23"/>
  <c r="AH46" i="23"/>
  <c r="AH38" i="23"/>
  <c r="AH36" i="23"/>
  <c r="AH75" i="23"/>
  <c r="AH48" i="23"/>
  <c r="AH41" i="23"/>
  <c r="AH31" i="23"/>
  <c r="AH30" i="23"/>
  <c r="AH20" i="23"/>
  <c r="AH27" i="23"/>
  <c r="AH25" i="23"/>
  <c r="AH22" i="23"/>
  <c r="AH45" i="23"/>
  <c r="AH34" i="23"/>
  <c r="AH21" i="23"/>
  <c r="AH33" i="23"/>
  <c r="AH29" i="23"/>
  <c r="AH24" i="23"/>
  <c r="AH15" i="23"/>
  <c r="AH13" i="23"/>
  <c r="AH5" i="23"/>
  <c r="AH12" i="23"/>
  <c r="AH4" i="23"/>
  <c r="AH40" i="23"/>
  <c r="AH26" i="23"/>
  <c r="AH10" i="23"/>
  <c r="AH23" i="23"/>
  <c r="AH17" i="23"/>
  <c r="AH7" i="23"/>
  <c r="AH28" i="23"/>
  <c r="AH19" i="23"/>
  <c r="AH67" i="23"/>
  <c r="AH16" i="23"/>
  <c r="AH14" i="23"/>
  <c r="AH6" i="23"/>
  <c r="AH35" i="23"/>
  <c r="AH9" i="23"/>
  <c r="AH8" i="23"/>
  <c r="AI2" i="23"/>
  <c r="AH57" i="23"/>
  <c r="AH18" i="23"/>
  <c r="AH11" i="23"/>
  <c r="F333" i="11"/>
  <c r="H34" i="13"/>
  <c r="D8" i="14"/>
  <c r="D40" i="14" s="1"/>
  <c r="D134" i="5" l="1"/>
  <c r="G11" i="1"/>
  <c r="K7" i="13"/>
  <c r="D5" i="13" s="1"/>
  <c r="D5" i="5"/>
  <c r="J31" i="1"/>
  <c r="H78" i="1" s="1"/>
  <c r="H36" i="13"/>
  <c r="D240" i="11"/>
  <c r="F227" i="11"/>
  <c r="E6" i="24"/>
  <c r="E12" i="24"/>
  <c r="H61" i="1" s="1"/>
  <c r="AI139" i="23"/>
  <c r="AI128" i="23"/>
  <c r="AI122" i="23"/>
  <c r="AI210" i="23"/>
  <c r="AI133" i="23"/>
  <c r="AI176" i="23"/>
  <c r="AI131" i="23"/>
  <c r="AI130" i="23"/>
  <c r="AI151" i="23"/>
  <c r="AI143" i="23"/>
  <c r="AI193" i="23"/>
  <c r="AI116" i="23"/>
  <c r="AI152" i="23"/>
  <c r="AI127" i="23"/>
  <c r="AI168" i="23"/>
  <c r="AI144" i="23"/>
  <c r="AI200" i="23"/>
  <c r="AI149" i="23"/>
  <c r="AI173" i="23"/>
  <c r="AI194" i="23"/>
  <c r="AI209" i="23"/>
  <c r="AI205" i="23"/>
  <c r="AI212" i="23"/>
  <c r="AI207" i="23"/>
  <c r="AI198" i="23"/>
  <c r="AI208" i="23"/>
  <c r="AI204" i="23"/>
  <c r="AI159" i="23"/>
  <c r="AI203" i="23"/>
  <c r="AI206" i="23"/>
  <c r="AI192" i="23"/>
  <c r="AI196" i="23"/>
  <c r="AI195" i="23"/>
  <c r="AI199" i="23"/>
  <c r="AI197" i="23"/>
  <c r="AI201" i="23"/>
  <c r="AI211" i="23"/>
  <c r="AI184" i="23"/>
  <c r="AI182" i="23"/>
  <c r="AI187" i="23"/>
  <c r="AI185" i="23"/>
  <c r="AI188" i="23"/>
  <c r="AI181" i="23"/>
  <c r="AI190" i="23"/>
  <c r="AI175" i="23"/>
  <c r="AI161" i="23"/>
  <c r="AI166" i="23"/>
  <c r="AI156" i="23"/>
  <c r="AI155" i="23"/>
  <c r="AI179" i="23"/>
  <c r="AI160" i="23"/>
  <c r="AI154" i="23"/>
  <c r="AI189" i="23"/>
  <c r="AI174" i="23"/>
  <c r="AI177" i="23"/>
  <c r="AI162" i="23"/>
  <c r="AI163" i="23"/>
  <c r="AI167" i="23"/>
  <c r="AI164" i="23"/>
  <c r="AI138" i="23"/>
  <c r="AI186" i="23"/>
  <c r="AI178" i="23"/>
  <c r="AI183" i="23"/>
  <c r="AI165" i="23"/>
  <c r="AI172" i="23"/>
  <c r="AI142" i="23"/>
  <c r="AI146" i="23"/>
  <c r="AI135" i="23"/>
  <c r="AI134" i="23"/>
  <c r="AI170" i="23"/>
  <c r="AI132" i="23"/>
  <c r="AI115" i="23"/>
  <c r="AI148" i="23"/>
  <c r="AI137" i="23"/>
  <c r="AI145" i="23"/>
  <c r="AI126" i="23"/>
  <c r="AI117" i="23"/>
  <c r="AI157" i="23"/>
  <c r="AI118" i="23"/>
  <c r="AI123" i="23"/>
  <c r="AI150" i="23"/>
  <c r="AI141" i="23"/>
  <c r="AI119" i="23"/>
  <c r="AI171" i="23"/>
  <c r="AI140" i="23"/>
  <c r="AI121" i="23"/>
  <c r="AI129" i="23"/>
  <c r="AI120" i="23"/>
  <c r="AI153" i="23"/>
  <c r="AI124" i="23"/>
  <c r="AI180" i="23"/>
  <c r="AI169" i="23"/>
  <c r="AI158" i="23"/>
  <c r="AI136" i="23"/>
  <c r="AI114" i="23"/>
  <c r="AI202" i="23"/>
  <c r="AI125" i="23"/>
  <c r="AI191" i="23"/>
  <c r="AI147" i="23"/>
  <c r="AI113" i="23"/>
  <c r="AI112" i="23"/>
  <c r="AI110" i="23"/>
  <c r="AI108" i="23"/>
  <c r="AI109" i="23"/>
  <c r="AI105" i="23"/>
  <c r="AI111" i="23"/>
  <c r="AI106" i="23"/>
  <c r="AI104" i="23"/>
  <c r="AI100" i="23"/>
  <c r="AI103" i="23"/>
  <c r="AI107" i="23"/>
  <c r="AI98" i="23"/>
  <c r="AI95" i="23"/>
  <c r="AI96" i="23"/>
  <c r="AI101" i="23"/>
  <c r="AI92" i="23"/>
  <c r="AI91" i="23"/>
  <c r="AI85" i="23"/>
  <c r="AI99" i="23"/>
  <c r="AI84" i="23"/>
  <c r="AI94" i="23"/>
  <c r="AI83" i="23"/>
  <c r="AI93" i="23"/>
  <c r="AI89" i="23"/>
  <c r="AI86" i="23"/>
  <c r="AI82" i="23"/>
  <c r="AI80" i="23"/>
  <c r="AI87" i="23"/>
  <c r="AI81" i="23"/>
  <c r="AI77" i="23"/>
  <c r="AI90" i="23"/>
  <c r="AI79" i="23"/>
  <c r="AI71" i="23"/>
  <c r="AI78" i="23"/>
  <c r="AI70" i="23"/>
  <c r="AI72" i="23"/>
  <c r="AI73" i="23"/>
  <c r="AI69" i="23"/>
  <c r="AI74" i="23"/>
  <c r="AI66" i="23"/>
  <c r="AI97" i="23"/>
  <c r="AI88" i="23"/>
  <c r="AI65" i="23"/>
  <c r="AI76" i="23"/>
  <c r="AI61" i="23"/>
  <c r="AI56" i="23"/>
  <c r="AI67" i="23"/>
  <c r="AI53" i="23"/>
  <c r="AI63" i="23"/>
  <c r="AI62" i="23"/>
  <c r="AI52" i="23"/>
  <c r="AI102" i="23"/>
  <c r="AI59" i="23"/>
  <c r="AI55" i="23"/>
  <c r="AI49" i="23"/>
  <c r="AI47" i="23"/>
  <c r="AI75" i="23"/>
  <c r="AI50" i="23"/>
  <c r="AI64" i="23"/>
  <c r="AI54" i="23"/>
  <c r="AI43" i="23"/>
  <c r="AI44" i="23"/>
  <c r="AI39" i="23"/>
  <c r="AI57" i="23"/>
  <c r="AI45" i="23"/>
  <c r="AI34" i="23"/>
  <c r="AI48" i="23"/>
  <c r="AI33" i="23"/>
  <c r="AI60" i="23"/>
  <c r="AI38" i="23"/>
  <c r="AI27" i="23"/>
  <c r="AI25" i="23"/>
  <c r="AI22" i="23"/>
  <c r="AI46" i="23"/>
  <c r="AI42" i="23"/>
  <c r="AI29" i="23"/>
  <c r="AI19" i="23"/>
  <c r="AI35" i="23"/>
  <c r="AI28" i="23"/>
  <c r="AI40" i="23"/>
  <c r="AI26" i="23"/>
  <c r="AI10" i="23"/>
  <c r="AI68" i="23"/>
  <c r="AI41" i="23"/>
  <c r="AI36" i="23"/>
  <c r="AI23" i="23"/>
  <c r="AI20" i="23"/>
  <c r="AI17" i="23"/>
  <c r="AI7" i="23"/>
  <c r="AI31" i="23"/>
  <c r="AI12" i="23"/>
  <c r="AI4" i="23"/>
  <c r="AI9" i="23"/>
  <c r="AI11" i="23"/>
  <c r="AI58" i="23"/>
  <c r="AI51" i="23"/>
  <c r="AI37" i="23"/>
  <c r="AI32" i="23"/>
  <c r="AI30" i="23"/>
  <c r="AI21" i="23"/>
  <c r="AI18" i="23"/>
  <c r="AI24" i="23"/>
  <c r="AI8" i="23"/>
  <c r="AJ2" i="23"/>
  <c r="AI13" i="23"/>
  <c r="AI16" i="23"/>
  <c r="AI6" i="23"/>
  <c r="AI15" i="23"/>
  <c r="AI14" i="23"/>
  <c r="AI5" i="23"/>
  <c r="I21" i="5"/>
  <c r="I23" i="5" s="1"/>
  <c r="I84" i="5"/>
  <c r="I86" i="5" s="1"/>
  <c r="I42" i="5"/>
  <c r="I63" i="5"/>
  <c r="D68" i="5" l="1"/>
  <c r="D71" i="5" s="1"/>
  <c r="AA2" i="13"/>
  <c r="AA54" i="13" s="1"/>
  <c r="AH54" i="13" s="1"/>
  <c r="AC2" i="13"/>
  <c r="AB2" i="13"/>
  <c r="AB41" i="13" s="1"/>
  <c r="I65" i="5"/>
  <c r="I44" i="5"/>
  <c r="H11" i="1"/>
  <c r="H15" i="1" s="1"/>
  <c r="H7" i="13"/>
  <c r="D4" i="13" s="1"/>
  <c r="D12" i="31"/>
  <c r="D9" i="31" s="1"/>
  <c r="E16" i="24"/>
  <c r="E18" i="24"/>
  <c r="M62" i="1" s="1"/>
  <c r="E15" i="24"/>
  <c r="AJ164" i="23"/>
  <c r="AJ173" i="23"/>
  <c r="AJ115" i="23"/>
  <c r="AJ124" i="23"/>
  <c r="AJ117" i="23"/>
  <c r="AJ121" i="23"/>
  <c r="AJ149" i="23"/>
  <c r="AJ161" i="23"/>
  <c r="AJ166" i="23"/>
  <c r="AJ208" i="23"/>
  <c r="AJ182" i="23"/>
  <c r="AJ134" i="23"/>
  <c r="AJ192" i="23"/>
  <c r="AJ144" i="23"/>
  <c r="AJ206" i="23"/>
  <c r="AJ195" i="23"/>
  <c r="AJ209" i="23"/>
  <c r="AJ205" i="23"/>
  <c r="AJ210" i="23"/>
  <c r="AJ212" i="23"/>
  <c r="AJ193" i="23"/>
  <c r="AJ200" i="23"/>
  <c r="AJ127" i="23"/>
  <c r="AJ197" i="23"/>
  <c r="AJ181" i="23"/>
  <c r="AJ145" i="23"/>
  <c r="AJ211" i="23"/>
  <c r="AJ196" i="23"/>
  <c r="AJ199" i="23"/>
  <c r="AJ201" i="23"/>
  <c r="AJ203" i="23"/>
  <c r="AJ194" i="23"/>
  <c r="AJ198" i="23"/>
  <c r="AJ204" i="23"/>
  <c r="AJ184" i="23"/>
  <c r="AJ186" i="23"/>
  <c r="AJ207" i="23"/>
  <c r="AJ171" i="23"/>
  <c r="AJ185" i="23"/>
  <c r="AJ183" i="23"/>
  <c r="AJ189" i="23"/>
  <c r="AJ162" i="23"/>
  <c r="AJ168" i="23"/>
  <c r="AJ174" i="23"/>
  <c r="AJ176" i="23"/>
  <c r="AJ178" i="23"/>
  <c r="AJ172" i="23"/>
  <c r="AJ170" i="23"/>
  <c r="AJ160" i="23"/>
  <c r="AJ165" i="23"/>
  <c r="AJ148" i="23"/>
  <c r="AJ154" i="23"/>
  <c r="AJ179" i="23"/>
  <c r="AJ177" i="23"/>
  <c r="AJ159" i="23"/>
  <c r="AJ139" i="23"/>
  <c r="AJ188" i="23"/>
  <c r="AJ190" i="23"/>
  <c r="AJ153" i="23"/>
  <c r="AJ137" i="23"/>
  <c r="AJ187" i="23"/>
  <c r="AJ152" i="23"/>
  <c r="AJ142" i="23"/>
  <c r="AJ132" i="23"/>
  <c r="AJ131" i="23"/>
  <c r="AJ163" i="23"/>
  <c r="AJ130" i="23"/>
  <c r="AJ135" i="23"/>
  <c r="AJ167" i="23"/>
  <c r="AJ156" i="23"/>
  <c r="AJ146" i="23"/>
  <c r="AJ118" i="23"/>
  <c r="AJ123" i="23"/>
  <c r="AJ151" i="23"/>
  <c r="AJ157" i="23"/>
  <c r="AJ175" i="23"/>
  <c r="AJ143" i="23"/>
  <c r="AJ141" i="23"/>
  <c r="AJ126" i="23"/>
  <c r="AJ128" i="23"/>
  <c r="AJ119" i="23"/>
  <c r="AJ155" i="23"/>
  <c r="AJ138" i="23"/>
  <c r="AJ120" i="23"/>
  <c r="AJ129" i="23"/>
  <c r="AJ150" i="23"/>
  <c r="AJ122" i="23"/>
  <c r="AJ140" i="23"/>
  <c r="AJ133" i="23"/>
  <c r="AJ116" i="23"/>
  <c r="AJ158" i="23"/>
  <c r="AJ147" i="23"/>
  <c r="AJ191" i="23"/>
  <c r="AJ180" i="23"/>
  <c r="AJ125" i="23"/>
  <c r="AJ202" i="23"/>
  <c r="AJ114" i="23"/>
  <c r="AJ136" i="23"/>
  <c r="AJ169" i="23"/>
  <c r="AJ111" i="23"/>
  <c r="AJ113" i="23"/>
  <c r="AJ110" i="23"/>
  <c r="AJ108" i="23"/>
  <c r="AJ109" i="23"/>
  <c r="AJ103" i="23"/>
  <c r="AJ101" i="23"/>
  <c r="AJ97" i="23"/>
  <c r="AJ102" i="23"/>
  <c r="AJ96" i="23"/>
  <c r="AJ107" i="23"/>
  <c r="AJ106" i="23"/>
  <c r="AJ112" i="23"/>
  <c r="AJ98" i="23"/>
  <c r="AJ92" i="23"/>
  <c r="AJ91" i="23"/>
  <c r="AJ93" i="23"/>
  <c r="AJ104" i="23"/>
  <c r="AJ100" i="23"/>
  <c r="AJ99" i="23"/>
  <c r="AJ90" i="23"/>
  <c r="AJ105" i="23"/>
  <c r="AJ87" i="23"/>
  <c r="AJ89" i="23"/>
  <c r="AJ84" i="23"/>
  <c r="AJ82" i="23"/>
  <c r="AJ80" i="23"/>
  <c r="AJ95" i="23"/>
  <c r="AJ83" i="23"/>
  <c r="AJ79" i="23"/>
  <c r="AJ88" i="23"/>
  <c r="AJ76" i="23"/>
  <c r="AJ75" i="23"/>
  <c r="AJ77" i="23"/>
  <c r="AJ73" i="23"/>
  <c r="AJ69" i="23"/>
  <c r="AJ74" i="23"/>
  <c r="AJ70" i="23"/>
  <c r="AJ63" i="23"/>
  <c r="AJ94" i="23"/>
  <c r="AJ78" i="23"/>
  <c r="AJ72" i="23"/>
  <c r="AJ66" i="23"/>
  <c r="AJ67" i="23"/>
  <c r="AJ86" i="23"/>
  <c r="AJ68" i="23"/>
  <c r="AJ60" i="23"/>
  <c r="AJ58" i="23"/>
  <c r="AJ59" i="23"/>
  <c r="AJ57" i="23"/>
  <c r="AJ81" i="23"/>
  <c r="AJ62" i="23"/>
  <c r="AJ71" i="23"/>
  <c r="AJ64" i="23"/>
  <c r="AJ48" i="23"/>
  <c r="AJ46" i="23"/>
  <c r="AJ53" i="23"/>
  <c r="AJ45" i="23"/>
  <c r="AJ85" i="23"/>
  <c r="AJ44" i="23"/>
  <c r="AJ39" i="23"/>
  <c r="AJ65" i="23"/>
  <c r="AJ47" i="23"/>
  <c r="AJ34" i="23"/>
  <c r="AJ55" i="23"/>
  <c r="AJ52" i="23"/>
  <c r="AJ49" i="23"/>
  <c r="AJ31" i="23"/>
  <c r="AJ41" i="23"/>
  <c r="AJ40" i="23"/>
  <c r="AJ61" i="23"/>
  <c r="AJ54" i="23"/>
  <c r="AJ22" i="23"/>
  <c r="AJ42" i="23"/>
  <c r="AJ29" i="23"/>
  <c r="AJ19" i="23"/>
  <c r="AJ56" i="23"/>
  <c r="AJ50" i="23"/>
  <c r="AJ37" i="23"/>
  <c r="AJ26" i="23"/>
  <c r="AJ24" i="23"/>
  <c r="AJ43" i="23"/>
  <c r="AJ33" i="23"/>
  <c r="AJ23" i="23"/>
  <c r="AJ38" i="23"/>
  <c r="AJ36" i="23"/>
  <c r="AJ20" i="23"/>
  <c r="AJ17" i="23"/>
  <c r="AJ7" i="23"/>
  <c r="AJ12" i="23"/>
  <c r="AJ4" i="23"/>
  <c r="AJ16" i="23"/>
  <c r="AJ14" i="23"/>
  <c r="AJ6" i="23"/>
  <c r="AJ28" i="23"/>
  <c r="AJ9" i="23"/>
  <c r="AJ51" i="23"/>
  <c r="AJ35" i="23"/>
  <c r="AJ32" i="23"/>
  <c r="AJ30" i="23"/>
  <c r="AJ27" i="23"/>
  <c r="AJ21" i="23"/>
  <c r="AJ18" i="23"/>
  <c r="AJ8" i="23"/>
  <c r="AK2" i="23"/>
  <c r="AJ15" i="23"/>
  <c r="AJ13" i="23"/>
  <c r="AJ11" i="23"/>
  <c r="AJ25" i="23"/>
  <c r="AJ5" i="23"/>
  <c r="AJ10" i="23"/>
  <c r="G23" i="1"/>
  <c r="U2" i="13" s="1"/>
  <c r="U54" i="13" s="1"/>
  <c r="AG54" i="13" l="1"/>
  <c r="AI54" i="13"/>
  <c r="AJ54" i="13" s="1"/>
  <c r="AA65" i="13"/>
  <c r="AH65" i="13" s="1"/>
  <c r="AA66" i="13"/>
  <c r="AH66" i="13" s="1"/>
  <c r="U66" i="13"/>
  <c r="U65" i="13"/>
  <c r="AA155" i="13"/>
  <c r="AH155" i="13" s="1"/>
  <c r="AA156" i="13"/>
  <c r="AH156" i="13" s="1"/>
  <c r="U155" i="13"/>
  <c r="U156" i="13"/>
  <c r="U144" i="13"/>
  <c r="AI144" i="13" s="1"/>
  <c r="AJ144" i="13" s="1"/>
  <c r="U151" i="13"/>
  <c r="AA144" i="13"/>
  <c r="AH144" i="13" s="1"/>
  <c r="AA151" i="13"/>
  <c r="AH151" i="13" s="1"/>
  <c r="U116" i="13"/>
  <c r="U117" i="13"/>
  <c r="AA117" i="13"/>
  <c r="AH117" i="13" s="1"/>
  <c r="AA116" i="13"/>
  <c r="AH116" i="13" s="1"/>
  <c r="F17" i="1"/>
  <c r="AA903" i="13"/>
  <c r="AA783" i="13"/>
  <c r="AA618" i="13"/>
  <c r="AH618" i="13" s="1"/>
  <c r="AA428" i="13"/>
  <c r="AH428" i="13" s="1"/>
  <c r="AA258" i="13"/>
  <c r="AH258" i="13" s="1"/>
  <c r="AA112" i="13"/>
  <c r="AH112" i="13" s="1"/>
  <c r="AA997" i="13"/>
  <c r="AH997" i="13" s="1"/>
  <c r="AA642" i="13"/>
  <c r="AH642" i="13" s="1"/>
  <c r="AA402" i="13"/>
  <c r="AH402" i="13" s="1"/>
  <c r="AA187" i="13"/>
  <c r="AH187" i="13" s="1"/>
  <c r="AA878" i="13"/>
  <c r="AH878" i="13" s="1"/>
  <c r="AA833" i="13"/>
  <c r="AH833" i="13" s="1"/>
  <c r="AA713" i="13"/>
  <c r="AH713" i="13" s="1"/>
  <c r="AA593" i="13"/>
  <c r="AH593" i="13" s="1"/>
  <c r="AA498" i="13"/>
  <c r="AH498" i="13" s="1"/>
  <c r="AA378" i="13"/>
  <c r="AH378" i="13" s="1"/>
  <c r="AA283" i="13"/>
  <c r="AH283" i="13" s="1"/>
  <c r="AA139" i="13"/>
  <c r="AH139" i="13" s="1"/>
  <c r="AA902" i="13"/>
  <c r="AH902" i="13" s="1"/>
  <c r="AA807" i="13"/>
  <c r="AH807" i="13" s="1"/>
  <c r="AA617" i="13"/>
  <c r="AH617" i="13" s="1"/>
  <c r="AA427" i="13"/>
  <c r="AA257" i="13"/>
  <c r="AH257" i="13" s="1"/>
  <c r="AA953" i="13"/>
  <c r="AH953" i="13" s="1"/>
  <c r="AA688" i="13"/>
  <c r="AH688" i="13" s="1"/>
  <c r="AA453" i="13"/>
  <c r="AH453" i="13" s="1"/>
  <c r="AA238" i="13"/>
  <c r="AH238" i="13" s="1"/>
  <c r="AA952" i="13"/>
  <c r="AH952" i="13" s="1"/>
  <c r="AA687" i="13"/>
  <c r="AH687" i="13" s="1"/>
  <c r="AA497" i="13"/>
  <c r="AH497" i="13" s="1"/>
  <c r="AA307" i="13"/>
  <c r="AH307" i="13" s="1"/>
  <c r="AA928" i="13"/>
  <c r="AH928" i="13" s="1"/>
  <c r="AA663" i="13"/>
  <c r="AH663" i="13" s="1"/>
  <c r="AA403" i="13"/>
  <c r="AH403" i="13" s="1"/>
  <c r="AA163" i="13"/>
  <c r="AH163" i="13" s="1"/>
  <c r="AA972" i="13"/>
  <c r="AH972" i="13" s="1"/>
  <c r="AA662" i="13"/>
  <c r="AH662" i="13" s="1"/>
  <c r="AA447" i="13"/>
  <c r="AH447" i="13" s="1"/>
  <c r="AA237" i="13"/>
  <c r="AH237" i="13" s="1"/>
  <c r="AA35" i="13"/>
  <c r="AH35" i="13" s="1"/>
  <c r="AA858" i="13"/>
  <c r="AH858" i="13" s="1"/>
  <c r="AA808" i="13"/>
  <c r="AH808" i="13" s="1"/>
  <c r="AA643" i="13"/>
  <c r="AH643" i="13" s="1"/>
  <c r="AA548" i="13"/>
  <c r="AH548" i="13" s="1"/>
  <c r="AA473" i="13"/>
  <c r="AH473" i="13" s="1"/>
  <c r="AA333" i="13"/>
  <c r="AH333" i="13" s="1"/>
  <c r="AA213" i="13"/>
  <c r="AH213" i="13" s="1"/>
  <c r="AA927" i="13"/>
  <c r="AH927" i="13" s="1"/>
  <c r="AA757" i="13"/>
  <c r="AH757" i="13" s="1"/>
  <c r="AA547" i="13"/>
  <c r="AH547" i="13" s="1"/>
  <c r="AA332" i="13"/>
  <c r="AH332" i="13" s="1"/>
  <c r="AA111" i="13"/>
  <c r="AH111" i="13" s="1"/>
  <c r="AA998" i="13"/>
  <c r="AH998" i="13" s="1"/>
  <c r="AA763" i="13"/>
  <c r="AH763" i="13" s="1"/>
  <c r="AA568" i="13"/>
  <c r="AH568" i="13" s="1"/>
  <c r="AA353" i="13"/>
  <c r="AH353" i="13" s="1"/>
  <c r="AA188" i="13"/>
  <c r="AH188" i="13" s="1"/>
  <c r="AA877" i="13"/>
  <c r="AH877" i="13" s="1"/>
  <c r="AA832" i="13"/>
  <c r="AH832" i="13" s="1"/>
  <c r="AA737" i="13"/>
  <c r="AH737" i="13" s="1"/>
  <c r="AA567" i="13"/>
  <c r="AA352" i="13"/>
  <c r="AA162" i="13"/>
  <c r="AH162" i="13" s="1"/>
  <c r="AA973" i="13"/>
  <c r="AH973" i="13" s="1"/>
  <c r="AA738" i="13"/>
  <c r="AH738" i="13" s="1"/>
  <c r="AA523" i="13"/>
  <c r="AH523" i="13" s="1"/>
  <c r="AA308" i="13"/>
  <c r="AH308" i="13" s="1"/>
  <c r="AA857" i="13"/>
  <c r="AH857" i="13" s="1"/>
  <c r="AA782" i="13"/>
  <c r="AH782" i="13" s="1"/>
  <c r="AA712" i="13"/>
  <c r="AH712" i="13" s="1"/>
  <c r="AA592" i="13"/>
  <c r="AH592" i="13" s="1"/>
  <c r="AA522" i="13"/>
  <c r="AH522" i="13" s="1"/>
  <c r="AA472" i="13"/>
  <c r="AH472" i="13" s="1"/>
  <c r="AA377" i="13"/>
  <c r="AH377" i="13" s="1"/>
  <c r="AA282" i="13"/>
  <c r="AH282" i="13" s="1"/>
  <c r="AA212" i="13"/>
  <c r="AH212" i="13" s="1"/>
  <c r="AA133" i="13"/>
  <c r="AH133" i="13" s="1"/>
  <c r="AA995" i="13"/>
  <c r="AH995" i="13" s="1"/>
  <c r="AA970" i="13"/>
  <c r="AH970" i="13" s="1"/>
  <c r="AA950" i="13"/>
  <c r="AH950" i="13" s="1"/>
  <c r="AA925" i="13"/>
  <c r="AH925" i="13" s="1"/>
  <c r="AA900" i="13"/>
  <c r="AA875" i="13"/>
  <c r="AH875" i="13" s="1"/>
  <c r="AA850" i="13"/>
  <c r="AH850" i="13" s="1"/>
  <c r="AA830" i="13"/>
  <c r="AH830" i="13" s="1"/>
  <c r="AA805" i="13"/>
  <c r="AH805" i="13" s="1"/>
  <c r="AA780" i="13"/>
  <c r="AH780" i="13" s="1"/>
  <c r="AA755" i="13"/>
  <c r="AH755" i="13" s="1"/>
  <c r="AA735" i="13"/>
  <c r="AH735" i="13" s="1"/>
  <c r="AA710" i="13"/>
  <c r="AH710" i="13" s="1"/>
  <c r="AA685" i="13"/>
  <c r="AH685" i="13" s="1"/>
  <c r="AA660" i="13"/>
  <c r="AH660" i="13" s="1"/>
  <c r="AA640" i="13"/>
  <c r="AH640" i="13" s="1"/>
  <c r="AA615" i="13"/>
  <c r="AH615" i="13" s="1"/>
  <c r="AA590" i="13"/>
  <c r="AH590" i="13" s="1"/>
  <c r="AA565" i="13"/>
  <c r="AH565" i="13" s="1"/>
  <c r="AA540" i="13"/>
  <c r="AH540" i="13" s="1"/>
  <c r="AA520" i="13"/>
  <c r="AH520" i="13" s="1"/>
  <c r="AA495" i="13"/>
  <c r="AH495" i="13" s="1"/>
  <c r="AA470" i="13"/>
  <c r="AH470" i="13" s="1"/>
  <c r="AA445" i="13"/>
  <c r="AH445" i="13" s="1"/>
  <c r="AA425" i="13"/>
  <c r="AH425" i="13" s="1"/>
  <c r="AA400" i="13"/>
  <c r="AH400" i="13" s="1"/>
  <c r="AA375" i="13"/>
  <c r="AH375" i="13" s="1"/>
  <c r="AA350" i="13"/>
  <c r="AH350" i="13" s="1"/>
  <c r="AA330" i="13"/>
  <c r="AH330" i="13" s="1"/>
  <c r="AA305" i="13"/>
  <c r="AH305" i="13" s="1"/>
  <c r="AA280" i="13"/>
  <c r="AH280" i="13" s="1"/>
  <c r="AA255" i="13"/>
  <c r="AH255" i="13" s="1"/>
  <c r="AA230" i="13"/>
  <c r="AH230" i="13" s="1"/>
  <c r="AA210" i="13"/>
  <c r="AH210" i="13" s="1"/>
  <c r="AA185" i="13"/>
  <c r="AH185" i="13" s="1"/>
  <c r="AA160" i="13"/>
  <c r="AH160" i="13" s="1"/>
  <c r="AA131" i="13"/>
  <c r="AH131" i="13" s="1"/>
  <c r="AA109" i="13"/>
  <c r="AH109" i="13" s="1"/>
  <c r="AA994" i="13"/>
  <c r="AH994" i="13" s="1"/>
  <c r="AA949" i="13"/>
  <c r="AH949" i="13" s="1"/>
  <c r="AA874" i="13"/>
  <c r="AH874" i="13" s="1"/>
  <c r="AA993" i="13"/>
  <c r="AH993" i="13" s="1"/>
  <c r="AA940" i="13"/>
  <c r="AH940" i="13" s="1"/>
  <c r="AA893" i="13"/>
  <c r="AA829" i="13"/>
  <c r="AA777" i="13"/>
  <c r="AH777" i="13" s="1"/>
  <c r="AA725" i="13"/>
  <c r="AH725" i="13" s="1"/>
  <c r="AA678" i="13"/>
  <c r="AH678" i="13" s="1"/>
  <c r="AA563" i="13"/>
  <c r="AH563" i="13" s="1"/>
  <c r="AA516" i="13"/>
  <c r="AH516" i="13" s="1"/>
  <c r="AA464" i="13"/>
  <c r="AH464" i="13" s="1"/>
  <c r="AA349" i="13"/>
  <c r="AH349" i="13" s="1"/>
  <c r="AA302" i="13"/>
  <c r="AH302" i="13" s="1"/>
  <c r="AA250" i="13"/>
  <c r="AH250" i="13" s="1"/>
  <c r="AA198" i="13"/>
  <c r="AH198" i="13" s="1"/>
  <c r="AA58" i="13"/>
  <c r="AH58" i="13" s="1"/>
  <c r="AA989" i="13"/>
  <c r="AH989" i="13" s="1"/>
  <c r="AA183" i="13"/>
  <c r="AH183" i="13" s="1"/>
  <c r="AA992" i="13"/>
  <c r="AH992" i="13" s="1"/>
  <c r="AA939" i="13"/>
  <c r="AH939" i="13" s="1"/>
  <c r="AA828" i="13"/>
  <c r="AH828" i="13" s="1"/>
  <c r="AA776" i="13"/>
  <c r="AH776" i="13" s="1"/>
  <c r="AA724" i="13"/>
  <c r="AH724" i="13" s="1"/>
  <c r="AA614" i="13"/>
  <c r="AH614" i="13" s="1"/>
  <c r="AA562" i="13"/>
  <c r="AA515" i="13"/>
  <c r="AH515" i="13" s="1"/>
  <c r="AA463" i="13"/>
  <c r="AH463" i="13" s="1"/>
  <c r="AA348" i="13"/>
  <c r="AH348" i="13" s="1"/>
  <c r="AA301" i="13"/>
  <c r="AH301" i="13" s="1"/>
  <c r="AA249" i="13"/>
  <c r="AH249" i="13" s="1"/>
  <c r="AA130" i="13"/>
  <c r="AH130" i="13" s="1"/>
  <c r="AA59" i="13"/>
  <c r="AH59" i="13" s="1"/>
  <c r="AA872" i="13"/>
  <c r="AH872" i="13" s="1"/>
  <c r="AA658" i="13"/>
  <c r="AH658" i="13" s="1"/>
  <c r="AA345" i="13"/>
  <c r="AH345" i="13" s="1"/>
  <c r="AA991" i="13"/>
  <c r="AH991" i="13" s="1"/>
  <c r="AA938" i="13"/>
  <c r="AH938" i="13" s="1"/>
  <c r="AA827" i="13"/>
  <c r="AH827" i="13" s="1"/>
  <c r="AA775" i="13"/>
  <c r="AH775" i="13" s="1"/>
  <c r="AA723" i="13"/>
  <c r="AH723" i="13" s="1"/>
  <c r="AA613" i="13"/>
  <c r="AH613" i="13" s="1"/>
  <c r="AA561" i="13"/>
  <c r="AH561" i="13" s="1"/>
  <c r="AA509" i="13"/>
  <c r="AH509" i="13" s="1"/>
  <c r="AA399" i="13"/>
  <c r="AH399" i="13" s="1"/>
  <c r="AA347" i="13"/>
  <c r="AA300" i="13"/>
  <c r="AH300" i="13" s="1"/>
  <c r="AA248" i="13"/>
  <c r="AH248" i="13" s="1"/>
  <c r="AA129" i="13"/>
  <c r="AH129" i="13" s="1"/>
  <c r="AA936" i="13"/>
  <c r="AH936" i="13" s="1"/>
  <c r="AA611" i="13"/>
  <c r="AH611" i="13" s="1"/>
  <c r="AA298" i="13"/>
  <c r="AH298" i="13" s="1"/>
  <c r="AA990" i="13"/>
  <c r="AH990" i="13" s="1"/>
  <c r="AA873" i="13"/>
  <c r="AH873" i="13" s="1"/>
  <c r="AA826" i="13"/>
  <c r="AH826" i="13" s="1"/>
  <c r="AA774" i="13"/>
  <c r="AH774" i="13" s="1"/>
  <c r="AA659" i="13"/>
  <c r="AH659" i="13" s="1"/>
  <c r="AA612" i="13"/>
  <c r="AH612" i="13" s="1"/>
  <c r="AA560" i="13"/>
  <c r="AH560" i="13" s="1"/>
  <c r="AA508" i="13"/>
  <c r="AH508" i="13" s="1"/>
  <c r="AA398" i="13"/>
  <c r="AH398" i="13" s="1"/>
  <c r="AA346" i="13"/>
  <c r="AH346" i="13" s="1"/>
  <c r="AA299" i="13"/>
  <c r="AH299" i="13" s="1"/>
  <c r="AA184" i="13"/>
  <c r="AH184" i="13" s="1"/>
  <c r="AA128" i="13"/>
  <c r="AA825" i="13"/>
  <c r="AH825" i="13" s="1"/>
  <c r="AA773" i="13"/>
  <c r="AH773" i="13" s="1"/>
  <c r="AA721" i="13"/>
  <c r="AH721" i="13" s="1"/>
  <c r="AA559" i="13"/>
  <c r="AH559" i="13" s="1"/>
  <c r="AA444" i="13"/>
  <c r="AH444" i="13" s="1"/>
  <c r="AA397" i="13"/>
  <c r="AH397" i="13" s="1"/>
  <c r="AA246" i="13"/>
  <c r="AH246" i="13" s="1"/>
  <c r="AA127" i="13"/>
  <c r="AH127" i="13" s="1"/>
  <c r="AA988" i="13"/>
  <c r="AH988" i="13" s="1"/>
  <c r="AA924" i="13"/>
  <c r="AH924" i="13" s="1"/>
  <c r="AA871" i="13"/>
  <c r="AH871" i="13" s="1"/>
  <c r="AA819" i="13"/>
  <c r="AH819" i="13" s="1"/>
  <c r="AA709" i="13"/>
  <c r="AH709" i="13" s="1"/>
  <c r="AA657" i="13"/>
  <c r="AH657" i="13" s="1"/>
  <c r="AA610" i="13"/>
  <c r="AH610" i="13" s="1"/>
  <c r="AA558" i="13"/>
  <c r="AH558" i="13" s="1"/>
  <c r="AA443" i="13"/>
  <c r="AH443" i="13" s="1"/>
  <c r="AA396" i="13"/>
  <c r="AH396" i="13" s="1"/>
  <c r="AA344" i="13"/>
  <c r="AH344" i="13" s="1"/>
  <c r="AA229" i="13"/>
  <c r="AH229" i="13" s="1"/>
  <c r="AA182" i="13"/>
  <c r="AA126" i="13"/>
  <c r="AH126" i="13" s="1"/>
  <c r="AA986" i="13"/>
  <c r="AH986" i="13" s="1"/>
  <c r="AA707" i="13"/>
  <c r="AH707" i="13" s="1"/>
  <c r="AA608" i="13"/>
  <c r="AH608" i="13" s="1"/>
  <c r="AA493" i="13"/>
  <c r="AH493" i="13" s="1"/>
  <c r="AA394" i="13"/>
  <c r="AH394" i="13" s="1"/>
  <c r="AA279" i="13"/>
  <c r="AH279" i="13" s="1"/>
  <c r="AA180" i="13"/>
  <c r="AH180" i="13" s="1"/>
  <c r="AA816" i="13"/>
  <c r="AH816" i="13" s="1"/>
  <c r="AA923" i="13"/>
  <c r="AH923" i="13" s="1"/>
  <c r="AA870" i="13"/>
  <c r="AH870" i="13" s="1"/>
  <c r="AA818" i="13"/>
  <c r="AH818" i="13" s="1"/>
  <c r="AA708" i="13"/>
  <c r="AH708" i="13" s="1"/>
  <c r="AA656" i="13"/>
  <c r="AH656" i="13" s="1"/>
  <c r="AA609" i="13"/>
  <c r="AH609" i="13" s="1"/>
  <c r="AA494" i="13"/>
  <c r="AH494" i="13" s="1"/>
  <c r="AA442" i="13"/>
  <c r="AH442" i="13" s="1"/>
  <c r="AA395" i="13"/>
  <c r="AH395" i="13" s="1"/>
  <c r="AA343" i="13"/>
  <c r="AH343" i="13" s="1"/>
  <c r="AA228" i="13"/>
  <c r="AH228" i="13" s="1"/>
  <c r="AA181" i="13"/>
  <c r="AH181" i="13" s="1"/>
  <c r="AA125" i="13"/>
  <c r="AH125" i="13" s="1"/>
  <c r="AA922" i="13"/>
  <c r="AH922" i="13" s="1"/>
  <c r="AA869" i="13"/>
  <c r="AH869" i="13" s="1"/>
  <c r="AA754" i="13"/>
  <c r="AH754" i="13" s="1"/>
  <c r="AA655" i="13"/>
  <c r="AH655" i="13" s="1"/>
  <c r="AA556" i="13"/>
  <c r="AH556" i="13" s="1"/>
  <c r="AA441" i="13"/>
  <c r="AH441" i="13" s="1"/>
  <c r="AA227" i="13"/>
  <c r="AH227" i="13" s="1"/>
  <c r="AA124" i="13"/>
  <c r="AH124" i="13" s="1"/>
  <c r="AA921" i="13"/>
  <c r="AH921" i="13" s="1"/>
  <c r="AA968" i="13"/>
  <c r="AH968" i="13" s="1"/>
  <c r="AA920" i="13"/>
  <c r="AH920" i="13" s="1"/>
  <c r="AA804" i="13"/>
  <c r="AH804" i="13" s="1"/>
  <c r="AA752" i="13"/>
  <c r="AH752" i="13" s="1"/>
  <c r="AA705" i="13"/>
  <c r="AH705" i="13" s="1"/>
  <c r="AA653" i="13"/>
  <c r="AH653" i="13" s="1"/>
  <c r="AA538" i="13"/>
  <c r="AH538" i="13" s="1"/>
  <c r="AA491" i="13"/>
  <c r="AA439" i="13"/>
  <c r="AA329" i="13"/>
  <c r="AH329" i="13" s="1"/>
  <c r="AA277" i="13"/>
  <c r="AH277" i="13" s="1"/>
  <c r="AA225" i="13"/>
  <c r="AH225" i="13" s="1"/>
  <c r="AA178" i="13"/>
  <c r="AH178" i="13" s="1"/>
  <c r="AA967" i="13"/>
  <c r="AH967" i="13" s="1"/>
  <c r="AA919" i="13"/>
  <c r="AH919" i="13" s="1"/>
  <c r="AA866" i="13"/>
  <c r="AH866" i="13" s="1"/>
  <c r="AA803" i="13"/>
  <c r="AH803" i="13" s="1"/>
  <c r="AA751" i="13"/>
  <c r="AH751" i="13" s="1"/>
  <c r="AA704" i="13"/>
  <c r="AH704" i="13" s="1"/>
  <c r="AA589" i="13"/>
  <c r="AH589" i="13" s="1"/>
  <c r="AA537" i="13"/>
  <c r="AH537" i="13" s="1"/>
  <c r="AA490" i="13"/>
  <c r="AH490" i="13" s="1"/>
  <c r="AA438" i="13"/>
  <c r="AH438" i="13" s="1"/>
  <c r="AA391" i="13"/>
  <c r="AH391" i="13" s="1"/>
  <c r="AA323" i="13"/>
  <c r="AH323" i="13" s="1"/>
  <c r="AA276" i="13"/>
  <c r="AH276" i="13" s="1"/>
  <c r="AA224" i="13"/>
  <c r="AH224" i="13" s="1"/>
  <c r="AA108" i="13"/>
  <c r="AH108" i="13" s="1"/>
  <c r="AA966" i="13"/>
  <c r="AA918" i="13"/>
  <c r="AH918" i="13" s="1"/>
  <c r="AA849" i="13"/>
  <c r="AH849" i="13" s="1"/>
  <c r="AA802" i="13"/>
  <c r="AH802" i="13" s="1"/>
  <c r="AA750" i="13"/>
  <c r="AH750" i="13" s="1"/>
  <c r="AA703" i="13"/>
  <c r="AH703" i="13" s="1"/>
  <c r="AA651" i="13"/>
  <c r="AH651" i="13" s="1"/>
  <c r="AA588" i="13"/>
  <c r="AH588" i="13" s="1"/>
  <c r="AA536" i="13"/>
  <c r="AH536" i="13" s="1"/>
  <c r="AA489" i="13"/>
  <c r="AH489" i="13" s="1"/>
  <c r="AA374" i="13"/>
  <c r="AH374" i="13" s="1"/>
  <c r="AA322" i="13"/>
  <c r="AH322" i="13" s="1"/>
  <c r="AA275" i="13"/>
  <c r="AH275" i="13" s="1"/>
  <c r="AA223" i="13"/>
  <c r="AH223" i="13" s="1"/>
  <c r="AA176" i="13"/>
  <c r="AH176" i="13" s="1"/>
  <c r="AA107" i="13"/>
  <c r="AH107" i="13" s="1"/>
  <c r="AA969" i="13"/>
  <c r="AH969" i="13" s="1"/>
  <c r="AA846" i="13"/>
  <c r="AH846" i="13" s="1"/>
  <c r="AA733" i="13"/>
  <c r="AH733" i="13" s="1"/>
  <c r="AA488" i="13"/>
  <c r="AH488" i="13" s="1"/>
  <c r="AA371" i="13"/>
  <c r="AH371" i="13" s="1"/>
  <c r="AA254" i="13"/>
  <c r="AH254" i="13" s="1"/>
  <c r="AA150" i="13"/>
  <c r="AH150" i="13" s="1"/>
  <c r="AA965" i="13"/>
  <c r="AH965" i="13" s="1"/>
  <c r="AA845" i="13"/>
  <c r="AH845" i="13" s="1"/>
  <c r="AA732" i="13"/>
  <c r="AH732" i="13" s="1"/>
  <c r="AA370" i="13"/>
  <c r="AH370" i="13" s="1"/>
  <c r="AA253" i="13"/>
  <c r="AH253" i="13" s="1"/>
  <c r="AA964" i="13"/>
  <c r="AH964" i="13" s="1"/>
  <c r="AA844" i="13"/>
  <c r="AH844" i="13" s="1"/>
  <c r="AA726" i="13"/>
  <c r="AH726" i="13" s="1"/>
  <c r="AA587" i="13"/>
  <c r="AH587" i="13" s="1"/>
  <c r="AA486" i="13"/>
  <c r="AH486" i="13" s="1"/>
  <c r="AA369" i="13"/>
  <c r="AH369" i="13" s="1"/>
  <c r="AA252" i="13"/>
  <c r="AH252" i="13" s="1"/>
  <c r="AA963" i="13"/>
  <c r="AH963" i="13" s="1"/>
  <c r="AA843" i="13"/>
  <c r="AH843" i="13" s="1"/>
  <c r="AA706" i="13"/>
  <c r="AH706" i="13" s="1"/>
  <c r="AA586" i="13"/>
  <c r="AH586" i="13" s="1"/>
  <c r="AA469" i="13"/>
  <c r="AA368" i="13"/>
  <c r="AA251" i="13"/>
  <c r="AA106" i="13"/>
  <c r="AH106" i="13" s="1"/>
  <c r="AA585" i="13"/>
  <c r="AH585" i="13" s="1"/>
  <c r="AA468" i="13"/>
  <c r="AH468" i="13" s="1"/>
  <c r="AA226" i="13"/>
  <c r="AH226" i="13" s="1"/>
  <c r="AA100" i="13"/>
  <c r="AH100" i="13" s="1"/>
  <c r="AA961" i="13"/>
  <c r="AH961" i="13" s="1"/>
  <c r="AA841" i="13"/>
  <c r="AH841" i="13" s="1"/>
  <c r="AA701" i="13"/>
  <c r="AH701" i="13" s="1"/>
  <c r="AA584" i="13"/>
  <c r="AH584" i="13" s="1"/>
  <c r="AA467" i="13"/>
  <c r="AH467" i="13" s="1"/>
  <c r="AA366" i="13"/>
  <c r="AH366" i="13" s="1"/>
  <c r="AA69" i="13"/>
  <c r="AH69" i="13" s="1"/>
  <c r="AA943" i="13"/>
  <c r="AH943" i="13" s="1"/>
  <c r="AA801" i="13"/>
  <c r="AH801" i="13" s="1"/>
  <c r="AA684" i="13"/>
  <c r="AH684" i="13" s="1"/>
  <c r="AA583" i="13"/>
  <c r="AH583" i="13" s="1"/>
  <c r="AA466" i="13"/>
  <c r="AH466" i="13" s="1"/>
  <c r="AA341" i="13"/>
  <c r="AH341" i="13" s="1"/>
  <c r="AA221" i="13"/>
  <c r="AH221" i="13" s="1"/>
  <c r="AA82" i="13"/>
  <c r="AH82" i="13" s="1"/>
  <c r="AA942" i="13"/>
  <c r="AH942" i="13" s="1"/>
  <c r="AA683" i="13"/>
  <c r="AH683" i="13" s="1"/>
  <c r="AA465" i="13"/>
  <c r="AH465" i="13" s="1"/>
  <c r="AA321" i="13"/>
  <c r="AH321" i="13" s="1"/>
  <c r="AA209" i="13"/>
  <c r="AH209" i="13" s="1"/>
  <c r="AA83" i="13"/>
  <c r="AH83" i="13" s="1"/>
  <c r="AA941" i="13"/>
  <c r="AH941" i="13" s="1"/>
  <c r="AA581" i="13"/>
  <c r="AH581" i="13" s="1"/>
  <c r="AA440" i="13"/>
  <c r="AH440" i="13" s="1"/>
  <c r="AA320" i="13"/>
  <c r="AH320" i="13" s="1"/>
  <c r="AA208" i="13"/>
  <c r="AH208" i="13" s="1"/>
  <c r="AA84" i="13"/>
  <c r="AH84" i="13" s="1"/>
  <c r="AA912" i="13"/>
  <c r="AH912" i="13" s="1"/>
  <c r="AA896" i="13"/>
  <c r="AH896" i="13" s="1"/>
  <c r="AA753" i="13"/>
  <c r="AH753" i="13" s="1"/>
  <c r="AA633" i="13"/>
  <c r="AH633" i="13" s="1"/>
  <c r="AA415" i="13"/>
  <c r="AH415" i="13" s="1"/>
  <c r="AA303" i="13"/>
  <c r="AH303" i="13" s="1"/>
  <c r="AA159" i="13"/>
  <c r="AH159" i="13" s="1"/>
  <c r="AA748" i="13"/>
  <c r="AH748" i="13" s="1"/>
  <c r="AA631" i="13"/>
  <c r="AH631" i="13" s="1"/>
  <c r="AA413" i="13"/>
  <c r="AH413" i="13" s="1"/>
  <c r="AA274" i="13"/>
  <c r="AH274" i="13" s="1"/>
  <c r="AA868" i="13"/>
  <c r="AH868" i="13" s="1"/>
  <c r="AA518" i="13"/>
  <c r="AH518" i="13" s="1"/>
  <c r="AA273" i="13"/>
  <c r="AH273" i="13" s="1"/>
  <c r="AA848" i="13"/>
  <c r="AH848" i="13" s="1"/>
  <c r="AA373" i="13"/>
  <c r="AH373" i="13" s="1"/>
  <c r="AA847" i="13"/>
  <c r="AH847" i="13" s="1"/>
  <c r="AA492" i="13"/>
  <c r="AH492" i="13" s="1"/>
  <c r="AA152" i="13"/>
  <c r="AH152" i="13" s="1"/>
  <c r="AA799" i="13"/>
  <c r="AH799" i="13" s="1"/>
  <c r="AA798" i="13"/>
  <c r="AH798" i="13" s="1"/>
  <c r="AA564" i="13"/>
  <c r="AH564" i="13" s="1"/>
  <c r="AA436" i="13"/>
  <c r="AH436" i="13" s="1"/>
  <c r="AA207" i="13"/>
  <c r="AH207" i="13" s="1"/>
  <c r="AA895" i="13"/>
  <c r="AH895" i="13" s="1"/>
  <c r="AA749" i="13"/>
  <c r="AA632" i="13"/>
  <c r="AH632" i="13" s="1"/>
  <c r="AA531" i="13"/>
  <c r="AH531" i="13" s="1"/>
  <c r="AA414" i="13"/>
  <c r="AA278" i="13"/>
  <c r="AH278" i="13" s="1"/>
  <c r="AA158" i="13"/>
  <c r="AH158" i="13" s="1"/>
  <c r="AA894" i="13"/>
  <c r="AH894" i="13" s="1"/>
  <c r="AA519" i="13"/>
  <c r="AH519" i="13" s="1"/>
  <c r="AA157" i="13"/>
  <c r="AH157" i="13" s="1"/>
  <c r="AA630" i="13"/>
  <c r="AH630" i="13" s="1"/>
  <c r="AA393" i="13"/>
  <c r="AH393" i="13" s="1"/>
  <c r="AA154" i="13"/>
  <c r="AH154" i="13" s="1"/>
  <c r="AA746" i="13"/>
  <c r="AH746" i="13" s="1"/>
  <c r="AA629" i="13"/>
  <c r="AH629" i="13" s="1"/>
  <c r="AA517" i="13"/>
  <c r="AH517" i="13" s="1"/>
  <c r="AA153" i="13"/>
  <c r="AH153" i="13" s="1"/>
  <c r="AA734" i="13"/>
  <c r="AH734" i="13" s="1"/>
  <c r="AA628" i="13"/>
  <c r="AH628" i="13" s="1"/>
  <c r="AA372" i="13"/>
  <c r="AH372" i="13" s="1"/>
  <c r="AA271" i="13"/>
  <c r="AH271" i="13" s="1"/>
  <c r="AA800" i="13"/>
  <c r="AH800" i="13" s="1"/>
  <c r="AA682" i="13"/>
  <c r="AH682" i="13" s="1"/>
  <c r="AA681" i="13"/>
  <c r="AH681" i="13" s="1"/>
  <c r="AA319" i="13"/>
  <c r="AH319" i="13" s="1"/>
  <c r="AA86" i="13"/>
  <c r="AH86" i="13" s="1"/>
  <c r="AA911" i="13"/>
  <c r="AH911" i="13" s="1"/>
  <c r="AA318" i="13"/>
  <c r="AH318" i="13" s="1"/>
  <c r="AA899" i="13"/>
  <c r="AH899" i="13" s="1"/>
  <c r="AA317" i="13"/>
  <c r="AH317" i="13" s="1"/>
  <c r="AA897" i="13"/>
  <c r="AH897" i="13" s="1"/>
  <c r="AA206" i="13"/>
  <c r="AH206" i="13" s="1"/>
  <c r="AA796" i="13"/>
  <c r="AH796" i="13" s="1"/>
  <c r="AA199" i="13"/>
  <c r="AH199" i="13" s="1"/>
  <c r="AA778" i="13"/>
  <c r="AH778" i="13" s="1"/>
  <c r="AA680" i="13"/>
  <c r="AH680" i="13" s="1"/>
  <c r="AA898" i="13"/>
  <c r="AH898" i="13" s="1"/>
  <c r="AA316" i="13"/>
  <c r="AH316" i="13" s="1"/>
  <c r="AA304" i="13"/>
  <c r="AH304" i="13" s="1"/>
  <c r="AA797" i="13"/>
  <c r="AH797" i="13" s="1"/>
  <c r="AA205" i="13"/>
  <c r="AH205" i="13" s="1"/>
  <c r="AA779" i="13"/>
  <c r="AH779" i="13" s="1"/>
  <c r="AA179" i="13"/>
  <c r="AH179" i="13" s="1"/>
  <c r="AA52" i="13"/>
  <c r="AH52" i="13" s="1"/>
  <c r="AA679" i="13"/>
  <c r="AH679" i="13" s="1"/>
  <c r="AA654" i="13"/>
  <c r="AH654" i="13" s="1"/>
  <c r="AA639" i="13"/>
  <c r="AH639" i="13" s="1"/>
  <c r="AA539" i="13"/>
  <c r="AH539" i="13" s="1"/>
  <c r="AA535" i="13"/>
  <c r="AH535" i="13" s="1"/>
  <c r="AA534" i="13"/>
  <c r="AH534" i="13" s="1"/>
  <c r="AA533" i="13"/>
  <c r="AH533" i="13" s="1"/>
  <c r="AA424" i="13"/>
  <c r="AH424" i="13" s="1"/>
  <c r="AA423" i="13"/>
  <c r="AH423" i="13" s="1"/>
  <c r="AA422" i="13"/>
  <c r="AH422" i="13" s="1"/>
  <c r="AA416" i="13"/>
  <c r="AH416" i="13" s="1"/>
  <c r="AA192" i="13"/>
  <c r="AH192" i="13" s="1"/>
  <c r="AA626" i="13"/>
  <c r="AH626" i="13" s="1"/>
  <c r="AA197" i="13"/>
  <c r="AH197" i="13" s="1"/>
  <c r="AA256" i="13"/>
  <c r="AH256" i="13" s="1"/>
  <c r="AA736" i="13"/>
  <c r="AH736" i="13" s="1"/>
  <c r="AA809" i="13"/>
  <c r="AH809" i="13" s="1"/>
  <c r="AA500" i="13"/>
  <c r="AA980" i="13"/>
  <c r="AA42" i="13"/>
  <c r="AH42" i="13" s="1"/>
  <c r="AA526" i="13"/>
  <c r="AH526" i="13" s="1"/>
  <c r="AA1001" i="13"/>
  <c r="AH1001" i="13" s="1"/>
  <c r="AA92" i="13"/>
  <c r="AH92" i="13" s="1"/>
  <c r="AA578" i="13"/>
  <c r="AH578" i="13" s="1"/>
  <c r="AA527" i="13"/>
  <c r="AH527" i="13" s="1"/>
  <c r="AA484" i="13"/>
  <c r="AH484" i="13" s="1"/>
  <c r="AA959" i="13"/>
  <c r="AH959" i="13" s="1"/>
  <c r="AA385" i="13"/>
  <c r="AH385" i="13" s="1"/>
  <c r="AA865" i="13"/>
  <c r="AH865" i="13" s="1"/>
  <c r="AA692" i="13"/>
  <c r="AH692" i="13" s="1"/>
  <c r="AA80" i="13"/>
  <c r="AH80" i="13" s="1"/>
  <c r="AA337" i="13"/>
  <c r="AH337" i="13" s="1"/>
  <c r="AA123" i="13"/>
  <c r="AH123" i="13" s="1"/>
  <c r="AA292" i="13"/>
  <c r="AH292" i="13" s="1"/>
  <c r="AA281" i="13"/>
  <c r="AH281" i="13" s="1"/>
  <c r="AA756" i="13"/>
  <c r="AH756" i="13" s="1"/>
  <c r="AA859" i="13"/>
  <c r="AH859" i="13" s="1"/>
  <c r="AA525" i="13"/>
  <c r="AH525" i="13" s="1"/>
  <c r="AA1000" i="13"/>
  <c r="AA63" i="13"/>
  <c r="AH63" i="13" s="1"/>
  <c r="AA551" i="13"/>
  <c r="AH551" i="13" s="1"/>
  <c r="AA88" i="13"/>
  <c r="AH88" i="13" s="1"/>
  <c r="AA119" i="13"/>
  <c r="AH119" i="13" s="1"/>
  <c r="AA598" i="13"/>
  <c r="AH598" i="13" s="1"/>
  <c r="AA622" i="13"/>
  <c r="AH622" i="13" s="1"/>
  <c r="AA504" i="13"/>
  <c r="AH504" i="13" s="1"/>
  <c r="AA984" i="13"/>
  <c r="AH984" i="13" s="1"/>
  <c r="AA410" i="13"/>
  <c r="AH410" i="13" s="1"/>
  <c r="AA890" i="13"/>
  <c r="AH890" i="13" s="1"/>
  <c r="AA787" i="13"/>
  <c r="AH787" i="13" s="1"/>
  <c r="AA81" i="13"/>
  <c r="AH81" i="13" s="1"/>
  <c r="AA122" i="13"/>
  <c r="AH122" i="13" s="1"/>
  <c r="AA272" i="13"/>
  <c r="AH272" i="13" s="1"/>
  <c r="AA412" i="13"/>
  <c r="AH412" i="13" s="1"/>
  <c r="AA781" i="13"/>
  <c r="AH781" i="13" s="1"/>
  <c r="AA904" i="13"/>
  <c r="AH904" i="13" s="1"/>
  <c r="AA550" i="13"/>
  <c r="AH550" i="13" s="1"/>
  <c r="AA61" i="13"/>
  <c r="AH61" i="13" s="1"/>
  <c r="AA90" i="13"/>
  <c r="AH90" i="13" s="1"/>
  <c r="AA571" i="13"/>
  <c r="AH571" i="13" s="1"/>
  <c r="AA164" i="13"/>
  <c r="AH164" i="13" s="1"/>
  <c r="AA145" i="13"/>
  <c r="AH145" i="13" s="1"/>
  <c r="AA623" i="13"/>
  <c r="AH623" i="13" s="1"/>
  <c r="AA717" i="13"/>
  <c r="AH717" i="13" s="1"/>
  <c r="AA529" i="13"/>
  <c r="AH529" i="13" s="1"/>
  <c r="AA435" i="13"/>
  <c r="AH435" i="13" s="1"/>
  <c r="AA910" i="13"/>
  <c r="AH910" i="13" s="1"/>
  <c r="AA907" i="13"/>
  <c r="AH907" i="13" s="1"/>
  <c r="AA79" i="13"/>
  <c r="AH79" i="13" s="1"/>
  <c r="AA196" i="13"/>
  <c r="AH196" i="13" s="1"/>
  <c r="AA437" i="13"/>
  <c r="AH437" i="13" s="1"/>
  <c r="AA331" i="13"/>
  <c r="AH331" i="13" s="1"/>
  <c r="AA806" i="13"/>
  <c r="AH806" i="13" s="1"/>
  <c r="AA954" i="13"/>
  <c r="AH954" i="13" s="1"/>
  <c r="AA570" i="13"/>
  <c r="AH570" i="13" s="1"/>
  <c r="AA189" i="13"/>
  <c r="AH189" i="13" s="1"/>
  <c r="AA115" i="13"/>
  <c r="AH115" i="13" s="1"/>
  <c r="AA596" i="13"/>
  <c r="AA214" i="13"/>
  <c r="AA168" i="13"/>
  <c r="AH168" i="13" s="1"/>
  <c r="AA648" i="13"/>
  <c r="AH648" i="13" s="1"/>
  <c r="AA812" i="13"/>
  <c r="AH812" i="13" s="1"/>
  <c r="AA554" i="13"/>
  <c r="AH554" i="13" s="1"/>
  <c r="AA460" i="13"/>
  <c r="AH460" i="13" s="1"/>
  <c r="AA935" i="13"/>
  <c r="AH935" i="13" s="1"/>
  <c r="AA1002" i="13"/>
  <c r="AH1002" i="13" s="1"/>
  <c r="AA53" i="13"/>
  <c r="AH53" i="13" s="1"/>
  <c r="AA291" i="13"/>
  <c r="AH291" i="13" s="1"/>
  <c r="AA557" i="13"/>
  <c r="AH557" i="13" s="1"/>
  <c r="AA351" i="13"/>
  <c r="AH351" i="13" s="1"/>
  <c r="AA831" i="13"/>
  <c r="AH831" i="13" s="1"/>
  <c r="AA595" i="13"/>
  <c r="AH595" i="13" s="1"/>
  <c r="AA309" i="13"/>
  <c r="AH309" i="13" s="1"/>
  <c r="AA142" i="13"/>
  <c r="AH142" i="13" s="1"/>
  <c r="AA284" i="13"/>
  <c r="AH284" i="13" s="1"/>
  <c r="AA193" i="13"/>
  <c r="AH193" i="13" s="1"/>
  <c r="AA673" i="13"/>
  <c r="AH673" i="13" s="1"/>
  <c r="AA887" i="13"/>
  <c r="AH887" i="13" s="1"/>
  <c r="AA362" i="13"/>
  <c r="AA485" i="13"/>
  <c r="AH485" i="13" s="1"/>
  <c r="AA960" i="13"/>
  <c r="AH960" i="13" s="1"/>
  <c r="AA55" i="13"/>
  <c r="AH55" i="13" s="1"/>
  <c r="AA461" i="13"/>
  <c r="AH461" i="13" s="1"/>
  <c r="AA856" i="13"/>
  <c r="AH856" i="13" s="1"/>
  <c r="AA166" i="13"/>
  <c r="AH166" i="13" s="1"/>
  <c r="AA218" i="13"/>
  <c r="AH218" i="13" s="1"/>
  <c r="AA957" i="13"/>
  <c r="AH957" i="13" s="1"/>
  <c r="AA457" i="13"/>
  <c r="AH457" i="13" s="1"/>
  <c r="AA985" i="13"/>
  <c r="AH985" i="13" s="1"/>
  <c r="AA57" i="13"/>
  <c r="AH57" i="13" s="1"/>
  <c r="AA601" i="13"/>
  <c r="AH601" i="13" s="1"/>
  <c r="AA401" i="13"/>
  <c r="AH401" i="13" s="1"/>
  <c r="AA114" i="13"/>
  <c r="AH114" i="13" s="1"/>
  <c r="AA429" i="13"/>
  <c r="AH429" i="13" s="1"/>
  <c r="AA671" i="13"/>
  <c r="AH671" i="13" s="1"/>
  <c r="AA243" i="13"/>
  <c r="AH243" i="13" s="1"/>
  <c r="AA68" i="13"/>
  <c r="AH68" i="13" s="1"/>
  <c r="AA552" i="13"/>
  <c r="AH552" i="13" s="1"/>
  <c r="AA1005" i="13"/>
  <c r="AA99" i="13"/>
  <c r="AH99" i="13" s="1"/>
  <c r="AA48" i="13"/>
  <c r="AH48" i="13" s="1"/>
  <c r="AA772" i="13"/>
  <c r="AH772" i="13" s="1"/>
  <c r="AA901" i="13"/>
  <c r="AH901" i="13" s="1"/>
  <c r="AA165" i="13"/>
  <c r="AH165" i="13" s="1"/>
  <c r="AA670" i="13"/>
  <c r="AH670" i="13" s="1"/>
  <c r="AA216" i="13"/>
  <c r="AH216" i="13" s="1"/>
  <c r="AA691" i="13"/>
  <c r="AH691" i="13" s="1"/>
  <c r="AA268" i="13"/>
  <c r="AH268" i="13" s="1"/>
  <c r="AA743" i="13"/>
  <c r="AH743" i="13" s="1"/>
  <c r="AA649" i="13"/>
  <c r="AH649" i="13" s="1"/>
  <c r="AA647" i="13"/>
  <c r="AH647" i="13" s="1"/>
  <c r="AA113" i="13"/>
  <c r="AH113" i="13" s="1"/>
  <c r="AA56" i="13"/>
  <c r="AH56" i="13" s="1"/>
  <c r="AA247" i="13"/>
  <c r="AH247" i="13" s="1"/>
  <c r="AA817" i="13"/>
  <c r="AH817" i="13" s="1"/>
  <c r="AA926" i="13"/>
  <c r="AH926" i="13" s="1"/>
  <c r="AA215" i="13"/>
  <c r="AH215" i="13" s="1"/>
  <c r="AA690" i="13"/>
  <c r="AA241" i="13"/>
  <c r="AH241" i="13" s="1"/>
  <c r="AA716" i="13"/>
  <c r="AH716" i="13" s="1"/>
  <c r="AA288" i="13"/>
  <c r="AH288" i="13" s="1"/>
  <c r="AA768" i="13"/>
  <c r="AH768" i="13" s="1"/>
  <c r="AA194" i="13"/>
  <c r="AH194" i="13" s="1"/>
  <c r="AA742" i="13"/>
  <c r="AH742" i="13" s="1"/>
  <c r="AA580" i="13"/>
  <c r="AH580" i="13" s="1"/>
  <c r="AA239" i="13"/>
  <c r="AH239" i="13" s="1"/>
  <c r="AA85" i="13"/>
  <c r="AH85" i="13" s="1"/>
  <c r="AA881" i="13"/>
  <c r="AH881" i="13" s="1"/>
  <c r="AA121" i="13"/>
  <c r="AH121" i="13" s="1"/>
  <c r="AA95" i="13"/>
  <c r="AH95" i="13" s="1"/>
  <c r="AA392" i="13"/>
  <c r="AH392" i="13" s="1"/>
  <c r="AA549" i="13"/>
  <c r="AH549" i="13" s="1"/>
  <c r="AA431" i="13"/>
  <c r="AH431" i="13" s="1"/>
  <c r="AA478" i="13"/>
  <c r="AH478" i="13" s="1"/>
  <c r="AA864" i="13"/>
  <c r="AH864" i="13" s="1"/>
  <c r="AA312" i="13"/>
  <c r="AH312" i="13" s="1"/>
  <c r="AA148" i="13"/>
  <c r="AH148" i="13" s="1"/>
  <c r="AA661" i="13"/>
  <c r="AH661" i="13" s="1"/>
  <c r="AA905" i="13"/>
  <c r="AH905" i="13" s="1"/>
  <c r="AA931" i="13"/>
  <c r="AH931" i="13" s="1"/>
  <c r="AA983" i="13"/>
  <c r="AH983" i="13" s="1"/>
  <c r="AA270" i="13"/>
  <c r="AH270" i="13" s="1"/>
  <c r="AA891" i="13"/>
  <c r="AH891" i="13" s="1"/>
  <c r="AA455" i="13"/>
  <c r="AH455" i="13" s="1"/>
  <c r="AA476" i="13"/>
  <c r="AH476" i="13" s="1"/>
  <c r="AA528" i="13"/>
  <c r="AH528" i="13" s="1"/>
  <c r="AA315" i="13"/>
  <c r="AH315" i="13" s="1"/>
  <c r="AA506" i="13"/>
  <c r="AH506" i="13" s="1"/>
  <c r="AA714" i="13"/>
  <c r="AH714" i="13" s="1"/>
  <c r="AA501" i="13"/>
  <c r="AH501" i="13" s="1"/>
  <c r="AA432" i="13"/>
  <c r="AH432" i="13" s="1"/>
  <c r="AA840" i="13"/>
  <c r="AH840" i="13" s="1"/>
  <c r="AA306" i="13"/>
  <c r="AH306" i="13" s="1"/>
  <c r="AA1004" i="13"/>
  <c r="AH1004" i="13" s="1"/>
  <c r="AA487" i="13"/>
  <c r="AH487" i="13" s="1"/>
  <c r="AA267" i="13"/>
  <c r="AH267" i="13" s="1"/>
  <c r="AA602" i="13"/>
  <c r="AH602" i="13" s="1"/>
  <c r="AA999" i="13"/>
  <c r="AH999" i="13" s="1"/>
  <c r="AA621" i="13"/>
  <c r="AH621" i="13" s="1"/>
  <c r="AA579" i="13"/>
  <c r="AH579" i="13" s="1"/>
  <c r="AA67" i="13"/>
  <c r="AH67" i="13" s="1"/>
  <c r="AA702" i="13"/>
  <c r="AH702" i="13" s="1"/>
  <c r="AA652" i="13"/>
  <c r="AH652" i="13" s="1"/>
  <c r="AA376" i="13"/>
  <c r="AH376" i="13" s="1"/>
  <c r="AA62" i="13"/>
  <c r="AH62" i="13" s="1"/>
  <c r="AA620" i="13"/>
  <c r="AH620" i="13" s="1"/>
  <c r="AA379" i="13"/>
  <c r="AH379" i="13" s="1"/>
  <c r="AA646" i="13"/>
  <c r="AH646" i="13" s="1"/>
  <c r="AA404" i="13"/>
  <c r="AH404" i="13" s="1"/>
  <c r="AA693" i="13"/>
  <c r="AH693" i="13" s="1"/>
  <c r="AA599" i="13"/>
  <c r="AH599" i="13" s="1"/>
  <c r="AA505" i="13"/>
  <c r="AH505" i="13" s="1"/>
  <c r="AA93" i="13"/>
  <c r="AH93" i="13" s="1"/>
  <c r="AA747" i="13"/>
  <c r="AH747" i="13" s="1"/>
  <c r="AA677" i="13"/>
  <c r="AH677" i="13" s="1"/>
  <c r="AA876" i="13"/>
  <c r="AH876" i="13" s="1"/>
  <c r="AA645" i="13"/>
  <c r="AH645" i="13" s="1"/>
  <c r="AA191" i="13"/>
  <c r="AH191" i="13" s="1"/>
  <c r="AA499" i="13"/>
  <c r="AA718" i="13"/>
  <c r="AH718" i="13" s="1"/>
  <c r="AA624" i="13"/>
  <c r="AH624" i="13" s="1"/>
  <c r="AA530" i="13"/>
  <c r="AH530" i="13" s="1"/>
  <c r="AA174" i="13"/>
  <c r="AH174" i="13" s="1"/>
  <c r="AA676" i="13"/>
  <c r="AH676" i="13" s="1"/>
  <c r="AA426" i="13"/>
  <c r="AH426" i="13" s="1"/>
  <c r="AA524" i="13"/>
  <c r="AH524" i="13" s="1"/>
  <c r="AA739" i="13"/>
  <c r="AH739" i="13" s="1"/>
  <c r="AA146" i="13"/>
  <c r="AH146" i="13" s="1"/>
  <c r="AA555" i="13"/>
  <c r="AH555" i="13" s="1"/>
  <c r="AA94" i="13"/>
  <c r="AH94" i="13" s="1"/>
  <c r="AA771" i="13"/>
  <c r="AH771" i="13" s="1"/>
  <c r="AA446" i="13"/>
  <c r="AH446" i="13" s="1"/>
  <c r="AA569" i="13"/>
  <c r="AH569" i="13" s="1"/>
  <c r="AA43" i="13"/>
  <c r="AH43" i="13" s="1"/>
  <c r="AA674" i="13"/>
  <c r="AH674" i="13" s="1"/>
  <c r="AA147" i="13"/>
  <c r="AH147" i="13" s="1"/>
  <c r="AA458" i="13"/>
  <c r="AH458" i="13" s="1"/>
  <c r="AA745" i="13"/>
  <c r="AH745" i="13" s="1"/>
  <c r="AA962" i="13"/>
  <c r="AA880" i="13"/>
  <c r="AH880" i="13" s="1"/>
  <c r="AA958" i="13"/>
  <c r="AH958" i="13" s="1"/>
  <c r="AA770" i="13"/>
  <c r="AH770" i="13" s="1"/>
  <c r="AA507" i="13"/>
  <c r="AH507" i="13" s="1"/>
  <c r="AA594" i="13"/>
  <c r="AH594" i="13" s="1"/>
  <c r="AA89" i="13"/>
  <c r="AH89" i="13" s="1"/>
  <c r="AA767" i="13"/>
  <c r="AH767" i="13" s="1"/>
  <c r="AA409" i="13"/>
  <c r="AH409" i="13" s="1"/>
  <c r="AA795" i="13"/>
  <c r="AH795" i="13" s="1"/>
  <c r="AA407" i="13"/>
  <c r="AH407" i="13" s="1"/>
  <c r="AA411" i="13"/>
  <c r="AH411" i="13" s="1"/>
  <c r="AA686" i="13"/>
  <c r="AH686" i="13" s="1"/>
  <c r="AA930" i="13"/>
  <c r="AH930" i="13" s="1"/>
  <c r="AA862" i="13"/>
  <c r="AH862" i="13" s="1"/>
  <c r="AA434" i="13"/>
  <c r="AH434" i="13" s="1"/>
  <c r="AA502" i="13"/>
  <c r="AH502" i="13" s="1"/>
  <c r="AA236" i="13"/>
  <c r="AH236" i="13" s="1"/>
  <c r="AA711" i="13"/>
  <c r="AH711" i="13" s="1"/>
  <c r="AA475" i="13"/>
  <c r="AH475" i="13" s="1"/>
  <c r="AA190" i="13"/>
  <c r="AA981" i="13"/>
  <c r="AH981" i="13" s="1"/>
  <c r="AA553" i="13"/>
  <c r="AH553" i="13" s="1"/>
  <c r="AA459" i="13"/>
  <c r="AH459" i="13" s="1"/>
  <c r="AA340" i="13"/>
  <c r="AH340" i="13" s="1"/>
  <c r="AA98" i="13"/>
  <c r="AH98" i="13" s="1"/>
  <c r="AA149" i="13"/>
  <c r="AH149" i="13" s="1"/>
  <c r="AA342" i="13"/>
  <c r="AH342" i="13" s="1"/>
  <c r="AA867" i="13"/>
  <c r="AH867" i="13" s="1"/>
  <c r="AA471" i="13"/>
  <c r="AH471" i="13" s="1"/>
  <c r="AA951" i="13"/>
  <c r="AH951" i="13" s="1"/>
  <c r="AA240" i="13"/>
  <c r="AH240" i="13" s="1"/>
  <c r="AA715" i="13"/>
  <c r="AH715" i="13" s="1"/>
  <c r="AA619" i="13"/>
  <c r="AH619" i="13" s="1"/>
  <c r="AA261" i="13"/>
  <c r="AH261" i="13" s="1"/>
  <c r="AA741" i="13"/>
  <c r="AH741" i="13" s="1"/>
  <c r="AA91" i="13"/>
  <c r="AH91" i="13" s="1"/>
  <c r="AA313" i="13"/>
  <c r="AH313" i="13" s="1"/>
  <c r="AA788" i="13"/>
  <c r="AH788" i="13" s="1"/>
  <c r="AA219" i="13"/>
  <c r="AA694" i="13"/>
  <c r="AA837" i="13"/>
  <c r="AH837" i="13" s="1"/>
  <c r="AA600" i="13"/>
  <c r="AH600" i="13" s="1"/>
  <c r="AA334" i="13"/>
  <c r="AH334" i="13" s="1"/>
  <c r="AA175" i="13"/>
  <c r="AH175" i="13" s="1"/>
  <c r="AA60" i="13"/>
  <c r="AH60" i="13" s="1"/>
  <c r="AA222" i="13"/>
  <c r="AH222" i="13" s="1"/>
  <c r="AA462" i="13"/>
  <c r="AH462" i="13" s="1"/>
  <c r="AA892" i="13"/>
  <c r="AH892" i="13" s="1"/>
  <c r="AA496" i="13"/>
  <c r="AH496" i="13" s="1"/>
  <c r="AA971" i="13"/>
  <c r="AH971" i="13" s="1"/>
  <c r="AA260" i="13"/>
  <c r="AH260" i="13" s="1"/>
  <c r="AA740" i="13"/>
  <c r="AH740" i="13" s="1"/>
  <c r="AA644" i="13"/>
  <c r="AH644" i="13" s="1"/>
  <c r="AA286" i="13"/>
  <c r="AH286" i="13" s="1"/>
  <c r="AA766" i="13"/>
  <c r="AH766" i="13" s="1"/>
  <c r="AA143" i="13"/>
  <c r="AH143" i="13" s="1"/>
  <c r="AA338" i="13"/>
  <c r="AH338" i="13" s="1"/>
  <c r="AA813" i="13"/>
  <c r="AH813" i="13" s="1"/>
  <c r="AA244" i="13"/>
  <c r="AH244" i="13" s="1"/>
  <c r="AA719" i="13"/>
  <c r="AA932" i="13"/>
  <c r="AH932" i="13" s="1"/>
  <c r="AA625" i="13"/>
  <c r="AH625" i="13" s="1"/>
  <c r="AA474" i="13"/>
  <c r="AH474" i="13" s="1"/>
  <c r="AA220" i="13"/>
  <c r="AH220" i="13" s="1"/>
  <c r="AA87" i="13"/>
  <c r="AH87" i="13" s="1"/>
  <c r="AA367" i="13"/>
  <c r="AH367" i="13" s="1"/>
  <c r="AA722" i="13"/>
  <c r="AH722" i="13" s="1"/>
  <c r="AA987" i="13"/>
  <c r="AH987" i="13" s="1"/>
  <c r="AA521" i="13"/>
  <c r="AH521" i="13" s="1"/>
  <c r="AA996" i="13"/>
  <c r="AH996" i="13" s="1"/>
  <c r="AA285" i="13"/>
  <c r="AH285" i="13" s="1"/>
  <c r="AA765" i="13"/>
  <c r="AH765" i="13" s="1"/>
  <c r="AA689" i="13"/>
  <c r="AH689" i="13" s="1"/>
  <c r="AA311" i="13"/>
  <c r="AH311" i="13" s="1"/>
  <c r="AA786" i="13"/>
  <c r="AH786" i="13" s="1"/>
  <c r="AA217" i="13"/>
  <c r="AH217" i="13" s="1"/>
  <c r="AA363" i="13"/>
  <c r="AH363" i="13" s="1"/>
  <c r="AA838" i="13"/>
  <c r="AH838" i="13" s="1"/>
  <c r="AA269" i="13"/>
  <c r="AH269" i="13" s="1"/>
  <c r="AA744" i="13"/>
  <c r="AH744" i="13" s="1"/>
  <c r="AA44" i="13"/>
  <c r="AH44" i="13" s="1"/>
  <c r="AA650" i="13"/>
  <c r="AH650" i="13" s="1"/>
  <c r="AA764" i="13"/>
  <c r="AH764" i="13" s="1"/>
  <c r="AA245" i="13"/>
  <c r="AH245" i="13" s="1"/>
  <c r="AA532" i="13"/>
  <c r="AH532" i="13" s="1"/>
  <c r="AA937" i="13"/>
  <c r="AH937" i="13" s="1"/>
  <c r="AA50" i="13"/>
  <c r="AH50" i="13" s="1"/>
  <c r="AA546" i="13"/>
  <c r="AH546" i="13" s="1"/>
  <c r="AA140" i="13"/>
  <c r="AH140" i="13" s="1"/>
  <c r="AA310" i="13"/>
  <c r="AH310" i="13" s="1"/>
  <c r="AA785" i="13"/>
  <c r="AH785" i="13" s="1"/>
  <c r="AA784" i="13"/>
  <c r="AH784" i="13" s="1"/>
  <c r="AA336" i="13"/>
  <c r="AH336" i="13" s="1"/>
  <c r="AA811" i="13"/>
  <c r="AH811" i="13" s="1"/>
  <c r="AA287" i="13"/>
  <c r="AH287" i="13" s="1"/>
  <c r="AA383" i="13"/>
  <c r="AH383" i="13" s="1"/>
  <c r="AA863" i="13"/>
  <c r="AH863" i="13" s="1"/>
  <c r="AA289" i="13"/>
  <c r="AH289" i="13" s="1"/>
  <c r="AA769" i="13"/>
  <c r="AA45" i="13"/>
  <c r="AH45" i="13" s="1"/>
  <c r="AA675" i="13"/>
  <c r="AH675" i="13" s="1"/>
  <c r="AA64" i="13"/>
  <c r="AH64" i="13" s="1"/>
  <c r="AA290" i="13"/>
  <c r="AH290" i="13" s="1"/>
  <c r="AA582" i="13"/>
  <c r="AH582" i="13" s="1"/>
  <c r="AA49" i="13"/>
  <c r="AH49" i="13" s="1"/>
  <c r="AA51" i="13"/>
  <c r="AH51" i="13" s="1"/>
  <c r="AA566" i="13"/>
  <c r="AH566" i="13" s="1"/>
  <c r="AA259" i="13"/>
  <c r="AH259" i="13" s="1"/>
  <c r="AA335" i="13"/>
  <c r="AH335" i="13" s="1"/>
  <c r="AA810" i="13"/>
  <c r="AH810" i="13" s="1"/>
  <c r="AA834" i="13"/>
  <c r="AH834" i="13" s="1"/>
  <c r="AA361" i="13"/>
  <c r="AH361" i="13" s="1"/>
  <c r="AA836" i="13"/>
  <c r="AH836" i="13" s="1"/>
  <c r="AA382" i="13"/>
  <c r="AH382" i="13" s="1"/>
  <c r="AA408" i="13"/>
  <c r="AH408" i="13" s="1"/>
  <c r="AA888" i="13"/>
  <c r="AH888" i="13" s="1"/>
  <c r="AA314" i="13"/>
  <c r="AH314" i="13" s="1"/>
  <c r="AA794" i="13"/>
  <c r="AH794" i="13" s="1"/>
  <c r="AA120" i="13"/>
  <c r="AH120" i="13" s="1"/>
  <c r="AA695" i="13"/>
  <c r="AA118" i="13"/>
  <c r="AH118" i="13" s="1"/>
  <c r="AA365" i="13"/>
  <c r="AH365" i="13" s="1"/>
  <c r="AA627" i="13"/>
  <c r="AH627" i="13" s="1"/>
  <c r="AA76" i="13"/>
  <c r="AH76" i="13" s="1"/>
  <c r="AA110" i="13"/>
  <c r="AH110" i="13" s="1"/>
  <c r="AA591" i="13"/>
  <c r="AH591" i="13" s="1"/>
  <c r="AA354" i="13"/>
  <c r="AH354" i="13" s="1"/>
  <c r="AA360" i="13"/>
  <c r="AH360" i="13" s="1"/>
  <c r="AA835" i="13"/>
  <c r="AH835" i="13" s="1"/>
  <c r="AA879" i="13"/>
  <c r="AH879" i="13" s="1"/>
  <c r="AA381" i="13"/>
  <c r="AH381" i="13" s="1"/>
  <c r="AA861" i="13"/>
  <c r="AH861" i="13" s="1"/>
  <c r="AA477" i="13"/>
  <c r="AH477" i="13" s="1"/>
  <c r="AA433" i="13"/>
  <c r="AH433" i="13" s="1"/>
  <c r="AA908" i="13"/>
  <c r="AH908" i="13" s="1"/>
  <c r="AA339" i="13"/>
  <c r="AH339" i="13" s="1"/>
  <c r="AA814" i="13"/>
  <c r="AH814" i="13" s="1"/>
  <c r="AA46" i="13"/>
  <c r="AH46" i="13" s="1"/>
  <c r="AA720" i="13"/>
  <c r="AH720" i="13" s="1"/>
  <c r="AA167" i="13"/>
  <c r="AH167" i="13" s="1"/>
  <c r="AA47" i="13"/>
  <c r="AH47" i="13" s="1"/>
  <c r="AA842" i="13"/>
  <c r="AH842" i="13" s="1"/>
  <c r="AA177" i="13"/>
  <c r="AH177" i="13" s="1"/>
  <c r="AA132" i="13"/>
  <c r="AH132" i="13" s="1"/>
  <c r="AA616" i="13"/>
  <c r="AH616" i="13" s="1"/>
  <c r="AA454" i="13"/>
  <c r="AH454" i="13" s="1"/>
  <c r="AA380" i="13"/>
  <c r="AH380" i="13" s="1"/>
  <c r="AA860" i="13"/>
  <c r="AH860" i="13" s="1"/>
  <c r="AA929" i="13"/>
  <c r="AH929" i="13" s="1"/>
  <c r="AA406" i="13"/>
  <c r="AH406" i="13" s="1"/>
  <c r="AA577" i="13"/>
  <c r="AH577" i="13" s="1"/>
  <c r="AA933" i="13"/>
  <c r="AH933" i="13" s="1"/>
  <c r="AA364" i="13"/>
  <c r="AH364" i="13" s="1"/>
  <c r="AA839" i="13"/>
  <c r="AH839" i="13" s="1"/>
  <c r="AA242" i="13"/>
  <c r="AH242" i="13" s="1"/>
  <c r="AA161" i="13"/>
  <c r="AH161" i="13" s="1"/>
  <c r="AA641" i="13"/>
  <c r="AH641" i="13" s="1"/>
  <c r="AA405" i="13"/>
  <c r="AH405" i="13" s="1"/>
  <c r="AA974" i="13"/>
  <c r="AA906" i="13"/>
  <c r="AH906" i="13" s="1"/>
  <c r="AA672" i="13"/>
  <c r="AH672" i="13" s="1"/>
  <c r="AA384" i="13"/>
  <c r="AH384" i="13" s="1"/>
  <c r="AA195" i="13"/>
  <c r="AH195" i="13" s="1"/>
  <c r="AA77" i="13"/>
  <c r="AH77" i="13" s="1"/>
  <c r="AA186" i="13"/>
  <c r="AH186" i="13" s="1"/>
  <c r="AA430" i="13"/>
  <c r="AH430" i="13" s="1"/>
  <c r="AA456" i="13"/>
  <c r="AH456" i="13" s="1"/>
  <c r="AA503" i="13"/>
  <c r="AH503" i="13" s="1"/>
  <c r="AA889" i="13"/>
  <c r="AH889" i="13" s="1"/>
  <c r="AA97" i="13"/>
  <c r="AH97" i="13" s="1"/>
  <c r="AA211" i="13"/>
  <c r="AH211" i="13" s="1"/>
  <c r="AA664" i="13"/>
  <c r="AH664" i="13" s="1"/>
  <c r="AA141" i="13"/>
  <c r="AH141" i="13" s="1"/>
  <c r="AA956" i="13"/>
  <c r="AH956" i="13" s="1"/>
  <c r="AA1003" i="13"/>
  <c r="AH1003" i="13" s="1"/>
  <c r="AA909" i="13"/>
  <c r="AH909" i="13" s="1"/>
  <c r="AA815" i="13"/>
  <c r="AH815" i="13" s="1"/>
  <c r="AA78" i="13"/>
  <c r="AH78" i="13" s="1"/>
  <c r="AA96" i="13"/>
  <c r="AH96" i="13" s="1"/>
  <c r="AA955" i="13"/>
  <c r="AH955" i="13" s="1"/>
  <c r="AA982" i="13"/>
  <c r="AH982" i="13" s="1"/>
  <c r="AA934" i="13"/>
  <c r="AH934" i="13" s="1"/>
  <c r="AA597" i="13"/>
  <c r="AH597" i="13" s="1"/>
  <c r="AA30" i="13"/>
  <c r="AH30" i="13" s="1"/>
  <c r="AA28" i="13"/>
  <c r="AH28" i="13" s="1"/>
  <c r="AA20" i="13"/>
  <c r="AH20" i="13" s="1"/>
  <c r="AA19" i="13"/>
  <c r="AH19" i="13" s="1"/>
  <c r="AA33" i="13"/>
  <c r="AH33" i="13" s="1"/>
  <c r="AA14" i="13"/>
  <c r="AH14" i="13" s="1"/>
  <c r="AA24" i="13"/>
  <c r="AH24" i="13" s="1"/>
  <c r="AA29" i="13"/>
  <c r="AH29" i="13" s="1"/>
  <c r="AA23" i="13"/>
  <c r="AH23" i="13" s="1"/>
  <c r="AA11" i="13"/>
  <c r="AH11" i="13" s="1"/>
  <c r="AA17" i="13"/>
  <c r="AH17" i="13" s="1"/>
  <c r="AA22" i="13"/>
  <c r="AH22" i="13" s="1"/>
  <c r="AA25" i="13"/>
  <c r="AH25" i="13" s="1"/>
  <c r="AA12" i="13"/>
  <c r="AH12" i="13" s="1"/>
  <c r="AA13" i="13"/>
  <c r="AH13" i="13" s="1"/>
  <c r="AA16" i="13"/>
  <c r="AH16" i="13" s="1"/>
  <c r="AA27" i="13"/>
  <c r="AH27" i="13" s="1"/>
  <c r="AA26" i="13"/>
  <c r="AH26" i="13" s="1"/>
  <c r="AA21" i="13"/>
  <c r="AH21" i="13" s="1"/>
  <c r="AA32" i="13"/>
  <c r="AH32" i="13" s="1"/>
  <c r="AA18" i="13"/>
  <c r="AH18" i="13" s="1"/>
  <c r="AA15" i="13"/>
  <c r="AH15" i="13" s="1"/>
  <c r="AA31" i="13"/>
  <c r="AH31" i="13" s="1"/>
  <c r="AA34" i="13"/>
  <c r="AH34" i="13" s="1"/>
  <c r="U538" i="13"/>
  <c r="U435" i="13"/>
  <c r="U714" i="13"/>
  <c r="U988" i="13"/>
  <c r="U940" i="13"/>
  <c r="U587" i="13"/>
  <c r="U159" i="13"/>
  <c r="U499" i="13"/>
  <c r="U901" i="13"/>
  <c r="U872" i="13"/>
  <c r="U683" i="13"/>
  <c r="U750" i="13"/>
  <c r="U77" i="13"/>
  <c r="U333" i="13"/>
  <c r="U592" i="13"/>
  <c r="U622" i="13"/>
  <c r="U779" i="13"/>
  <c r="U766" i="13"/>
  <c r="U397" i="13"/>
  <c r="U160" i="13"/>
  <c r="U92" i="13"/>
  <c r="U623" i="13"/>
  <c r="U381" i="13"/>
  <c r="U270" i="13"/>
  <c r="U237" i="13"/>
  <c r="U796" i="13"/>
  <c r="U615" i="13"/>
  <c r="U567" i="13"/>
  <c r="U812" i="13"/>
  <c r="U803" i="13"/>
  <c r="U162" i="13"/>
  <c r="U342" i="13"/>
  <c r="U687" i="13"/>
  <c r="U531" i="13"/>
  <c r="U508" i="13"/>
  <c r="U989" i="13"/>
  <c r="U965" i="13"/>
  <c r="U206" i="13"/>
  <c r="U837" i="13"/>
  <c r="U590" i="13"/>
  <c r="U717" i="13"/>
  <c r="U275" i="13"/>
  <c r="U178" i="13"/>
  <c r="U755" i="13"/>
  <c r="U597" i="13"/>
  <c r="U936" i="13"/>
  <c r="U430" i="13"/>
  <c r="U89" i="13"/>
  <c r="U902" i="13"/>
  <c r="U367" i="13"/>
  <c r="U465" i="13"/>
  <c r="U312" i="13"/>
  <c r="U739" i="13"/>
  <c r="U444" i="13"/>
  <c r="U985" i="13"/>
  <c r="U529" i="13"/>
  <c r="U681" i="13"/>
  <c r="U1000" i="13"/>
  <c r="U694" i="13"/>
  <c r="U490" i="13"/>
  <c r="U128" i="13"/>
  <c r="U525" i="13"/>
  <c r="U164" i="13"/>
  <c r="U927" i="13"/>
  <c r="U923" i="13"/>
  <c r="U569" i="13"/>
  <c r="U331" i="13"/>
  <c r="U1001" i="13"/>
  <c r="U861" i="13"/>
  <c r="U866" i="13"/>
  <c r="U642" i="13"/>
  <c r="U484" i="13"/>
  <c r="U434" i="13"/>
  <c r="U345" i="13"/>
  <c r="U825" i="13"/>
  <c r="U428" i="13"/>
  <c r="U462" i="13"/>
  <c r="U909" i="13"/>
  <c r="U189" i="13"/>
  <c r="U797" i="13"/>
  <c r="U353" i="13"/>
  <c r="U186" i="13"/>
  <c r="U423" i="13"/>
  <c r="U494" i="13"/>
  <c r="U401" i="13"/>
  <c r="U493" i="13"/>
  <c r="U443" i="13"/>
  <c r="U305" i="13"/>
  <c r="U140" i="13"/>
  <c r="U644" i="13"/>
  <c r="U807" i="13"/>
  <c r="U711" i="13"/>
  <c r="U407" i="13"/>
  <c r="U111" i="13"/>
  <c r="U523" i="13"/>
  <c r="U212" i="13"/>
  <c r="U832" i="13"/>
  <c r="U415" i="13"/>
  <c r="U895" i="13"/>
  <c r="U631" i="13"/>
  <c r="U640" i="13"/>
  <c r="U786" i="13"/>
  <c r="U537" i="13"/>
  <c r="U898" i="13"/>
  <c r="U147" i="13"/>
  <c r="U810" i="13"/>
  <c r="U46" i="13"/>
  <c r="U643" i="13"/>
  <c r="U689" i="13"/>
  <c r="U996" i="13"/>
  <c r="U352" i="13"/>
  <c r="U120" i="13"/>
  <c r="U460" i="13"/>
  <c r="U738" i="13"/>
  <c r="U94" i="13"/>
  <c r="U961" i="13"/>
  <c r="U772" i="13"/>
  <c r="U547" i="13"/>
  <c r="U364" i="13"/>
  <c r="U498" i="13"/>
  <c r="U87" i="13"/>
  <c r="U440" i="13"/>
  <c r="U920" i="13"/>
  <c r="U645" i="13"/>
  <c r="U154" i="13"/>
  <c r="U656" i="13"/>
  <c r="U995" i="13"/>
  <c r="U81" i="13"/>
  <c r="U562" i="13"/>
  <c r="U68" i="13"/>
  <c r="U376" i="13"/>
  <c r="U986" i="13"/>
  <c r="U181" i="13"/>
  <c r="U106" i="13"/>
  <c r="U214" i="13"/>
  <c r="U409" i="13"/>
  <c r="U505" i="13"/>
  <c r="U684" i="13"/>
  <c r="U190" i="13"/>
  <c r="U817" i="13"/>
  <c r="U258" i="13"/>
  <c r="U114" i="13"/>
  <c r="U507" i="13"/>
  <c r="U487" i="13"/>
  <c r="U166" i="13"/>
  <c r="U706" i="13"/>
  <c r="U612" i="13"/>
  <c r="U279" i="13"/>
  <c r="U183" i="13"/>
  <c r="U307" i="13"/>
  <c r="U239" i="13"/>
  <c r="U764" i="13"/>
  <c r="U754" i="13"/>
  <c r="U952" i="13"/>
  <c r="U647" i="13"/>
  <c r="U888" i="13"/>
  <c r="U139" i="13"/>
  <c r="U554" i="13"/>
  <c r="U899" i="13"/>
  <c r="U475" i="13"/>
  <c r="U75" i="13"/>
  <c r="U556" i="13"/>
  <c r="U735" i="13"/>
  <c r="U842" i="13"/>
  <c r="U593" i="13"/>
  <c r="U889" i="13"/>
  <c r="U533" i="13"/>
  <c r="U709" i="13"/>
  <c r="U335" i="13"/>
  <c r="U424" i="13"/>
  <c r="U35" i="13"/>
  <c r="U515" i="13"/>
  <c r="U990" i="13"/>
  <c r="U431" i="13"/>
  <c r="U226" i="13"/>
  <c r="U751" i="13"/>
  <c r="U82" i="13"/>
  <c r="U259" i="13"/>
  <c r="U784" i="13"/>
  <c r="U280" i="13"/>
  <c r="U672" i="13"/>
  <c r="U908" i="13"/>
  <c r="U453" i="13"/>
  <c r="U719" i="13"/>
  <c r="U555" i="13"/>
  <c r="U670" i="13"/>
  <c r="U95" i="13"/>
  <c r="U581" i="13"/>
  <c r="U236" i="13"/>
  <c r="U867" i="13"/>
  <c r="U177" i="13"/>
  <c r="U558" i="13"/>
  <c r="U949" i="13"/>
  <c r="U595" i="13"/>
  <c r="U97" i="13"/>
  <c r="U559" i="13"/>
  <c r="U519" i="13"/>
  <c r="U405" i="13"/>
  <c r="U535" i="13"/>
  <c r="U646" i="13"/>
  <c r="U251" i="13"/>
  <c r="U776" i="13"/>
  <c r="U616" i="13"/>
  <c r="U384" i="13"/>
  <c r="U182" i="13"/>
  <c r="U657" i="13"/>
  <c r="U887" i="13"/>
  <c r="U619" i="13"/>
  <c r="U188" i="13"/>
  <c r="U777" i="13"/>
  <c r="U375" i="13"/>
  <c r="U473" i="13"/>
  <c r="U271" i="13"/>
  <c r="U132" i="13"/>
  <c r="U377" i="13"/>
  <c r="U131" i="13"/>
  <c r="U663" i="13"/>
  <c r="U269" i="13"/>
  <c r="U228" i="13"/>
  <c r="U315" i="13"/>
  <c r="U673" i="13"/>
  <c r="U439" i="13"/>
  <c r="U517" i="13"/>
  <c r="U80" i="13"/>
  <c r="U838" i="13"/>
  <c r="U1003" i="13"/>
  <c r="U299" i="13"/>
  <c r="U486" i="13"/>
  <c r="U685" i="13"/>
  <c r="U956" i="13"/>
  <c r="U426" i="13"/>
  <c r="U437" i="13"/>
  <c r="U528" i="13"/>
  <c r="U179" i="13"/>
  <c r="U354" i="13"/>
  <c r="U323" i="13"/>
  <c r="U187" i="13"/>
  <c r="U746" i="13"/>
  <c r="U306" i="13"/>
  <c r="U90" i="13"/>
  <c r="U561" i="13"/>
  <c r="U703" i="13"/>
  <c r="U900" i="13"/>
  <c r="U130" i="13"/>
  <c r="U113" i="13"/>
  <c r="U339" i="13"/>
  <c r="U273" i="13"/>
  <c r="U504" i="13"/>
  <c r="U85" i="13"/>
  <c r="U127" i="13"/>
  <c r="U432" i="13"/>
  <c r="U374" i="13"/>
  <c r="U47" i="13"/>
  <c r="U457" i="13"/>
  <c r="U905" i="13"/>
  <c r="U240" i="13"/>
  <c r="U939" i="13"/>
  <c r="U584" i="13"/>
  <c r="U594" i="13"/>
  <c r="U880" i="13"/>
  <c r="U491" i="13"/>
  <c r="U53" i="13"/>
  <c r="U618" i="13"/>
  <c r="U992" i="13"/>
  <c r="U768" i="13"/>
  <c r="U336" i="13"/>
  <c r="U624" i="13"/>
  <c r="U953" i="13"/>
  <c r="U857" i="13"/>
  <c r="U245" i="13"/>
  <c r="U737" i="13"/>
  <c r="U193" i="13"/>
  <c r="U341" i="13"/>
  <c r="U476" i="13"/>
  <c r="U255" i="13"/>
  <c r="U207" i="13"/>
  <c r="U394" i="13"/>
  <c r="U284" i="13"/>
  <c r="U287" i="13"/>
  <c r="U749" i="13"/>
  <c r="U845" i="13"/>
  <c r="U756" i="13"/>
  <c r="U88" i="13"/>
  <c r="U334" i="13"/>
  <c r="U209" i="13"/>
  <c r="U49" i="13"/>
  <c r="U757" i="13"/>
  <c r="U413" i="13"/>
  <c r="U332" i="13"/>
  <c r="U304" i="13"/>
  <c r="U368" i="13"/>
  <c r="U846" i="13"/>
  <c r="U934" i="13"/>
  <c r="U1005" i="13"/>
  <c r="U198" i="13"/>
  <c r="U403" i="13"/>
  <c r="U174" i="13"/>
  <c r="U176" i="13"/>
  <c r="U720" i="13"/>
  <c r="U628" i="13"/>
  <c r="U611" i="13"/>
  <c r="U396" i="13"/>
  <c r="U446" i="13"/>
  <c r="U150" i="13"/>
  <c r="U585" i="13"/>
  <c r="U621" i="13"/>
  <c r="U858" i="13"/>
  <c r="U629" i="13"/>
  <c r="U322" i="13"/>
  <c r="U741" i="13"/>
  <c r="U277" i="13"/>
  <c r="U196" i="13"/>
  <c r="U122" i="13"/>
  <c r="U288" i="13"/>
  <c r="U843" i="13"/>
  <c r="U146" i="13"/>
  <c r="U316" i="13"/>
  <c r="U980" i="13"/>
  <c r="U411" i="13"/>
  <c r="U468" i="13"/>
  <c r="U184" i="13"/>
  <c r="U441" i="13"/>
  <c r="U566" i="13"/>
  <c r="U408" i="13"/>
  <c r="U516" i="13"/>
  <c r="U998" i="13"/>
  <c r="U210" i="13"/>
  <c r="U814" i="13"/>
  <c r="U274" i="13"/>
  <c r="U370" i="13"/>
  <c r="U650" i="13"/>
  <c r="U993" i="13"/>
  <c r="U930" i="13"/>
  <c r="U608" i="13"/>
  <c r="U974" i="13"/>
  <c r="U385" i="13"/>
  <c r="U864" i="13"/>
  <c r="U718" i="13"/>
  <c r="U752" i="13"/>
  <c r="U489" i="13"/>
  <c r="U778" i="13"/>
  <c r="U241" i="13"/>
  <c r="U69" i="13"/>
  <c r="U283" i="13"/>
  <c r="U197" i="13"/>
  <c r="U252" i="13"/>
  <c r="U610" i="13"/>
  <c r="U216" i="13"/>
  <c r="U661" i="13"/>
  <c r="U64" i="13"/>
  <c r="U152" i="13"/>
  <c r="U433" i="13"/>
  <c r="U549" i="13"/>
  <c r="U191" i="13"/>
  <c r="U509" i="13"/>
  <c r="U167" i="13"/>
  <c r="U298" i="13"/>
  <c r="U921" i="13"/>
  <c r="U254" i="13"/>
  <c r="U968" i="13"/>
  <c r="U725" i="13"/>
  <c r="U893" i="13"/>
  <c r="U586" i="13"/>
  <c r="U362" i="13"/>
  <c r="U79" i="13"/>
  <c r="U551" i="13"/>
  <c r="U627" i="13"/>
  <c r="U242" i="13"/>
  <c r="U534" i="13"/>
  <c r="U118" i="13"/>
  <c r="U925" i="13"/>
  <c r="U582" i="13"/>
  <c r="U129" i="13"/>
  <c r="U601" i="13"/>
  <c r="U826" i="13"/>
  <c r="U78" i="13"/>
  <c r="U126" i="13"/>
  <c r="U691" i="13"/>
  <c r="U723" i="13"/>
  <c r="U835" i="13"/>
  <c r="U924" i="13"/>
  <c r="U520" i="13"/>
  <c r="U238" i="13"/>
  <c r="U862" i="13"/>
  <c r="U455" i="13"/>
  <c r="U406" i="13"/>
  <c r="U881" i="13"/>
  <c r="U50" i="13"/>
  <c r="U229" i="13"/>
  <c r="U680" i="13"/>
  <c r="U919" i="13"/>
  <c r="U701" i="13"/>
  <c r="U343" i="13"/>
  <c r="U346" i="13"/>
  <c r="U248" i="13"/>
  <c r="U724" i="13"/>
  <c r="U363" i="13"/>
  <c r="U338" i="13"/>
  <c r="U59" i="13"/>
  <c r="U123" i="13"/>
  <c r="U163" i="13"/>
  <c r="U278" i="13"/>
  <c r="U937" i="13"/>
  <c r="U674" i="13"/>
  <c r="U734" i="13"/>
  <c r="U143" i="13"/>
  <c r="U652" i="13"/>
  <c r="U185" i="13"/>
  <c r="U958" i="13"/>
  <c r="U495" i="13"/>
  <c r="U461" i="13"/>
  <c r="U107" i="13"/>
  <c r="U722" i="13"/>
  <c r="U771" i="13"/>
  <c r="U849" i="13"/>
  <c r="U596" i="13"/>
  <c r="U243" i="13"/>
  <c r="U969" i="13"/>
  <c r="U964" i="13"/>
  <c r="U651" i="13"/>
  <c r="U286" i="13"/>
  <c r="U282" i="13"/>
  <c r="U1002" i="13"/>
  <c r="U799" i="13"/>
  <c r="U655" i="13"/>
  <c r="U438" i="13"/>
  <c r="U907" i="13"/>
  <c r="U382" i="13"/>
  <c r="U436" i="13"/>
  <c r="U223" i="13"/>
  <c r="U249" i="13"/>
  <c r="U459" i="13"/>
  <c r="U800" i="13"/>
  <c r="U626" i="13"/>
  <c r="U392" i="13"/>
  <c r="U168" i="13"/>
  <c r="U850" i="13"/>
  <c r="U61" i="13"/>
  <c r="U310" i="13"/>
  <c r="U48" i="13"/>
  <c r="U427" i="13"/>
  <c r="U429" i="13"/>
  <c r="U110" i="13"/>
  <c r="U108" i="13"/>
  <c r="U109" i="13"/>
  <c r="U676" i="13"/>
  <c r="U526" i="13"/>
  <c r="U690" i="13"/>
  <c r="U425" i="13"/>
  <c r="U539" i="13"/>
  <c r="U686" i="13"/>
  <c r="U918" i="13"/>
  <c r="U815" i="13"/>
  <c r="U795" i="13"/>
  <c r="U928" i="13"/>
  <c r="U896" i="13"/>
  <c r="U319" i="13"/>
  <c r="U518" i="13"/>
  <c r="U222" i="13"/>
  <c r="U344" i="13"/>
  <c r="U86" i="13"/>
  <c r="U742" i="13"/>
  <c r="U906" i="13"/>
  <c r="U195" i="13"/>
  <c r="U588" i="13"/>
  <c r="U320" i="13"/>
  <c r="U897" i="13"/>
  <c r="U780" i="13"/>
  <c r="U943" i="13"/>
  <c r="U478" i="13"/>
  <c r="U609" i="13"/>
  <c r="U811" i="13"/>
  <c r="U848" i="13"/>
  <c r="U871" i="13"/>
  <c r="U383" i="13"/>
  <c r="U60" i="13"/>
  <c r="U553" i="13"/>
  <c r="U477" i="13"/>
  <c r="U560" i="13"/>
  <c r="U829" i="13"/>
  <c r="U458" i="13"/>
  <c r="U552" i="13"/>
  <c r="U933" i="13"/>
  <c r="U677" i="13"/>
  <c r="U987" i="13"/>
  <c r="U744" i="13"/>
  <c r="U868" i="13"/>
  <c r="U215" i="13"/>
  <c r="U217" i="13"/>
  <c r="U165" i="13"/>
  <c r="U804" i="13"/>
  <c r="U702" i="13"/>
  <c r="U991" i="13"/>
  <c r="U599" i="13"/>
  <c r="U285" i="13"/>
  <c r="U142" i="13"/>
  <c r="U379" i="13"/>
  <c r="U963" i="13"/>
  <c r="U91" i="13"/>
  <c r="U93" i="13"/>
  <c r="U158" i="13"/>
  <c r="U794" i="13"/>
  <c r="U951" i="13"/>
  <c r="U763" i="13"/>
  <c r="U454" i="13"/>
  <c r="U879" i="13"/>
  <c r="U321" i="13"/>
  <c r="U600" i="13"/>
  <c r="U230" i="13"/>
  <c r="U76" i="13"/>
  <c r="U653" i="13"/>
  <c r="U218" i="13"/>
  <c r="U281" i="13"/>
  <c r="U398" i="13"/>
  <c r="U565" i="13"/>
  <c r="U860" i="13"/>
  <c r="U970" i="13"/>
  <c r="U267" i="13"/>
  <c r="U641" i="13"/>
  <c r="U393" i="13"/>
  <c r="U808" i="13"/>
  <c r="U840" i="13"/>
  <c r="U83" i="13"/>
  <c r="U863" i="13"/>
  <c r="U910" i="13"/>
  <c r="U999" i="13"/>
  <c r="U470" i="13"/>
  <c r="U682" i="13"/>
  <c r="U371" i="13"/>
  <c r="U400" i="13"/>
  <c r="U272" i="13"/>
  <c r="U496" i="13"/>
  <c r="U967" i="13"/>
  <c r="U340" i="13"/>
  <c r="U180" i="13"/>
  <c r="U962" i="13"/>
  <c r="U678" i="13"/>
  <c r="U955" i="13"/>
  <c r="U679" i="13"/>
  <c r="U704" i="13"/>
  <c r="U257" i="13"/>
  <c r="U540" i="13"/>
  <c r="U788" i="13"/>
  <c r="U827" i="13"/>
  <c r="U302" i="13"/>
  <c r="U890" i="13"/>
  <c r="U149" i="13"/>
  <c r="U765" i="13"/>
  <c r="U366" i="13"/>
  <c r="U878" i="13"/>
  <c r="U649" i="13"/>
  <c r="U831" i="13"/>
  <c r="U693" i="13"/>
  <c r="U208" i="13"/>
  <c r="U819" i="13"/>
  <c r="U748" i="13"/>
  <c r="U787" i="13"/>
  <c r="U55" i="13"/>
  <c r="U492" i="13"/>
  <c r="U474" i="13"/>
  <c r="U960" i="13"/>
  <c r="U903" i="13"/>
  <c r="U314" i="13"/>
  <c r="U349" i="13"/>
  <c r="U503" i="13"/>
  <c r="U67" i="13"/>
  <c r="U225" i="13"/>
  <c r="U740" i="13"/>
  <c r="U841" i="13"/>
  <c r="U563" i="13"/>
  <c r="U447" i="13"/>
  <c r="U219" i="13"/>
  <c r="U874" i="13"/>
  <c r="U983" i="13"/>
  <c r="U877" i="13"/>
  <c r="U873" i="13"/>
  <c r="U859" i="13"/>
  <c r="U847" i="13"/>
  <c r="U469" i="13"/>
  <c r="U710" i="13"/>
  <c r="U84" i="13"/>
  <c r="U583" i="13"/>
  <c r="U445" i="13"/>
  <c r="U404" i="13"/>
  <c r="U351" i="13"/>
  <c r="U488" i="13"/>
  <c r="U378" i="13"/>
  <c r="U716" i="13"/>
  <c r="U785" i="13"/>
  <c r="U830" i="13"/>
  <c r="U360" i="13"/>
  <c r="U192" i="13"/>
  <c r="U617" i="13"/>
  <c r="U121" i="13"/>
  <c r="U620" i="13"/>
  <c r="U931" i="13"/>
  <c r="U773" i="13"/>
  <c r="U532" i="13"/>
  <c r="U227" i="13"/>
  <c r="U96" i="13"/>
  <c r="U801" i="13"/>
  <c r="U564" i="13"/>
  <c r="U942" i="13"/>
  <c r="U329" i="13"/>
  <c r="U675" i="13"/>
  <c r="U365" i="13"/>
  <c r="U501" i="13"/>
  <c r="U372" i="13"/>
  <c r="U809" i="13"/>
  <c r="U133" i="13"/>
  <c r="U726" i="13"/>
  <c r="U708" i="13"/>
  <c r="U911" i="13"/>
  <c r="U115" i="13"/>
  <c r="U580" i="13"/>
  <c r="U692" i="13"/>
  <c r="U524" i="13"/>
  <c r="U313" i="13"/>
  <c r="U747" i="13"/>
  <c r="U148" i="13"/>
  <c r="U660" i="13"/>
  <c r="U124" i="13"/>
  <c r="U743" i="13"/>
  <c r="U982" i="13"/>
  <c r="U536" i="13"/>
  <c r="U1004" i="13"/>
  <c r="U971" i="13"/>
  <c r="U141" i="13"/>
  <c r="U399" i="13"/>
  <c r="U175" i="13"/>
  <c r="U291" i="13"/>
  <c r="U373" i="13"/>
  <c r="U632" i="13"/>
  <c r="U301" i="13"/>
  <c r="U145" i="13"/>
  <c r="U467" i="13"/>
  <c r="U598" i="13"/>
  <c r="U833" i="13"/>
  <c r="U422" i="13"/>
  <c r="U161" i="13"/>
  <c r="U767" i="13"/>
  <c r="U44" i="13"/>
  <c r="U695" i="13"/>
  <c r="U63" i="13"/>
  <c r="U45" i="13"/>
  <c r="U347" i="13"/>
  <c r="U211" i="13"/>
  <c r="U950" i="13"/>
  <c r="U705" i="13"/>
  <c r="U98" i="13"/>
  <c r="U836" i="13"/>
  <c r="U721" i="13"/>
  <c r="U548" i="13"/>
  <c r="U527" i="13"/>
  <c r="U589" i="13"/>
  <c r="U268" i="13"/>
  <c r="U205" i="13"/>
  <c r="U630" i="13"/>
  <c r="U941" i="13"/>
  <c r="U844" i="13"/>
  <c r="U464" i="13"/>
  <c r="U813" i="13"/>
  <c r="U348" i="13"/>
  <c r="U688" i="13"/>
  <c r="U816" i="13"/>
  <c r="U466" i="13"/>
  <c r="U337" i="13"/>
  <c r="U876" i="13"/>
  <c r="U410" i="13"/>
  <c r="U119" i="13"/>
  <c r="U959" i="13"/>
  <c r="U350" i="13"/>
  <c r="U892" i="13"/>
  <c r="U659" i="13"/>
  <c r="U62" i="13"/>
  <c r="U43" i="13"/>
  <c r="U58" i="13"/>
  <c r="U802" i="13"/>
  <c r="U522" i="13"/>
  <c r="U289" i="13"/>
  <c r="U506" i="13"/>
  <c r="U865" i="13"/>
  <c r="U308" i="13"/>
  <c r="U361" i="13"/>
  <c r="U546" i="13"/>
  <c r="U112" i="13"/>
  <c r="U472" i="13"/>
  <c r="U369" i="13"/>
  <c r="U221" i="13"/>
  <c r="U260" i="13"/>
  <c r="U557" i="13"/>
  <c r="U745" i="13"/>
  <c r="U153" i="13"/>
  <c r="U530" i="13"/>
  <c r="U402" i="13"/>
  <c r="U733" i="13"/>
  <c r="U256" i="13"/>
  <c r="U954" i="13"/>
  <c r="U828" i="13"/>
  <c r="U591" i="13"/>
  <c r="U412" i="13"/>
  <c r="U834" i="13"/>
  <c r="U52" i="13"/>
  <c r="U261" i="13"/>
  <c r="U571" i="13"/>
  <c r="U250" i="13"/>
  <c r="U715" i="13"/>
  <c r="U856" i="13"/>
  <c r="U244" i="13"/>
  <c r="U311" i="13"/>
  <c r="U662" i="13"/>
  <c r="U99" i="13"/>
  <c r="U926" i="13"/>
  <c r="U463" i="13"/>
  <c r="U57" i="13"/>
  <c r="U246" i="13"/>
  <c r="U736" i="13"/>
  <c r="U966" i="13"/>
  <c r="U904" i="13"/>
  <c r="U456" i="13"/>
  <c r="U253" i="13"/>
  <c r="U984" i="13"/>
  <c r="U125" i="13"/>
  <c r="U550" i="13"/>
  <c r="U276" i="13"/>
  <c r="U981" i="13"/>
  <c r="U578" i="13"/>
  <c r="U775" i="13"/>
  <c r="U416" i="13"/>
  <c r="U664" i="13"/>
  <c r="U42" i="13"/>
  <c r="U577" i="13"/>
  <c r="U309" i="13"/>
  <c r="U613" i="13"/>
  <c r="U247" i="13"/>
  <c r="U783" i="13"/>
  <c r="U471" i="13"/>
  <c r="U870" i="13"/>
  <c r="U442" i="13"/>
  <c r="U220" i="13"/>
  <c r="U648" i="13"/>
  <c r="U625" i="13"/>
  <c r="U317" i="13"/>
  <c r="U51" i="13"/>
  <c r="U935" i="13"/>
  <c r="U303" i="13"/>
  <c r="U875" i="13"/>
  <c r="U707" i="13"/>
  <c r="U712" i="13"/>
  <c r="U869" i="13"/>
  <c r="U929" i="13"/>
  <c r="U732" i="13"/>
  <c r="U414" i="13"/>
  <c r="U300" i="13"/>
  <c r="U806" i="13"/>
  <c r="U805" i="13"/>
  <c r="U932" i="13"/>
  <c r="U568" i="13"/>
  <c r="U957" i="13"/>
  <c r="U614" i="13"/>
  <c r="U753" i="13"/>
  <c r="U639" i="13"/>
  <c r="U654" i="13"/>
  <c r="U912" i="13"/>
  <c r="U100" i="13"/>
  <c r="U579" i="13"/>
  <c r="U713" i="13"/>
  <c r="U839" i="13"/>
  <c r="U502" i="13"/>
  <c r="U774" i="13"/>
  <c r="U818" i="13"/>
  <c r="U602" i="13"/>
  <c r="U391" i="13"/>
  <c r="U292" i="13"/>
  <c r="U330" i="13"/>
  <c r="U224" i="13"/>
  <c r="U972" i="13"/>
  <c r="U973" i="13"/>
  <c r="U894" i="13"/>
  <c r="U769" i="13"/>
  <c r="U633" i="13"/>
  <c r="U213" i="13"/>
  <c r="U290" i="13"/>
  <c r="U770" i="13"/>
  <c r="U194" i="13"/>
  <c r="U671" i="13"/>
  <c r="U380" i="13"/>
  <c r="U938" i="13"/>
  <c r="U497" i="13"/>
  <c r="U891" i="13"/>
  <c r="U798" i="13"/>
  <c r="U395" i="13"/>
  <c r="U56" i="13"/>
  <c r="U658" i="13"/>
  <c r="U782" i="13"/>
  <c r="U318" i="13"/>
  <c r="U922" i="13"/>
  <c r="U199" i="13"/>
  <c r="U781" i="13"/>
  <c r="U500" i="13"/>
  <c r="U570" i="13"/>
  <c r="U994" i="13"/>
  <c r="U157" i="13"/>
  <c r="U521" i="13"/>
  <c r="U997" i="13"/>
  <c r="U485" i="13"/>
  <c r="U12" i="13"/>
  <c r="U24" i="13"/>
  <c r="U23" i="13"/>
  <c r="U28" i="13"/>
  <c r="U20" i="13"/>
  <c r="U29" i="13"/>
  <c r="U17" i="13"/>
  <c r="U14" i="13"/>
  <c r="U13" i="13"/>
  <c r="U21" i="13"/>
  <c r="U16" i="13"/>
  <c r="U11" i="13"/>
  <c r="U30" i="13"/>
  <c r="U26" i="13"/>
  <c r="U32" i="13"/>
  <c r="U22" i="13"/>
  <c r="U33" i="13"/>
  <c r="U31" i="13"/>
  <c r="U25" i="13"/>
  <c r="U19" i="13"/>
  <c r="U15" i="13"/>
  <c r="U27" i="13"/>
  <c r="U18" i="13"/>
  <c r="U34" i="13"/>
  <c r="D131" i="11"/>
  <c r="V2" i="13"/>
  <c r="U41" i="13"/>
  <c r="U10" i="13"/>
  <c r="AA41" i="13"/>
  <c r="AH1005" i="13"/>
  <c r="AH974" i="13"/>
  <c r="AH695" i="13"/>
  <c r="AH469" i="13"/>
  <c r="AH427" i="13"/>
  <c r="AH596" i="13"/>
  <c r="AH966" i="13"/>
  <c r="AH190" i="13"/>
  <c r="AH352" i="13"/>
  <c r="AH694" i="13"/>
  <c r="AH214" i="13"/>
  <c r="AH128" i="13"/>
  <c r="AH769" i="13"/>
  <c r="AH182" i="13"/>
  <c r="AH749" i="13"/>
  <c r="AH567" i="13"/>
  <c r="AH829" i="13"/>
  <c r="AH414" i="13"/>
  <c r="AH783" i="13"/>
  <c r="AH499" i="13"/>
  <c r="AH562" i="13"/>
  <c r="AH439" i="13"/>
  <c r="AH491" i="13"/>
  <c r="AH962" i="13"/>
  <c r="AH347" i="13"/>
  <c r="AH980" i="13"/>
  <c r="AH900" i="13"/>
  <c r="AH893" i="13"/>
  <c r="AH719" i="13"/>
  <c r="AH690" i="13"/>
  <c r="AH368" i="13"/>
  <c r="AH251" i="13"/>
  <c r="AH903" i="13"/>
  <c r="AH362" i="13"/>
  <c r="AH1000" i="13"/>
  <c r="AH500" i="13"/>
  <c r="AH219" i="13"/>
  <c r="AA75" i="13"/>
  <c r="AH75" i="13" s="1"/>
  <c r="AA10" i="13"/>
  <c r="AH10" i="13" s="1"/>
  <c r="W2" i="13"/>
  <c r="AM41" i="13"/>
  <c r="AB7" i="13"/>
  <c r="V41" i="13"/>
  <c r="AL41" i="13" s="1"/>
  <c r="Z7" i="13"/>
  <c r="Y7" i="13"/>
  <c r="X7" i="13"/>
  <c r="H12" i="1"/>
  <c r="H14" i="1"/>
  <c r="H13" i="1"/>
  <c r="H17" i="1"/>
  <c r="H16" i="1"/>
  <c r="F40" i="11"/>
  <c r="K40" i="11" s="1"/>
  <c r="F672" i="11"/>
  <c r="K672" i="11" s="1"/>
  <c r="E14" i="1"/>
  <c r="E454" i="11" s="1"/>
  <c r="D8" i="5"/>
  <c r="H24" i="1"/>
  <c r="E131" i="11" s="1"/>
  <c r="B35" i="14"/>
  <c r="B34" i="14"/>
  <c r="B39" i="14"/>
  <c r="B33" i="14"/>
  <c r="B30" i="14"/>
  <c r="B29" i="14"/>
  <c r="B28" i="14"/>
  <c r="B32" i="14"/>
  <c r="B31" i="14"/>
  <c r="B37" i="14"/>
  <c r="B38" i="14"/>
  <c r="B36" i="14"/>
  <c r="C31" i="14"/>
  <c r="C34" i="14"/>
  <c r="C28" i="14"/>
  <c r="C39" i="14"/>
  <c r="C29" i="14"/>
  <c r="C30" i="14"/>
  <c r="C33" i="14"/>
  <c r="C37" i="14"/>
  <c r="C35" i="14"/>
  <c r="C36" i="14"/>
  <c r="C32" i="14"/>
  <c r="C38" i="14"/>
  <c r="AK143" i="23"/>
  <c r="AK134" i="23"/>
  <c r="AK199" i="23"/>
  <c r="AK129" i="23"/>
  <c r="AK183" i="23"/>
  <c r="AK124" i="23"/>
  <c r="AK203" i="23"/>
  <c r="AK123" i="23"/>
  <c r="AK127" i="23"/>
  <c r="AK170" i="23"/>
  <c r="AK115" i="23"/>
  <c r="AK149" i="23"/>
  <c r="AK146" i="23"/>
  <c r="AK131" i="23"/>
  <c r="AK145" i="23"/>
  <c r="AK211" i="23"/>
  <c r="AK208" i="23"/>
  <c r="AK212" i="23"/>
  <c r="AK193" i="23"/>
  <c r="AK210" i="23"/>
  <c r="AK192" i="23"/>
  <c r="AK196" i="23"/>
  <c r="AK194" i="23"/>
  <c r="AK198" i="23"/>
  <c r="AK204" i="23"/>
  <c r="AK207" i="23"/>
  <c r="AK195" i="23"/>
  <c r="AK186" i="23"/>
  <c r="AK209" i="23"/>
  <c r="AK197" i="23"/>
  <c r="AK187" i="23"/>
  <c r="AK205" i="23"/>
  <c r="AK200" i="23"/>
  <c r="AK181" i="23"/>
  <c r="AK201" i="23"/>
  <c r="AK188" i="23"/>
  <c r="AK185" i="23"/>
  <c r="AK190" i="23"/>
  <c r="AK184" i="23"/>
  <c r="AK171" i="23"/>
  <c r="AK177" i="23"/>
  <c r="AK154" i="23"/>
  <c r="AK148" i="23"/>
  <c r="AK174" i="23"/>
  <c r="AK176" i="23"/>
  <c r="AK161" i="23"/>
  <c r="AK164" i="23"/>
  <c r="AK168" i="23"/>
  <c r="AK173" i="23"/>
  <c r="AK178" i="23"/>
  <c r="AK156" i="23"/>
  <c r="AK150" i="23"/>
  <c r="AK141" i="23"/>
  <c r="AK172" i="23"/>
  <c r="AK175" i="23"/>
  <c r="AK179" i="23"/>
  <c r="AK162" i="23"/>
  <c r="AK160" i="23"/>
  <c r="AK166" i="23"/>
  <c r="AK138" i="23"/>
  <c r="AK139" i="23"/>
  <c r="AK142" i="23"/>
  <c r="AK182" i="23"/>
  <c r="AK189" i="23"/>
  <c r="AK140" i="23"/>
  <c r="AK130" i="23"/>
  <c r="AK135" i="23"/>
  <c r="AK167" i="23"/>
  <c r="AK155" i="23"/>
  <c r="AK151" i="23"/>
  <c r="AK157" i="23"/>
  <c r="AK137" i="23"/>
  <c r="AK144" i="23"/>
  <c r="AK128" i="23"/>
  <c r="AK159" i="23"/>
  <c r="AK133" i="23"/>
  <c r="AK132" i="23"/>
  <c r="AK118" i="23"/>
  <c r="AK116" i="23"/>
  <c r="AK120" i="23"/>
  <c r="AK119" i="23"/>
  <c r="AK153" i="23"/>
  <c r="AK126" i="23"/>
  <c r="AK121" i="23"/>
  <c r="AK163" i="23"/>
  <c r="AK122" i="23"/>
  <c r="AK206" i="23"/>
  <c r="AK117" i="23"/>
  <c r="AK165" i="23"/>
  <c r="AK152" i="23"/>
  <c r="AK136" i="23"/>
  <c r="AK202" i="23"/>
  <c r="AK180" i="23"/>
  <c r="AK147" i="23"/>
  <c r="AK114" i="23"/>
  <c r="AK191" i="23"/>
  <c r="AK169" i="23"/>
  <c r="AK158" i="23"/>
  <c r="AK125" i="23"/>
  <c r="AK112" i="23"/>
  <c r="AK108" i="23"/>
  <c r="AK111" i="23"/>
  <c r="AK113" i="23"/>
  <c r="AK107" i="23"/>
  <c r="AK109" i="23"/>
  <c r="AK110" i="23"/>
  <c r="AK104" i="23"/>
  <c r="AK102" i="23"/>
  <c r="AK106" i="23"/>
  <c r="AK103" i="23"/>
  <c r="AK99" i="23"/>
  <c r="AK98" i="23"/>
  <c r="AK101" i="23"/>
  <c r="AK94" i="23"/>
  <c r="AK105" i="23"/>
  <c r="AK93" i="23"/>
  <c r="AK96" i="23"/>
  <c r="AK97" i="23"/>
  <c r="AK92" i="23"/>
  <c r="AK90" i="23"/>
  <c r="AK89" i="23"/>
  <c r="AK91" i="23"/>
  <c r="AK87" i="23"/>
  <c r="AK100" i="23"/>
  <c r="AK86" i="23"/>
  <c r="AK85" i="23"/>
  <c r="AK88" i="23"/>
  <c r="AK95" i="23"/>
  <c r="AK83" i="23"/>
  <c r="AK79" i="23"/>
  <c r="AK76" i="23"/>
  <c r="AK73" i="23"/>
  <c r="AK72" i="23"/>
  <c r="AK82" i="23"/>
  <c r="AK74" i="23"/>
  <c r="AK80" i="23"/>
  <c r="AK70" i="23"/>
  <c r="AK75" i="23"/>
  <c r="AK68" i="23"/>
  <c r="AK71" i="23"/>
  <c r="AK67" i="23"/>
  <c r="AK60" i="23"/>
  <c r="AK58" i="23"/>
  <c r="AK55" i="23"/>
  <c r="AK64" i="23"/>
  <c r="AK54" i="23"/>
  <c r="AK84" i="23"/>
  <c r="AK77" i="23"/>
  <c r="AK78" i="23"/>
  <c r="AK48" i="23"/>
  <c r="AK66" i="23"/>
  <c r="AK61" i="23"/>
  <c r="AK51" i="23"/>
  <c r="AK43" i="23"/>
  <c r="AK65" i="23"/>
  <c r="AK57" i="23"/>
  <c r="AK56" i="23"/>
  <c r="AK42" i="23"/>
  <c r="AK81" i="23"/>
  <c r="AK62" i="23"/>
  <c r="AK47" i="23"/>
  <c r="AK69" i="23"/>
  <c r="AK63" i="23"/>
  <c r="AK52" i="23"/>
  <c r="AK49" i="23"/>
  <c r="AK45" i="23"/>
  <c r="AK31" i="23"/>
  <c r="AK38" i="23"/>
  <c r="AK36" i="23"/>
  <c r="AK59" i="23"/>
  <c r="AK37" i="23"/>
  <c r="AK35" i="23"/>
  <c r="AK53" i="23"/>
  <c r="AK29" i="23"/>
  <c r="AK19" i="23"/>
  <c r="AK50" i="23"/>
  <c r="AK46" i="23"/>
  <c r="AK44" i="23"/>
  <c r="AK26" i="23"/>
  <c r="AK24" i="23"/>
  <c r="AK40" i="23"/>
  <c r="AK21" i="23"/>
  <c r="AK32" i="23"/>
  <c r="AK30" i="23"/>
  <c r="AK20" i="23"/>
  <c r="AK41" i="23"/>
  <c r="AK23" i="23"/>
  <c r="AK12" i="23"/>
  <c r="AK4" i="23"/>
  <c r="AK11" i="23"/>
  <c r="AK28" i="23"/>
  <c r="AK9" i="23"/>
  <c r="AK25" i="23"/>
  <c r="AK34" i="23"/>
  <c r="AK22" i="23"/>
  <c r="AK16" i="23"/>
  <c r="AK14" i="23"/>
  <c r="AK6" i="23"/>
  <c r="AK15" i="23"/>
  <c r="AK13" i="23"/>
  <c r="AK5" i="23"/>
  <c r="AK39" i="23"/>
  <c r="AK33" i="23"/>
  <c r="AK27" i="23"/>
  <c r="AK18" i="23"/>
  <c r="AK8" i="23"/>
  <c r="AK7" i="23"/>
  <c r="AK10" i="23"/>
  <c r="AK17" i="23"/>
  <c r="AL2" i="23"/>
  <c r="B20" i="14"/>
  <c r="B12" i="14"/>
  <c r="B26" i="14"/>
  <c r="B19" i="14"/>
  <c r="B21" i="14"/>
  <c r="B13" i="14"/>
  <c r="B23" i="14"/>
  <c r="B11" i="14"/>
  <c r="B22" i="14"/>
  <c r="B14" i="14"/>
  <c r="B15" i="14"/>
  <c r="B24" i="14"/>
  <c r="B16" i="14"/>
  <c r="B25" i="14"/>
  <c r="B17" i="14"/>
  <c r="B18" i="14"/>
  <c r="B9" i="14"/>
  <c r="B27" i="14"/>
  <c r="B10" i="14"/>
  <c r="B8" i="14"/>
  <c r="G56" i="14"/>
  <c r="E90" i="14"/>
  <c r="G90" i="14" s="1"/>
  <c r="G59" i="14"/>
  <c r="G54" i="14"/>
  <c r="E79" i="14"/>
  <c r="G79" i="14" s="1"/>
  <c r="C9" i="14"/>
  <c r="C23" i="14"/>
  <c r="C25" i="14"/>
  <c r="C26" i="14"/>
  <c r="C21" i="14"/>
  <c r="C14" i="14"/>
  <c r="C22" i="14"/>
  <c r="C24" i="14"/>
  <c r="C11" i="14"/>
  <c r="C15" i="14"/>
  <c r="C20" i="14"/>
  <c r="C19" i="14"/>
  <c r="C18" i="14"/>
  <c r="C16" i="14"/>
  <c r="C27" i="14"/>
  <c r="C13" i="14"/>
  <c r="C17" i="14"/>
  <c r="C12" i="14"/>
  <c r="C10" i="14"/>
  <c r="J130" i="1"/>
  <c r="J45" i="1"/>
  <c r="AG144" i="13" l="1"/>
  <c r="AG65" i="13"/>
  <c r="AI65" i="13"/>
  <c r="AJ65" i="13" s="1"/>
  <c r="AG66" i="13"/>
  <c r="AI66" i="13"/>
  <c r="AJ66" i="13" s="1"/>
  <c r="AI156" i="13"/>
  <c r="AJ156" i="13" s="1"/>
  <c r="AG156" i="13"/>
  <c r="AG155" i="13"/>
  <c r="AI155" i="13"/>
  <c r="AJ155" i="13" s="1"/>
  <c r="AG151" i="13"/>
  <c r="AI151" i="13"/>
  <c r="AJ151" i="13" s="1"/>
  <c r="AI117" i="13"/>
  <c r="AJ117" i="13" s="1"/>
  <c r="AG117" i="13"/>
  <c r="AI116" i="13"/>
  <c r="AJ116" i="13" s="1"/>
  <c r="AG116" i="13"/>
  <c r="K131" i="11"/>
  <c r="J23" i="1"/>
  <c r="J21" i="1"/>
  <c r="AL7" i="13"/>
  <c r="E133" i="11"/>
  <c r="E136" i="11"/>
  <c r="E134" i="11"/>
  <c r="K134" i="11" s="1"/>
  <c r="E132" i="11"/>
  <c r="D137" i="11"/>
  <c r="D136" i="11"/>
  <c r="D132" i="11"/>
  <c r="AM7" i="13"/>
  <c r="J24" i="1" s="1"/>
  <c r="AG532" i="13"/>
  <c r="AI532" i="13"/>
  <c r="AJ532" i="13" s="1"/>
  <c r="AI496" i="13"/>
  <c r="AJ496" i="13" s="1"/>
  <c r="AG496" i="13"/>
  <c r="AG453" i="13"/>
  <c r="AI453" i="13"/>
  <c r="AJ453" i="13" s="1"/>
  <c r="AG271" i="13"/>
  <c r="AI271" i="13"/>
  <c r="AJ271" i="13" s="1"/>
  <c r="AG711" i="13"/>
  <c r="AI711" i="13"/>
  <c r="AJ711" i="13" s="1"/>
  <c r="AG869" i="13"/>
  <c r="AI869" i="13"/>
  <c r="AJ869" i="13" s="1"/>
  <c r="AI494" i="13"/>
  <c r="AJ494" i="13" s="1"/>
  <c r="AG494" i="13"/>
  <c r="AG754" i="13"/>
  <c r="AI754" i="13"/>
  <c r="AJ754" i="13" s="1"/>
  <c r="AG755" i="13"/>
  <c r="AI755" i="13"/>
  <c r="AJ755" i="13" s="1"/>
  <c r="AG608" i="13"/>
  <c r="AI608" i="13"/>
  <c r="AJ608" i="13" s="1"/>
  <c r="AG782" i="13"/>
  <c r="AI782" i="13"/>
  <c r="AJ782" i="13" s="1"/>
  <c r="AI425" i="13"/>
  <c r="AJ425" i="13" s="1"/>
  <c r="AG425" i="13"/>
  <c r="AG677" i="13"/>
  <c r="AI677" i="13"/>
  <c r="AJ677" i="13" s="1"/>
  <c r="AG994" i="13"/>
  <c r="AI994" i="13"/>
  <c r="AJ994" i="13" s="1"/>
  <c r="AI188" i="13"/>
  <c r="AJ188" i="13" s="1"/>
  <c r="AG188" i="13"/>
  <c r="AI180" i="13"/>
  <c r="AJ180" i="13" s="1"/>
  <c r="AG180" i="13"/>
  <c r="AI148" i="13"/>
  <c r="AJ148" i="13" s="1"/>
  <c r="AG148" i="13"/>
  <c r="AI689" i="13"/>
  <c r="AJ689" i="13" s="1"/>
  <c r="AG689" i="13"/>
  <c r="AG844" i="13"/>
  <c r="AI844" i="13"/>
  <c r="AJ844" i="13" s="1"/>
  <c r="AI353" i="13"/>
  <c r="AJ353" i="13" s="1"/>
  <c r="AG353" i="13"/>
  <c r="AG935" i="13"/>
  <c r="AI935" i="13"/>
  <c r="AJ935" i="13" s="1"/>
  <c r="AG949" i="13"/>
  <c r="AI949" i="13"/>
  <c r="AJ949" i="13" s="1"/>
  <c r="AG686" i="13"/>
  <c r="AI686" i="13"/>
  <c r="AJ686" i="13" s="1"/>
  <c r="AI685" i="13"/>
  <c r="AJ685" i="13" s="1"/>
  <c r="AG685" i="13"/>
  <c r="AI660" i="13"/>
  <c r="AJ660" i="13" s="1"/>
  <c r="AG660" i="13"/>
  <c r="AI277" i="13"/>
  <c r="AJ277" i="13" s="1"/>
  <c r="AG277" i="13"/>
  <c r="AI185" i="13"/>
  <c r="AJ185" i="13" s="1"/>
  <c r="AG185" i="13"/>
  <c r="AG460" i="13"/>
  <c r="AI460" i="13"/>
  <c r="AJ460" i="13" s="1"/>
  <c r="AI862" i="13"/>
  <c r="AJ862" i="13" s="1"/>
  <c r="AG862" i="13"/>
  <c r="AI19" i="13"/>
  <c r="AG19" i="13"/>
  <c r="E248" i="11" s="1"/>
  <c r="K248" i="11" s="1"/>
  <c r="AG795" i="13"/>
  <c r="AI795" i="13"/>
  <c r="AJ795" i="13" s="1"/>
  <c r="AG257" i="13"/>
  <c r="AI257" i="13"/>
  <c r="AJ257" i="13" s="1"/>
  <c r="AI695" i="13"/>
  <c r="AJ695" i="13" s="1"/>
  <c r="AG695" i="13"/>
  <c r="AI831" i="13"/>
  <c r="AJ831" i="13" s="1"/>
  <c r="AG831" i="13"/>
  <c r="AG285" i="13"/>
  <c r="AI285" i="13"/>
  <c r="AJ285" i="13" s="1"/>
  <c r="AI777" i="13"/>
  <c r="AJ777" i="13" s="1"/>
  <c r="AG777" i="13"/>
  <c r="AI309" i="13"/>
  <c r="AJ309" i="13" s="1"/>
  <c r="AG309" i="13"/>
  <c r="AI379" i="13"/>
  <c r="AJ379" i="13" s="1"/>
  <c r="AG379" i="13"/>
  <c r="AI381" i="13"/>
  <c r="AJ381" i="13" s="1"/>
  <c r="AG381" i="13"/>
  <c r="AG456" i="13"/>
  <c r="AI456" i="13"/>
  <c r="AJ456" i="13" s="1"/>
  <c r="AG925" i="13"/>
  <c r="AI925" i="13"/>
  <c r="AJ925" i="13" s="1"/>
  <c r="AG214" i="13"/>
  <c r="AI214" i="13"/>
  <c r="AJ214" i="13" s="1"/>
  <c r="AI93" i="13"/>
  <c r="AJ93" i="13" s="1"/>
  <c r="AG93" i="13"/>
  <c r="AG752" i="13"/>
  <c r="AI752" i="13"/>
  <c r="AJ752" i="13" s="1"/>
  <c r="AG712" i="13"/>
  <c r="AI712" i="13"/>
  <c r="AJ712" i="13" s="1"/>
  <c r="AI443" i="13"/>
  <c r="AJ443" i="13" s="1"/>
  <c r="AG443" i="13"/>
  <c r="AG465" i="13"/>
  <c r="AI465" i="13"/>
  <c r="AJ465" i="13" s="1"/>
  <c r="AG491" i="13"/>
  <c r="AI491" i="13"/>
  <c r="AJ491" i="13" s="1"/>
  <c r="AG43" i="13"/>
  <c r="AI43" i="13"/>
  <c r="AJ43" i="13" s="1"/>
  <c r="AG177" i="13"/>
  <c r="AI177" i="13"/>
  <c r="AJ177" i="13" s="1"/>
  <c r="AI987" i="13"/>
  <c r="AJ987" i="13" s="1"/>
  <c r="AG987" i="13"/>
  <c r="AI283" i="13"/>
  <c r="AJ283" i="13" s="1"/>
  <c r="AG283" i="13"/>
  <c r="AG429" i="13"/>
  <c r="AI429" i="13"/>
  <c r="AJ429" i="13" s="1"/>
  <c r="AG109" i="13"/>
  <c r="AI109" i="13"/>
  <c r="AJ109" i="13" s="1"/>
  <c r="AG799" i="13"/>
  <c r="AI799" i="13"/>
  <c r="AJ799" i="13" s="1"/>
  <c r="AG17" i="13"/>
  <c r="AI17" i="13"/>
  <c r="AJ17" i="13" s="1"/>
  <c r="AI472" i="13"/>
  <c r="AJ472" i="13" s="1"/>
  <c r="AG472" i="13"/>
  <c r="AG258" i="13"/>
  <c r="AI258" i="13"/>
  <c r="AJ258" i="13" s="1"/>
  <c r="AI199" i="13"/>
  <c r="AJ199" i="13" s="1"/>
  <c r="AG199" i="13"/>
  <c r="AG311" i="13"/>
  <c r="AI311" i="13"/>
  <c r="AJ311" i="13" s="1"/>
  <c r="AI255" i="13"/>
  <c r="AJ255" i="13" s="1"/>
  <c r="AG255" i="13"/>
  <c r="AI641" i="13"/>
  <c r="AJ641" i="13" s="1"/>
  <c r="AG641" i="13"/>
  <c r="AI986" i="13"/>
  <c r="AJ986" i="13" s="1"/>
  <c r="AG986" i="13"/>
  <c r="AG875" i="13"/>
  <c r="AI875" i="13"/>
  <c r="AJ875" i="13" s="1"/>
  <c r="AI614" i="13"/>
  <c r="AJ614" i="13" s="1"/>
  <c r="AG614" i="13"/>
  <c r="AI405" i="13"/>
  <c r="AJ405" i="13" s="1"/>
  <c r="AG405" i="13"/>
  <c r="AI345" i="13"/>
  <c r="AJ345" i="13" s="1"/>
  <c r="AG345" i="13"/>
  <c r="AG191" i="13"/>
  <c r="AI191" i="13"/>
  <c r="AJ191" i="13" s="1"/>
  <c r="AI558" i="13"/>
  <c r="AJ558" i="13" s="1"/>
  <c r="AG558" i="13"/>
  <c r="AI646" i="13"/>
  <c r="AJ646" i="13" s="1"/>
  <c r="AG646" i="13"/>
  <c r="AI912" i="13"/>
  <c r="AJ912" i="13" s="1"/>
  <c r="AG912" i="13"/>
  <c r="AG76" i="13"/>
  <c r="AI76" i="13"/>
  <c r="AJ76" i="13" s="1"/>
  <c r="AG620" i="13"/>
  <c r="AI620" i="13"/>
  <c r="AJ620" i="13" s="1"/>
  <c r="AG501" i="13"/>
  <c r="AI501" i="13"/>
  <c r="AJ501" i="13" s="1"/>
  <c r="AI811" i="13"/>
  <c r="AJ811" i="13" s="1"/>
  <c r="AG811" i="13"/>
  <c r="AI702" i="13"/>
  <c r="AJ702" i="13" s="1"/>
  <c r="AG702" i="13"/>
  <c r="AG901" i="13"/>
  <c r="AI901" i="13"/>
  <c r="AJ901" i="13" s="1"/>
  <c r="AI186" i="13"/>
  <c r="AJ186" i="13" s="1"/>
  <c r="AG186" i="13"/>
  <c r="AG786" i="13"/>
  <c r="AI786" i="13"/>
  <c r="AJ786" i="13" s="1"/>
  <c r="AI312" i="13"/>
  <c r="AJ312" i="13" s="1"/>
  <c r="AG312" i="13"/>
  <c r="AI459" i="13"/>
  <c r="AJ459" i="13" s="1"/>
  <c r="AG459" i="13"/>
  <c r="AG132" i="13"/>
  <c r="AI132" i="13"/>
  <c r="AJ132" i="13" s="1"/>
  <c r="AG308" i="13"/>
  <c r="AI308" i="13"/>
  <c r="AJ308" i="13" s="1"/>
  <c r="AI230" i="13"/>
  <c r="AJ230" i="13" s="1"/>
  <c r="AG230" i="13"/>
  <c r="AI939" i="13"/>
  <c r="AJ939" i="13" s="1"/>
  <c r="AG939" i="13"/>
  <c r="AI742" i="13"/>
  <c r="AJ742" i="13" s="1"/>
  <c r="AG742" i="13"/>
  <c r="AI693" i="13"/>
  <c r="AJ693" i="13" s="1"/>
  <c r="AG693" i="13"/>
  <c r="AG817" i="13"/>
  <c r="AI817" i="13"/>
  <c r="AJ817" i="13" s="1"/>
  <c r="AI894" i="13"/>
  <c r="AJ894" i="13" s="1"/>
  <c r="AG894" i="13"/>
  <c r="AG600" i="13"/>
  <c r="AI600" i="13"/>
  <c r="AJ600" i="13" s="1"/>
  <c r="AI209" i="13"/>
  <c r="AJ209" i="13" s="1"/>
  <c r="AG209" i="13"/>
  <c r="AI974" i="13"/>
  <c r="AJ974" i="13" s="1"/>
  <c r="AG974" i="13"/>
  <c r="AI362" i="13"/>
  <c r="AJ362" i="13" s="1"/>
  <c r="AG362" i="13"/>
  <c r="AG732" i="13"/>
  <c r="AI732" i="13"/>
  <c r="AJ732" i="13" s="1"/>
  <c r="AI957" i="13"/>
  <c r="AJ957" i="13" s="1"/>
  <c r="AG957" i="13"/>
  <c r="AG14" i="13"/>
  <c r="AI14" i="13"/>
  <c r="AJ14" i="13" s="1"/>
  <c r="AG23" i="13"/>
  <c r="AI23" i="13"/>
  <c r="AG937" i="13"/>
  <c r="AI937" i="13"/>
  <c r="AJ937" i="13" s="1"/>
  <c r="AG628" i="13"/>
  <c r="AI628" i="13"/>
  <c r="AJ628" i="13" s="1"/>
  <c r="AI645" i="13"/>
  <c r="AJ645" i="13" s="1"/>
  <c r="AG645" i="13"/>
  <c r="AI830" i="13"/>
  <c r="AJ830" i="13" s="1"/>
  <c r="AG830" i="13"/>
  <c r="AG436" i="13"/>
  <c r="AI436" i="13"/>
  <c r="AJ436" i="13" s="1"/>
  <c r="AI969" i="13"/>
  <c r="AJ969" i="13" s="1"/>
  <c r="AG969" i="13"/>
  <c r="AI246" i="13"/>
  <c r="AJ246" i="13" s="1"/>
  <c r="AG246" i="13"/>
  <c r="AG410" i="13"/>
  <c r="AI410" i="13"/>
  <c r="AJ410" i="13" s="1"/>
  <c r="AG247" i="13"/>
  <c r="AI247" i="13"/>
  <c r="AJ247" i="13" s="1"/>
  <c r="AI486" i="13"/>
  <c r="AJ486" i="13" s="1"/>
  <c r="AG486" i="13"/>
  <c r="AI239" i="13"/>
  <c r="AJ239" i="13" s="1"/>
  <c r="AG239" i="13"/>
  <c r="AG566" i="13"/>
  <c r="AI566" i="13"/>
  <c r="AJ566" i="13" s="1"/>
  <c r="AG503" i="13"/>
  <c r="AI503" i="13"/>
  <c r="AJ503" i="13" s="1"/>
  <c r="AG658" i="13"/>
  <c r="AI658" i="13"/>
  <c r="AJ658" i="13" s="1"/>
  <c r="AG466" i="13"/>
  <c r="AI466" i="13"/>
  <c r="AJ466" i="13" s="1"/>
  <c r="AG889" i="13"/>
  <c r="AI889" i="13"/>
  <c r="AJ889" i="13" s="1"/>
  <c r="AG966" i="13"/>
  <c r="AI966" i="13"/>
  <c r="AJ966" i="13" s="1"/>
  <c r="AI995" i="13"/>
  <c r="AJ995" i="13" s="1"/>
  <c r="AG995" i="13"/>
  <c r="AG245" i="13"/>
  <c r="AI245" i="13"/>
  <c r="AJ245" i="13" s="1"/>
  <c r="AI710" i="13"/>
  <c r="AJ710" i="13" s="1"/>
  <c r="AG710" i="13"/>
  <c r="AI269" i="13"/>
  <c r="AJ269" i="13" s="1"/>
  <c r="AG269" i="13"/>
  <c r="AG78" i="13"/>
  <c r="AI78" i="13"/>
  <c r="AJ78" i="13" s="1"/>
  <c r="AG162" i="13"/>
  <c r="AI162" i="13"/>
  <c r="AJ162" i="13" s="1"/>
  <c r="AI922" i="13"/>
  <c r="AJ922" i="13" s="1"/>
  <c r="AG922" i="13"/>
  <c r="AG196" i="13"/>
  <c r="AI196" i="13"/>
  <c r="AJ196" i="13" s="1"/>
  <c r="AG210" i="13"/>
  <c r="AI210" i="13"/>
  <c r="AJ210" i="13" s="1"/>
  <c r="AI829" i="13"/>
  <c r="AJ829" i="13" s="1"/>
  <c r="AG829" i="13"/>
  <c r="AI778" i="13"/>
  <c r="AJ778" i="13" s="1"/>
  <c r="AG778" i="13"/>
  <c r="AI598" i="13"/>
  <c r="AJ598" i="13" s="1"/>
  <c r="AG598" i="13"/>
  <c r="AI653" i="13"/>
  <c r="AJ653" i="13" s="1"/>
  <c r="AG653" i="13"/>
  <c r="AI546" i="13"/>
  <c r="AJ546" i="13" s="1"/>
  <c r="AG546" i="13"/>
  <c r="AG193" i="13"/>
  <c r="AI193" i="13"/>
  <c r="AJ193" i="13" s="1"/>
  <c r="AG392" i="13"/>
  <c r="AI392" i="13"/>
  <c r="AJ392" i="13" s="1"/>
  <c r="AG394" i="13"/>
  <c r="AI394" i="13"/>
  <c r="AJ394" i="13" s="1"/>
  <c r="AG804" i="13"/>
  <c r="AI804" i="13"/>
  <c r="AJ804" i="13" s="1"/>
  <c r="AG340" i="13"/>
  <c r="AI340" i="13"/>
  <c r="AJ340" i="13" s="1"/>
  <c r="AG108" i="13"/>
  <c r="AI108" i="13"/>
  <c r="AJ108" i="13" s="1"/>
  <c r="AG794" i="13"/>
  <c r="AI794" i="13"/>
  <c r="AJ794" i="13" s="1"/>
  <c r="AG197" i="13"/>
  <c r="AI197" i="13"/>
  <c r="AJ197" i="13" s="1"/>
  <c r="AG470" i="13"/>
  <c r="AI470" i="13"/>
  <c r="AJ470" i="13" s="1"/>
  <c r="AI427" i="13"/>
  <c r="AJ427" i="13" s="1"/>
  <c r="AG427" i="13"/>
  <c r="AG241" i="13"/>
  <c r="AI241" i="13"/>
  <c r="AJ241" i="13" s="1"/>
  <c r="AG745" i="13"/>
  <c r="AI745" i="13"/>
  <c r="AJ745" i="13" s="1"/>
  <c r="AG859" i="13"/>
  <c r="AI859" i="13"/>
  <c r="AJ859" i="13" s="1"/>
  <c r="AG229" i="13"/>
  <c r="AI229" i="13"/>
  <c r="AJ229" i="13" s="1"/>
  <c r="AI152" i="13"/>
  <c r="AJ152" i="13" s="1"/>
  <c r="AG152" i="13"/>
  <c r="AG300" i="13"/>
  <c r="AI300" i="13"/>
  <c r="AJ300" i="13" s="1"/>
  <c r="AI973" i="13"/>
  <c r="AJ973" i="13" s="1"/>
  <c r="AG973" i="13"/>
  <c r="AG11" i="13"/>
  <c r="E236" i="11" s="1"/>
  <c r="K236" i="11" s="1"/>
  <c r="AI11" i="13"/>
  <c r="AI22" i="13"/>
  <c r="AJ22" i="13" s="1"/>
  <c r="AG22" i="13"/>
  <c r="AI984" i="13"/>
  <c r="AJ984" i="13" s="1"/>
  <c r="AG984" i="13"/>
  <c r="AI905" i="13"/>
  <c r="AJ905" i="13" s="1"/>
  <c r="AG905" i="13"/>
  <c r="AI781" i="13"/>
  <c r="AJ781" i="13" s="1"/>
  <c r="AG781" i="13"/>
  <c r="AG517" i="13"/>
  <c r="AI517" i="13"/>
  <c r="AJ517" i="13" s="1"/>
  <c r="AI940" i="13"/>
  <c r="AJ940" i="13" s="1"/>
  <c r="AG940" i="13"/>
  <c r="AI411" i="13"/>
  <c r="AJ411" i="13" s="1"/>
  <c r="AG411" i="13"/>
  <c r="AG950" i="13"/>
  <c r="AI950" i="13"/>
  <c r="AJ950" i="13" s="1"/>
  <c r="AG990" i="13"/>
  <c r="AI990" i="13"/>
  <c r="AJ990" i="13" s="1"/>
  <c r="AG320" i="13"/>
  <c r="AI320" i="13"/>
  <c r="AJ320" i="13" s="1"/>
  <c r="AG982" i="13"/>
  <c r="AI982" i="13"/>
  <c r="AJ982" i="13" s="1"/>
  <c r="AG319" i="13"/>
  <c r="AI319" i="13"/>
  <c r="AJ319" i="13" s="1"/>
  <c r="AI871" i="13"/>
  <c r="AJ871" i="13" s="1"/>
  <c r="AG871" i="13"/>
  <c r="AI997" i="13"/>
  <c r="AJ997" i="13" s="1"/>
  <c r="AG997" i="13"/>
  <c r="AG597" i="13"/>
  <c r="AI597" i="13"/>
  <c r="AJ597" i="13" s="1"/>
  <c r="AI530" i="13"/>
  <c r="AJ530" i="13" s="1"/>
  <c r="AG530" i="13"/>
  <c r="AG900" i="13"/>
  <c r="AI900" i="13"/>
  <c r="AJ900" i="13" s="1"/>
  <c r="AI368" i="13"/>
  <c r="AJ368" i="13" s="1"/>
  <c r="AG368" i="13"/>
  <c r="AG826" i="13"/>
  <c r="AI826" i="13"/>
  <c r="AJ826" i="13" s="1"/>
  <c r="AI493" i="13"/>
  <c r="AJ493" i="13" s="1"/>
  <c r="AG493" i="13"/>
  <c r="AI1003" i="13"/>
  <c r="AJ1003" i="13" s="1"/>
  <c r="AG1003" i="13"/>
  <c r="AI316" i="13"/>
  <c r="AJ316" i="13" s="1"/>
  <c r="AG316" i="13"/>
  <c r="AG521" i="13"/>
  <c r="AI521" i="13"/>
  <c r="AJ521" i="13" s="1"/>
  <c r="AI876" i="13"/>
  <c r="AJ876" i="13" s="1"/>
  <c r="AG876" i="13"/>
  <c r="AG691" i="13"/>
  <c r="AI691" i="13"/>
  <c r="AJ691" i="13" s="1"/>
  <c r="AI588" i="13"/>
  <c r="AJ588" i="13" s="1"/>
  <c r="AG588" i="13"/>
  <c r="AI218" i="13"/>
  <c r="AJ218" i="13" s="1"/>
  <c r="AG218" i="13"/>
  <c r="AG133" i="13"/>
  <c r="AI133" i="13"/>
  <c r="AJ133" i="13" s="1"/>
  <c r="AI819" i="13"/>
  <c r="AJ819" i="13" s="1"/>
  <c r="AG819" i="13"/>
  <c r="AG414" i="13"/>
  <c r="AI414" i="13"/>
  <c r="AJ414" i="13" s="1"/>
  <c r="AG223" i="13"/>
  <c r="AI223" i="13"/>
  <c r="AJ223" i="13" s="1"/>
  <c r="AI166" i="13"/>
  <c r="AJ166" i="13" s="1"/>
  <c r="AG166" i="13"/>
  <c r="AG857" i="13"/>
  <c r="AI857" i="13"/>
  <c r="AJ857" i="13" s="1"/>
  <c r="AG769" i="13"/>
  <c r="AI769" i="13"/>
  <c r="AJ769" i="13" s="1"/>
  <c r="AG519" i="13"/>
  <c r="AI519" i="13"/>
  <c r="AJ519" i="13" s="1"/>
  <c r="AI282" i="13"/>
  <c r="AJ282" i="13" s="1"/>
  <c r="AG282" i="13"/>
  <c r="AG642" i="13"/>
  <c r="AI642" i="13"/>
  <c r="AJ642" i="13" s="1"/>
  <c r="AI268" i="13"/>
  <c r="AJ268" i="13" s="1"/>
  <c r="AG268" i="13"/>
  <c r="AG149" i="13"/>
  <c r="AI149" i="13"/>
  <c r="AJ149" i="13" s="1"/>
  <c r="AI585" i="13"/>
  <c r="AJ585" i="13" s="1"/>
  <c r="AG585" i="13"/>
  <c r="AI880" i="13"/>
  <c r="AJ880" i="13" s="1"/>
  <c r="AG880" i="13"/>
  <c r="AI841" i="13"/>
  <c r="AJ841" i="13" s="1"/>
  <c r="AG841" i="13"/>
  <c r="AI748" i="13"/>
  <c r="AJ748" i="13" s="1"/>
  <c r="AG748" i="13"/>
  <c r="AG369" i="13"/>
  <c r="AI369" i="13"/>
  <c r="AJ369" i="13" s="1"/>
  <c r="AG931" i="13"/>
  <c r="AI931" i="13"/>
  <c r="AJ931" i="13" s="1"/>
  <c r="AG865" i="13"/>
  <c r="AI865" i="13"/>
  <c r="AJ865" i="13" s="1"/>
  <c r="AI953" i="13"/>
  <c r="AJ953" i="13" s="1"/>
  <c r="AG953" i="13"/>
  <c r="AG670" i="13"/>
  <c r="AI670" i="13"/>
  <c r="AJ670" i="13" s="1"/>
  <c r="AG515" i="13"/>
  <c r="AI515" i="13"/>
  <c r="AJ515" i="13" s="1"/>
  <c r="AG890" i="13"/>
  <c r="AI890" i="13"/>
  <c r="AJ890" i="13" s="1"/>
  <c r="AI88" i="13"/>
  <c r="AJ88" i="13" s="1"/>
  <c r="AG88" i="13"/>
  <c r="AG342" i="13"/>
  <c r="AI342" i="13"/>
  <c r="AJ342" i="13" s="1"/>
  <c r="AI29" i="13"/>
  <c r="AG29" i="13"/>
  <c r="AI372" i="13"/>
  <c r="AJ372" i="13" s="1"/>
  <c r="AG372" i="13"/>
  <c r="AG42" i="13"/>
  <c r="AI42" i="13"/>
  <c r="AJ42" i="13" s="1"/>
  <c r="AI124" i="13"/>
  <c r="AJ124" i="13" s="1"/>
  <c r="AG124" i="13"/>
  <c r="AI860" i="13"/>
  <c r="AJ860" i="13" s="1"/>
  <c r="AG860" i="13"/>
  <c r="AG280" i="13"/>
  <c r="AI280" i="13"/>
  <c r="AJ280" i="13" s="1"/>
  <c r="AI159" i="13"/>
  <c r="AJ159" i="13" s="1"/>
  <c r="AG159" i="13"/>
  <c r="AG720" i="13"/>
  <c r="AI720" i="13"/>
  <c r="AJ720" i="13" s="1"/>
  <c r="AG383" i="13"/>
  <c r="AI383" i="13"/>
  <c r="AJ383" i="13" s="1"/>
  <c r="AG484" i="13"/>
  <c r="AI484" i="13"/>
  <c r="AJ484" i="13" s="1"/>
  <c r="AI437" i="13"/>
  <c r="AJ437" i="13" s="1"/>
  <c r="AG437" i="13"/>
  <c r="AG797" i="13"/>
  <c r="AI797" i="13"/>
  <c r="AJ797" i="13" s="1"/>
  <c r="AG184" i="13"/>
  <c r="AI184" i="13"/>
  <c r="AJ184" i="13" s="1"/>
  <c r="AG629" i="13"/>
  <c r="AI629" i="13"/>
  <c r="AJ629" i="13" s="1"/>
  <c r="AG128" i="13"/>
  <c r="AI128" i="13"/>
  <c r="AJ128" i="13" s="1"/>
  <c r="AI343" i="13"/>
  <c r="AJ343" i="13" s="1"/>
  <c r="AG343" i="13"/>
  <c r="AG153" i="13"/>
  <c r="AI153" i="13"/>
  <c r="AJ153" i="13" s="1"/>
  <c r="AG527" i="13"/>
  <c r="AI527" i="13"/>
  <c r="AJ527" i="13" s="1"/>
  <c r="AI424" i="13"/>
  <c r="AJ424" i="13" s="1"/>
  <c r="AG424" i="13"/>
  <c r="AG237" i="13"/>
  <c r="AI237" i="13"/>
  <c r="AJ237" i="13" s="1"/>
  <c r="AI767" i="13"/>
  <c r="AJ767" i="13" s="1"/>
  <c r="AG767" i="13"/>
  <c r="AI845" i="13"/>
  <c r="AJ845" i="13" s="1"/>
  <c r="AG845" i="13"/>
  <c r="AI721" i="13"/>
  <c r="AJ721" i="13" s="1"/>
  <c r="AG721" i="13"/>
  <c r="AI936" i="13"/>
  <c r="AJ936" i="13" s="1"/>
  <c r="AG936" i="13"/>
  <c r="AI83" i="13"/>
  <c r="AJ83" i="13" s="1"/>
  <c r="AG83" i="13"/>
  <c r="AI270" i="13"/>
  <c r="AJ270" i="13" s="1"/>
  <c r="AG270" i="13"/>
  <c r="AI215" i="13"/>
  <c r="AJ215" i="13" s="1"/>
  <c r="AG215" i="13"/>
  <c r="AG577" i="13"/>
  <c r="AI577" i="13"/>
  <c r="AJ577" i="13" s="1"/>
  <c r="AI765" i="13"/>
  <c r="AJ765" i="13" s="1"/>
  <c r="AG765" i="13"/>
  <c r="AG568" i="13"/>
  <c r="AI568" i="13"/>
  <c r="AJ568" i="13" s="1"/>
  <c r="AG672" i="13"/>
  <c r="AI672" i="13"/>
  <c r="AJ672" i="13" s="1"/>
  <c r="AI213" i="13"/>
  <c r="AJ213" i="13" s="1"/>
  <c r="AG213" i="13"/>
  <c r="AI495" i="13"/>
  <c r="AJ495" i="13" s="1"/>
  <c r="AG495" i="13"/>
  <c r="AG332" i="13"/>
  <c r="AI332" i="13"/>
  <c r="AJ332" i="13" s="1"/>
  <c r="AI644" i="13"/>
  <c r="AJ644" i="13" s="1"/>
  <c r="AG644" i="13"/>
  <c r="AG529" i="13"/>
  <c r="AI529" i="13"/>
  <c r="AJ529" i="13" s="1"/>
  <c r="AI570" i="13"/>
  <c r="AJ570" i="13" s="1"/>
  <c r="AG570" i="13"/>
  <c r="AG815" i="13"/>
  <c r="AI815" i="13"/>
  <c r="AJ815" i="13" s="1"/>
  <c r="AI587" i="13"/>
  <c r="AJ587" i="13" s="1"/>
  <c r="AG587" i="13"/>
  <c r="AG304" i="13"/>
  <c r="AI304" i="13"/>
  <c r="AJ304" i="13" s="1"/>
  <c r="AG205" i="13"/>
  <c r="AI205" i="13"/>
  <c r="AJ205" i="13" s="1"/>
  <c r="AI182" i="13"/>
  <c r="AJ182" i="13" s="1"/>
  <c r="AG182" i="13"/>
  <c r="AG842" i="13"/>
  <c r="AI842" i="13"/>
  <c r="AJ842" i="13" s="1"/>
  <c r="AG44" i="13"/>
  <c r="AI44" i="13"/>
  <c r="AJ44" i="13" s="1"/>
  <c r="AI893" i="13"/>
  <c r="AJ893" i="13" s="1"/>
  <c r="AG893" i="13"/>
  <c r="AG717" i="13"/>
  <c r="AI717" i="13"/>
  <c r="AJ717" i="13" s="1"/>
  <c r="AG534" i="13"/>
  <c r="AI534" i="13"/>
  <c r="AJ534" i="13" s="1"/>
  <c r="AG161" i="13"/>
  <c r="AI161" i="13"/>
  <c r="AJ161" i="13" s="1"/>
  <c r="AG55" i="13"/>
  <c r="AI55" i="13"/>
  <c r="AJ55" i="13" s="1"/>
  <c r="AI959" i="13"/>
  <c r="AJ959" i="13" s="1"/>
  <c r="AG959" i="13"/>
  <c r="AG445" i="13"/>
  <c r="AI445" i="13"/>
  <c r="AJ445" i="13" s="1"/>
  <c r="AG895" i="13"/>
  <c r="AI895" i="13"/>
  <c r="AJ895" i="13" s="1"/>
  <c r="AG140" i="13"/>
  <c r="AI140" i="13"/>
  <c r="AJ140" i="13" s="1"/>
  <c r="AG621" i="13"/>
  <c r="AI621" i="13"/>
  <c r="AJ621" i="13" s="1"/>
  <c r="AI832" i="13"/>
  <c r="AJ832" i="13" s="1"/>
  <c r="AG832" i="13"/>
  <c r="AG506" i="13"/>
  <c r="AI506" i="13"/>
  <c r="AJ506" i="13" s="1"/>
  <c r="AI373" i="13"/>
  <c r="AJ373" i="13" s="1"/>
  <c r="AG373" i="13"/>
  <c r="AG724" i="13"/>
  <c r="AI724" i="13"/>
  <c r="AJ724" i="13" s="1"/>
  <c r="AG336" i="13"/>
  <c r="AI336" i="13"/>
  <c r="AJ336" i="13" s="1"/>
  <c r="AI56" i="13"/>
  <c r="AJ56" i="13" s="1"/>
  <c r="AG56" i="13"/>
  <c r="AG284" i="13"/>
  <c r="AI284" i="13"/>
  <c r="AJ284" i="13" s="1"/>
  <c r="AI918" i="13"/>
  <c r="AJ918" i="13" s="1"/>
  <c r="AG918" i="13"/>
  <c r="AI833" i="13"/>
  <c r="AJ833" i="13" s="1"/>
  <c r="AG833" i="13"/>
  <c r="AI352" i="13"/>
  <c r="AJ352" i="13" s="1"/>
  <c r="AG352" i="13"/>
  <c r="AG330" i="13"/>
  <c r="AI330" i="13"/>
  <c r="AJ330" i="13" s="1"/>
  <c r="AG753" i="13"/>
  <c r="AI753" i="13"/>
  <c r="AJ753" i="13" s="1"/>
  <c r="AG350" i="13"/>
  <c r="AI350" i="13"/>
  <c r="AJ350" i="13" s="1"/>
  <c r="AI211" i="13"/>
  <c r="AJ211" i="13" s="1"/>
  <c r="AG211" i="13"/>
  <c r="AI801" i="13"/>
  <c r="AJ801" i="13" s="1"/>
  <c r="AG801" i="13"/>
  <c r="AI843" i="13"/>
  <c r="AJ843" i="13" s="1"/>
  <c r="AG843" i="13"/>
  <c r="AI874" i="13"/>
  <c r="AJ874" i="13" s="1"/>
  <c r="AG874" i="13"/>
  <c r="AG613" i="13"/>
  <c r="AI613" i="13"/>
  <c r="AJ613" i="13" s="1"/>
  <c r="AG906" i="13"/>
  <c r="AI906" i="13"/>
  <c r="AJ906" i="13" s="1"/>
  <c r="AI444" i="13"/>
  <c r="AJ444" i="13" s="1"/>
  <c r="AG444" i="13"/>
  <c r="AG377" i="13"/>
  <c r="AI377" i="13"/>
  <c r="AJ377" i="13" s="1"/>
  <c r="AI933" i="13"/>
  <c r="AJ933" i="13" s="1"/>
  <c r="AG933" i="13"/>
  <c r="AI58" i="13"/>
  <c r="AJ58" i="13" s="1"/>
  <c r="AG58" i="13"/>
  <c r="AI364" i="13"/>
  <c r="AJ364" i="13" s="1"/>
  <c r="AG364" i="13"/>
  <c r="AG238" i="13"/>
  <c r="AI238" i="13"/>
  <c r="AJ238" i="13" s="1"/>
  <c r="AG348" i="13"/>
  <c r="AI348" i="13"/>
  <c r="AJ348" i="13" s="1"/>
  <c r="AG126" i="13"/>
  <c r="AI126" i="13"/>
  <c r="AJ126" i="13" s="1"/>
  <c r="AG439" i="13"/>
  <c r="AI439" i="13"/>
  <c r="AJ439" i="13" s="1"/>
  <c r="AI751" i="13"/>
  <c r="AJ751" i="13" s="1"/>
  <c r="AG751" i="13"/>
  <c r="AG423" i="13"/>
  <c r="AI423" i="13"/>
  <c r="AJ423" i="13" s="1"/>
  <c r="AI943" i="13"/>
  <c r="AJ943" i="13" s="1"/>
  <c r="AG943" i="13"/>
  <c r="AG236" i="13"/>
  <c r="AI236" i="13"/>
  <c r="AJ236" i="13" s="1"/>
  <c r="AG740" i="13"/>
  <c r="AI740" i="13"/>
  <c r="AJ740" i="13" s="1"/>
  <c r="AI757" i="13"/>
  <c r="AJ757" i="13" s="1"/>
  <c r="AG757" i="13"/>
  <c r="AI750" i="13"/>
  <c r="AJ750" i="13" s="1"/>
  <c r="AG750" i="13"/>
  <c r="AG618" i="13"/>
  <c r="AI618" i="13"/>
  <c r="AJ618" i="13" s="1"/>
  <c r="AI713" i="13"/>
  <c r="AJ713" i="13" s="1"/>
  <c r="AG713" i="13"/>
  <c r="AG430" i="13"/>
  <c r="AI430" i="13"/>
  <c r="AJ430" i="13" s="1"/>
  <c r="AI741" i="13"/>
  <c r="AJ741" i="13" s="1"/>
  <c r="AG741" i="13"/>
  <c r="AG981" i="13"/>
  <c r="AI981" i="13"/>
  <c r="AJ981" i="13" s="1"/>
  <c r="AI592" i="13"/>
  <c r="AJ592" i="13" s="1"/>
  <c r="AG592" i="13"/>
  <c r="AI674" i="13"/>
  <c r="AJ674" i="13" s="1"/>
  <c r="AG674" i="13"/>
  <c r="AG663" i="13"/>
  <c r="AI663" i="13"/>
  <c r="AJ663" i="13" s="1"/>
  <c r="AG110" i="13"/>
  <c r="AI110" i="13"/>
  <c r="AJ110" i="13" s="1"/>
  <c r="AG924" i="13"/>
  <c r="AI924" i="13"/>
  <c r="AJ924" i="13" s="1"/>
  <c r="AI739" i="13"/>
  <c r="AJ739" i="13" s="1"/>
  <c r="AG739" i="13"/>
  <c r="AI18" i="13"/>
  <c r="AG18" i="13"/>
  <c r="E251" i="11" s="1"/>
  <c r="K251" i="11" s="1"/>
  <c r="AG967" i="13"/>
  <c r="AI967" i="13"/>
  <c r="AJ967" i="13" s="1"/>
  <c r="AI82" i="13"/>
  <c r="AJ82" i="13" s="1"/>
  <c r="AG82" i="13"/>
  <c r="AG904" i="13"/>
  <c r="AI904" i="13"/>
  <c r="AJ904" i="13" s="1"/>
  <c r="AG242" i="13"/>
  <c r="AI242" i="13"/>
  <c r="AJ242" i="13" s="1"/>
  <c r="AI707" i="13"/>
  <c r="AJ707" i="13" s="1"/>
  <c r="AG707" i="13"/>
  <c r="AI475" i="13"/>
  <c r="AJ475" i="13" s="1"/>
  <c r="AG475" i="13"/>
  <c r="AI34" i="13"/>
  <c r="AJ34" i="13" s="1"/>
  <c r="AG34" i="13"/>
  <c r="AI593" i="13"/>
  <c r="AJ593" i="13" s="1"/>
  <c r="AG593" i="13"/>
  <c r="AG526" i="13"/>
  <c r="AI526" i="13"/>
  <c r="AJ526" i="13" s="1"/>
  <c r="AG244" i="13"/>
  <c r="AI244" i="13"/>
  <c r="AJ244" i="13" s="1"/>
  <c r="AG467" i="13"/>
  <c r="AI467" i="13"/>
  <c r="AJ467" i="13" s="1"/>
  <c r="AI91" i="13"/>
  <c r="AJ91" i="13" s="1"/>
  <c r="AG91" i="13"/>
  <c r="AG775" i="13"/>
  <c r="AI775" i="13"/>
  <c r="AJ775" i="13" s="1"/>
  <c r="AG361" i="13"/>
  <c r="AI361" i="13"/>
  <c r="AJ361" i="13" s="1"/>
  <c r="AI75" i="13"/>
  <c r="AJ75" i="13" s="1"/>
  <c r="AG75" i="13"/>
  <c r="E340" i="11" s="1"/>
  <c r="K340" i="11" s="1"/>
  <c r="AI68" i="13"/>
  <c r="AJ68" i="13" s="1"/>
  <c r="AG68" i="13"/>
  <c r="AG31" i="13"/>
  <c r="AI31" i="13"/>
  <c r="AJ31" i="13" s="1"/>
  <c r="AI87" i="13"/>
  <c r="AJ87" i="13" s="1"/>
  <c r="AG87" i="13"/>
  <c r="AG954" i="13"/>
  <c r="AI954" i="13"/>
  <c r="AJ954" i="13" s="1"/>
  <c r="AG725" i="13"/>
  <c r="AI725" i="13"/>
  <c r="AJ725" i="13" s="1"/>
  <c r="AI146" i="13"/>
  <c r="AJ146" i="13" s="1"/>
  <c r="AG146" i="13"/>
  <c r="AG13" i="13"/>
  <c r="AI13" i="13"/>
  <c r="AJ13" i="13" s="1"/>
  <c r="AI407" i="13"/>
  <c r="AJ407" i="13" s="1"/>
  <c r="AG407" i="13"/>
  <c r="AG535" i="13"/>
  <c r="AI535" i="13"/>
  <c r="AJ535" i="13" s="1"/>
  <c r="AI1001" i="13"/>
  <c r="AJ1001" i="13" s="1"/>
  <c r="AG1001" i="13"/>
  <c r="AG464" i="13"/>
  <c r="AI464" i="13"/>
  <c r="AJ464" i="13" s="1"/>
  <c r="AG562" i="13"/>
  <c r="AI562" i="13"/>
  <c r="AJ562" i="13" s="1"/>
  <c r="AI502" i="13"/>
  <c r="AJ502" i="13" s="1"/>
  <c r="AG502" i="13"/>
  <c r="AG46" i="13"/>
  <c r="AI46" i="13"/>
  <c r="AJ46" i="13" s="1"/>
  <c r="AI633" i="13"/>
  <c r="AJ633" i="13" s="1"/>
  <c r="AG633" i="13"/>
  <c r="AG67" i="13"/>
  <c r="AI67" i="13"/>
  <c r="AJ67" i="13" s="1"/>
  <c r="AG676" i="13"/>
  <c r="AI676" i="13"/>
  <c r="AJ676" i="13" s="1"/>
  <c r="AI680" i="13"/>
  <c r="AJ680" i="13" s="1"/>
  <c r="AG680" i="13"/>
  <c r="AI619" i="13"/>
  <c r="AJ619" i="13" s="1"/>
  <c r="AG619" i="13"/>
  <c r="AI522" i="13"/>
  <c r="AJ522" i="13" s="1"/>
  <c r="AG522" i="13"/>
  <c r="AI323" i="13"/>
  <c r="AJ323" i="13" s="1"/>
  <c r="AG323" i="13"/>
  <c r="AG216" i="13"/>
  <c r="AI216" i="13"/>
  <c r="AJ216" i="13" s="1"/>
  <c r="AI403" i="13"/>
  <c r="AJ403" i="13" s="1"/>
  <c r="AG403" i="13"/>
  <c r="AG930" i="13"/>
  <c r="AI930" i="13"/>
  <c r="AJ930" i="13" s="1"/>
  <c r="AI563" i="13"/>
  <c r="AJ563" i="13" s="1"/>
  <c r="AG563" i="13"/>
  <c r="AI726" i="13"/>
  <c r="AJ726" i="13" s="1"/>
  <c r="AG726" i="13"/>
  <c r="AI80" i="13"/>
  <c r="AJ80" i="13" s="1"/>
  <c r="AG80" i="13"/>
  <c r="AG988" i="13"/>
  <c r="AI988" i="13"/>
  <c r="AJ988" i="13" s="1"/>
  <c r="AI537" i="13"/>
  <c r="AJ537" i="13" s="1"/>
  <c r="AG537" i="13"/>
  <c r="AG314" i="13"/>
  <c r="AI314" i="13"/>
  <c r="AJ314" i="13" s="1"/>
  <c r="AI582" i="13"/>
  <c r="AJ582" i="13" s="1"/>
  <c r="AG582" i="13"/>
  <c r="AG490" i="13"/>
  <c r="AI490" i="13"/>
  <c r="AJ490" i="13" s="1"/>
  <c r="AI329" i="13"/>
  <c r="AJ329" i="13" s="1"/>
  <c r="AG329" i="13"/>
  <c r="AG738" i="13"/>
  <c r="AI738" i="13"/>
  <c r="AJ738" i="13" s="1"/>
  <c r="AG531" i="13"/>
  <c r="AI531" i="13"/>
  <c r="AJ531" i="13" s="1"/>
  <c r="AG540" i="13"/>
  <c r="AI540" i="13"/>
  <c r="AJ540" i="13" s="1"/>
  <c r="AG206" i="13"/>
  <c r="AI206" i="13"/>
  <c r="AJ206" i="13" s="1"/>
  <c r="AG735" i="13"/>
  <c r="AI735" i="13"/>
  <c r="AJ735" i="13" s="1"/>
  <c r="AI278" i="13"/>
  <c r="AJ278" i="13" s="1"/>
  <c r="AG278" i="13"/>
  <c r="AI240" i="13"/>
  <c r="AJ240" i="13" s="1"/>
  <c r="AG240" i="13"/>
  <c r="AG457" i="13"/>
  <c r="AI457" i="13"/>
  <c r="AJ457" i="13" s="1"/>
  <c r="AG682" i="13"/>
  <c r="AI682" i="13"/>
  <c r="AJ682" i="13" s="1"/>
  <c r="AG835" i="13"/>
  <c r="AI835" i="13"/>
  <c r="AJ835" i="13" s="1"/>
  <c r="AI694" i="13"/>
  <c r="AJ694" i="13" s="1"/>
  <c r="AG694" i="13"/>
  <c r="AI647" i="13"/>
  <c r="AJ647" i="13" s="1"/>
  <c r="AG647" i="13"/>
  <c r="AG249" i="13"/>
  <c r="AI249" i="13"/>
  <c r="AJ249" i="13" s="1"/>
  <c r="AG766" i="13"/>
  <c r="AI766" i="13"/>
  <c r="AJ766" i="13" s="1"/>
  <c r="AG736" i="13"/>
  <c r="AI736" i="13"/>
  <c r="AJ736" i="13" s="1"/>
  <c r="AG963" i="13"/>
  <c r="AI963" i="13"/>
  <c r="AJ963" i="13" s="1"/>
  <c r="AI253" i="13"/>
  <c r="AJ253" i="13" s="1"/>
  <c r="AG253" i="13"/>
  <c r="AI569" i="13"/>
  <c r="AJ569" i="13" s="1"/>
  <c r="AG569" i="13"/>
  <c r="AG779" i="13"/>
  <c r="AI779" i="13"/>
  <c r="AJ779" i="13" s="1"/>
  <c r="AI816" i="13"/>
  <c r="AJ816" i="13" s="1"/>
  <c r="AG816" i="13"/>
  <c r="AI57" i="13"/>
  <c r="AJ57" i="13" s="1"/>
  <c r="AG57" i="13"/>
  <c r="AG21" i="13"/>
  <c r="AI21" i="13"/>
  <c r="AI94" i="13"/>
  <c r="AJ94" i="13" s="1"/>
  <c r="AG94" i="13"/>
  <c r="AI718" i="13"/>
  <c r="AJ718" i="13" s="1"/>
  <c r="AG718" i="13"/>
  <c r="AG251" i="13"/>
  <c r="AI251" i="13"/>
  <c r="AJ251" i="13" s="1"/>
  <c r="AI877" i="13"/>
  <c r="AJ877" i="13" s="1"/>
  <c r="AG877" i="13"/>
  <c r="AI376" i="13"/>
  <c r="AJ376" i="13" s="1"/>
  <c r="AG376" i="13"/>
  <c r="AI50" i="13"/>
  <c r="AJ50" i="13" s="1"/>
  <c r="AG50" i="13"/>
  <c r="AI659" i="13"/>
  <c r="AJ659" i="13" s="1"/>
  <c r="AG659" i="13"/>
  <c r="AG290" i="13"/>
  <c r="AI290" i="13"/>
  <c r="AJ290" i="13" s="1"/>
  <c r="AG442" i="13"/>
  <c r="AI442" i="13"/>
  <c r="AJ442" i="13" s="1"/>
  <c r="AI856" i="13"/>
  <c r="AJ856" i="13" s="1"/>
  <c r="AG856" i="13"/>
  <c r="AG547" i="13"/>
  <c r="AI547" i="13"/>
  <c r="AJ547" i="13" s="1"/>
  <c r="AG339" i="13"/>
  <c r="AI339" i="13"/>
  <c r="AJ339" i="13" s="1"/>
  <c r="AG733" i="13"/>
  <c r="AI733" i="13"/>
  <c r="AJ733" i="13" s="1"/>
  <c r="AI51" i="13"/>
  <c r="AJ51" i="13" s="1"/>
  <c r="AG51" i="13"/>
  <c r="AI985" i="13"/>
  <c r="AJ985" i="13" s="1"/>
  <c r="AG985" i="13"/>
  <c r="AI623" i="13"/>
  <c r="AJ623" i="13" s="1"/>
  <c r="AG623" i="13"/>
  <c r="AI395" i="13"/>
  <c r="AJ395" i="13" s="1"/>
  <c r="AG395" i="13"/>
  <c r="AG565" i="13"/>
  <c r="AI565" i="13"/>
  <c r="AJ565" i="13" s="1"/>
  <c r="AI952" i="13"/>
  <c r="AJ952" i="13" s="1"/>
  <c r="AG952" i="13"/>
  <c r="AI301" i="13"/>
  <c r="AJ301" i="13" s="1"/>
  <c r="AG301" i="13"/>
  <c r="AG863" i="13"/>
  <c r="AI863" i="13"/>
  <c r="AJ863" i="13" s="1"/>
  <c r="AI378" i="13"/>
  <c r="AJ378" i="13" s="1"/>
  <c r="AG378" i="13"/>
  <c r="AI189" i="13"/>
  <c r="AJ189" i="13" s="1"/>
  <c r="AG189" i="13"/>
  <c r="AI69" i="13"/>
  <c r="AJ69" i="13" s="1"/>
  <c r="AG69" i="13"/>
  <c r="AG921" i="13"/>
  <c r="AI921" i="13"/>
  <c r="AJ921" i="13" s="1"/>
  <c r="AI552" i="13"/>
  <c r="AJ552" i="13" s="1"/>
  <c r="AG552" i="13"/>
  <c r="AI798" i="13"/>
  <c r="AJ798" i="13" s="1"/>
  <c r="AG798" i="13"/>
  <c r="AG609" i="13"/>
  <c r="AI609" i="13"/>
  <c r="AJ609" i="13" s="1"/>
  <c r="AG971" i="13"/>
  <c r="AI971" i="13"/>
  <c r="AJ971" i="13" s="1"/>
  <c r="AG701" i="13"/>
  <c r="AI701" i="13"/>
  <c r="AJ701" i="13" s="1"/>
  <c r="AI349" i="13"/>
  <c r="AJ349" i="13" s="1"/>
  <c r="AG349" i="13"/>
  <c r="AG96" i="13"/>
  <c r="AI96" i="13"/>
  <c r="AJ96" i="13" s="1"/>
  <c r="AI145" i="13"/>
  <c r="AJ145" i="13" s="1"/>
  <c r="AG145" i="13"/>
  <c r="AI703" i="13"/>
  <c r="AJ703" i="13" s="1"/>
  <c r="AG703" i="13"/>
  <c r="AI596" i="13"/>
  <c r="AJ596" i="13" s="1"/>
  <c r="AG596" i="13"/>
  <c r="AG818" i="13"/>
  <c r="AI818" i="13"/>
  <c r="AJ818" i="13" s="1"/>
  <c r="AI354" i="13"/>
  <c r="AJ354" i="13" s="1"/>
  <c r="AG354" i="13"/>
  <c r="AG455" i="13"/>
  <c r="AI455" i="13"/>
  <c r="AJ455" i="13" s="1"/>
  <c r="AI307" i="13"/>
  <c r="AJ307" i="13" s="1"/>
  <c r="AG307" i="13"/>
  <c r="AI434" i="13"/>
  <c r="AJ434" i="13" s="1"/>
  <c r="AG434" i="13"/>
  <c r="AI671" i="13"/>
  <c r="AJ671" i="13" s="1"/>
  <c r="AG671" i="13"/>
  <c r="AI581" i="13"/>
  <c r="AJ581" i="13" s="1"/>
  <c r="AG581" i="13"/>
  <c r="AI612" i="13"/>
  <c r="AJ612" i="13" s="1"/>
  <c r="AG612" i="13"/>
  <c r="AI656" i="13"/>
  <c r="AJ656" i="13" s="1"/>
  <c r="AG656" i="13"/>
  <c r="AG24" i="13"/>
  <c r="AI24" i="13"/>
  <c r="AJ24" i="13" s="1"/>
  <c r="AI281" i="13"/>
  <c r="AJ281" i="13" s="1"/>
  <c r="AG281" i="13"/>
  <c r="AI62" i="13"/>
  <c r="AJ62" i="13" s="1"/>
  <c r="AG62" i="13"/>
  <c r="AG810" i="13"/>
  <c r="AI810" i="13"/>
  <c r="AJ810" i="13" s="1"/>
  <c r="AG571" i="13"/>
  <c r="AI571" i="13"/>
  <c r="AJ571" i="13" s="1"/>
  <c r="AI305" i="13"/>
  <c r="AJ305" i="13" s="1"/>
  <c r="AG305" i="13"/>
  <c r="AI432" i="13"/>
  <c r="AJ432" i="13" s="1"/>
  <c r="AG432" i="13"/>
  <c r="AG363" i="13"/>
  <c r="AI363" i="13"/>
  <c r="AJ363" i="13" s="1"/>
  <c r="AI35" i="13"/>
  <c r="AJ35" i="13" s="1"/>
  <c r="AG35" i="13"/>
  <c r="AG382" i="13"/>
  <c r="AI382" i="13"/>
  <c r="AJ382" i="13" s="1"/>
  <c r="AI523" i="13"/>
  <c r="AJ523" i="13" s="1"/>
  <c r="AG523" i="13"/>
  <c r="AG909" i="13"/>
  <c r="AI909" i="13"/>
  <c r="AJ909" i="13" s="1"/>
  <c r="AI478" i="13"/>
  <c r="AJ478" i="13" s="1"/>
  <c r="AG478" i="13"/>
  <c r="AI25" i="13"/>
  <c r="AG25" i="13"/>
  <c r="AG401" i="13"/>
  <c r="AI401" i="13"/>
  <c r="AJ401" i="13" s="1"/>
  <c r="AG471" i="13"/>
  <c r="AI471" i="13"/>
  <c r="AJ471" i="13" s="1"/>
  <c r="AG746" i="13"/>
  <c r="AI746" i="13"/>
  <c r="AJ746" i="13" s="1"/>
  <c r="AG630" i="13"/>
  <c r="AI630" i="13"/>
  <c r="AJ630" i="13" s="1"/>
  <c r="AG141" i="13"/>
  <c r="AI141" i="13"/>
  <c r="AJ141" i="13" s="1"/>
  <c r="AI683" i="13"/>
  <c r="AJ683" i="13" s="1"/>
  <c r="AG683" i="13"/>
  <c r="AI380" i="13"/>
  <c r="AJ380" i="13" s="1"/>
  <c r="AG380" i="13"/>
  <c r="AG907" i="13"/>
  <c r="AI907" i="13"/>
  <c r="AJ907" i="13" s="1"/>
  <c r="AG911" i="13"/>
  <c r="AI911" i="13"/>
  <c r="AJ911" i="13" s="1"/>
  <c r="AG626" i="13"/>
  <c r="AI626" i="13"/>
  <c r="AJ626" i="13" s="1"/>
  <c r="AG476" i="13"/>
  <c r="AI476" i="13"/>
  <c r="AJ476" i="13" s="1"/>
  <c r="AG692" i="13"/>
  <c r="AI692" i="13"/>
  <c r="AJ692" i="13" s="1"/>
  <c r="AG113" i="13"/>
  <c r="AI113" i="13"/>
  <c r="AJ113" i="13" s="1"/>
  <c r="AG48" i="13"/>
  <c r="AI48" i="13"/>
  <c r="AJ48" i="13" s="1"/>
  <c r="AG560" i="13"/>
  <c r="AI560" i="13"/>
  <c r="AJ560" i="13" s="1"/>
  <c r="AI654" i="13"/>
  <c r="AJ654" i="13" s="1"/>
  <c r="AG654" i="13"/>
  <c r="AG589" i="13"/>
  <c r="AI589" i="13"/>
  <c r="AJ589" i="13" s="1"/>
  <c r="AI408" i="13"/>
  <c r="AJ408" i="13" s="1"/>
  <c r="AG408" i="13"/>
  <c r="AG120" i="13"/>
  <c r="AI120" i="13"/>
  <c r="AJ120" i="13" s="1"/>
  <c r="AG256" i="13"/>
  <c r="AI256" i="13"/>
  <c r="AJ256" i="13" s="1"/>
  <c r="AG287" i="13"/>
  <c r="AI287" i="13"/>
  <c r="AJ287" i="13" s="1"/>
  <c r="AI273" i="13"/>
  <c r="AJ273" i="13" s="1"/>
  <c r="AG273" i="13"/>
  <c r="AI175" i="13"/>
  <c r="AJ175" i="13" s="1"/>
  <c r="AG175" i="13"/>
  <c r="AI447" i="13"/>
  <c r="AJ447" i="13" s="1"/>
  <c r="AG447" i="13"/>
  <c r="AG147" i="13"/>
  <c r="AI147" i="13"/>
  <c r="AJ147" i="13" s="1"/>
  <c r="AI98" i="13"/>
  <c r="AJ98" i="13" s="1"/>
  <c r="AG98" i="13"/>
  <c r="AI190" i="13"/>
  <c r="AJ190" i="13" s="1"/>
  <c r="AG190" i="13"/>
  <c r="AI406" i="13"/>
  <c r="AJ406" i="13" s="1"/>
  <c r="AG406" i="13"/>
  <c r="AI315" i="13"/>
  <c r="AJ315" i="13" s="1"/>
  <c r="AG315" i="13"/>
  <c r="AG631" i="13"/>
  <c r="AI631" i="13"/>
  <c r="AJ631" i="13" s="1"/>
  <c r="AI892" i="13"/>
  <c r="AJ892" i="13" s="1"/>
  <c r="AG892" i="13"/>
  <c r="AG602" i="13"/>
  <c r="AI602" i="13"/>
  <c r="AJ602" i="13" s="1"/>
  <c r="AI763" i="13"/>
  <c r="AJ763" i="13" s="1"/>
  <c r="AG763" i="13"/>
  <c r="AG551" i="13"/>
  <c r="AI551" i="13"/>
  <c r="AJ551" i="13" s="1"/>
  <c r="AI99" i="13"/>
  <c r="AJ99" i="13" s="1"/>
  <c r="AG99" i="13"/>
  <c r="AG164" i="13"/>
  <c r="AI164" i="13"/>
  <c r="AJ164" i="13" s="1"/>
  <c r="AG838" i="13"/>
  <c r="AI838" i="13"/>
  <c r="AJ838" i="13" s="1"/>
  <c r="AG195" i="13"/>
  <c r="AI195" i="13"/>
  <c r="AJ195" i="13" s="1"/>
  <c r="AG684" i="13"/>
  <c r="AI684" i="13"/>
  <c r="AJ684" i="13" s="1"/>
  <c r="AG848" i="13"/>
  <c r="AI848" i="13"/>
  <c r="AJ848" i="13" s="1"/>
  <c r="AG143" i="13"/>
  <c r="AI143" i="13"/>
  <c r="AJ143" i="13" s="1"/>
  <c r="AG473" i="13"/>
  <c r="AI473" i="13"/>
  <c r="AJ473" i="13" s="1"/>
  <c r="AG919" i="13"/>
  <c r="AI919" i="13"/>
  <c r="AJ919" i="13" s="1"/>
  <c r="AI337" i="13"/>
  <c r="AJ337" i="13" s="1"/>
  <c r="AG337" i="13"/>
  <c r="AI393" i="13"/>
  <c r="AJ393" i="13" s="1"/>
  <c r="AG393" i="13"/>
  <c r="AI415" i="13"/>
  <c r="AJ415" i="13" s="1"/>
  <c r="AG415" i="13"/>
  <c r="AG217" i="13"/>
  <c r="AI217" i="13"/>
  <c r="AJ217" i="13" s="1"/>
  <c r="AI601" i="13"/>
  <c r="AJ601" i="13" s="1"/>
  <c r="AG601" i="13"/>
  <c r="AG528" i="13"/>
  <c r="AI528" i="13"/>
  <c r="AJ528" i="13" s="1"/>
  <c r="AG864" i="13"/>
  <c r="AI864" i="13"/>
  <c r="AJ864" i="13" s="1"/>
  <c r="AG275" i="13"/>
  <c r="AI275" i="13"/>
  <c r="AJ275" i="13" s="1"/>
  <c r="AI351" i="13"/>
  <c r="AJ351" i="13" s="1"/>
  <c r="AG351" i="13"/>
  <c r="AG616" i="13"/>
  <c r="AI616" i="13"/>
  <c r="AJ616" i="13" s="1"/>
  <c r="AG525" i="13"/>
  <c r="AI525" i="13"/>
  <c r="AJ525" i="13" s="1"/>
  <c r="AI399" i="13"/>
  <c r="AJ399" i="13" s="1"/>
  <c r="AG399" i="13"/>
  <c r="AG412" i="13"/>
  <c r="AI412" i="13"/>
  <c r="AJ412" i="13" s="1"/>
  <c r="AG807" i="13"/>
  <c r="AI807" i="13"/>
  <c r="AJ807" i="13" s="1"/>
  <c r="AG331" i="13"/>
  <c r="AI331" i="13"/>
  <c r="AJ331" i="13" s="1"/>
  <c r="AI64" i="13"/>
  <c r="AJ64" i="13" s="1"/>
  <c r="AG64" i="13"/>
  <c r="AI705" i="13"/>
  <c r="AJ705" i="13" s="1"/>
  <c r="AG705" i="13"/>
  <c r="AG168" i="13"/>
  <c r="AI168" i="13"/>
  <c r="AJ168" i="13" s="1"/>
  <c r="AI286" i="13"/>
  <c r="AJ286" i="13" s="1"/>
  <c r="AG286" i="13"/>
  <c r="AI402" i="13"/>
  <c r="AJ402" i="13" s="1"/>
  <c r="AG402" i="13"/>
  <c r="AI776" i="13"/>
  <c r="AJ776" i="13" s="1"/>
  <c r="AG776" i="13"/>
  <c r="AG673" i="13"/>
  <c r="AI673" i="13"/>
  <c r="AJ673" i="13" s="1"/>
  <c r="AI398" i="13"/>
  <c r="AJ398" i="13" s="1"/>
  <c r="AG398" i="13"/>
  <c r="AI458" i="13"/>
  <c r="AJ458" i="13" s="1"/>
  <c r="AG458" i="13"/>
  <c r="AG688" i="13"/>
  <c r="AI688" i="13"/>
  <c r="AJ688" i="13" s="1"/>
  <c r="AG649" i="13"/>
  <c r="AI649" i="13"/>
  <c r="AJ649" i="13" s="1"/>
  <c r="AI77" i="13"/>
  <c r="AJ77" i="13" s="1"/>
  <c r="AG77" i="13"/>
  <c r="AI836" i="13"/>
  <c r="AJ836" i="13" s="1"/>
  <c r="AG836" i="13"/>
  <c r="AG384" i="13"/>
  <c r="AI384" i="13"/>
  <c r="AJ384" i="13" s="1"/>
  <c r="AG567" i="13"/>
  <c r="AI567" i="13"/>
  <c r="AJ567" i="13" s="1"/>
  <c r="AG549" i="13"/>
  <c r="AI549" i="13"/>
  <c r="AJ549" i="13" s="1"/>
  <c r="AG446" i="13"/>
  <c r="AI446" i="13"/>
  <c r="AJ446" i="13" s="1"/>
  <c r="AI333" i="13"/>
  <c r="AJ333" i="13" s="1"/>
  <c r="AG333" i="13"/>
  <c r="AI32" i="13"/>
  <c r="AJ32" i="13" s="1"/>
  <c r="AG32" i="13"/>
  <c r="AI839" i="13"/>
  <c r="AJ839" i="13" s="1"/>
  <c r="AG839" i="13"/>
  <c r="AG690" i="13"/>
  <c r="AI690" i="13"/>
  <c r="AJ690" i="13" s="1"/>
  <c r="AI371" i="13"/>
  <c r="AJ371" i="13" s="1"/>
  <c r="AG371" i="13"/>
  <c r="AI489" i="13"/>
  <c r="AJ489" i="13" s="1"/>
  <c r="AG489" i="13"/>
  <c r="AI800" i="13"/>
  <c r="AJ800" i="13" s="1"/>
  <c r="AG800" i="13"/>
  <c r="AG772" i="13"/>
  <c r="AI772" i="13"/>
  <c r="AJ772" i="13" s="1"/>
  <c r="AI288" i="13"/>
  <c r="AJ288" i="13" s="1"/>
  <c r="AG288" i="13"/>
  <c r="AI655" i="13"/>
  <c r="AJ655" i="13" s="1"/>
  <c r="AG655" i="13"/>
  <c r="AG52" i="13"/>
  <c r="AI52" i="13"/>
  <c r="AJ52" i="13" s="1"/>
  <c r="AG928" i="13"/>
  <c r="AI928" i="13"/>
  <c r="AJ928" i="13" s="1"/>
  <c r="AG867" i="13"/>
  <c r="AI867" i="13"/>
  <c r="AJ867" i="13" s="1"/>
  <c r="AI306" i="13"/>
  <c r="AJ306" i="13" s="1"/>
  <c r="AG306" i="13"/>
  <c r="AI617" i="13"/>
  <c r="AJ617" i="13" s="1"/>
  <c r="AG617" i="13"/>
  <c r="AG622" i="13"/>
  <c r="AI622" i="13"/>
  <c r="AJ622" i="13" s="1"/>
  <c r="AI15" i="13"/>
  <c r="AJ15" i="13" s="1"/>
  <c r="AG15" i="13"/>
  <c r="AG805" i="13"/>
  <c r="AI805" i="13"/>
  <c r="AJ805" i="13" s="1"/>
  <c r="AG1005" i="13"/>
  <c r="AI1005" i="13"/>
  <c r="AJ1005" i="13" s="1"/>
  <c r="AI980" i="13"/>
  <c r="AJ980" i="13" s="1"/>
  <c r="AG980" i="13"/>
  <c r="AG827" i="13"/>
  <c r="AI827" i="13"/>
  <c r="AJ827" i="13" s="1"/>
  <c r="AG972" i="13"/>
  <c r="AI972" i="13"/>
  <c r="AJ972" i="13" s="1"/>
  <c r="AG968" i="13"/>
  <c r="AI968" i="13"/>
  <c r="AJ968" i="13" s="1"/>
  <c r="AI438" i="13"/>
  <c r="AJ438" i="13" s="1"/>
  <c r="AG438" i="13"/>
  <c r="AG554" i="13"/>
  <c r="AI554" i="13"/>
  <c r="AJ554" i="13" s="1"/>
  <c r="AI298" i="13"/>
  <c r="AJ298" i="13" s="1"/>
  <c r="AG298" i="13"/>
  <c r="AG433" i="13"/>
  <c r="AI433" i="13"/>
  <c r="AJ433" i="13" s="1"/>
  <c r="AG942" i="13"/>
  <c r="AI942" i="13"/>
  <c r="AJ942" i="13" s="1"/>
  <c r="AI477" i="13"/>
  <c r="AJ477" i="13" s="1"/>
  <c r="AG477" i="13"/>
  <c r="AG400" i="13"/>
  <c r="AI400" i="13"/>
  <c r="AJ400" i="13" s="1"/>
  <c r="AG518" i="13"/>
  <c r="AI518" i="13"/>
  <c r="AJ518" i="13" s="1"/>
  <c r="AG898" i="13"/>
  <c r="AI898" i="13"/>
  <c r="AJ898" i="13" s="1"/>
  <c r="AI780" i="13"/>
  <c r="AJ780" i="13" s="1"/>
  <c r="AG780" i="13"/>
  <c r="AG346" i="13"/>
  <c r="AI346" i="13"/>
  <c r="AJ346" i="13" s="1"/>
  <c r="AI254" i="13"/>
  <c r="AJ254" i="13" s="1"/>
  <c r="AG254" i="13"/>
  <c r="AG578" i="13"/>
  <c r="AI578" i="13"/>
  <c r="AJ578" i="13" s="1"/>
  <c r="AG840" i="13"/>
  <c r="AI840" i="13"/>
  <c r="AJ840" i="13" s="1"/>
  <c r="AG929" i="13"/>
  <c r="AI929" i="13"/>
  <c r="AJ929" i="13" s="1"/>
  <c r="AI784" i="13"/>
  <c r="AJ784" i="13" s="1"/>
  <c r="AG784" i="13"/>
  <c r="AI221" i="13"/>
  <c r="AJ221" i="13" s="1"/>
  <c r="AG221" i="13"/>
  <c r="AI60" i="13"/>
  <c r="AJ60" i="13" s="1"/>
  <c r="AG60" i="13"/>
  <c r="AI139" i="13"/>
  <c r="AJ139" i="13" s="1"/>
  <c r="AG139" i="13"/>
  <c r="AI599" i="13"/>
  <c r="AJ599" i="13" s="1"/>
  <c r="AG599" i="13"/>
  <c r="AG397" i="13"/>
  <c r="AI397" i="13"/>
  <c r="AJ397" i="13" s="1"/>
  <c r="AG292" i="13"/>
  <c r="AI292" i="13"/>
  <c r="AJ292" i="13" s="1"/>
  <c r="AG557" i="13"/>
  <c r="AI557" i="13"/>
  <c r="AJ557" i="13" s="1"/>
  <c r="AG267" i="13"/>
  <c r="AI267" i="13"/>
  <c r="AJ267" i="13" s="1"/>
  <c r="AG474" i="13"/>
  <c r="AI474" i="13"/>
  <c r="AJ474" i="13" s="1"/>
  <c r="AG462" i="13"/>
  <c r="AI462" i="13"/>
  <c r="AJ462" i="13" s="1"/>
  <c r="AG187" i="13"/>
  <c r="AI187" i="13"/>
  <c r="AJ187" i="13" s="1"/>
  <c r="AI165" i="13"/>
  <c r="AJ165" i="13" s="1"/>
  <c r="AG165" i="13"/>
  <c r="AI887" i="13"/>
  <c r="AJ887" i="13" s="1"/>
  <c r="AG887" i="13"/>
  <c r="AG276" i="13"/>
  <c r="AI276" i="13"/>
  <c r="AJ276" i="13" s="1"/>
  <c r="AI129" i="13"/>
  <c r="AJ129" i="13" s="1"/>
  <c r="AG129" i="13"/>
  <c r="AI488" i="13"/>
  <c r="AJ488" i="13" s="1"/>
  <c r="AG488" i="13"/>
  <c r="AG951" i="13"/>
  <c r="AI951" i="13"/>
  <c r="AJ951" i="13" s="1"/>
  <c r="AG837" i="13"/>
  <c r="AI837" i="13"/>
  <c r="AJ837" i="13" s="1"/>
  <c r="AG181" i="13"/>
  <c r="AI181" i="13"/>
  <c r="AJ181" i="13" s="1"/>
  <c r="AG160" i="13"/>
  <c r="AI160" i="13"/>
  <c r="AJ160" i="13" s="1"/>
  <c r="AI12" i="13"/>
  <c r="AG12" i="13"/>
  <c r="AI533" i="13"/>
  <c r="AJ533" i="13" s="1"/>
  <c r="AG533" i="13"/>
  <c r="AI47" i="13"/>
  <c r="AJ47" i="13" s="1"/>
  <c r="AG47" i="13"/>
  <c r="AG225" i="13"/>
  <c r="AI225" i="13"/>
  <c r="AJ225" i="13" s="1"/>
  <c r="AI118" i="13"/>
  <c r="AJ118" i="13" s="1"/>
  <c r="AG118" i="13"/>
  <c r="AI888" i="13"/>
  <c r="AJ888" i="13" s="1"/>
  <c r="AG888" i="13"/>
  <c r="AG783" i="13"/>
  <c r="AI783" i="13"/>
  <c r="AJ783" i="13" s="1"/>
  <c r="AI366" i="13"/>
  <c r="AJ366" i="13" s="1"/>
  <c r="AG366" i="13"/>
  <c r="AG33" i="13"/>
  <c r="AI33" i="13"/>
  <c r="AJ33" i="13" s="1"/>
  <c r="AG344" i="13"/>
  <c r="AI344" i="13"/>
  <c r="AJ344" i="13" s="1"/>
  <c r="AI723" i="13"/>
  <c r="AJ723" i="13" s="1"/>
  <c r="AG723" i="13"/>
  <c r="AI142" i="13"/>
  <c r="AJ142" i="13" s="1"/>
  <c r="AG142" i="13"/>
  <c r="AI313" i="13"/>
  <c r="AJ313" i="13" s="1"/>
  <c r="AG313" i="13"/>
  <c r="AI548" i="13"/>
  <c r="AJ548" i="13" s="1"/>
  <c r="AG548" i="13"/>
  <c r="AI847" i="13"/>
  <c r="AJ847" i="13" s="1"/>
  <c r="AG847" i="13"/>
  <c r="AI16" i="13"/>
  <c r="AG16" i="13"/>
  <c r="AI107" i="13"/>
  <c r="AJ107" i="13" s="1"/>
  <c r="AG107" i="13"/>
  <c r="AI846" i="13"/>
  <c r="AJ846" i="13" s="1"/>
  <c r="AG846" i="13"/>
  <c r="AG561" i="13"/>
  <c r="AI561" i="13"/>
  <c r="AJ561" i="13" s="1"/>
  <c r="AG365" i="13"/>
  <c r="AI365" i="13"/>
  <c r="AJ365" i="13" s="1"/>
  <c r="AI872" i="13"/>
  <c r="AJ872" i="13" s="1"/>
  <c r="AG872" i="13"/>
  <c r="AI722" i="13"/>
  <c r="AJ722" i="13" s="1"/>
  <c r="AG722" i="13"/>
  <c r="AI485" i="13"/>
  <c r="AJ485" i="13" s="1"/>
  <c r="AG485" i="13"/>
  <c r="AG500" i="13"/>
  <c r="AI500" i="13"/>
  <c r="AJ500" i="13" s="1"/>
  <c r="AI291" i="13"/>
  <c r="AJ291" i="13" s="1"/>
  <c r="AG291" i="13"/>
  <c r="AG212" i="13"/>
  <c r="AI212" i="13"/>
  <c r="AJ212" i="13" s="1"/>
  <c r="AI252" i="13"/>
  <c r="AJ252" i="13" s="1"/>
  <c r="AG252" i="13"/>
  <c r="AI261" i="13"/>
  <c r="AJ261" i="13" s="1"/>
  <c r="AG261" i="13"/>
  <c r="AG27" i="13"/>
  <c r="E262" i="11" s="1"/>
  <c r="K262" i="11" s="1"/>
  <c r="AI27" i="13"/>
  <c r="AI499" i="13"/>
  <c r="AJ499" i="13" s="1"/>
  <c r="AG499" i="13"/>
  <c r="AG440" i="13"/>
  <c r="AI440" i="13"/>
  <c r="AJ440" i="13" s="1"/>
  <c r="AG341" i="13"/>
  <c r="AI341" i="13"/>
  <c r="AJ341" i="13" s="1"/>
  <c r="AI709" i="13"/>
  <c r="AJ709" i="13" s="1"/>
  <c r="AG709" i="13"/>
  <c r="AG991" i="13"/>
  <c r="AI991" i="13"/>
  <c r="AJ991" i="13" s="1"/>
  <c r="AI652" i="13"/>
  <c r="AJ652" i="13" s="1"/>
  <c r="AG652" i="13"/>
  <c r="AG167" i="13"/>
  <c r="AI167" i="13"/>
  <c r="AJ167" i="13" s="1"/>
  <c r="AI586" i="13"/>
  <c r="AJ586" i="13" s="1"/>
  <c r="AG586" i="13"/>
  <c r="AG610" i="13"/>
  <c r="AI610" i="13"/>
  <c r="AJ610" i="13" s="1"/>
  <c r="AI881" i="13"/>
  <c r="AJ881" i="13" s="1"/>
  <c r="AG881" i="13"/>
  <c r="AI259" i="13"/>
  <c r="AJ259" i="13" s="1"/>
  <c r="AG259" i="13"/>
  <c r="AI123" i="13"/>
  <c r="AJ123" i="13" s="1"/>
  <c r="AG123" i="13"/>
  <c r="AI30" i="13"/>
  <c r="AG30" i="13"/>
  <c r="AI870" i="13"/>
  <c r="AJ870" i="13" s="1"/>
  <c r="AG870" i="13"/>
  <c r="AG538" i="13"/>
  <c r="AI538" i="13"/>
  <c r="AJ538" i="13" s="1"/>
  <c r="AG302" i="13"/>
  <c r="AI302" i="13"/>
  <c r="AJ302" i="13" s="1"/>
  <c r="AI10" i="13"/>
  <c r="AG10" i="13"/>
  <c r="E235" i="11" s="1"/>
  <c r="K235" i="11" s="1"/>
  <c r="AI100" i="13"/>
  <c r="AJ100" i="13" s="1"/>
  <c r="AG100" i="13"/>
  <c r="AG902" i="13"/>
  <c r="AI902" i="13"/>
  <c r="AJ902" i="13" s="1"/>
  <c r="AI498" i="13"/>
  <c r="AJ498" i="13" s="1"/>
  <c r="AG498" i="13"/>
  <c r="AI625" i="13"/>
  <c r="AJ625" i="13" s="1"/>
  <c r="AG625" i="13"/>
  <c r="AI396" i="13"/>
  <c r="AJ396" i="13" s="1"/>
  <c r="AG396" i="13"/>
  <c r="AI744" i="13"/>
  <c r="AJ744" i="13" s="1"/>
  <c r="AG744" i="13"/>
  <c r="AG115" i="13"/>
  <c r="AI115" i="13"/>
  <c r="AJ115" i="13" s="1"/>
  <c r="AG347" i="13"/>
  <c r="AI347" i="13"/>
  <c r="AJ347" i="13" s="1"/>
  <c r="AI391" i="13"/>
  <c r="AJ391" i="13" s="1"/>
  <c r="AG391" i="13"/>
  <c r="AG773" i="13"/>
  <c r="AI773" i="13"/>
  <c r="AJ773" i="13" s="1"/>
  <c r="AG896" i="13"/>
  <c r="AI896" i="13"/>
  <c r="AJ896" i="13" s="1"/>
  <c r="AG178" i="13"/>
  <c r="AI178" i="13"/>
  <c r="AJ178" i="13" s="1"/>
  <c r="AI520" i="13"/>
  <c r="AJ520" i="13" s="1"/>
  <c r="AG520" i="13"/>
  <c r="AG409" i="13"/>
  <c r="AI409" i="13"/>
  <c r="AJ409" i="13" s="1"/>
  <c r="AG657" i="13"/>
  <c r="AI657" i="13"/>
  <c r="AJ657" i="13" s="1"/>
  <c r="AG932" i="13"/>
  <c r="AI932" i="13"/>
  <c r="AJ932" i="13" s="1"/>
  <c r="AI157" i="13"/>
  <c r="AJ157" i="13" s="1"/>
  <c r="AG157" i="13"/>
  <c r="AI681" i="13"/>
  <c r="AJ681" i="13" s="1"/>
  <c r="AG681" i="13"/>
  <c r="AG639" i="13"/>
  <c r="AI639" i="13"/>
  <c r="AJ639" i="13" s="1"/>
  <c r="AI796" i="13"/>
  <c r="AJ796" i="13" s="1"/>
  <c r="AG796" i="13"/>
  <c r="AI813" i="13"/>
  <c r="AJ813" i="13" s="1"/>
  <c r="AG813" i="13"/>
  <c r="AG468" i="13"/>
  <c r="AI468" i="13"/>
  <c r="AJ468" i="13" s="1"/>
  <c r="AI719" i="13"/>
  <c r="AJ719" i="13" s="1"/>
  <c r="AG719" i="13"/>
  <c r="AI507" i="13"/>
  <c r="AJ507" i="13" s="1"/>
  <c r="AG507" i="13"/>
  <c r="AG130" i="13"/>
  <c r="AI130" i="13"/>
  <c r="AJ130" i="13" s="1"/>
  <c r="AI941" i="13"/>
  <c r="AJ941" i="13" s="1"/>
  <c r="AG941" i="13"/>
  <c r="AG322" i="13"/>
  <c r="AI322" i="13"/>
  <c r="AJ322" i="13" s="1"/>
  <c r="AG650" i="13"/>
  <c r="AI650" i="13"/>
  <c r="AJ650" i="13" s="1"/>
  <c r="AI289" i="13"/>
  <c r="AJ289" i="13" s="1"/>
  <c r="AG289" i="13"/>
  <c r="AI706" i="13"/>
  <c r="AJ706" i="13" s="1"/>
  <c r="AG706" i="13"/>
  <c r="AI640" i="13"/>
  <c r="AJ640" i="13" s="1"/>
  <c r="AG640" i="13"/>
  <c r="AI716" i="13"/>
  <c r="AJ716" i="13" s="1"/>
  <c r="AG716" i="13"/>
  <c r="AI226" i="13"/>
  <c r="AJ226" i="13" s="1"/>
  <c r="AG226" i="13"/>
  <c r="AG422" i="13"/>
  <c r="AI422" i="13"/>
  <c r="AJ422" i="13" s="1"/>
  <c r="AG708" i="13"/>
  <c r="AI708" i="13"/>
  <c r="AJ708" i="13" s="1"/>
  <c r="AG487" i="13"/>
  <c r="AI487" i="13"/>
  <c r="AJ487" i="13" s="1"/>
  <c r="AG834" i="13"/>
  <c r="AI834" i="13"/>
  <c r="AJ834" i="13" s="1"/>
  <c r="AG675" i="13"/>
  <c r="AI675" i="13"/>
  <c r="AJ675" i="13" s="1"/>
  <c r="AI849" i="13"/>
  <c r="AJ849" i="13" s="1"/>
  <c r="AG849" i="13"/>
  <c r="AI664" i="13"/>
  <c r="AJ664" i="13" s="1"/>
  <c r="AG664" i="13"/>
  <c r="AI764" i="13"/>
  <c r="AJ764" i="13" s="1"/>
  <c r="AG764" i="13"/>
  <c r="AI28" i="13"/>
  <c r="AG28" i="13"/>
  <c r="E257" i="11" s="1"/>
  <c r="K257" i="11" s="1"/>
  <c r="AG965" i="13"/>
  <c r="AI965" i="13"/>
  <c r="AJ965" i="13" s="1"/>
  <c r="AG338" i="13"/>
  <c r="AI338" i="13"/>
  <c r="AJ338" i="13" s="1"/>
  <c r="AG111" i="13"/>
  <c r="AI111" i="13"/>
  <c r="AJ111" i="13" s="1"/>
  <c r="AI579" i="13"/>
  <c r="AJ579" i="13" s="1"/>
  <c r="AG579" i="13"/>
  <c r="AG516" i="13"/>
  <c r="AI516" i="13"/>
  <c r="AJ516" i="13" s="1"/>
  <c r="AI334" i="13"/>
  <c r="AJ334" i="13" s="1"/>
  <c r="AG334" i="13"/>
  <c r="AG317" i="13"/>
  <c r="AI317" i="13"/>
  <c r="AJ317" i="13" s="1"/>
  <c r="AG224" i="13"/>
  <c r="AI224" i="13"/>
  <c r="AJ224" i="13" s="1"/>
  <c r="AG737" i="13"/>
  <c r="AI737" i="13"/>
  <c r="AJ737" i="13" s="1"/>
  <c r="AI198" i="13"/>
  <c r="AJ198" i="13" s="1"/>
  <c r="AG198" i="13"/>
  <c r="AI970" i="13"/>
  <c r="AJ970" i="13" s="1"/>
  <c r="AG970" i="13"/>
  <c r="AG183" i="13"/>
  <c r="AI183" i="13"/>
  <c r="AJ183" i="13" s="1"/>
  <c r="AI891" i="13"/>
  <c r="AJ891" i="13" s="1"/>
  <c r="AG891" i="13"/>
  <c r="AI243" i="13"/>
  <c r="AJ243" i="13" s="1"/>
  <c r="AG243" i="13"/>
  <c r="AG469" i="13"/>
  <c r="AI469" i="13"/>
  <c r="AJ469" i="13" s="1"/>
  <c r="AG375" i="13"/>
  <c r="AI375" i="13"/>
  <c r="AJ375" i="13" s="1"/>
  <c r="AG648" i="13"/>
  <c r="AI648" i="13"/>
  <c r="AJ648" i="13" s="1"/>
  <c r="AG961" i="13"/>
  <c r="AI961" i="13"/>
  <c r="AJ961" i="13" s="1"/>
  <c r="AI274" i="13"/>
  <c r="AJ274" i="13" s="1"/>
  <c r="AG274" i="13"/>
  <c r="AI704" i="13"/>
  <c r="AJ704" i="13" s="1"/>
  <c r="AG704" i="13"/>
  <c r="AG687" i="13"/>
  <c r="AI687" i="13"/>
  <c r="AJ687" i="13" s="1"/>
  <c r="AI85" i="13"/>
  <c r="AJ85" i="13" s="1"/>
  <c r="AG85" i="13"/>
  <c r="AI1000" i="13"/>
  <c r="AJ1000" i="13" s="1"/>
  <c r="AG1000" i="13"/>
  <c r="AI858" i="13"/>
  <c r="AJ858" i="13" s="1"/>
  <c r="AG858" i="13"/>
  <c r="AG272" i="13"/>
  <c r="AI272" i="13"/>
  <c r="AJ272" i="13" s="1"/>
  <c r="AI747" i="13"/>
  <c r="AJ747" i="13" s="1"/>
  <c r="AG747" i="13"/>
  <c r="AG958" i="13"/>
  <c r="AI958" i="13"/>
  <c r="AJ958" i="13" s="1"/>
  <c r="AG121" i="13"/>
  <c r="AI121" i="13"/>
  <c r="AJ121" i="13" s="1"/>
  <c r="AG632" i="13"/>
  <c r="AI632" i="13"/>
  <c r="AJ632" i="13" s="1"/>
  <c r="AI508" i="13"/>
  <c r="AJ508" i="13" s="1"/>
  <c r="AG508" i="13"/>
  <c r="AG590" i="13"/>
  <c r="AI590" i="13"/>
  <c r="AJ590" i="13" s="1"/>
  <c r="AG95" i="13"/>
  <c r="AI95" i="13"/>
  <c r="AJ95" i="13" s="1"/>
  <c r="AG504" i="13"/>
  <c r="AI504" i="13"/>
  <c r="AJ504" i="13" s="1"/>
  <c r="AI934" i="13"/>
  <c r="AJ934" i="13" s="1"/>
  <c r="AG934" i="13"/>
  <c r="AI61" i="13"/>
  <c r="AJ61" i="13" s="1"/>
  <c r="AG61" i="13"/>
  <c r="AG536" i="13"/>
  <c r="AI536" i="13"/>
  <c r="AJ536" i="13" s="1"/>
  <c r="AG715" i="13"/>
  <c r="AI715" i="13"/>
  <c r="AJ715" i="13" s="1"/>
  <c r="AI564" i="13"/>
  <c r="AJ564" i="13" s="1"/>
  <c r="AG564" i="13"/>
  <c r="AG993" i="13"/>
  <c r="AI993" i="13"/>
  <c r="AJ993" i="13" s="1"/>
  <c r="AI260" i="13"/>
  <c r="AJ260" i="13" s="1"/>
  <c r="AG260" i="13"/>
  <c r="AI454" i="13"/>
  <c r="AJ454" i="13" s="1"/>
  <c r="AG454" i="13"/>
  <c r="AI714" i="13"/>
  <c r="AJ714" i="13" s="1"/>
  <c r="AG714" i="13"/>
  <c r="AG299" i="13"/>
  <c r="AI299" i="13"/>
  <c r="AJ299" i="13" s="1"/>
  <c r="AG176" i="13"/>
  <c r="AI176" i="13"/>
  <c r="AJ176" i="13" s="1"/>
  <c r="AI163" i="13"/>
  <c r="AJ163" i="13" s="1"/>
  <c r="AG163" i="13"/>
  <c r="AI989" i="13"/>
  <c r="AJ989" i="13" s="1"/>
  <c r="AG989" i="13"/>
  <c r="AG435" i="13"/>
  <c r="AI435" i="13"/>
  <c r="AJ435" i="13" s="1"/>
  <c r="AG367" i="13"/>
  <c r="AI367" i="13"/>
  <c r="AJ367" i="13" s="1"/>
  <c r="AI559" i="13"/>
  <c r="AJ559" i="13" s="1"/>
  <c r="AG559" i="13"/>
  <c r="AG595" i="13"/>
  <c r="AI595" i="13"/>
  <c r="AJ595" i="13" s="1"/>
  <c r="AG310" i="13"/>
  <c r="AI310" i="13"/>
  <c r="AJ310" i="13" s="1"/>
  <c r="AI248" i="13"/>
  <c r="AJ248" i="13" s="1"/>
  <c r="AG248" i="13"/>
  <c r="AI960" i="13"/>
  <c r="AJ960" i="13" s="1"/>
  <c r="AG960" i="13"/>
  <c r="AI49" i="13"/>
  <c r="AJ49" i="13" s="1"/>
  <c r="AG49" i="13"/>
  <c r="AI416" i="13"/>
  <c r="AJ416" i="13" s="1"/>
  <c r="AG416" i="13"/>
  <c r="AI524" i="13"/>
  <c r="AJ524" i="13" s="1"/>
  <c r="AG524" i="13"/>
  <c r="AG927" i="13"/>
  <c r="AI927" i="13"/>
  <c r="AJ927" i="13" s="1"/>
  <c r="AI127" i="13"/>
  <c r="AJ127" i="13" s="1"/>
  <c r="AG127" i="13"/>
  <c r="AG174" i="13"/>
  <c r="AI174" i="13"/>
  <c r="AJ174" i="13" s="1"/>
  <c r="AG303" i="13"/>
  <c r="AI303" i="13"/>
  <c r="AJ303" i="13" s="1"/>
  <c r="AI583" i="13"/>
  <c r="AJ583" i="13" s="1"/>
  <c r="AG583" i="13"/>
  <c r="AG624" i="13"/>
  <c r="AI624" i="13"/>
  <c r="AJ624" i="13" s="1"/>
  <c r="AI20" i="13"/>
  <c r="AG20" i="13"/>
  <c r="E246" i="11" s="1"/>
  <c r="K246" i="11" s="1"/>
  <c r="AG594" i="13"/>
  <c r="AI594" i="13"/>
  <c r="AJ594" i="13" s="1"/>
  <c r="AI97" i="13"/>
  <c r="AJ97" i="13" s="1"/>
  <c r="AG97" i="13"/>
  <c r="AI809" i="13"/>
  <c r="AJ809" i="13" s="1"/>
  <c r="AG809" i="13"/>
  <c r="AI964" i="13"/>
  <c r="AJ964" i="13" s="1"/>
  <c r="AG964" i="13"/>
  <c r="AG774" i="13"/>
  <c r="AI774" i="13"/>
  <c r="AJ774" i="13" s="1"/>
  <c r="AG84" i="13"/>
  <c r="AI84" i="13"/>
  <c r="AJ84" i="13" s="1"/>
  <c r="AG86" i="13"/>
  <c r="AI86" i="13"/>
  <c r="AJ86" i="13" s="1"/>
  <c r="AG81" i="13"/>
  <c r="AI81" i="13"/>
  <c r="AJ81" i="13" s="1"/>
  <c r="AI785" i="13"/>
  <c r="AJ785" i="13" s="1"/>
  <c r="AG785" i="13"/>
  <c r="AG814" i="13"/>
  <c r="AI814" i="13"/>
  <c r="AJ814" i="13" s="1"/>
  <c r="AG154" i="13"/>
  <c r="AI154" i="13"/>
  <c r="AJ154" i="13" s="1"/>
  <c r="AI194" i="13"/>
  <c r="AJ194" i="13" s="1"/>
  <c r="AG194" i="13"/>
  <c r="AG413" i="13"/>
  <c r="AI413" i="13"/>
  <c r="AJ413" i="13" s="1"/>
  <c r="AI812" i="13"/>
  <c r="AJ812" i="13" s="1"/>
  <c r="AG812" i="13"/>
  <c r="AI661" i="13"/>
  <c r="AJ661" i="13" s="1"/>
  <c r="AG661" i="13"/>
  <c r="AG125" i="13"/>
  <c r="AI125" i="13"/>
  <c r="AJ125" i="13" s="1"/>
  <c r="AG45" i="13"/>
  <c r="AI45" i="13"/>
  <c r="AJ45" i="13" s="1"/>
  <c r="AI992" i="13"/>
  <c r="AJ992" i="13" s="1"/>
  <c r="AG992" i="13"/>
  <c r="AI861" i="13"/>
  <c r="AJ861" i="13" s="1"/>
  <c r="AG861" i="13"/>
  <c r="AI802" i="13"/>
  <c r="AJ802" i="13" s="1"/>
  <c r="AG802" i="13"/>
  <c r="AG749" i="13"/>
  <c r="AI749" i="13"/>
  <c r="AJ749" i="13" s="1"/>
  <c r="AI962" i="13"/>
  <c r="AJ962" i="13" s="1"/>
  <c r="AG962" i="13"/>
  <c r="AG938" i="13"/>
  <c r="AI938" i="13"/>
  <c r="AJ938" i="13" s="1"/>
  <c r="AI956" i="13"/>
  <c r="AJ956" i="13" s="1"/>
  <c r="AG956" i="13"/>
  <c r="AI879" i="13"/>
  <c r="AJ879" i="13" s="1"/>
  <c r="AG879" i="13"/>
  <c r="AG228" i="13"/>
  <c r="AI228" i="13"/>
  <c r="AJ228" i="13" s="1"/>
  <c r="AI497" i="13"/>
  <c r="AJ497" i="13" s="1"/>
  <c r="AG497" i="13"/>
  <c r="AG207" i="13"/>
  <c r="AI207" i="13"/>
  <c r="AJ207" i="13" s="1"/>
  <c r="AG788" i="13"/>
  <c r="AI788" i="13"/>
  <c r="AJ788" i="13" s="1"/>
  <c r="AG825" i="13"/>
  <c r="AI825" i="13"/>
  <c r="AJ825" i="13" s="1"/>
  <c r="AI955" i="13"/>
  <c r="AJ955" i="13" s="1"/>
  <c r="AG955" i="13"/>
  <c r="AG428" i="13"/>
  <c r="AI428" i="13"/>
  <c r="AJ428" i="13" s="1"/>
  <c r="AI584" i="13"/>
  <c r="AJ584" i="13" s="1"/>
  <c r="AG584" i="13"/>
  <c r="AI122" i="13"/>
  <c r="AJ122" i="13" s="1"/>
  <c r="AG122" i="13"/>
  <c r="AG770" i="13"/>
  <c r="AI770" i="13"/>
  <c r="AJ770" i="13" s="1"/>
  <c r="AI910" i="13"/>
  <c r="AJ910" i="13" s="1"/>
  <c r="AG910" i="13"/>
  <c r="AI878" i="13"/>
  <c r="AJ878" i="13" s="1"/>
  <c r="AG878" i="13"/>
  <c r="AI768" i="13"/>
  <c r="AJ768" i="13" s="1"/>
  <c r="AG768" i="13"/>
  <c r="AI321" i="13"/>
  <c r="AJ321" i="13" s="1"/>
  <c r="AG321" i="13"/>
  <c r="AG539" i="13"/>
  <c r="AI539" i="13"/>
  <c r="AJ539" i="13" s="1"/>
  <c r="AG828" i="13"/>
  <c r="AI828" i="13"/>
  <c r="AJ828" i="13" s="1"/>
  <c r="AI114" i="13"/>
  <c r="AJ114" i="13" s="1"/>
  <c r="AG114" i="13"/>
  <c r="AI615" i="13"/>
  <c r="AJ615" i="13" s="1"/>
  <c r="AG615" i="13"/>
  <c r="AG431" i="13"/>
  <c r="AI431" i="13"/>
  <c r="AJ431" i="13" s="1"/>
  <c r="AI360" i="13"/>
  <c r="AJ360" i="13" s="1"/>
  <c r="AG360" i="13"/>
  <c r="AG492" i="13"/>
  <c r="AI492" i="13"/>
  <c r="AJ492" i="13" s="1"/>
  <c r="AG897" i="13"/>
  <c r="AI897" i="13"/>
  <c r="AJ897" i="13" s="1"/>
  <c r="AI92" i="13"/>
  <c r="AJ92" i="13" s="1"/>
  <c r="AG92" i="13"/>
  <c r="AI150" i="13"/>
  <c r="AJ150" i="13" s="1"/>
  <c r="AG150" i="13"/>
  <c r="AG89" i="13"/>
  <c r="AI89" i="13"/>
  <c r="AJ89" i="13" s="1"/>
  <c r="AG222" i="13"/>
  <c r="AI222" i="13"/>
  <c r="AJ222" i="13" s="1"/>
  <c r="AG803" i="13"/>
  <c r="AI803" i="13"/>
  <c r="AJ803" i="13" s="1"/>
  <c r="AG926" i="13"/>
  <c r="AI926" i="13"/>
  <c r="AJ926" i="13" s="1"/>
  <c r="AG59" i="13"/>
  <c r="AI59" i="13"/>
  <c r="AJ59" i="13" s="1"/>
  <c r="AG250" i="13"/>
  <c r="AI250" i="13"/>
  <c r="AJ250" i="13" s="1"/>
  <c r="AG580" i="13"/>
  <c r="AI580" i="13"/>
  <c r="AJ580" i="13" s="1"/>
  <c r="AI808" i="13"/>
  <c r="AJ808" i="13" s="1"/>
  <c r="AG808" i="13"/>
  <c r="AI192" i="13"/>
  <c r="AJ192" i="13" s="1"/>
  <c r="AG192" i="13"/>
  <c r="AI426" i="13"/>
  <c r="AJ426" i="13" s="1"/>
  <c r="AG426" i="13"/>
  <c r="AG509" i="13"/>
  <c r="AI509" i="13"/>
  <c r="AJ509" i="13" s="1"/>
  <c r="AI90" i="13"/>
  <c r="AJ90" i="13" s="1"/>
  <c r="AG90" i="13"/>
  <c r="AG771" i="13"/>
  <c r="AI771" i="13"/>
  <c r="AJ771" i="13" s="1"/>
  <c r="AG279" i="13"/>
  <c r="AI279" i="13"/>
  <c r="AJ279" i="13" s="1"/>
  <c r="AG996" i="13"/>
  <c r="AI996" i="13"/>
  <c r="AJ996" i="13" s="1"/>
  <c r="AG131" i="13"/>
  <c r="AI131" i="13"/>
  <c r="AJ131" i="13" s="1"/>
  <c r="AG179" i="13"/>
  <c r="AI179" i="13"/>
  <c r="AJ179" i="13" s="1"/>
  <c r="AI219" i="13"/>
  <c r="AJ219" i="13" s="1"/>
  <c r="AG219" i="13"/>
  <c r="AG611" i="13"/>
  <c r="AI611" i="13"/>
  <c r="AJ611" i="13" s="1"/>
  <c r="AI678" i="13"/>
  <c r="AJ678" i="13" s="1"/>
  <c r="AG678" i="13"/>
  <c r="AI923" i="13"/>
  <c r="AJ923" i="13" s="1"/>
  <c r="AG923" i="13"/>
  <c r="AI850" i="13"/>
  <c r="AJ850" i="13" s="1"/>
  <c r="AG850" i="13"/>
  <c r="AG908" i="13"/>
  <c r="AI908" i="13"/>
  <c r="AJ908" i="13" s="1"/>
  <c r="AG743" i="13"/>
  <c r="AI743" i="13"/>
  <c r="AJ743" i="13" s="1"/>
  <c r="AG679" i="13"/>
  <c r="AI679" i="13"/>
  <c r="AJ679" i="13" s="1"/>
  <c r="AG899" i="13"/>
  <c r="AI899" i="13"/>
  <c r="AJ899" i="13" s="1"/>
  <c r="AG112" i="13"/>
  <c r="AI112" i="13"/>
  <c r="AJ112" i="13" s="1"/>
  <c r="AG756" i="13"/>
  <c r="AI756" i="13"/>
  <c r="AJ756" i="13" s="1"/>
  <c r="AG550" i="13"/>
  <c r="AI550" i="13"/>
  <c r="AJ550" i="13" s="1"/>
  <c r="AI26" i="13"/>
  <c r="AG26" i="13"/>
  <c r="E256" i="11" s="1"/>
  <c r="K256" i="11" s="1"/>
  <c r="AI404" i="13"/>
  <c r="AJ404" i="13" s="1"/>
  <c r="AG404" i="13"/>
  <c r="AG627" i="13"/>
  <c r="AI627" i="13"/>
  <c r="AJ627" i="13" s="1"/>
  <c r="AG651" i="13"/>
  <c r="AI651" i="13"/>
  <c r="AJ651" i="13" s="1"/>
  <c r="AI999" i="13"/>
  <c r="AJ999" i="13" s="1"/>
  <c r="AG999" i="13"/>
  <c r="AI119" i="13"/>
  <c r="AJ119" i="13" s="1"/>
  <c r="AG119" i="13"/>
  <c r="AI318" i="13"/>
  <c r="AJ318" i="13" s="1"/>
  <c r="AG318" i="13"/>
  <c r="AI463" i="13"/>
  <c r="AJ463" i="13" s="1"/>
  <c r="AG463" i="13"/>
  <c r="AI220" i="13"/>
  <c r="AJ220" i="13" s="1"/>
  <c r="AG220" i="13"/>
  <c r="AI806" i="13"/>
  <c r="AJ806" i="13" s="1"/>
  <c r="AG806" i="13"/>
  <c r="AG374" i="13"/>
  <c r="AI374" i="13"/>
  <c r="AJ374" i="13" s="1"/>
  <c r="AG1004" i="13"/>
  <c r="AI1004" i="13"/>
  <c r="AJ1004" i="13" s="1"/>
  <c r="AG662" i="13"/>
  <c r="AI662" i="13"/>
  <c r="AJ662" i="13" s="1"/>
  <c r="AI787" i="13"/>
  <c r="AJ787" i="13" s="1"/>
  <c r="AG787" i="13"/>
  <c r="AG591" i="13"/>
  <c r="AI591" i="13"/>
  <c r="AJ591" i="13" s="1"/>
  <c r="AI998" i="13"/>
  <c r="AJ998" i="13" s="1"/>
  <c r="AG998" i="13"/>
  <c r="AI441" i="13"/>
  <c r="AJ441" i="13" s="1"/>
  <c r="AG441" i="13"/>
  <c r="AI555" i="13"/>
  <c r="AJ555" i="13" s="1"/>
  <c r="AG555" i="13"/>
  <c r="AG873" i="13"/>
  <c r="AI873" i="13"/>
  <c r="AJ873" i="13" s="1"/>
  <c r="AG227" i="13"/>
  <c r="AI227" i="13"/>
  <c r="AJ227" i="13" s="1"/>
  <c r="AI868" i="13"/>
  <c r="AJ868" i="13" s="1"/>
  <c r="AG868" i="13"/>
  <c r="AI158" i="13"/>
  <c r="AJ158" i="13" s="1"/>
  <c r="AG158" i="13"/>
  <c r="AG734" i="13"/>
  <c r="AI734" i="13"/>
  <c r="AJ734" i="13" s="1"/>
  <c r="AG983" i="13"/>
  <c r="AI983" i="13"/>
  <c r="AJ983" i="13" s="1"/>
  <c r="AI920" i="13"/>
  <c r="AJ920" i="13" s="1"/>
  <c r="AG920" i="13"/>
  <c r="AI903" i="13"/>
  <c r="AJ903" i="13" s="1"/>
  <c r="AG903" i="13"/>
  <c r="AI53" i="13"/>
  <c r="AJ53" i="13" s="1"/>
  <c r="AG53" i="13"/>
  <c r="AG208" i="13"/>
  <c r="AI208" i="13"/>
  <c r="AJ208" i="13" s="1"/>
  <c r="AG643" i="13"/>
  <c r="AI643" i="13"/>
  <c r="AJ643" i="13" s="1"/>
  <c r="AG63" i="13"/>
  <c r="AI63" i="13"/>
  <c r="AJ63" i="13" s="1"/>
  <c r="AG385" i="13"/>
  <c r="AI385" i="13"/>
  <c r="AJ385" i="13" s="1"/>
  <c r="AI461" i="13"/>
  <c r="AJ461" i="13" s="1"/>
  <c r="AG461" i="13"/>
  <c r="AG866" i="13"/>
  <c r="AI866" i="13"/>
  <c r="AJ866" i="13" s="1"/>
  <c r="AG370" i="13"/>
  <c r="AI370" i="13"/>
  <c r="AJ370" i="13" s="1"/>
  <c r="AG556" i="13"/>
  <c r="AI556" i="13"/>
  <c r="AJ556" i="13" s="1"/>
  <c r="AG106" i="13"/>
  <c r="AI106" i="13"/>
  <c r="AJ106" i="13" s="1"/>
  <c r="AI335" i="13"/>
  <c r="AJ335" i="13" s="1"/>
  <c r="AG335" i="13"/>
  <c r="AI1002" i="13"/>
  <c r="AJ1002" i="13" s="1"/>
  <c r="AG1002" i="13"/>
  <c r="AI553" i="13"/>
  <c r="AJ553" i="13" s="1"/>
  <c r="AG553" i="13"/>
  <c r="AI79" i="13"/>
  <c r="AJ79" i="13" s="1"/>
  <c r="AG79" i="13"/>
  <c r="AG505" i="13"/>
  <c r="AI505" i="13"/>
  <c r="AJ505" i="13" s="1"/>
  <c r="AG41" i="13"/>
  <c r="AH41" i="13"/>
  <c r="E128" i="11" s="1"/>
  <c r="K128" i="11" s="1"/>
  <c r="AI41" i="13"/>
  <c r="D454" i="11"/>
  <c r="K454" i="11" s="1"/>
  <c r="H18" i="1"/>
  <c r="B6" i="32" s="1"/>
  <c r="H6" i="32" s="1"/>
  <c r="E135" i="11" s="1"/>
  <c r="K135" i="11" s="1"/>
  <c r="G12" i="31"/>
  <c r="D133" i="11"/>
  <c r="G138" i="31"/>
  <c r="G144" i="31"/>
  <c r="G180" i="31"/>
  <c r="G36" i="31"/>
  <c r="G162" i="31"/>
  <c r="G66" i="31"/>
  <c r="G102" i="31"/>
  <c r="G72" i="31"/>
  <c r="G24" i="31"/>
  <c r="G90" i="31"/>
  <c r="G150" i="31"/>
  <c r="G126" i="31"/>
  <c r="G84" i="31"/>
  <c r="G108" i="31"/>
  <c r="G42" i="31"/>
  <c r="G192" i="31"/>
  <c r="G78" i="31"/>
  <c r="G198" i="31"/>
  <c r="G96" i="31"/>
  <c r="G186" i="31"/>
  <c r="G114" i="31"/>
  <c r="G48" i="31"/>
  <c r="G168" i="31"/>
  <c r="G132" i="31"/>
  <c r="G174" i="31"/>
  <c r="G54" i="31"/>
  <c r="G60" i="31"/>
  <c r="G30" i="31"/>
  <c r="G120" i="31"/>
  <c r="G156" i="31"/>
  <c r="AA7" i="13"/>
  <c r="E13" i="1"/>
  <c r="E455" i="11" s="1"/>
  <c r="E15" i="1"/>
  <c r="E449" i="11" s="1"/>
  <c r="E17" i="1"/>
  <c r="E16" i="1"/>
  <c r="E451" i="11" s="1"/>
  <c r="E12" i="1"/>
  <c r="E36" i="14"/>
  <c r="E29" i="14"/>
  <c r="E33" i="14"/>
  <c r="E38" i="14"/>
  <c r="E31" i="14"/>
  <c r="E35" i="14"/>
  <c r="E28" i="14"/>
  <c r="E30" i="14"/>
  <c r="B40" i="14"/>
  <c r="E39" i="14"/>
  <c r="E37" i="14"/>
  <c r="E34" i="14"/>
  <c r="E32" i="14"/>
  <c r="F757" i="11"/>
  <c r="K757" i="11" s="1"/>
  <c r="AL150" i="23"/>
  <c r="AL124" i="23"/>
  <c r="AL149" i="23"/>
  <c r="AL164" i="23"/>
  <c r="AL138" i="23"/>
  <c r="AL168" i="23"/>
  <c r="AL166" i="23"/>
  <c r="AL165" i="23"/>
  <c r="AL170" i="23"/>
  <c r="AL173" i="23"/>
  <c r="AL115" i="23"/>
  <c r="AL117" i="23"/>
  <c r="AL121" i="23"/>
  <c r="AL143" i="23"/>
  <c r="AL189" i="23"/>
  <c r="AL129" i="23"/>
  <c r="AL188" i="23"/>
  <c r="AL190" i="23"/>
  <c r="AL176" i="23"/>
  <c r="AL197" i="23"/>
  <c r="AL157" i="23"/>
  <c r="AL146" i="23"/>
  <c r="AL194" i="23"/>
  <c r="AL209" i="23"/>
  <c r="AL207" i="23"/>
  <c r="AL198" i="23"/>
  <c r="AL200" i="23"/>
  <c r="AL208" i="23"/>
  <c r="AL204" i="23"/>
  <c r="AL205" i="23"/>
  <c r="AL203" i="23"/>
  <c r="AL212" i="23"/>
  <c r="AL206" i="23"/>
  <c r="AL201" i="23"/>
  <c r="AL210" i="23"/>
  <c r="AL211" i="23"/>
  <c r="AL195" i="23"/>
  <c r="AL193" i="23"/>
  <c r="AL192" i="23"/>
  <c r="AL187" i="23"/>
  <c r="AL196" i="23"/>
  <c r="AL199" i="23"/>
  <c r="AL181" i="23"/>
  <c r="AL184" i="23"/>
  <c r="AL171" i="23"/>
  <c r="AL185" i="23"/>
  <c r="AL183" i="23"/>
  <c r="AL174" i="23"/>
  <c r="AL159" i="23"/>
  <c r="AL156" i="23"/>
  <c r="AL179" i="23"/>
  <c r="AL162" i="23"/>
  <c r="AL151" i="23"/>
  <c r="AL167" i="23"/>
  <c r="AL155" i="23"/>
  <c r="AL161" i="23"/>
  <c r="AL182" i="23"/>
  <c r="AL172" i="23"/>
  <c r="AL163" i="23"/>
  <c r="AL152" i="23"/>
  <c r="AL141" i="23"/>
  <c r="AL153" i="23"/>
  <c r="AL186" i="23"/>
  <c r="AL160" i="23"/>
  <c r="AL148" i="23"/>
  <c r="AL145" i="23"/>
  <c r="AL144" i="23"/>
  <c r="AL135" i="23"/>
  <c r="AL140" i="23"/>
  <c r="AL116" i="23"/>
  <c r="AL177" i="23"/>
  <c r="AL178" i="23"/>
  <c r="AL139" i="23"/>
  <c r="AL134" i="23"/>
  <c r="AL118" i="23"/>
  <c r="AL132" i="23"/>
  <c r="AL133" i="23"/>
  <c r="AL131" i="23"/>
  <c r="AL154" i="23"/>
  <c r="AL175" i="23"/>
  <c r="AL142" i="23"/>
  <c r="AL126" i="23"/>
  <c r="AL127" i="23"/>
  <c r="AL130" i="23"/>
  <c r="AL128" i="23"/>
  <c r="AL122" i="23"/>
  <c r="AL120" i="23"/>
  <c r="AL137" i="23"/>
  <c r="AL119" i="23"/>
  <c r="AL123" i="23"/>
  <c r="AL136" i="23"/>
  <c r="AL169" i="23"/>
  <c r="AL114" i="23"/>
  <c r="AL202" i="23"/>
  <c r="AL180" i="23"/>
  <c r="AL191" i="23"/>
  <c r="AL147" i="23"/>
  <c r="AL125" i="23"/>
  <c r="AL158" i="23"/>
  <c r="AL112" i="23"/>
  <c r="AL113" i="23"/>
  <c r="AL109" i="23"/>
  <c r="AL107" i="23"/>
  <c r="AL111" i="23"/>
  <c r="AL110" i="23"/>
  <c r="AL105" i="23"/>
  <c r="AL104" i="23"/>
  <c r="AL102" i="23"/>
  <c r="AL101" i="23"/>
  <c r="AL108" i="23"/>
  <c r="AL103" i="23"/>
  <c r="AL106" i="23"/>
  <c r="AL97" i="23"/>
  <c r="AL100" i="23"/>
  <c r="AL99" i="23"/>
  <c r="AL95" i="23"/>
  <c r="AL94" i="23"/>
  <c r="AL93" i="23"/>
  <c r="AL92" i="23"/>
  <c r="AL83" i="23"/>
  <c r="AL98" i="23"/>
  <c r="AL90" i="23"/>
  <c r="AL84" i="23"/>
  <c r="AL82" i="23"/>
  <c r="AL80" i="23"/>
  <c r="AL91" i="23"/>
  <c r="AL81" i="23"/>
  <c r="AL96" i="23"/>
  <c r="AL88" i="23"/>
  <c r="AL85" i="23"/>
  <c r="AL78" i="23"/>
  <c r="AL77" i="23"/>
  <c r="AL70" i="23"/>
  <c r="AL75" i="23"/>
  <c r="AL89" i="23"/>
  <c r="AL79" i="23"/>
  <c r="AL65" i="23"/>
  <c r="AL76" i="23"/>
  <c r="AL64" i="23"/>
  <c r="AL67" i="23"/>
  <c r="AL60" i="23"/>
  <c r="AL58" i="23"/>
  <c r="AL86" i="23"/>
  <c r="AL68" i="23"/>
  <c r="AL62" i="23"/>
  <c r="AL52" i="23"/>
  <c r="AL69" i="23"/>
  <c r="AL61" i="23"/>
  <c r="AL51" i="23"/>
  <c r="AL48" i="23"/>
  <c r="AL72" i="23"/>
  <c r="AL71" i="23"/>
  <c r="AL66" i="23"/>
  <c r="AL74" i="23"/>
  <c r="AL73" i="23"/>
  <c r="AL50" i="23"/>
  <c r="AL54" i="23"/>
  <c r="AL49" i="23"/>
  <c r="AL47" i="23"/>
  <c r="AL63" i="23"/>
  <c r="AL45" i="23"/>
  <c r="AL57" i="23"/>
  <c r="AL55" i="23"/>
  <c r="AL38" i="23"/>
  <c r="AL36" i="23"/>
  <c r="AL87" i="23"/>
  <c r="AL56" i="23"/>
  <c r="AL46" i="23"/>
  <c r="AL33" i="23"/>
  <c r="AL42" i="23"/>
  <c r="AL32" i="23"/>
  <c r="AL53" i="23"/>
  <c r="AL44" i="23"/>
  <c r="AL26" i="23"/>
  <c r="AL24" i="23"/>
  <c r="AL40" i="23"/>
  <c r="AL37" i="23"/>
  <c r="AL21" i="23"/>
  <c r="AL28" i="23"/>
  <c r="AL41" i="23"/>
  <c r="AL27" i="23"/>
  <c r="AL25" i="23"/>
  <c r="AL9" i="23"/>
  <c r="AL59" i="23"/>
  <c r="AL34" i="23"/>
  <c r="AL31" i="23"/>
  <c r="AL22" i="23"/>
  <c r="AL16" i="23"/>
  <c r="AL14" i="23"/>
  <c r="AL6" i="23"/>
  <c r="AL18" i="23"/>
  <c r="AL19" i="23"/>
  <c r="AL11" i="23"/>
  <c r="AL8" i="23"/>
  <c r="AM2" i="23"/>
  <c r="AL39" i="23"/>
  <c r="AL10" i="23"/>
  <c r="AL17" i="23"/>
  <c r="AL43" i="23"/>
  <c r="AL29" i="23"/>
  <c r="AL13" i="23"/>
  <c r="AL5" i="23"/>
  <c r="AL12" i="23"/>
  <c r="AL4" i="23"/>
  <c r="AL7" i="23"/>
  <c r="AL20" i="23"/>
  <c r="AL35" i="23"/>
  <c r="AL30" i="23"/>
  <c r="AL15" i="23"/>
  <c r="AL23" i="23"/>
  <c r="H53" i="1"/>
  <c r="F42" i="11"/>
  <c r="K42" i="11" s="1"/>
  <c r="H60" i="1"/>
  <c r="J56" i="14"/>
  <c r="L56" i="14"/>
  <c r="L59" i="14"/>
  <c r="J59" i="14"/>
  <c r="L90" i="14"/>
  <c r="J90" i="14"/>
  <c r="J54" i="14"/>
  <c r="L54" i="14"/>
  <c r="J79" i="14"/>
  <c r="L79" i="14"/>
  <c r="E21" i="14"/>
  <c r="E24" i="14"/>
  <c r="E13" i="14"/>
  <c r="E10" i="14"/>
  <c r="E20" i="14"/>
  <c r="E17" i="14"/>
  <c r="E11" i="14"/>
  <c r="E19" i="14"/>
  <c r="E26" i="14"/>
  <c r="E14" i="14"/>
  <c r="E18" i="14"/>
  <c r="E15" i="14"/>
  <c r="E25" i="14"/>
  <c r="G25" i="14" s="1"/>
  <c r="E73" i="14"/>
  <c r="G73" i="14" s="1"/>
  <c r="E76" i="14"/>
  <c r="G76" i="14" s="1"/>
  <c r="E74" i="14"/>
  <c r="G74" i="14" s="1"/>
  <c r="E88" i="14"/>
  <c r="G88" i="14" s="1"/>
  <c r="G57" i="14"/>
  <c r="G47" i="14"/>
  <c r="G65" i="14"/>
  <c r="G61" i="14"/>
  <c r="G60" i="14"/>
  <c r="G58" i="14"/>
  <c r="E82" i="14"/>
  <c r="G82" i="14" s="1"/>
  <c r="E72" i="14"/>
  <c r="B92" i="14"/>
  <c r="B66" i="14"/>
  <c r="E83" i="14"/>
  <c r="G83" i="14" s="1"/>
  <c r="G52" i="14"/>
  <c r="E80" i="14"/>
  <c r="G80" i="14" s="1"/>
  <c r="C92" i="14"/>
  <c r="G53" i="14"/>
  <c r="E22" i="14"/>
  <c r="G64" i="14"/>
  <c r="E27" i="14"/>
  <c r="E81" i="14"/>
  <c r="G81" i="14" s="1"/>
  <c r="E78" i="14"/>
  <c r="G78" i="14" s="1"/>
  <c r="E75" i="14"/>
  <c r="G75" i="14" s="1"/>
  <c r="E9" i="14"/>
  <c r="E85" i="14"/>
  <c r="G85" i="14" s="1"/>
  <c r="E87" i="14"/>
  <c r="G87" i="14" s="1"/>
  <c r="E86" i="14"/>
  <c r="G86" i="14" s="1"/>
  <c r="G51" i="14"/>
  <c r="E16" i="14"/>
  <c r="G49" i="14"/>
  <c r="E84" i="14"/>
  <c r="G84" i="14" s="1"/>
  <c r="C66" i="14"/>
  <c r="G55" i="14"/>
  <c r="G63" i="14"/>
  <c r="E23" i="14"/>
  <c r="E12" i="14"/>
  <c r="G62" i="14"/>
  <c r="G50" i="14"/>
  <c r="E91" i="14"/>
  <c r="G91" i="14" s="1"/>
  <c r="E89" i="14"/>
  <c r="G89" i="14" s="1"/>
  <c r="E77" i="14"/>
  <c r="G77" i="14" s="1"/>
  <c r="E137" i="11" l="1"/>
  <c r="K137" i="11" s="1"/>
  <c r="E240" i="11"/>
  <c r="K240" i="11" s="1"/>
  <c r="K133" i="11"/>
  <c r="K132" i="11"/>
  <c r="K136" i="11"/>
  <c r="K758" i="11"/>
  <c r="K654" i="11"/>
  <c r="K759" i="11"/>
  <c r="K657" i="11"/>
  <c r="K656" i="11"/>
  <c r="K655" i="11"/>
  <c r="D227" i="11"/>
  <c r="E254" i="11"/>
  <c r="K254" i="11" s="1"/>
  <c r="E247" i="11"/>
  <c r="K247" i="11" s="1"/>
  <c r="E245" i="11"/>
  <c r="K245" i="11" s="1"/>
  <c r="E264" i="11"/>
  <c r="K264" i="11" s="1"/>
  <c r="E258" i="11"/>
  <c r="K258" i="11" s="1"/>
  <c r="AH7" i="13"/>
  <c r="E130" i="11"/>
  <c r="K130" i="11" s="1"/>
  <c r="E255" i="11"/>
  <c r="K255" i="11" s="1"/>
  <c r="AJ26" i="13"/>
  <c r="AJ19" i="13"/>
  <c r="AJ21" i="13"/>
  <c r="AJ28" i="13"/>
  <c r="AJ18" i="13"/>
  <c r="AJ29" i="13"/>
  <c r="AJ30" i="13"/>
  <c r="AJ20" i="13"/>
  <c r="AJ23" i="13"/>
  <c r="AJ41" i="13"/>
  <c r="AJ27" i="13"/>
  <c r="AJ10" i="13"/>
  <c r="AJ16" i="13"/>
  <c r="AJ25" i="13"/>
  <c r="AJ12" i="13"/>
  <c r="AJ11" i="13"/>
  <c r="G18" i="31"/>
  <c r="G9" i="31" s="1"/>
  <c r="D449" i="11"/>
  <c r="K449" i="11" s="1"/>
  <c r="D455" i="11"/>
  <c r="K455" i="11" s="1"/>
  <c r="D451" i="11"/>
  <c r="K451" i="11" s="1"/>
  <c r="G36" i="14"/>
  <c r="L36" i="14" s="1"/>
  <c r="G37" i="14"/>
  <c r="AM173" i="23"/>
  <c r="AM115" i="23"/>
  <c r="AM126" i="23"/>
  <c r="AM151" i="23"/>
  <c r="AM145" i="23"/>
  <c r="AM179" i="23"/>
  <c r="AM127" i="23"/>
  <c r="AM170" i="23"/>
  <c r="AM157" i="23"/>
  <c r="AM149" i="23"/>
  <c r="AM166" i="23"/>
  <c r="AM189" i="23"/>
  <c r="AM154" i="23"/>
  <c r="AM124" i="23"/>
  <c r="AM206" i="23"/>
  <c r="AM152" i="23"/>
  <c r="AM203" i="23"/>
  <c r="AM164" i="23"/>
  <c r="AM188" i="23"/>
  <c r="AM209" i="23"/>
  <c r="AM208" i="23"/>
  <c r="AM211" i="23"/>
  <c r="AM205" i="23"/>
  <c r="AM195" i="23"/>
  <c r="AM204" i="23"/>
  <c r="AM199" i="23"/>
  <c r="AM207" i="23"/>
  <c r="AM212" i="23"/>
  <c r="AM194" i="23"/>
  <c r="AM197" i="23"/>
  <c r="AM193" i="23"/>
  <c r="AM210" i="23"/>
  <c r="AM192" i="23"/>
  <c r="AM174" i="23"/>
  <c r="AM196" i="23"/>
  <c r="AM186" i="23"/>
  <c r="AM182" i="23"/>
  <c r="AM198" i="23"/>
  <c r="AM200" i="23"/>
  <c r="AM201" i="23"/>
  <c r="AM190" i="23"/>
  <c r="AM172" i="23"/>
  <c r="AM175" i="23"/>
  <c r="AM183" i="23"/>
  <c r="AM156" i="23"/>
  <c r="AM181" i="23"/>
  <c r="AM162" i="23"/>
  <c r="AM178" i="23"/>
  <c r="AM161" i="23"/>
  <c r="AM155" i="23"/>
  <c r="AM177" i="23"/>
  <c r="AM184" i="23"/>
  <c r="AM171" i="23"/>
  <c r="AM159" i="23"/>
  <c r="AM142" i="23"/>
  <c r="AM185" i="23"/>
  <c r="AM153" i="23"/>
  <c r="AM128" i="23"/>
  <c r="AM132" i="23"/>
  <c r="AM160" i="23"/>
  <c r="AM168" i="23"/>
  <c r="AM134" i="23"/>
  <c r="AM141" i="23"/>
  <c r="AM130" i="23"/>
  <c r="AM187" i="23"/>
  <c r="AM165" i="23"/>
  <c r="AM121" i="23"/>
  <c r="AM148" i="23"/>
  <c r="AM146" i="23"/>
  <c r="AM135" i="23"/>
  <c r="AM122" i="23"/>
  <c r="AM176" i="23"/>
  <c r="AM163" i="23"/>
  <c r="AM138" i="23"/>
  <c r="AM144" i="23"/>
  <c r="AM119" i="23"/>
  <c r="AM116" i="23"/>
  <c r="AM118" i="23"/>
  <c r="AM143" i="23"/>
  <c r="AM131" i="23"/>
  <c r="AM120" i="23"/>
  <c r="AM137" i="23"/>
  <c r="AM129" i="23"/>
  <c r="AM117" i="23"/>
  <c r="AM123" i="23"/>
  <c r="AM139" i="23"/>
  <c r="AM133" i="23"/>
  <c r="AM167" i="23"/>
  <c r="AM150" i="23"/>
  <c r="AM140" i="23"/>
  <c r="AM158" i="23"/>
  <c r="AM169" i="23"/>
  <c r="AM147" i="23"/>
  <c r="AM125" i="23"/>
  <c r="AM191" i="23"/>
  <c r="AM180" i="23"/>
  <c r="AM202" i="23"/>
  <c r="AM136" i="23"/>
  <c r="AM114" i="23"/>
  <c r="AM113" i="23"/>
  <c r="AM111" i="23"/>
  <c r="AM110" i="23"/>
  <c r="AM112" i="23"/>
  <c r="AM109" i="23"/>
  <c r="AM106" i="23"/>
  <c r="AM107" i="23"/>
  <c r="AM105" i="23"/>
  <c r="AM101" i="23"/>
  <c r="AM100" i="23"/>
  <c r="AM108" i="23"/>
  <c r="AM103" i="23"/>
  <c r="AM96" i="23"/>
  <c r="AM99" i="23"/>
  <c r="AM98" i="23"/>
  <c r="AM95" i="23"/>
  <c r="AM97" i="23"/>
  <c r="AM91" i="23"/>
  <c r="AM93" i="23"/>
  <c r="AM94" i="23"/>
  <c r="AM102" i="23"/>
  <c r="AM88" i="23"/>
  <c r="AM104" i="23"/>
  <c r="AM92" i="23"/>
  <c r="AM90" i="23"/>
  <c r="AM89" i="23"/>
  <c r="AM86" i="23"/>
  <c r="AM85" i="23"/>
  <c r="AM78" i="23"/>
  <c r="AM75" i="23"/>
  <c r="AM81" i="23"/>
  <c r="AM74" i="23"/>
  <c r="AM83" i="23"/>
  <c r="AM80" i="23"/>
  <c r="AM79" i="23"/>
  <c r="AM84" i="23"/>
  <c r="AM72" i="23"/>
  <c r="AM69" i="23"/>
  <c r="AM70" i="23"/>
  <c r="AM68" i="23"/>
  <c r="AM62" i="23"/>
  <c r="AM71" i="23"/>
  <c r="AM63" i="23"/>
  <c r="AM59" i="23"/>
  <c r="AM57" i="23"/>
  <c r="AM77" i="23"/>
  <c r="AM66" i="23"/>
  <c r="AM65" i="23"/>
  <c r="AM56" i="23"/>
  <c r="AM73" i="23"/>
  <c r="AM64" i="23"/>
  <c r="AM61" i="23"/>
  <c r="AM51" i="23"/>
  <c r="AM50" i="23"/>
  <c r="AM87" i="23"/>
  <c r="AM53" i="23"/>
  <c r="AM52" i="23"/>
  <c r="AM45" i="23"/>
  <c r="AM82" i="23"/>
  <c r="AM67" i="23"/>
  <c r="AM60" i="23"/>
  <c r="AM55" i="23"/>
  <c r="AM44" i="23"/>
  <c r="AM76" i="23"/>
  <c r="AM49" i="23"/>
  <c r="AM38" i="23"/>
  <c r="AM46" i="23"/>
  <c r="AM33" i="23"/>
  <c r="AM58" i="23"/>
  <c r="AM41" i="23"/>
  <c r="AM40" i="23"/>
  <c r="AM43" i="23"/>
  <c r="AM39" i="23"/>
  <c r="AM42" i="23"/>
  <c r="AM37" i="23"/>
  <c r="AM21" i="23"/>
  <c r="AM54" i="23"/>
  <c r="AM28" i="23"/>
  <c r="AM36" i="23"/>
  <c r="AM35" i="23"/>
  <c r="AM34" i="23"/>
  <c r="AM23" i="23"/>
  <c r="AM31" i="23"/>
  <c r="AM22" i="23"/>
  <c r="AM16" i="23"/>
  <c r="AM14" i="23"/>
  <c r="AM6" i="23"/>
  <c r="AM30" i="23"/>
  <c r="AM15" i="23"/>
  <c r="AM5" i="23"/>
  <c r="AM19" i="23"/>
  <c r="AM11" i="23"/>
  <c r="AM25" i="23"/>
  <c r="AM18" i="23"/>
  <c r="AM8" i="23"/>
  <c r="AN2" i="23"/>
  <c r="AM27" i="23"/>
  <c r="AM13" i="23"/>
  <c r="AM17" i="23"/>
  <c r="AM7" i="23"/>
  <c r="AM29" i="23"/>
  <c r="AM24" i="23"/>
  <c r="AM20" i="23"/>
  <c r="AM12" i="23"/>
  <c r="AM4" i="23"/>
  <c r="AM9" i="23"/>
  <c r="AM10" i="23"/>
  <c r="AM26" i="23"/>
  <c r="AM47" i="23"/>
  <c r="AM48" i="23"/>
  <c r="AM32" i="23"/>
  <c r="L53" i="14"/>
  <c r="J53" i="14"/>
  <c r="J77" i="14"/>
  <c r="L77" i="14"/>
  <c r="J87" i="14"/>
  <c r="L87" i="14"/>
  <c r="J86" i="14"/>
  <c r="L86" i="14"/>
  <c r="L81" i="14"/>
  <c r="J81" i="14"/>
  <c r="L25" i="14"/>
  <c r="J25" i="14"/>
  <c r="L89" i="14"/>
  <c r="J89" i="14"/>
  <c r="J55" i="14"/>
  <c r="L55" i="14"/>
  <c r="J57" i="14"/>
  <c r="L57" i="14"/>
  <c r="J64" i="14"/>
  <c r="L64" i="14"/>
  <c r="J65" i="14"/>
  <c r="L65" i="14"/>
  <c r="L51" i="14"/>
  <c r="J51" i="14"/>
  <c r="L83" i="14"/>
  <c r="J83" i="14"/>
  <c r="L52" i="14"/>
  <c r="J52" i="14"/>
  <c r="L50" i="14"/>
  <c r="J50" i="14"/>
  <c r="J49" i="14"/>
  <c r="L49" i="14"/>
  <c r="L75" i="14"/>
  <c r="J75" i="14"/>
  <c r="L80" i="14"/>
  <c r="J80" i="14"/>
  <c r="L58" i="14"/>
  <c r="J58" i="14"/>
  <c r="J76" i="14"/>
  <c r="L76" i="14"/>
  <c r="J85" i="14"/>
  <c r="L85" i="14"/>
  <c r="L88" i="14"/>
  <c r="J88" i="14"/>
  <c r="J63" i="14"/>
  <c r="L63" i="14"/>
  <c r="J47" i="14"/>
  <c r="L47" i="14"/>
  <c r="L61" i="14"/>
  <c r="J61" i="14"/>
  <c r="J62" i="14"/>
  <c r="L62" i="14"/>
  <c r="J78" i="14"/>
  <c r="L78" i="14"/>
  <c r="L60" i="14"/>
  <c r="J60" i="14"/>
  <c r="L73" i="14"/>
  <c r="J73" i="14"/>
  <c r="L91" i="14"/>
  <c r="J91" i="14"/>
  <c r="J84" i="14"/>
  <c r="L84" i="14"/>
  <c r="L82" i="14"/>
  <c r="J82" i="14"/>
  <c r="L74" i="14"/>
  <c r="J74" i="14"/>
  <c r="E92" i="14"/>
  <c r="E66" i="14"/>
  <c r="G46" i="14"/>
  <c r="E227" i="11" l="1"/>
  <c r="K227" i="11" s="1"/>
  <c r="J36" i="14"/>
  <c r="L37" i="14"/>
  <c r="J37" i="14"/>
  <c r="AN148" i="23"/>
  <c r="AN128" i="23"/>
  <c r="AN201" i="23"/>
  <c r="AN132" i="23"/>
  <c r="AN212" i="23"/>
  <c r="AN134" i="23"/>
  <c r="AN143" i="23"/>
  <c r="AN179" i="23"/>
  <c r="AN206" i="23"/>
  <c r="AN117" i="23"/>
  <c r="AN126" i="23"/>
  <c r="AN152" i="23"/>
  <c r="AN164" i="23"/>
  <c r="AN149" i="23"/>
  <c r="AN197" i="23"/>
  <c r="AN198" i="23"/>
  <c r="AN167" i="23"/>
  <c r="AN209" i="23"/>
  <c r="AN204" i="23"/>
  <c r="AN193" i="23"/>
  <c r="AN173" i="23"/>
  <c r="AN210" i="23"/>
  <c r="AN200" i="23"/>
  <c r="AN166" i="23"/>
  <c r="AN208" i="23"/>
  <c r="AN195" i="23"/>
  <c r="AN196" i="23"/>
  <c r="AN205" i="23"/>
  <c r="AN203" i="23"/>
  <c r="AN192" i="23"/>
  <c r="AN181" i="23"/>
  <c r="AN189" i="23"/>
  <c r="AN207" i="23"/>
  <c r="AN199" i="23"/>
  <c r="AN186" i="23"/>
  <c r="AN211" i="23"/>
  <c r="AN184" i="23"/>
  <c r="AN188" i="23"/>
  <c r="AN194" i="23"/>
  <c r="AN171" i="23"/>
  <c r="AN170" i="23"/>
  <c r="AN163" i="23"/>
  <c r="AN161" i="23"/>
  <c r="AN174" i="23"/>
  <c r="AN159" i="23"/>
  <c r="AN183" i="23"/>
  <c r="AN177" i="23"/>
  <c r="AN176" i="23"/>
  <c r="AN178" i="23"/>
  <c r="AN150" i="23"/>
  <c r="AN182" i="23"/>
  <c r="AN160" i="23"/>
  <c r="AN155" i="23"/>
  <c r="AN153" i="23"/>
  <c r="AN175" i="23"/>
  <c r="AN154" i="23"/>
  <c r="AN137" i="23"/>
  <c r="AN142" i="23"/>
  <c r="AN162" i="23"/>
  <c r="AN165" i="23"/>
  <c r="AN138" i="23"/>
  <c r="AN185" i="23"/>
  <c r="AN168" i="23"/>
  <c r="AN151" i="23"/>
  <c r="AN133" i="23"/>
  <c r="AN156" i="23"/>
  <c r="AN140" i="23"/>
  <c r="AN130" i="23"/>
  <c r="AN129" i="23"/>
  <c r="AN116" i="23"/>
  <c r="AN122" i="23"/>
  <c r="AN157" i="23"/>
  <c r="AN139" i="23"/>
  <c r="AN115" i="23"/>
  <c r="AN187" i="23"/>
  <c r="AN172" i="23"/>
  <c r="AN118" i="23"/>
  <c r="AN123" i="23"/>
  <c r="AN145" i="23"/>
  <c r="AN135" i="23"/>
  <c r="AN124" i="23"/>
  <c r="AN141" i="23"/>
  <c r="AN144" i="23"/>
  <c r="AN121" i="23"/>
  <c r="AN146" i="23"/>
  <c r="AN119" i="23"/>
  <c r="AN190" i="23"/>
  <c r="AN120" i="23"/>
  <c r="AN131" i="23"/>
  <c r="AN127" i="23"/>
  <c r="AN136" i="23"/>
  <c r="AN125" i="23"/>
  <c r="AN158" i="23"/>
  <c r="AN202" i="23"/>
  <c r="AN191" i="23"/>
  <c r="AN114" i="23"/>
  <c r="AN180" i="23"/>
  <c r="AN147" i="23"/>
  <c r="AN169" i="23"/>
  <c r="AN107" i="23"/>
  <c r="AN113" i="23"/>
  <c r="AN108" i="23"/>
  <c r="AN111" i="23"/>
  <c r="AN110" i="23"/>
  <c r="AN109" i="23"/>
  <c r="AN103" i="23"/>
  <c r="AN101" i="23"/>
  <c r="AN112" i="23"/>
  <c r="AN106" i="23"/>
  <c r="AN104" i="23"/>
  <c r="AN100" i="23"/>
  <c r="AN102" i="23"/>
  <c r="AN98" i="23"/>
  <c r="AN93" i="23"/>
  <c r="AN94" i="23"/>
  <c r="AN96" i="23"/>
  <c r="AN86" i="23"/>
  <c r="AN105" i="23"/>
  <c r="AN95" i="23"/>
  <c r="AN90" i="23"/>
  <c r="AN89" i="23"/>
  <c r="AN85" i="23"/>
  <c r="AN99" i="23"/>
  <c r="AN87" i="23"/>
  <c r="AN88" i="23"/>
  <c r="AN78" i="23"/>
  <c r="AN72" i="23"/>
  <c r="AN91" i="23"/>
  <c r="AN84" i="23"/>
  <c r="AN82" i="23"/>
  <c r="AN80" i="23"/>
  <c r="AN79" i="23"/>
  <c r="AN71" i="23"/>
  <c r="AN69" i="23"/>
  <c r="AN75" i="23"/>
  <c r="AN81" i="23"/>
  <c r="AN67" i="23"/>
  <c r="AN77" i="23"/>
  <c r="AN73" i="23"/>
  <c r="AN66" i="23"/>
  <c r="AN62" i="23"/>
  <c r="AN97" i="23"/>
  <c r="AN63" i="23"/>
  <c r="AN59" i="23"/>
  <c r="AN57" i="23"/>
  <c r="AN83" i="23"/>
  <c r="AN54" i="23"/>
  <c r="AN53" i="23"/>
  <c r="AN64" i="23"/>
  <c r="AN61" i="23"/>
  <c r="AN51" i="23"/>
  <c r="AN50" i="23"/>
  <c r="AN92" i="23"/>
  <c r="AN74" i="23"/>
  <c r="AN52" i="23"/>
  <c r="AN58" i="23"/>
  <c r="AN42" i="23"/>
  <c r="AN41" i="23"/>
  <c r="AN65" i="23"/>
  <c r="AN55" i="23"/>
  <c r="AN46" i="23"/>
  <c r="AN56" i="23"/>
  <c r="AN40" i="23"/>
  <c r="AN68" i="23"/>
  <c r="AN37" i="23"/>
  <c r="AN35" i="23"/>
  <c r="AN44" i="23"/>
  <c r="AN34" i="23"/>
  <c r="AN28" i="23"/>
  <c r="AN36" i="23"/>
  <c r="AN23" i="23"/>
  <c r="AN39" i="23"/>
  <c r="AN30" i="23"/>
  <c r="AN20" i="23"/>
  <c r="AN70" i="23"/>
  <c r="AN29" i="23"/>
  <c r="AN19" i="23"/>
  <c r="AN60" i="23"/>
  <c r="AN31" i="23"/>
  <c r="AN22" i="23"/>
  <c r="AN11" i="23"/>
  <c r="AN48" i="23"/>
  <c r="AN49" i="23"/>
  <c r="AN25" i="23"/>
  <c r="AN18" i="23"/>
  <c r="AN8" i="23"/>
  <c r="AO2" i="23"/>
  <c r="AN76" i="23"/>
  <c r="AN43" i="23"/>
  <c r="AN10" i="23"/>
  <c r="AN27" i="23"/>
  <c r="AN15" i="23"/>
  <c r="AN13" i="23"/>
  <c r="AN5" i="23"/>
  <c r="AN32" i="23"/>
  <c r="AN24" i="23"/>
  <c r="AN12" i="23"/>
  <c r="AN4" i="23"/>
  <c r="AN47" i="23"/>
  <c r="AN33" i="23"/>
  <c r="AN26" i="23"/>
  <c r="AN16" i="23"/>
  <c r="AN6" i="23"/>
  <c r="AN7" i="23"/>
  <c r="AN21" i="23"/>
  <c r="AN9" i="23"/>
  <c r="AN14" i="23"/>
  <c r="AN45" i="23"/>
  <c r="AN38" i="23"/>
  <c r="AN17" i="23"/>
  <c r="J46" i="14"/>
  <c r="L46" i="14"/>
  <c r="G48" i="14"/>
  <c r="G66" i="14"/>
  <c r="K125" i="11" l="1"/>
  <c r="K127" i="11"/>
  <c r="K126" i="11"/>
  <c r="K229" i="11"/>
  <c r="K124" i="11"/>
  <c r="K228" i="11"/>
  <c r="AO145" i="23"/>
  <c r="AO122" i="23"/>
  <c r="AO187" i="23"/>
  <c r="AO131" i="23"/>
  <c r="AO199" i="23"/>
  <c r="AO139" i="23"/>
  <c r="AO130" i="23"/>
  <c r="AO123" i="23"/>
  <c r="AO126" i="23"/>
  <c r="AO135" i="23"/>
  <c r="AO144" i="23"/>
  <c r="AO196" i="23"/>
  <c r="AO166" i="23"/>
  <c r="AO189" i="23"/>
  <c r="AO212" i="23"/>
  <c r="AO208" i="23"/>
  <c r="AO181" i="23"/>
  <c r="AO192" i="23"/>
  <c r="AO211" i="23"/>
  <c r="AO207" i="23"/>
  <c r="AO128" i="23"/>
  <c r="AO204" i="23"/>
  <c r="AO203" i="23"/>
  <c r="AO210" i="23"/>
  <c r="AO209" i="23"/>
  <c r="AO205" i="23"/>
  <c r="AO164" i="23"/>
  <c r="AO206" i="23"/>
  <c r="AO193" i="23"/>
  <c r="AO201" i="23"/>
  <c r="AO195" i="23"/>
  <c r="AO184" i="23"/>
  <c r="AO183" i="23"/>
  <c r="AO182" i="23"/>
  <c r="AO185" i="23"/>
  <c r="AO186" i="23"/>
  <c r="AO188" i="23"/>
  <c r="AO170" i="23"/>
  <c r="AO176" i="23"/>
  <c r="AO179" i="23"/>
  <c r="AO167" i="23"/>
  <c r="AO156" i="23"/>
  <c r="AO172" i="23"/>
  <c r="AO175" i="23"/>
  <c r="AO160" i="23"/>
  <c r="AO155" i="23"/>
  <c r="AO194" i="23"/>
  <c r="AO198" i="23"/>
  <c r="AO190" i="23"/>
  <c r="AO173" i="23"/>
  <c r="AO178" i="23"/>
  <c r="AO148" i="23"/>
  <c r="AO159" i="23"/>
  <c r="AO165" i="23"/>
  <c r="AO154" i="23"/>
  <c r="AO157" i="23"/>
  <c r="AO200" i="23"/>
  <c r="AO168" i="23"/>
  <c r="AO149" i="23"/>
  <c r="AO140" i="23"/>
  <c r="AO197" i="23"/>
  <c r="AO171" i="23"/>
  <c r="AO151" i="23"/>
  <c r="AO153" i="23"/>
  <c r="AO137" i="23"/>
  <c r="AO177" i="23"/>
  <c r="AO150" i="23"/>
  <c r="AO141" i="23"/>
  <c r="AO142" i="23"/>
  <c r="AO134" i="23"/>
  <c r="AO162" i="23"/>
  <c r="AO129" i="23"/>
  <c r="AO133" i="23"/>
  <c r="AO118" i="23"/>
  <c r="AO121" i="23"/>
  <c r="AO174" i="23"/>
  <c r="AO132" i="23"/>
  <c r="AO124" i="23"/>
  <c r="AO161" i="23"/>
  <c r="AO120" i="23"/>
  <c r="AO116" i="23"/>
  <c r="AO115" i="23"/>
  <c r="AO119" i="23"/>
  <c r="AO138" i="23"/>
  <c r="AO146" i="23"/>
  <c r="AO143" i="23"/>
  <c r="AO163" i="23"/>
  <c r="AO152" i="23"/>
  <c r="AO127" i="23"/>
  <c r="AO117" i="23"/>
  <c r="AO169" i="23"/>
  <c r="AO158" i="23"/>
  <c r="AO147" i="23"/>
  <c r="AO191" i="23"/>
  <c r="AO114" i="23"/>
  <c r="AO180" i="23"/>
  <c r="AO136" i="23"/>
  <c r="AO125" i="23"/>
  <c r="AO202" i="23"/>
  <c r="AO113" i="23"/>
  <c r="AO111" i="23"/>
  <c r="AO109" i="23"/>
  <c r="AO112" i="23"/>
  <c r="AO107" i="23"/>
  <c r="AO108" i="23"/>
  <c r="AO106" i="23"/>
  <c r="AO110" i="23"/>
  <c r="AO104" i="23"/>
  <c r="AO103" i="23"/>
  <c r="AO102" i="23"/>
  <c r="AO97" i="23"/>
  <c r="AO100" i="23"/>
  <c r="AO101" i="23"/>
  <c r="AO94" i="23"/>
  <c r="AO93" i="23"/>
  <c r="AO105" i="23"/>
  <c r="AO96" i="23"/>
  <c r="AO99" i="23"/>
  <c r="AO92" i="23"/>
  <c r="AO91" i="23"/>
  <c r="AO98" i="23"/>
  <c r="AO89" i="23"/>
  <c r="AO87" i="23"/>
  <c r="AO86" i="23"/>
  <c r="AO88" i="23"/>
  <c r="AO81" i="23"/>
  <c r="AO95" i="23"/>
  <c r="AO83" i="23"/>
  <c r="AO90" i="23"/>
  <c r="AO85" i="23"/>
  <c r="AO77" i="23"/>
  <c r="AO76" i="23"/>
  <c r="AO79" i="23"/>
  <c r="AO71" i="23"/>
  <c r="AO64" i="23"/>
  <c r="AO74" i="23"/>
  <c r="AO70" i="23"/>
  <c r="AO63" i="23"/>
  <c r="AO59" i="23"/>
  <c r="AO57" i="23"/>
  <c r="AO75" i="23"/>
  <c r="AO73" i="23"/>
  <c r="AO61" i="23"/>
  <c r="AO51" i="23"/>
  <c r="AO82" i="23"/>
  <c r="AO60" i="23"/>
  <c r="AO58" i="23"/>
  <c r="AO78" i="23"/>
  <c r="AO72" i="23"/>
  <c r="AO66" i="23"/>
  <c r="AO52" i="23"/>
  <c r="AO80" i="23"/>
  <c r="AO53" i="23"/>
  <c r="AO56" i="23"/>
  <c r="AO49" i="23"/>
  <c r="AO47" i="23"/>
  <c r="AO69" i="23"/>
  <c r="AO68" i="23"/>
  <c r="AO48" i="23"/>
  <c r="AO46" i="23"/>
  <c r="AO40" i="23"/>
  <c r="AO41" i="23"/>
  <c r="AO37" i="23"/>
  <c r="AO35" i="23"/>
  <c r="AO32" i="23"/>
  <c r="AO54" i="23"/>
  <c r="AO50" i="23"/>
  <c r="AO31" i="23"/>
  <c r="AO84" i="23"/>
  <c r="AO55" i="23"/>
  <c r="AO36" i="23"/>
  <c r="AO23" i="23"/>
  <c r="AO62" i="23"/>
  <c r="AO39" i="23"/>
  <c r="AO34" i="23"/>
  <c r="AO30" i="23"/>
  <c r="AO20" i="23"/>
  <c r="AO67" i="23"/>
  <c r="AO43" i="23"/>
  <c r="AO33" i="23"/>
  <c r="AO27" i="23"/>
  <c r="AO25" i="23"/>
  <c r="AO38" i="23"/>
  <c r="AO26" i="23"/>
  <c r="AO24" i="23"/>
  <c r="AO65" i="23"/>
  <c r="AO28" i="23"/>
  <c r="AO19" i="23"/>
  <c r="AO18" i="23"/>
  <c r="AO8" i="23"/>
  <c r="AP2" i="23"/>
  <c r="AO15" i="23"/>
  <c r="AO13" i="23"/>
  <c r="AO5" i="23"/>
  <c r="AO42" i="23"/>
  <c r="AO17" i="23"/>
  <c r="AO10" i="23"/>
  <c r="AO21" i="23"/>
  <c r="AO7" i="23"/>
  <c r="AO44" i="23"/>
  <c r="AO29" i="23"/>
  <c r="AO9" i="23"/>
  <c r="AO45" i="23"/>
  <c r="AO16" i="23"/>
  <c r="AO14" i="23"/>
  <c r="AO12" i="23"/>
  <c r="AO11" i="23"/>
  <c r="AO4" i="23"/>
  <c r="AO6" i="23"/>
  <c r="AO22" i="23"/>
  <c r="J48" i="14"/>
  <c r="J66" i="14" s="1"/>
  <c r="L48" i="14"/>
  <c r="L66" i="14" s="1"/>
  <c r="I24" i="1"/>
  <c r="AP201" i="23" l="1"/>
  <c r="AP157" i="23"/>
  <c r="AP134" i="23"/>
  <c r="AP127" i="23"/>
  <c r="AP123" i="23"/>
  <c r="AP130" i="23"/>
  <c r="AP116" i="23"/>
  <c r="AP124" i="23"/>
  <c r="AP140" i="23"/>
  <c r="AP131" i="23"/>
  <c r="AP132" i="23"/>
  <c r="AP126" i="23"/>
  <c r="AP135" i="23"/>
  <c r="AP195" i="23"/>
  <c r="AP144" i="23"/>
  <c r="AP159" i="23"/>
  <c r="AP192" i="23"/>
  <c r="AP121" i="23"/>
  <c r="AP164" i="23"/>
  <c r="AP166" i="23"/>
  <c r="AP174" i="23"/>
  <c r="AP208" i="23"/>
  <c r="AP206" i="23"/>
  <c r="AP211" i="23"/>
  <c r="AP209" i="23"/>
  <c r="AP203" i="23"/>
  <c r="AP193" i="23"/>
  <c r="AP196" i="23"/>
  <c r="AP205" i="23"/>
  <c r="AP115" i="23"/>
  <c r="AP207" i="23"/>
  <c r="AP212" i="23"/>
  <c r="AP186" i="23"/>
  <c r="AP204" i="23"/>
  <c r="AP210" i="23"/>
  <c r="AP199" i="23"/>
  <c r="AP194" i="23"/>
  <c r="AP197" i="23"/>
  <c r="AP200" i="23"/>
  <c r="AP187" i="23"/>
  <c r="AP184" i="23"/>
  <c r="AP185" i="23"/>
  <c r="AP165" i="23"/>
  <c r="AP161" i="23"/>
  <c r="AP167" i="23"/>
  <c r="AP154" i="23"/>
  <c r="AP198" i="23"/>
  <c r="AP188" i="23"/>
  <c r="AP178" i="23"/>
  <c r="AP176" i="23"/>
  <c r="AP148" i="23"/>
  <c r="AP190" i="23"/>
  <c r="AP171" i="23"/>
  <c r="AP179" i="23"/>
  <c r="AP152" i="23"/>
  <c r="AP182" i="23"/>
  <c r="AP170" i="23"/>
  <c r="AP141" i="23"/>
  <c r="AP142" i="23"/>
  <c r="AP181" i="23"/>
  <c r="AP177" i="23"/>
  <c r="AP162" i="23"/>
  <c r="AP156" i="23"/>
  <c r="AP150" i="23"/>
  <c r="AP153" i="23"/>
  <c r="AP175" i="23"/>
  <c r="AP183" i="23"/>
  <c r="AP168" i="23"/>
  <c r="AP149" i="23"/>
  <c r="AP145" i="23"/>
  <c r="AP172" i="23"/>
  <c r="AP146" i="23"/>
  <c r="AP143" i="23"/>
  <c r="AP120" i="23"/>
  <c r="AP189" i="23"/>
  <c r="AP160" i="23"/>
  <c r="AP137" i="23"/>
  <c r="AP122" i="23"/>
  <c r="AP138" i="23"/>
  <c r="AP163" i="23"/>
  <c r="AP119" i="23"/>
  <c r="AP118" i="23"/>
  <c r="AP139" i="23"/>
  <c r="AP155" i="23"/>
  <c r="AP173" i="23"/>
  <c r="AP129" i="23"/>
  <c r="AP117" i="23"/>
  <c r="AP151" i="23"/>
  <c r="AP133" i="23"/>
  <c r="AP128" i="23"/>
  <c r="AP169" i="23"/>
  <c r="AP180" i="23"/>
  <c r="AP114" i="23"/>
  <c r="AP191" i="23"/>
  <c r="AP202" i="23"/>
  <c r="AP125" i="23"/>
  <c r="AP158" i="23"/>
  <c r="AP147" i="23"/>
  <c r="AP136" i="23"/>
  <c r="AP113" i="23"/>
  <c r="AP112" i="23"/>
  <c r="AP111" i="23"/>
  <c r="AP109" i="23"/>
  <c r="AP108" i="23"/>
  <c r="AP106" i="23"/>
  <c r="AP105" i="23"/>
  <c r="AP110" i="23"/>
  <c r="AP104" i="23"/>
  <c r="AP102" i="23"/>
  <c r="AP100" i="23"/>
  <c r="AP107" i="23"/>
  <c r="AP99" i="23"/>
  <c r="AP98" i="23"/>
  <c r="AP95" i="23"/>
  <c r="AP94" i="23"/>
  <c r="AP101" i="23"/>
  <c r="AP91" i="23"/>
  <c r="AP92" i="23"/>
  <c r="AP90" i="23"/>
  <c r="AP103" i="23"/>
  <c r="AP96" i="23"/>
  <c r="AP88" i="23"/>
  <c r="AP97" i="23"/>
  <c r="AP87" i="23"/>
  <c r="AP89" i="23"/>
  <c r="AP77" i="23"/>
  <c r="AP86" i="23"/>
  <c r="AP74" i="23"/>
  <c r="AP83" i="23"/>
  <c r="AP73" i="23"/>
  <c r="AP81" i="23"/>
  <c r="AP71" i="23"/>
  <c r="AP78" i="23"/>
  <c r="AP76" i="23"/>
  <c r="AP93" i="23"/>
  <c r="AP82" i="23"/>
  <c r="AP68" i="23"/>
  <c r="AP79" i="23"/>
  <c r="AP63" i="23"/>
  <c r="AP75" i="23"/>
  <c r="AP61" i="23"/>
  <c r="AP65" i="23"/>
  <c r="AP64" i="23"/>
  <c r="AP56" i="23"/>
  <c r="AP84" i="23"/>
  <c r="AP80" i="23"/>
  <c r="AP72" i="23"/>
  <c r="AP67" i="23"/>
  <c r="AP55" i="23"/>
  <c r="AP53" i="23"/>
  <c r="AP58" i="23"/>
  <c r="AP49" i="23"/>
  <c r="AP47" i="23"/>
  <c r="AP54" i="23"/>
  <c r="AP44" i="23"/>
  <c r="AP70" i="23"/>
  <c r="AP62" i="23"/>
  <c r="AP59" i="23"/>
  <c r="AP43" i="23"/>
  <c r="AP69" i="23"/>
  <c r="AP57" i="23"/>
  <c r="AP52" i="23"/>
  <c r="AP41" i="23"/>
  <c r="AP37" i="23"/>
  <c r="AP32" i="23"/>
  <c r="AP66" i="23"/>
  <c r="AP48" i="23"/>
  <c r="AP42" i="23"/>
  <c r="AP39" i="23"/>
  <c r="AP60" i="23"/>
  <c r="AP51" i="23"/>
  <c r="AP45" i="23"/>
  <c r="AP38" i="23"/>
  <c r="AP36" i="23"/>
  <c r="AP85" i="23"/>
  <c r="AP50" i="23"/>
  <c r="AP46" i="23"/>
  <c r="AP40" i="23"/>
  <c r="AP34" i="23"/>
  <c r="AP30" i="23"/>
  <c r="AP20" i="23"/>
  <c r="AP35" i="23"/>
  <c r="AP33" i="23"/>
  <c r="AP27" i="23"/>
  <c r="AP25" i="23"/>
  <c r="AP22" i="23"/>
  <c r="AP21" i="23"/>
  <c r="AP15" i="23"/>
  <c r="AP13" i="23"/>
  <c r="AP5" i="23"/>
  <c r="AP10" i="23"/>
  <c r="AP12" i="23"/>
  <c r="AP4" i="23"/>
  <c r="AP17" i="23"/>
  <c r="AP7" i="23"/>
  <c r="AP26" i="23"/>
  <c r="AP16" i="23"/>
  <c r="AP14" i="23"/>
  <c r="AP6" i="23"/>
  <c r="AP23" i="23"/>
  <c r="AP28" i="23"/>
  <c r="AP18" i="23"/>
  <c r="AP9" i="23"/>
  <c r="AP31" i="23"/>
  <c r="AP19" i="23"/>
  <c r="AP8" i="23"/>
  <c r="AQ2" i="23"/>
  <c r="AP29" i="23"/>
  <c r="AP24" i="23"/>
  <c r="AP11" i="23"/>
  <c r="F12" i="1"/>
  <c r="F16" i="1"/>
  <c r="E557" i="11" s="1"/>
  <c r="F15" i="1"/>
  <c r="E555" i="11" s="1"/>
  <c r="D555" i="11" l="1"/>
  <c r="K555" i="11" s="1"/>
  <c r="D561" i="11"/>
  <c r="K561" i="11" s="1"/>
  <c r="D557" i="11"/>
  <c r="K557" i="11" s="1"/>
  <c r="D560" i="11"/>
  <c r="K560" i="11" s="1"/>
  <c r="AQ210" i="23"/>
  <c r="AQ194" i="23"/>
  <c r="AQ209" i="23"/>
  <c r="AQ128" i="23"/>
  <c r="AQ129" i="23"/>
  <c r="AQ201" i="23"/>
  <c r="AQ121" i="23"/>
  <c r="AQ211" i="23"/>
  <c r="AQ122" i="23"/>
  <c r="AQ116" i="23"/>
  <c r="AQ161" i="23"/>
  <c r="AQ138" i="23"/>
  <c r="AQ196" i="23"/>
  <c r="AQ148" i="23"/>
  <c r="AQ200" i="23"/>
  <c r="AQ146" i="23"/>
  <c r="AQ203" i="23"/>
  <c r="AQ207" i="23"/>
  <c r="AQ157" i="23"/>
  <c r="AQ197" i="23"/>
  <c r="AQ208" i="23"/>
  <c r="AQ205" i="23"/>
  <c r="AQ212" i="23"/>
  <c r="AQ127" i="23"/>
  <c r="AQ176" i="23"/>
  <c r="AQ193" i="23"/>
  <c r="AQ204" i="23"/>
  <c r="AQ206" i="23"/>
  <c r="AQ199" i="23"/>
  <c r="AQ184" i="23"/>
  <c r="AQ186" i="23"/>
  <c r="AQ181" i="23"/>
  <c r="AQ195" i="23"/>
  <c r="AQ198" i="23"/>
  <c r="AQ182" i="23"/>
  <c r="AQ187" i="23"/>
  <c r="AQ189" i="23"/>
  <c r="AQ174" i="23"/>
  <c r="AQ192" i="23"/>
  <c r="AQ185" i="23"/>
  <c r="AQ188" i="23"/>
  <c r="AQ171" i="23"/>
  <c r="AQ173" i="23"/>
  <c r="AQ172" i="23"/>
  <c r="AQ183" i="23"/>
  <c r="AQ177" i="23"/>
  <c r="AQ175" i="23"/>
  <c r="AQ165" i="23"/>
  <c r="AQ159" i="23"/>
  <c r="AQ156" i="23"/>
  <c r="AQ190" i="23"/>
  <c r="AQ164" i="23"/>
  <c r="AQ168" i="23"/>
  <c r="AQ166" i="23"/>
  <c r="AQ151" i="23"/>
  <c r="AQ140" i="23"/>
  <c r="AQ163" i="23"/>
  <c r="AQ154" i="23"/>
  <c r="AQ137" i="23"/>
  <c r="AQ142" i="23"/>
  <c r="AQ150" i="23"/>
  <c r="AQ153" i="23"/>
  <c r="AQ133" i="23"/>
  <c r="AQ167" i="23"/>
  <c r="AQ160" i="23"/>
  <c r="AQ155" i="23"/>
  <c r="AQ135" i="23"/>
  <c r="AQ134" i="23"/>
  <c r="AQ139" i="23"/>
  <c r="AQ132" i="23"/>
  <c r="AQ170" i="23"/>
  <c r="AQ162" i="23"/>
  <c r="AQ115" i="23"/>
  <c r="AQ119" i="23"/>
  <c r="AQ123" i="23"/>
  <c r="AQ178" i="23"/>
  <c r="AQ144" i="23"/>
  <c r="AQ131" i="23"/>
  <c r="AQ149" i="23"/>
  <c r="AQ126" i="23"/>
  <c r="AQ130" i="23"/>
  <c r="AQ118" i="23"/>
  <c r="AQ124" i="23"/>
  <c r="AQ143" i="23"/>
  <c r="AQ120" i="23"/>
  <c r="AQ179" i="23"/>
  <c r="AQ141" i="23"/>
  <c r="AQ152" i="23"/>
  <c r="AQ145" i="23"/>
  <c r="AQ117" i="23"/>
  <c r="AQ202" i="23"/>
  <c r="AQ125" i="23"/>
  <c r="AQ191" i="23"/>
  <c r="AQ158" i="23"/>
  <c r="AQ147" i="23"/>
  <c r="AQ114" i="23"/>
  <c r="AQ169" i="23"/>
  <c r="AQ136" i="23"/>
  <c r="AQ180" i="23"/>
  <c r="AQ113" i="23"/>
  <c r="AQ112" i="23"/>
  <c r="AQ110" i="23"/>
  <c r="AQ107" i="23"/>
  <c r="AQ108" i="23"/>
  <c r="AQ111" i="23"/>
  <c r="AQ106" i="23"/>
  <c r="AQ105" i="23"/>
  <c r="AQ101" i="23"/>
  <c r="AQ102" i="23"/>
  <c r="AQ99" i="23"/>
  <c r="AQ109" i="23"/>
  <c r="AQ100" i="23"/>
  <c r="AQ103" i="23"/>
  <c r="AQ95" i="23"/>
  <c r="AQ104" i="23"/>
  <c r="AQ97" i="23"/>
  <c r="AQ96" i="23"/>
  <c r="AQ94" i="23"/>
  <c r="AQ89" i="23"/>
  <c r="AQ85" i="23"/>
  <c r="AQ98" i="23"/>
  <c r="AQ84" i="23"/>
  <c r="AQ87" i="23"/>
  <c r="AQ88" i="23"/>
  <c r="AQ82" i="23"/>
  <c r="AQ80" i="23"/>
  <c r="AQ77" i="23"/>
  <c r="AQ86" i="23"/>
  <c r="AQ81" i="23"/>
  <c r="AQ79" i="23"/>
  <c r="AQ71" i="23"/>
  <c r="AQ78" i="23"/>
  <c r="AQ70" i="23"/>
  <c r="AQ76" i="23"/>
  <c r="AQ72" i="23"/>
  <c r="AQ69" i="23"/>
  <c r="AQ66" i="23"/>
  <c r="AQ92" i="23"/>
  <c r="AQ91" i="23"/>
  <c r="AQ75" i="23"/>
  <c r="AQ65" i="23"/>
  <c r="AQ61" i="23"/>
  <c r="AQ83" i="23"/>
  <c r="AQ73" i="23"/>
  <c r="AQ64" i="23"/>
  <c r="AQ56" i="23"/>
  <c r="AQ90" i="23"/>
  <c r="AQ53" i="23"/>
  <c r="AQ74" i="23"/>
  <c r="AQ68" i="23"/>
  <c r="AQ62" i="23"/>
  <c r="AQ52" i="23"/>
  <c r="AQ58" i="23"/>
  <c r="AQ49" i="23"/>
  <c r="AQ47" i="23"/>
  <c r="AQ54" i="23"/>
  <c r="AQ60" i="23"/>
  <c r="AQ57" i="23"/>
  <c r="AQ55" i="23"/>
  <c r="AQ63" i="23"/>
  <c r="AQ50" i="23"/>
  <c r="AQ48" i="23"/>
  <c r="AQ42" i="23"/>
  <c r="AQ39" i="23"/>
  <c r="AQ67" i="23"/>
  <c r="AQ43" i="23"/>
  <c r="AQ34" i="23"/>
  <c r="AQ33" i="23"/>
  <c r="AQ93" i="23"/>
  <c r="AQ59" i="23"/>
  <c r="AQ35" i="23"/>
  <c r="AQ27" i="23"/>
  <c r="AQ25" i="23"/>
  <c r="AQ22" i="23"/>
  <c r="AQ51" i="23"/>
  <c r="AQ45" i="23"/>
  <c r="AQ32" i="23"/>
  <c r="AQ31" i="23"/>
  <c r="AQ29" i="23"/>
  <c r="AQ19" i="23"/>
  <c r="AQ28" i="23"/>
  <c r="AQ10" i="23"/>
  <c r="AQ46" i="23"/>
  <c r="AQ17" i="23"/>
  <c r="AQ7" i="23"/>
  <c r="AQ24" i="23"/>
  <c r="AQ9" i="23"/>
  <c r="AQ30" i="23"/>
  <c r="AQ21" i="23"/>
  <c r="AQ12" i="23"/>
  <c r="AQ4" i="23"/>
  <c r="AQ37" i="23"/>
  <c r="AQ23" i="23"/>
  <c r="AQ20" i="23"/>
  <c r="AQ11" i="23"/>
  <c r="AQ38" i="23"/>
  <c r="AQ18" i="23"/>
  <c r="AQ36" i="23"/>
  <c r="AQ26" i="23"/>
  <c r="AQ41" i="23"/>
  <c r="AQ40" i="23"/>
  <c r="AQ16" i="23"/>
  <c r="AQ44" i="23"/>
  <c r="AQ13" i="23"/>
  <c r="AQ5" i="23"/>
  <c r="AQ14" i="23"/>
  <c r="AQ15" i="23"/>
  <c r="AQ8" i="23"/>
  <c r="AR2" i="23"/>
  <c r="AQ6" i="23"/>
  <c r="E18" i="1"/>
  <c r="B10" i="32" s="1"/>
  <c r="H10" i="32" s="1"/>
  <c r="E453" i="11" s="1"/>
  <c r="K453" i="11" s="1"/>
  <c r="F18" i="1"/>
  <c r="B12" i="32" s="1"/>
  <c r="H12" i="32" s="1"/>
  <c r="E559" i="11" s="1"/>
  <c r="K559" i="11" s="1"/>
  <c r="B57" i="1" l="1"/>
  <c r="F50" i="1"/>
  <c r="H50" i="1" s="1"/>
  <c r="E552" i="11" s="1"/>
  <c r="F49" i="1"/>
  <c r="D446" i="11" s="1"/>
  <c r="AR149" i="23"/>
  <c r="AR198" i="23"/>
  <c r="AR197" i="23"/>
  <c r="AR210" i="23"/>
  <c r="AR128" i="23"/>
  <c r="AR120" i="23"/>
  <c r="AR170" i="23"/>
  <c r="AR115" i="23"/>
  <c r="AR121" i="23"/>
  <c r="AR127" i="23"/>
  <c r="AR124" i="23"/>
  <c r="AR164" i="23"/>
  <c r="AR144" i="23"/>
  <c r="AR143" i="23"/>
  <c r="AR116" i="23"/>
  <c r="AR134" i="23"/>
  <c r="AR171" i="23"/>
  <c r="AR166" i="23"/>
  <c r="AR176" i="23"/>
  <c r="AR168" i="23"/>
  <c r="AR194" i="23"/>
  <c r="AR189" i="23"/>
  <c r="AR207" i="23"/>
  <c r="AR174" i="23"/>
  <c r="AR206" i="23"/>
  <c r="AR212" i="23"/>
  <c r="AR208" i="23"/>
  <c r="AR200" i="23"/>
  <c r="AR211" i="23"/>
  <c r="AR205" i="23"/>
  <c r="AR209" i="23"/>
  <c r="AR199" i="23"/>
  <c r="AR196" i="23"/>
  <c r="AR129" i="23"/>
  <c r="AR203" i="23"/>
  <c r="AR204" i="23"/>
  <c r="AR193" i="23"/>
  <c r="AR184" i="23"/>
  <c r="AR195" i="23"/>
  <c r="AR201" i="23"/>
  <c r="AR192" i="23"/>
  <c r="AR181" i="23"/>
  <c r="AR190" i="23"/>
  <c r="AR183" i="23"/>
  <c r="AR186" i="23"/>
  <c r="AR175" i="23"/>
  <c r="AR187" i="23"/>
  <c r="AR185" i="23"/>
  <c r="AR178" i="23"/>
  <c r="AR163" i="23"/>
  <c r="AR165" i="23"/>
  <c r="AR153" i="23"/>
  <c r="AR173" i="23"/>
  <c r="AR154" i="23"/>
  <c r="AR177" i="23"/>
  <c r="AR182" i="23"/>
  <c r="AR148" i="23"/>
  <c r="AR157" i="23"/>
  <c r="AR160" i="23"/>
  <c r="AR139" i="23"/>
  <c r="AR156" i="23"/>
  <c r="AR142" i="23"/>
  <c r="AR162" i="23"/>
  <c r="AR152" i="23"/>
  <c r="AR145" i="23"/>
  <c r="AR130" i="23"/>
  <c r="AR132" i="23"/>
  <c r="AR167" i="23"/>
  <c r="AR146" i="23"/>
  <c r="AR179" i="23"/>
  <c r="AR133" i="23"/>
  <c r="AR118" i="23"/>
  <c r="AR151" i="23"/>
  <c r="AR117" i="23"/>
  <c r="AR161" i="23"/>
  <c r="AR141" i="23"/>
  <c r="AR122" i="23"/>
  <c r="AR126" i="23"/>
  <c r="AR119" i="23"/>
  <c r="AR188" i="23"/>
  <c r="AR172" i="23"/>
  <c r="AR150" i="23"/>
  <c r="AR138" i="23"/>
  <c r="AR140" i="23"/>
  <c r="AR155" i="23"/>
  <c r="AR135" i="23"/>
  <c r="AR137" i="23"/>
  <c r="AR131" i="23"/>
  <c r="AR123" i="23"/>
  <c r="AR159" i="23"/>
  <c r="AR136" i="23"/>
  <c r="AR169" i="23"/>
  <c r="AR202" i="23"/>
  <c r="AR147" i="23"/>
  <c r="AR125" i="23"/>
  <c r="AR114" i="23"/>
  <c r="AR191" i="23"/>
  <c r="AR158" i="23"/>
  <c r="AR180" i="23"/>
  <c r="AR113" i="23"/>
  <c r="AR112" i="23"/>
  <c r="AR111" i="23"/>
  <c r="AR110" i="23"/>
  <c r="AR108" i="23"/>
  <c r="AR106" i="23"/>
  <c r="AR105" i="23"/>
  <c r="AR102" i="23"/>
  <c r="AR109" i="23"/>
  <c r="AR100" i="23"/>
  <c r="AR97" i="23"/>
  <c r="AR103" i="23"/>
  <c r="AR101" i="23"/>
  <c r="AR96" i="23"/>
  <c r="AR95" i="23"/>
  <c r="AR99" i="23"/>
  <c r="AR98" i="23"/>
  <c r="AR107" i="23"/>
  <c r="AR90" i="23"/>
  <c r="AR104" i="23"/>
  <c r="AR93" i="23"/>
  <c r="AR88" i="23"/>
  <c r="AR91" i="23"/>
  <c r="AR83" i="23"/>
  <c r="AR92" i="23"/>
  <c r="AR85" i="23"/>
  <c r="AR84" i="23"/>
  <c r="AR86" i="23"/>
  <c r="AR81" i="23"/>
  <c r="AR79" i="23"/>
  <c r="AR94" i="23"/>
  <c r="AR82" i="23"/>
  <c r="AR80" i="23"/>
  <c r="AR76" i="23"/>
  <c r="AR87" i="23"/>
  <c r="AR75" i="23"/>
  <c r="AR71" i="23"/>
  <c r="AR89" i="23"/>
  <c r="AR78" i="23"/>
  <c r="AR72" i="23"/>
  <c r="AR69" i="23"/>
  <c r="AR73" i="23"/>
  <c r="AR63" i="23"/>
  <c r="AR64" i="23"/>
  <c r="AR65" i="23"/>
  <c r="AR66" i="23"/>
  <c r="AR60" i="23"/>
  <c r="AR58" i="23"/>
  <c r="AR70" i="23"/>
  <c r="AR59" i="23"/>
  <c r="AR57" i="23"/>
  <c r="AR74" i="23"/>
  <c r="AR54" i="23"/>
  <c r="AR56" i="23"/>
  <c r="AR55" i="23"/>
  <c r="AR67" i="23"/>
  <c r="AR48" i="23"/>
  <c r="AR46" i="23"/>
  <c r="AR51" i="23"/>
  <c r="AR45" i="23"/>
  <c r="AR42" i="23"/>
  <c r="AR39" i="23"/>
  <c r="AR68" i="23"/>
  <c r="AR43" i="23"/>
  <c r="AR34" i="23"/>
  <c r="AR53" i="23"/>
  <c r="AR44" i="23"/>
  <c r="AR31" i="23"/>
  <c r="AR61" i="23"/>
  <c r="AR47" i="23"/>
  <c r="AR40" i="23"/>
  <c r="AR52" i="23"/>
  <c r="AR62" i="23"/>
  <c r="AR33" i="23"/>
  <c r="AR22" i="23"/>
  <c r="AR32" i="23"/>
  <c r="AR29" i="23"/>
  <c r="AR19" i="23"/>
  <c r="AR77" i="23"/>
  <c r="AR26" i="23"/>
  <c r="AR24" i="23"/>
  <c r="AR23" i="23"/>
  <c r="AR49" i="23"/>
  <c r="AR25" i="23"/>
  <c r="AR17" i="23"/>
  <c r="AR7" i="23"/>
  <c r="AR16" i="23"/>
  <c r="AR14" i="23"/>
  <c r="AR30" i="23"/>
  <c r="AR27" i="23"/>
  <c r="AR21" i="23"/>
  <c r="AR12" i="23"/>
  <c r="AR4" i="23"/>
  <c r="AR9" i="23"/>
  <c r="AR35" i="23"/>
  <c r="AR6" i="23"/>
  <c r="AR38" i="23"/>
  <c r="AR18" i="23"/>
  <c r="AR8" i="23"/>
  <c r="AS2" i="23"/>
  <c r="AR41" i="23"/>
  <c r="AR36" i="23"/>
  <c r="AR28" i="23"/>
  <c r="AR15" i="23"/>
  <c r="AR13" i="23"/>
  <c r="AR5" i="23"/>
  <c r="AR20" i="23"/>
  <c r="AR50" i="23"/>
  <c r="AR10" i="23"/>
  <c r="AR37" i="23"/>
  <c r="AR11" i="23"/>
  <c r="I22" i="1"/>
  <c r="D552" i="11" l="1"/>
  <c r="K552" i="11" s="1"/>
  <c r="H142" i="20"/>
  <c r="D439" i="11"/>
  <c r="AS211" i="23"/>
  <c r="AS146" i="23"/>
  <c r="AS152" i="23"/>
  <c r="AS170" i="23"/>
  <c r="AS166" i="23"/>
  <c r="AS131" i="23"/>
  <c r="AS117" i="23"/>
  <c r="AS151" i="23"/>
  <c r="AS122" i="23"/>
  <c r="AS164" i="23"/>
  <c r="AS124" i="23"/>
  <c r="AS198" i="23"/>
  <c r="AS149" i="23"/>
  <c r="AS203" i="23"/>
  <c r="AS115" i="23"/>
  <c r="AS193" i="23"/>
  <c r="AS144" i="23"/>
  <c r="AS168" i="23"/>
  <c r="AS178" i="23"/>
  <c r="AS173" i="23"/>
  <c r="AS127" i="23"/>
  <c r="AS139" i="23"/>
  <c r="AS200" i="23"/>
  <c r="AS210" i="23"/>
  <c r="AS212" i="23"/>
  <c r="AS209" i="23"/>
  <c r="AS204" i="23"/>
  <c r="AS205" i="23"/>
  <c r="AS194" i="23"/>
  <c r="AS206" i="23"/>
  <c r="AS195" i="23"/>
  <c r="AS197" i="23"/>
  <c r="AS192" i="23"/>
  <c r="AS196" i="23"/>
  <c r="AS201" i="23"/>
  <c r="AS199" i="23"/>
  <c r="AS208" i="23"/>
  <c r="AS207" i="23"/>
  <c r="AS187" i="23"/>
  <c r="AS143" i="23"/>
  <c r="AS181" i="23"/>
  <c r="AS185" i="23"/>
  <c r="AS190" i="23"/>
  <c r="AS184" i="23"/>
  <c r="AS183" i="23"/>
  <c r="AS172" i="23"/>
  <c r="AS188" i="23"/>
  <c r="AS171" i="23"/>
  <c r="AS156" i="23"/>
  <c r="AS186" i="23"/>
  <c r="AS155" i="23"/>
  <c r="AS189" i="23"/>
  <c r="AS177" i="23"/>
  <c r="AS161" i="23"/>
  <c r="AS137" i="23"/>
  <c r="AS162" i="23"/>
  <c r="AS160" i="23"/>
  <c r="AS142" i="23"/>
  <c r="AS174" i="23"/>
  <c r="AS175" i="23"/>
  <c r="AS148" i="23"/>
  <c r="AS157" i="23"/>
  <c r="AS165" i="23"/>
  <c r="AS154" i="23"/>
  <c r="AS182" i="23"/>
  <c r="AS141" i="23"/>
  <c r="AS130" i="23"/>
  <c r="AS163" i="23"/>
  <c r="AS140" i="23"/>
  <c r="AS153" i="23"/>
  <c r="AS132" i="23"/>
  <c r="AS134" i="23"/>
  <c r="AS120" i="23"/>
  <c r="AS123" i="23"/>
  <c r="AS121" i="23"/>
  <c r="AS145" i="23"/>
  <c r="AS118" i="23"/>
  <c r="AS179" i="23"/>
  <c r="AS126" i="23"/>
  <c r="AS129" i="23"/>
  <c r="AS159" i="23"/>
  <c r="AS119" i="23"/>
  <c r="AS167" i="23"/>
  <c r="AS135" i="23"/>
  <c r="AS176" i="23"/>
  <c r="AS116" i="23"/>
  <c r="AS150" i="23"/>
  <c r="AS133" i="23"/>
  <c r="AS128" i="23"/>
  <c r="AS138" i="23"/>
  <c r="AS169" i="23"/>
  <c r="AS158" i="23"/>
  <c r="AS136" i="23"/>
  <c r="AS125" i="23"/>
  <c r="AS114" i="23"/>
  <c r="AS180" i="23"/>
  <c r="AS191" i="23"/>
  <c r="AS202" i="23"/>
  <c r="AS147" i="23"/>
  <c r="AS112" i="23"/>
  <c r="AS113" i="23"/>
  <c r="AS108" i="23"/>
  <c r="AS104" i="23"/>
  <c r="AS102" i="23"/>
  <c r="AS109" i="23"/>
  <c r="AS107" i="23"/>
  <c r="AS103" i="23"/>
  <c r="AS111" i="23"/>
  <c r="AS110" i="23"/>
  <c r="AS105" i="23"/>
  <c r="AS99" i="23"/>
  <c r="AS98" i="23"/>
  <c r="AS100" i="23"/>
  <c r="AS106" i="23"/>
  <c r="AS94" i="23"/>
  <c r="AS93" i="23"/>
  <c r="AS101" i="23"/>
  <c r="AS95" i="23"/>
  <c r="AS96" i="23"/>
  <c r="AS92" i="23"/>
  <c r="AS90" i="23"/>
  <c r="AS89" i="23"/>
  <c r="AS91" i="23"/>
  <c r="AS87" i="23"/>
  <c r="AS86" i="23"/>
  <c r="AS97" i="23"/>
  <c r="AS81" i="23"/>
  <c r="AS79" i="23"/>
  <c r="AS82" i="23"/>
  <c r="AS80" i="23"/>
  <c r="AS76" i="23"/>
  <c r="AS84" i="23"/>
  <c r="AS73" i="23"/>
  <c r="AS72" i="23"/>
  <c r="AS78" i="23"/>
  <c r="AS69" i="23"/>
  <c r="AS85" i="23"/>
  <c r="AS74" i="23"/>
  <c r="AS70" i="23"/>
  <c r="AS68" i="23"/>
  <c r="AS83" i="23"/>
  <c r="AS67" i="23"/>
  <c r="AS75" i="23"/>
  <c r="AS65" i="23"/>
  <c r="AS71" i="23"/>
  <c r="AS66" i="23"/>
  <c r="AS60" i="23"/>
  <c r="AS58" i="23"/>
  <c r="AS55" i="23"/>
  <c r="AS54" i="23"/>
  <c r="AS56" i="23"/>
  <c r="AS57" i="23"/>
  <c r="AS48" i="23"/>
  <c r="AS43" i="23"/>
  <c r="AS52" i="23"/>
  <c r="AS42" i="23"/>
  <c r="AS88" i="23"/>
  <c r="AS53" i="23"/>
  <c r="AS44" i="23"/>
  <c r="AS31" i="23"/>
  <c r="AS77" i="23"/>
  <c r="AS59" i="23"/>
  <c r="AS50" i="23"/>
  <c r="AS38" i="23"/>
  <c r="AS36" i="23"/>
  <c r="AS62" i="23"/>
  <c r="AS49" i="23"/>
  <c r="AS46" i="23"/>
  <c r="AS41" i="23"/>
  <c r="AS37" i="23"/>
  <c r="AS35" i="23"/>
  <c r="AS64" i="23"/>
  <c r="AS63" i="23"/>
  <c r="AS39" i="23"/>
  <c r="AS32" i="23"/>
  <c r="AS29" i="23"/>
  <c r="AS19" i="23"/>
  <c r="AS51" i="23"/>
  <c r="AS45" i="23"/>
  <c r="AS26" i="23"/>
  <c r="AS24" i="23"/>
  <c r="AS21" i="23"/>
  <c r="AS61" i="23"/>
  <c r="AS47" i="23"/>
  <c r="AS30" i="23"/>
  <c r="AS20" i="23"/>
  <c r="AS34" i="23"/>
  <c r="AS27" i="23"/>
  <c r="AS12" i="23"/>
  <c r="AS4" i="23"/>
  <c r="AS9" i="23"/>
  <c r="AS11" i="23"/>
  <c r="AS16" i="23"/>
  <c r="AS14" i="23"/>
  <c r="AS6" i="23"/>
  <c r="AS33" i="23"/>
  <c r="AS28" i="23"/>
  <c r="AS15" i="23"/>
  <c r="AS13" i="23"/>
  <c r="AS5" i="23"/>
  <c r="AS40" i="23"/>
  <c r="AS22" i="23"/>
  <c r="AS7" i="23"/>
  <c r="AS25" i="23"/>
  <c r="AS8" i="23"/>
  <c r="AT2" i="23"/>
  <c r="AS10" i="23"/>
  <c r="AS17" i="23"/>
  <c r="AS23" i="23"/>
  <c r="AS18" i="23"/>
  <c r="H49" i="1"/>
  <c r="E446" i="11" s="1"/>
  <c r="K446" i="11" s="1"/>
  <c r="D545" i="11" l="1"/>
  <c r="AT211" i="23"/>
  <c r="AT115" i="23"/>
  <c r="AT127" i="23"/>
  <c r="AT117" i="23"/>
  <c r="AT152" i="23"/>
  <c r="AT131" i="23"/>
  <c r="AT183" i="23"/>
  <c r="AT192" i="23"/>
  <c r="AT151" i="23"/>
  <c r="AT206" i="23"/>
  <c r="AT116" i="23"/>
  <c r="AT118" i="23"/>
  <c r="AT145" i="23"/>
  <c r="AT193" i="23"/>
  <c r="AT149" i="23"/>
  <c r="AT173" i="23"/>
  <c r="AT212" i="23"/>
  <c r="AT209" i="23"/>
  <c r="AT208" i="23"/>
  <c r="AT201" i="23"/>
  <c r="AT124" i="23"/>
  <c r="AT122" i="23"/>
  <c r="AT210" i="23"/>
  <c r="AT139" i="23"/>
  <c r="AT200" i="23"/>
  <c r="AT182" i="23"/>
  <c r="AT194" i="23"/>
  <c r="AT207" i="23"/>
  <c r="AT205" i="23"/>
  <c r="AT196" i="23"/>
  <c r="AT195" i="23"/>
  <c r="AT187" i="23"/>
  <c r="AT181" i="23"/>
  <c r="AT197" i="23"/>
  <c r="AT198" i="23"/>
  <c r="AT199" i="23"/>
  <c r="AT185" i="23"/>
  <c r="AT204" i="23"/>
  <c r="AT203" i="23"/>
  <c r="AT186" i="23"/>
  <c r="AT172" i="23"/>
  <c r="AT177" i="23"/>
  <c r="AT174" i="23"/>
  <c r="AT179" i="23"/>
  <c r="AT176" i="23"/>
  <c r="AT178" i="23"/>
  <c r="AT160" i="23"/>
  <c r="AT166" i="23"/>
  <c r="AT171" i="23"/>
  <c r="AT175" i="23"/>
  <c r="AT167" i="23"/>
  <c r="AT163" i="23"/>
  <c r="AT189" i="23"/>
  <c r="AT162" i="23"/>
  <c r="AT159" i="23"/>
  <c r="AT153" i="23"/>
  <c r="AT142" i="23"/>
  <c r="AT146" i="23"/>
  <c r="AT188" i="23"/>
  <c r="AT161" i="23"/>
  <c r="AT130" i="23"/>
  <c r="AT135" i="23"/>
  <c r="AT184" i="23"/>
  <c r="AT137" i="23"/>
  <c r="AT138" i="23"/>
  <c r="AT134" i="23"/>
  <c r="AT165" i="23"/>
  <c r="AT129" i="23"/>
  <c r="AT190" i="23"/>
  <c r="AT148" i="23"/>
  <c r="AT126" i="23"/>
  <c r="AT132" i="23"/>
  <c r="AT156" i="23"/>
  <c r="AT154" i="23"/>
  <c r="AT164" i="23"/>
  <c r="AT168" i="23"/>
  <c r="AT141" i="23"/>
  <c r="AT128" i="23"/>
  <c r="AT170" i="23"/>
  <c r="AT150" i="23"/>
  <c r="AT155" i="23"/>
  <c r="AT143" i="23"/>
  <c r="AT133" i="23"/>
  <c r="AT119" i="23"/>
  <c r="AT123" i="23"/>
  <c r="AT120" i="23"/>
  <c r="AT157" i="23"/>
  <c r="AT121" i="23"/>
  <c r="AT144" i="23"/>
  <c r="AT140" i="23"/>
  <c r="AT136" i="23"/>
  <c r="AT180" i="23"/>
  <c r="AT147" i="23"/>
  <c r="AT114" i="23"/>
  <c r="AT125" i="23"/>
  <c r="AT169" i="23"/>
  <c r="AT158" i="23"/>
  <c r="AT191" i="23"/>
  <c r="AT202" i="23"/>
  <c r="AT113" i="23"/>
  <c r="AT112" i="23"/>
  <c r="AT111" i="23"/>
  <c r="AT107" i="23"/>
  <c r="AT109" i="23"/>
  <c r="AT108" i="23"/>
  <c r="AT102" i="23"/>
  <c r="AT100" i="23"/>
  <c r="AT106" i="23"/>
  <c r="AT105" i="23"/>
  <c r="AT104" i="23"/>
  <c r="AT103" i="23"/>
  <c r="AT99" i="23"/>
  <c r="AT98" i="23"/>
  <c r="AT96" i="23"/>
  <c r="AT110" i="23"/>
  <c r="AT101" i="23"/>
  <c r="AT91" i="23"/>
  <c r="AT92" i="23"/>
  <c r="AT83" i="23"/>
  <c r="AT93" i="23"/>
  <c r="AT82" i="23"/>
  <c r="AT80" i="23"/>
  <c r="AT94" i="23"/>
  <c r="AT90" i="23"/>
  <c r="AT86" i="23"/>
  <c r="AT81" i="23"/>
  <c r="AT84" i="23"/>
  <c r="AT78" i="23"/>
  <c r="AT97" i="23"/>
  <c r="AT89" i="23"/>
  <c r="AT85" i="23"/>
  <c r="AT77" i="23"/>
  <c r="AT76" i="23"/>
  <c r="AT72" i="23"/>
  <c r="AT74" i="23"/>
  <c r="AT73" i="23"/>
  <c r="AT70" i="23"/>
  <c r="AT95" i="23"/>
  <c r="AT65" i="23"/>
  <c r="AT87" i="23"/>
  <c r="AT64" i="23"/>
  <c r="AT71" i="23"/>
  <c r="AT66" i="23"/>
  <c r="AT60" i="23"/>
  <c r="AT58" i="23"/>
  <c r="AT69" i="23"/>
  <c r="AT67" i="23"/>
  <c r="AT62" i="23"/>
  <c r="AT52" i="23"/>
  <c r="AT63" i="23"/>
  <c r="AT61" i="23"/>
  <c r="AT51" i="23"/>
  <c r="AT57" i="23"/>
  <c r="AT55" i="23"/>
  <c r="AT48" i="23"/>
  <c r="AT75" i="23"/>
  <c r="AT88" i="23"/>
  <c r="AT59" i="23"/>
  <c r="AT50" i="23"/>
  <c r="AT53" i="23"/>
  <c r="AT49" i="23"/>
  <c r="AT47" i="23"/>
  <c r="AT79" i="23"/>
  <c r="AT68" i="23"/>
  <c r="AT56" i="23"/>
  <c r="AT44" i="23"/>
  <c r="AT43" i="23"/>
  <c r="AT38" i="23"/>
  <c r="AT36" i="23"/>
  <c r="AT45" i="23"/>
  <c r="AT33" i="23"/>
  <c r="AT32" i="23"/>
  <c r="AT54" i="23"/>
  <c r="AT26" i="23"/>
  <c r="AT24" i="23"/>
  <c r="AT31" i="23"/>
  <c r="AT21" i="23"/>
  <c r="AT41" i="23"/>
  <c r="AT28" i="23"/>
  <c r="AT40" i="23"/>
  <c r="AT37" i="23"/>
  <c r="AT27" i="23"/>
  <c r="AT25" i="23"/>
  <c r="AT46" i="23"/>
  <c r="AT30" i="23"/>
  <c r="AT9" i="23"/>
  <c r="AT8" i="23"/>
  <c r="AT16" i="23"/>
  <c r="AT14" i="23"/>
  <c r="AT6" i="23"/>
  <c r="AU2" i="23"/>
  <c r="AT42" i="23"/>
  <c r="AT35" i="23"/>
  <c r="AT11" i="23"/>
  <c r="AT29" i="23"/>
  <c r="AT23" i="23"/>
  <c r="AT20" i="23"/>
  <c r="AT18" i="23"/>
  <c r="AT22" i="23"/>
  <c r="AT10" i="23"/>
  <c r="AT19" i="23"/>
  <c r="AT17" i="23"/>
  <c r="AT39" i="23"/>
  <c r="AT13" i="23"/>
  <c r="AT5" i="23"/>
  <c r="AT15" i="23"/>
  <c r="AT34" i="23"/>
  <c r="AT7" i="23"/>
  <c r="AT4" i="23"/>
  <c r="AT12" i="23"/>
  <c r="D651" i="11"/>
  <c r="C8" i="14"/>
  <c r="C40" i="14" s="1"/>
  <c r="AU124" i="23" l="1"/>
  <c r="AU129" i="23"/>
  <c r="AU115" i="23"/>
  <c r="AU145" i="23"/>
  <c r="AU166" i="23"/>
  <c r="AU164" i="23"/>
  <c r="AU149" i="23"/>
  <c r="AU159" i="23"/>
  <c r="AU143" i="23"/>
  <c r="AU170" i="23"/>
  <c r="AU208" i="23"/>
  <c r="AU204" i="23"/>
  <c r="AU205" i="23"/>
  <c r="AU182" i="23"/>
  <c r="AU210" i="23"/>
  <c r="AU194" i="23"/>
  <c r="AU209" i="23"/>
  <c r="AU199" i="23"/>
  <c r="AU206" i="23"/>
  <c r="AU178" i="23"/>
  <c r="AU200" i="23"/>
  <c r="AU192" i="23"/>
  <c r="AU196" i="23"/>
  <c r="AU201" i="23"/>
  <c r="AU197" i="23"/>
  <c r="AU203" i="23"/>
  <c r="AU212" i="23"/>
  <c r="AU193" i="23"/>
  <c r="AU198" i="23"/>
  <c r="AU207" i="23"/>
  <c r="AU184" i="23"/>
  <c r="AU211" i="23"/>
  <c r="AU185" i="23"/>
  <c r="AU183" i="23"/>
  <c r="AU186" i="23"/>
  <c r="AU188" i="23"/>
  <c r="AU189" i="23"/>
  <c r="AU190" i="23"/>
  <c r="AU179" i="23"/>
  <c r="AU162" i="23"/>
  <c r="AU155" i="23"/>
  <c r="AU195" i="23"/>
  <c r="AU148" i="23"/>
  <c r="AU165" i="23"/>
  <c r="AU150" i="23"/>
  <c r="AU153" i="23"/>
  <c r="AU154" i="23"/>
  <c r="AU156" i="23"/>
  <c r="AU173" i="23"/>
  <c r="AU176" i="23"/>
  <c r="AU161" i="23"/>
  <c r="AU139" i="23"/>
  <c r="AU137" i="23"/>
  <c r="AU152" i="23"/>
  <c r="AU157" i="23"/>
  <c r="AU138" i="23"/>
  <c r="AU174" i="23"/>
  <c r="AU168" i="23"/>
  <c r="AU160" i="23"/>
  <c r="AU142" i="23"/>
  <c r="AU130" i="23"/>
  <c r="AU151" i="23"/>
  <c r="AU146" i="23"/>
  <c r="AU135" i="23"/>
  <c r="AU133" i="23"/>
  <c r="AU123" i="23"/>
  <c r="AU122" i="23"/>
  <c r="AU167" i="23"/>
  <c r="AU144" i="23"/>
  <c r="AU128" i="23"/>
  <c r="AU134" i="23"/>
  <c r="AU132" i="23"/>
  <c r="AU171" i="23"/>
  <c r="AU141" i="23"/>
  <c r="AU126" i="23"/>
  <c r="AU119" i="23"/>
  <c r="AU116" i="23"/>
  <c r="AU181" i="23"/>
  <c r="AU127" i="23"/>
  <c r="AU172" i="23"/>
  <c r="AU131" i="23"/>
  <c r="AU163" i="23"/>
  <c r="AU187" i="23"/>
  <c r="AU177" i="23"/>
  <c r="AU120" i="23"/>
  <c r="AU121" i="23"/>
  <c r="AU140" i="23"/>
  <c r="AU118" i="23"/>
  <c r="AU175" i="23"/>
  <c r="AU117" i="23"/>
  <c r="AU191" i="23"/>
  <c r="AU180" i="23"/>
  <c r="AU136" i="23"/>
  <c r="AU202" i="23"/>
  <c r="AU169" i="23"/>
  <c r="AU147" i="23"/>
  <c r="AU158" i="23"/>
  <c r="AU125" i="23"/>
  <c r="AU114" i="23"/>
  <c r="AU113" i="23"/>
  <c r="AU111" i="23"/>
  <c r="AU110" i="23"/>
  <c r="AU109" i="23"/>
  <c r="AU108" i="23"/>
  <c r="AU106" i="23"/>
  <c r="AU105" i="23"/>
  <c r="AU103" i="23"/>
  <c r="AU100" i="23"/>
  <c r="AU104" i="23"/>
  <c r="AU107" i="23"/>
  <c r="AU101" i="23"/>
  <c r="AU96" i="23"/>
  <c r="AU95" i="23"/>
  <c r="AU99" i="23"/>
  <c r="AU98" i="23"/>
  <c r="AU102" i="23"/>
  <c r="AU97" i="23"/>
  <c r="AU93" i="23"/>
  <c r="AU91" i="23"/>
  <c r="AU92" i="23"/>
  <c r="AU94" i="23"/>
  <c r="AU88" i="23"/>
  <c r="AU85" i="23"/>
  <c r="AU84" i="23"/>
  <c r="AU89" i="23"/>
  <c r="AU87" i="23"/>
  <c r="AU82" i="23"/>
  <c r="AU80" i="23"/>
  <c r="AU78" i="23"/>
  <c r="AU83" i="23"/>
  <c r="AU75" i="23"/>
  <c r="AU74" i="23"/>
  <c r="AU81" i="23"/>
  <c r="AU73" i="23"/>
  <c r="AU70" i="23"/>
  <c r="AU90" i="23"/>
  <c r="AU77" i="23"/>
  <c r="AU86" i="23"/>
  <c r="AU79" i="23"/>
  <c r="AU71" i="23"/>
  <c r="AU69" i="23"/>
  <c r="AU67" i="23"/>
  <c r="AU62" i="23"/>
  <c r="AU68" i="23"/>
  <c r="AU59" i="23"/>
  <c r="AU57" i="23"/>
  <c r="AU76" i="23"/>
  <c r="AU56" i="23"/>
  <c r="AU60" i="23"/>
  <c r="AU50" i="23"/>
  <c r="AU65" i="23"/>
  <c r="AU45" i="23"/>
  <c r="AU61" i="23"/>
  <c r="AU44" i="23"/>
  <c r="AU53" i="23"/>
  <c r="AU48" i="23"/>
  <c r="AU38" i="23"/>
  <c r="AU66" i="23"/>
  <c r="AU58" i="23"/>
  <c r="AU33" i="23"/>
  <c r="AU51" i="23"/>
  <c r="AU40" i="23"/>
  <c r="AU39" i="23"/>
  <c r="AU63" i="23"/>
  <c r="AU52" i="23"/>
  <c r="AU72" i="23"/>
  <c r="AU31" i="23"/>
  <c r="AU21" i="23"/>
  <c r="AU43" i="23"/>
  <c r="AU41" i="23"/>
  <c r="AU28" i="23"/>
  <c r="AU23" i="23"/>
  <c r="AU49" i="23"/>
  <c r="AU46" i="23"/>
  <c r="AU42" i="23"/>
  <c r="AU36" i="23"/>
  <c r="AU35" i="23"/>
  <c r="AU34" i="23"/>
  <c r="AU22" i="23"/>
  <c r="AU16" i="23"/>
  <c r="AU14" i="23"/>
  <c r="AU6" i="23"/>
  <c r="AU64" i="23"/>
  <c r="AU11" i="23"/>
  <c r="AU54" i="23"/>
  <c r="AU15" i="23"/>
  <c r="AU13" i="23"/>
  <c r="AU55" i="23"/>
  <c r="AU32" i="23"/>
  <c r="AU29" i="23"/>
  <c r="AU24" i="23"/>
  <c r="AU20" i="23"/>
  <c r="AU18" i="23"/>
  <c r="AU8" i="23"/>
  <c r="AV2" i="23"/>
  <c r="AU37" i="23"/>
  <c r="AU26" i="23"/>
  <c r="AU5" i="23"/>
  <c r="AU47" i="23"/>
  <c r="AU19" i="23"/>
  <c r="AU17" i="23"/>
  <c r="AU7" i="23"/>
  <c r="AU25" i="23"/>
  <c r="AU12" i="23"/>
  <c r="AU27" i="23"/>
  <c r="AU9" i="23"/>
  <c r="AU10" i="23"/>
  <c r="AU30" i="23"/>
  <c r="AU4" i="23"/>
  <c r="AU112" i="23"/>
  <c r="E8" i="14"/>
  <c r="E40" i="14" s="1"/>
  <c r="G39" i="14" s="1"/>
  <c r="L39" i="14" l="1"/>
  <c r="J39" i="14"/>
  <c r="G17" i="1"/>
  <c r="E43" i="11" s="1"/>
  <c r="G22" i="14"/>
  <c r="L22" i="14" s="1"/>
  <c r="G35" i="14"/>
  <c r="G11" i="14"/>
  <c r="J11" i="14" s="1"/>
  <c r="G18" i="14"/>
  <c r="G33" i="14"/>
  <c r="L33" i="14" s="1"/>
  <c r="G34" i="14"/>
  <c r="G31" i="14"/>
  <c r="J31" i="14" s="1"/>
  <c r="G32" i="14"/>
  <c r="G29" i="14"/>
  <c r="L29" i="14" s="1"/>
  <c r="G30" i="14"/>
  <c r="G38" i="14"/>
  <c r="L38" i="14" s="1"/>
  <c r="G28" i="14"/>
  <c r="AV176" i="23"/>
  <c r="AV173" i="23"/>
  <c r="AV127" i="23"/>
  <c r="AV133" i="23"/>
  <c r="AV129" i="23"/>
  <c r="AV200" i="23"/>
  <c r="AV189" i="23"/>
  <c r="AV197" i="23"/>
  <c r="AV115" i="23"/>
  <c r="AV122" i="23"/>
  <c r="AV170" i="23"/>
  <c r="AV121" i="23"/>
  <c r="AV146" i="23"/>
  <c r="AV151" i="23"/>
  <c r="AV149" i="23"/>
  <c r="AV193" i="23"/>
  <c r="AV166" i="23"/>
  <c r="AV188" i="23"/>
  <c r="AV196" i="23"/>
  <c r="AV203" i="23"/>
  <c r="AV179" i="23"/>
  <c r="AV164" i="23"/>
  <c r="AV207" i="23"/>
  <c r="AV204" i="23"/>
  <c r="AV195" i="23"/>
  <c r="AV192" i="23"/>
  <c r="AV205" i="23"/>
  <c r="AV206" i="23"/>
  <c r="AV211" i="23"/>
  <c r="AV185" i="23"/>
  <c r="AV209" i="23"/>
  <c r="AV210" i="23"/>
  <c r="AV194" i="23"/>
  <c r="AV199" i="23"/>
  <c r="AV198" i="23"/>
  <c r="AV201" i="23"/>
  <c r="AV186" i="23"/>
  <c r="AV187" i="23"/>
  <c r="AV208" i="23"/>
  <c r="AV184" i="23"/>
  <c r="AV212" i="23"/>
  <c r="AV181" i="23"/>
  <c r="AV182" i="23"/>
  <c r="AV190" i="23"/>
  <c r="AV174" i="23"/>
  <c r="AV178" i="23"/>
  <c r="AV159" i="23"/>
  <c r="AV150" i="23"/>
  <c r="AV162" i="23"/>
  <c r="AV163" i="23"/>
  <c r="AV161" i="23"/>
  <c r="AV156" i="23"/>
  <c r="AV172" i="23"/>
  <c r="AV175" i="23"/>
  <c r="AV167" i="23"/>
  <c r="AV168" i="23"/>
  <c r="AV140" i="23"/>
  <c r="AV160" i="23"/>
  <c r="AV165" i="23"/>
  <c r="AV137" i="23"/>
  <c r="AV139" i="23"/>
  <c r="AV183" i="23"/>
  <c r="AV132" i="23"/>
  <c r="AV128" i="23"/>
  <c r="AV145" i="23"/>
  <c r="AV144" i="23"/>
  <c r="AV148" i="23"/>
  <c r="AV130" i="23"/>
  <c r="AV177" i="23"/>
  <c r="AV123" i="23"/>
  <c r="AV171" i="23"/>
  <c r="AV153" i="23"/>
  <c r="AV143" i="23"/>
  <c r="AV135" i="23"/>
  <c r="AV118" i="23"/>
  <c r="AV120" i="23"/>
  <c r="AV124" i="23"/>
  <c r="AV119" i="23"/>
  <c r="AV154" i="23"/>
  <c r="AV141" i="23"/>
  <c r="AV126" i="23"/>
  <c r="AV157" i="23"/>
  <c r="AV134" i="23"/>
  <c r="AV131" i="23"/>
  <c r="AV138" i="23"/>
  <c r="AV142" i="23"/>
  <c r="AV116" i="23"/>
  <c r="AV117" i="23"/>
  <c r="AV152" i="23"/>
  <c r="AV155" i="23"/>
  <c r="AV202" i="23"/>
  <c r="AV147" i="23"/>
  <c r="AV191" i="23"/>
  <c r="AV169" i="23"/>
  <c r="AV114" i="23"/>
  <c r="AV125" i="23"/>
  <c r="AV136" i="23"/>
  <c r="AV180" i="23"/>
  <c r="AV158" i="23"/>
  <c r="AV112" i="23"/>
  <c r="AV107" i="23"/>
  <c r="AV111" i="23"/>
  <c r="AV109" i="23"/>
  <c r="AV110" i="23"/>
  <c r="AV103" i="23"/>
  <c r="AV101" i="23"/>
  <c r="AV106" i="23"/>
  <c r="AV104" i="23"/>
  <c r="AV102" i="23"/>
  <c r="AV105" i="23"/>
  <c r="AV98" i="23"/>
  <c r="AV96" i="23"/>
  <c r="AV113" i="23"/>
  <c r="AV97" i="23"/>
  <c r="AV89" i="23"/>
  <c r="AV108" i="23"/>
  <c r="AV94" i="23"/>
  <c r="AV92" i="23"/>
  <c r="AV91" i="23"/>
  <c r="AV99" i="23"/>
  <c r="AV95" i="23"/>
  <c r="AV86" i="23"/>
  <c r="AV85" i="23"/>
  <c r="AV100" i="23"/>
  <c r="AV93" i="23"/>
  <c r="AV88" i="23"/>
  <c r="AV84" i="23"/>
  <c r="AV78" i="23"/>
  <c r="AV83" i="23"/>
  <c r="AV72" i="23"/>
  <c r="AV90" i="23"/>
  <c r="AV79" i="23"/>
  <c r="AV71" i="23"/>
  <c r="AV69" i="23"/>
  <c r="AV74" i="23"/>
  <c r="AV77" i="23"/>
  <c r="AV75" i="23"/>
  <c r="AV67" i="23"/>
  <c r="AV80" i="23"/>
  <c r="AV66" i="23"/>
  <c r="AV73" i="23"/>
  <c r="AV62" i="23"/>
  <c r="AV68" i="23"/>
  <c r="AV59" i="23"/>
  <c r="AV57" i="23"/>
  <c r="AV87" i="23"/>
  <c r="AV54" i="23"/>
  <c r="AV81" i="23"/>
  <c r="AV64" i="23"/>
  <c r="AV53" i="23"/>
  <c r="AV60" i="23"/>
  <c r="AV50" i="23"/>
  <c r="AV65" i="23"/>
  <c r="AV63" i="23"/>
  <c r="AV51" i="23"/>
  <c r="AV42" i="23"/>
  <c r="AV76" i="23"/>
  <c r="AV41" i="23"/>
  <c r="AV58" i="23"/>
  <c r="AV45" i="23"/>
  <c r="AV40" i="23"/>
  <c r="AV47" i="23"/>
  <c r="AV46" i="23"/>
  <c r="AV37" i="23"/>
  <c r="AV35" i="23"/>
  <c r="AV55" i="23"/>
  <c r="AV52" i="23"/>
  <c r="AV34" i="23"/>
  <c r="AV82" i="23"/>
  <c r="AV70" i="23"/>
  <c r="AV43" i="23"/>
  <c r="AV28" i="23"/>
  <c r="AV56" i="23"/>
  <c r="AV23" i="23"/>
  <c r="AV38" i="23"/>
  <c r="AV30" i="23"/>
  <c r="AV20" i="23"/>
  <c r="AV48" i="23"/>
  <c r="AV44" i="23"/>
  <c r="AV29" i="23"/>
  <c r="AV19" i="23"/>
  <c r="AV21" i="23"/>
  <c r="AV11" i="23"/>
  <c r="AV61" i="23"/>
  <c r="AV10" i="23"/>
  <c r="AV32" i="23"/>
  <c r="AV24" i="23"/>
  <c r="AV18" i="23"/>
  <c r="AV8" i="23"/>
  <c r="AW2" i="23"/>
  <c r="AV26" i="23"/>
  <c r="AV15" i="23"/>
  <c r="AV13" i="23"/>
  <c r="AV5" i="23"/>
  <c r="AV39" i="23"/>
  <c r="AV36" i="23"/>
  <c r="AV25" i="23"/>
  <c r="AV12" i="23"/>
  <c r="AV4" i="23"/>
  <c r="AV31" i="23"/>
  <c r="AV27" i="23"/>
  <c r="AV33" i="23"/>
  <c r="AV49" i="23"/>
  <c r="AV14" i="23"/>
  <c r="AV17" i="23"/>
  <c r="AV9" i="23"/>
  <c r="AV6" i="23"/>
  <c r="AV22" i="23"/>
  <c r="AV16" i="23"/>
  <c r="AV7" i="23"/>
  <c r="D43" i="11" l="1"/>
  <c r="L11" i="14"/>
  <c r="J22" i="14"/>
  <c r="J38" i="14"/>
  <c r="L35" i="14"/>
  <c r="J35" i="14"/>
  <c r="L18" i="14"/>
  <c r="J18" i="14"/>
  <c r="J33" i="14"/>
  <c r="J29" i="14"/>
  <c r="L31" i="14"/>
  <c r="L34" i="14"/>
  <c r="J34" i="14"/>
  <c r="L32" i="14"/>
  <c r="J32" i="14"/>
  <c r="L30" i="14"/>
  <c r="J30" i="14"/>
  <c r="J28" i="14"/>
  <c r="L28" i="14"/>
  <c r="G24" i="14"/>
  <c r="J24" i="14" s="1"/>
  <c r="G26" i="14"/>
  <c r="G21" i="14"/>
  <c r="L21" i="14" s="1"/>
  <c r="G23" i="14"/>
  <c r="G19" i="14"/>
  <c r="J19" i="14" s="1"/>
  <c r="G20" i="14"/>
  <c r="G16" i="14"/>
  <c r="L16" i="14" s="1"/>
  <c r="G17" i="14"/>
  <c r="G13" i="14"/>
  <c r="L13" i="14" s="1"/>
  <c r="G14" i="14"/>
  <c r="G15" i="14"/>
  <c r="L15" i="14" s="1"/>
  <c r="G12" i="14"/>
  <c r="AW199" i="23"/>
  <c r="AW143" i="23"/>
  <c r="AW149" i="23"/>
  <c r="AW132" i="23"/>
  <c r="AW173" i="23"/>
  <c r="AW201" i="23"/>
  <c r="AW117" i="23"/>
  <c r="AW146" i="23"/>
  <c r="AW189" i="23"/>
  <c r="AW210" i="23"/>
  <c r="AW115" i="23"/>
  <c r="AW166" i="23"/>
  <c r="AW128" i="23"/>
  <c r="AW204" i="23"/>
  <c r="AW193" i="23"/>
  <c r="AW124" i="23"/>
  <c r="AW170" i="23"/>
  <c r="AW164" i="23"/>
  <c r="AW135" i="23"/>
  <c r="AW188" i="23"/>
  <c r="AW203" i="23"/>
  <c r="AW209" i="23"/>
  <c r="AW192" i="23"/>
  <c r="AW211" i="23"/>
  <c r="AW176" i="23"/>
  <c r="AW152" i="23"/>
  <c r="AW195" i="23"/>
  <c r="AW198" i="23"/>
  <c r="AW212" i="23"/>
  <c r="AW194" i="23"/>
  <c r="AW185" i="23"/>
  <c r="AW200" i="23"/>
  <c r="AW190" i="23"/>
  <c r="AW206" i="23"/>
  <c r="AW205" i="23"/>
  <c r="AW182" i="23"/>
  <c r="AW207" i="23"/>
  <c r="AW208" i="23"/>
  <c r="AW184" i="23"/>
  <c r="AW187" i="23"/>
  <c r="AW197" i="23"/>
  <c r="AW196" i="23"/>
  <c r="AW183" i="23"/>
  <c r="AW174" i="23"/>
  <c r="AW172" i="23"/>
  <c r="AW177" i="23"/>
  <c r="AW163" i="23"/>
  <c r="AW165" i="23"/>
  <c r="AW154" i="23"/>
  <c r="AW178" i="23"/>
  <c r="AW141" i="23"/>
  <c r="AW137" i="23"/>
  <c r="AW186" i="23"/>
  <c r="AW179" i="23"/>
  <c r="AW162" i="23"/>
  <c r="AW159" i="23"/>
  <c r="AW148" i="23"/>
  <c r="AW153" i="23"/>
  <c r="AW171" i="23"/>
  <c r="AW160" i="23"/>
  <c r="AW167" i="23"/>
  <c r="AW155" i="23"/>
  <c r="AW142" i="23"/>
  <c r="AW168" i="23"/>
  <c r="AW156" i="23"/>
  <c r="AW150" i="23"/>
  <c r="AW140" i="23"/>
  <c r="AW126" i="23"/>
  <c r="AW161" i="23"/>
  <c r="AW157" i="23"/>
  <c r="AW139" i="23"/>
  <c r="AW118" i="23"/>
  <c r="AW116" i="23"/>
  <c r="AW123" i="23"/>
  <c r="AW181" i="23"/>
  <c r="AW151" i="23"/>
  <c r="AW145" i="23"/>
  <c r="AW119" i="23"/>
  <c r="AW121" i="23"/>
  <c r="AW122" i="23"/>
  <c r="AW175" i="23"/>
  <c r="AW138" i="23"/>
  <c r="AW120" i="23"/>
  <c r="AW133" i="23"/>
  <c r="AW127" i="23"/>
  <c r="AW144" i="23"/>
  <c r="AW130" i="23"/>
  <c r="AW134" i="23"/>
  <c r="AW129" i="23"/>
  <c r="AW131" i="23"/>
  <c r="AW158" i="23"/>
  <c r="AW136" i="23"/>
  <c r="AW202" i="23"/>
  <c r="AW191" i="23"/>
  <c r="AW180" i="23"/>
  <c r="AW147" i="23"/>
  <c r="AW125" i="23"/>
  <c r="AW169" i="23"/>
  <c r="AW114" i="23"/>
  <c r="AW111" i="23"/>
  <c r="AW110" i="23"/>
  <c r="AW108" i="23"/>
  <c r="AW113" i="23"/>
  <c r="AW112" i="23"/>
  <c r="AW107" i="23"/>
  <c r="AW106" i="23"/>
  <c r="AW105" i="23"/>
  <c r="AW101" i="23"/>
  <c r="AW104" i="23"/>
  <c r="AW109" i="23"/>
  <c r="AW99" i="23"/>
  <c r="AW97" i="23"/>
  <c r="AW103" i="23"/>
  <c r="AW102" i="23"/>
  <c r="AW95" i="23"/>
  <c r="AW93" i="23"/>
  <c r="AW100" i="23"/>
  <c r="AW91" i="23"/>
  <c r="AW90" i="23"/>
  <c r="AW81" i="23"/>
  <c r="AW83" i="23"/>
  <c r="AW94" i="23"/>
  <c r="AW87" i="23"/>
  <c r="AW77" i="23"/>
  <c r="AW92" i="23"/>
  <c r="AW88" i="23"/>
  <c r="AW76" i="23"/>
  <c r="AW89" i="23"/>
  <c r="AW85" i="23"/>
  <c r="AW75" i="23"/>
  <c r="AW84" i="23"/>
  <c r="AW64" i="23"/>
  <c r="AW98" i="23"/>
  <c r="AW69" i="23"/>
  <c r="AW63" i="23"/>
  <c r="AW86" i="23"/>
  <c r="AW68" i="23"/>
  <c r="AW67" i="23"/>
  <c r="AW59" i="23"/>
  <c r="AW57" i="23"/>
  <c r="AW61" i="23"/>
  <c r="AW51" i="23"/>
  <c r="AW78" i="23"/>
  <c r="AW65" i="23"/>
  <c r="AW60" i="23"/>
  <c r="AW58" i="23"/>
  <c r="AW80" i="23"/>
  <c r="AW73" i="23"/>
  <c r="AW71" i="23"/>
  <c r="AW96" i="23"/>
  <c r="AW62" i="23"/>
  <c r="AW52" i="23"/>
  <c r="AW49" i="23"/>
  <c r="AW47" i="23"/>
  <c r="AW66" i="23"/>
  <c r="AW56" i="23"/>
  <c r="AW55" i="23"/>
  <c r="AW54" i="23"/>
  <c r="AW48" i="23"/>
  <c r="AW46" i="23"/>
  <c r="AW74" i="23"/>
  <c r="AW45" i="23"/>
  <c r="AW40" i="23"/>
  <c r="AW50" i="23"/>
  <c r="AW37" i="23"/>
  <c r="AW35" i="23"/>
  <c r="AW72" i="23"/>
  <c r="AW70" i="23"/>
  <c r="AW41" i="23"/>
  <c r="AW32" i="23"/>
  <c r="AW43" i="23"/>
  <c r="AW42" i="23"/>
  <c r="AW31" i="23"/>
  <c r="AW82" i="23"/>
  <c r="AW79" i="23"/>
  <c r="AW23" i="23"/>
  <c r="AW38" i="23"/>
  <c r="AW30" i="23"/>
  <c r="AW20" i="23"/>
  <c r="AW27" i="23"/>
  <c r="AW25" i="23"/>
  <c r="AW39" i="23"/>
  <c r="AW33" i="23"/>
  <c r="AW26" i="23"/>
  <c r="AW24" i="23"/>
  <c r="AW18" i="23"/>
  <c r="AW8" i="23"/>
  <c r="AX2" i="23"/>
  <c r="AW29" i="23"/>
  <c r="AW15" i="23"/>
  <c r="AW13" i="23"/>
  <c r="AW5" i="23"/>
  <c r="AW44" i="23"/>
  <c r="AW22" i="23"/>
  <c r="AW7" i="23"/>
  <c r="AW10" i="23"/>
  <c r="AW17" i="23"/>
  <c r="AW9" i="23"/>
  <c r="AW34" i="23"/>
  <c r="AW16" i="23"/>
  <c r="AW14" i="23"/>
  <c r="AW21" i="23"/>
  <c r="AW19" i="23"/>
  <c r="AW4" i="23"/>
  <c r="AW6" i="23"/>
  <c r="AW11" i="23"/>
  <c r="AW53" i="23"/>
  <c r="AW12" i="23"/>
  <c r="AW36" i="23"/>
  <c r="AW28" i="23"/>
  <c r="G16" i="1"/>
  <c r="E239" i="11" s="1"/>
  <c r="G14" i="1"/>
  <c r="E242" i="11" s="1"/>
  <c r="G12" i="1"/>
  <c r="E24" i="11" s="1"/>
  <c r="G15" i="1"/>
  <c r="E237" i="11" s="1"/>
  <c r="G13" i="1"/>
  <c r="E243" i="11" s="1"/>
  <c r="G27" i="14"/>
  <c r="G10" i="14"/>
  <c r="G72" i="14"/>
  <c r="G92" i="14"/>
  <c r="G40" i="14"/>
  <c r="G9" i="14"/>
  <c r="G8" i="14"/>
  <c r="D242" i="11" l="1"/>
  <c r="K242" i="11" s="1"/>
  <c r="D24" i="11"/>
  <c r="K24" i="11" s="1"/>
  <c r="E4" i="31"/>
  <c r="D243" i="11"/>
  <c r="K243" i="11" s="1"/>
  <c r="D237" i="11"/>
  <c r="K237" i="11" s="1"/>
  <c r="D239" i="11"/>
  <c r="K239" i="11" s="1"/>
  <c r="J13" i="14"/>
  <c r="J21" i="14"/>
  <c r="J16" i="14"/>
  <c r="L24" i="14"/>
  <c r="J15" i="14"/>
  <c r="L19" i="14"/>
  <c r="L26" i="14"/>
  <c r="J26" i="14"/>
  <c r="J23" i="14"/>
  <c r="L23" i="14"/>
  <c r="L20" i="14"/>
  <c r="J20" i="14"/>
  <c r="L17" i="14"/>
  <c r="J17" i="14"/>
  <c r="J14" i="14"/>
  <c r="L14" i="14"/>
  <c r="L12" i="14"/>
  <c r="J12" i="14"/>
  <c r="AX157" i="23"/>
  <c r="AX210" i="23"/>
  <c r="AX144" i="23"/>
  <c r="AX175" i="23"/>
  <c r="AX197" i="23"/>
  <c r="AX152" i="23"/>
  <c r="AX140" i="23"/>
  <c r="AX117" i="23"/>
  <c r="AX164" i="23"/>
  <c r="AX166" i="23"/>
  <c r="AX124" i="23"/>
  <c r="AX134" i="23"/>
  <c r="AX193" i="23"/>
  <c r="AX132" i="23"/>
  <c r="AX131" i="23"/>
  <c r="AX128" i="23"/>
  <c r="AX151" i="23"/>
  <c r="AX127" i="23"/>
  <c r="AX126" i="23"/>
  <c r="AX209" i="23"/>
  <c r="AX183" i="23"/>
  <c r="AX206" i="23"/>
  <c r="AX208" i="23"/>
  <c r="AX195" i="23"/>
  <c r="AX192" i="23"/>
  <c r="AX205" i="23"/>
  <c r="AX207" i="23"/>
  <c r="AX212" i="23"/>
  <c r="AX196" i="23"/>
  <c r="AX198" i="23"/>
  <c r="AX199" i="23"/>
  <c r="AX204" i="23"/>
  <c r="AX203" i="23"/>
  <c r="AX211" i="23"/>
  <c r="AX201" i="23"/>
  <c r="AX121" i="23"/>
  <c r="AX200" i="23"/>
  <c r="AX194" i="23"/>
  <c r="AX181" i="23"/>
  <c r="AX188" i="23"/>
  <c r="AX182" i="23"/>
  <c r="AX172" i="23"/>
  <c r="AX170" i="23"/>
  <c r="AX174" i="23"/>
  <c r="AX178" i="23"/>
  <c r="AX177" i="23"/>
  <c r="AX173" i="23"/>
  <c r="AX163" i="23"/>
  <c r="AX161" i="23"/>
  <c r="AX167" i="23"/>
  <c r="AX154" i="23"/>
  <c r="AX159" i="23"/>
  <c r="AX190" i="23"/>
  <c r="AX153" i="23"/>
  <c r="AX149" i="23"/>
  <c r="AX171" i="23"/>
  <c r="AX165" i="23"/>
  <c r="AX150" i="23"/>
  <c r="AX138" i="23"/>
  <c r="AX176" i="23"/>
  <c r="AX155" i="23"/>
  <c r="AX185" i="23"/>
  <c r="AX162" i="23"/>
  <c r="AX168" i="23"/>
  <c r="AX148" i="23"/>
  <c r="AX145" i="23"/>
  <c r="AX135" i="23"/>
  <c r="AX129" i="23"/>
  <c r="AX133" i="23"/>
  <c r="AX141" i="23"/>
  <c r="AX142" i="23"/>
  <c r="AX143" i="23"/>
  <c r="AX116" i="23"/>
  <c r="AX118" i="23"/>
  <c r="AX123" i="23"/>
  <c r="AX189" i="23"/>
  <c r="AX137" i="23"/>
  <c r="AX119" i="23"/>
  <c r="AX115" i="23"/>
  <c r="AX122" i="23"/>
  <c r="AX130" i="23"/>
  <c r="AX184" i="23"/>
  <c r="AX179" i="23"/>
  <c r="AX139" i="23"/>
  <c r="AX120" i="23"/>
  <c r="AX160" i="23"/>
  <c r="AX146" i="23"/>
  <c r="AX186" i="23"/>
  <c r="AX187" i="23"/>
  <c r="AX156" i="23"/>
  <c r="AX191" i="23"/>
  <c r="AX158" i="23"/>
  <c r="AX180" i="23"/>
  <c r="AX169" i="23"/>
  <c r="AX136" i="23"/>
  <c r="AX114" i="23"/>
  <c r="AX147" i="23"/>
  <c r="AX202" i="23"/>
  <c r="AX125" i="23"/>
  <c r="AX113" i="23"/>
  <c r="AX112" i="23"/>
  <c r="AX109" i="23"/>
  <c r="AX108" i="23"/>
  <c r="AX106" i="23"/>
  <c r="AX110" i="23"/>
  <c r="AX107" i="23"/>
  <c r="AX105" i="23"/>
  <c r="AX104" i="23"/>
  <c r="AX102" i="23"/>
  <c r="AX100" i="23"/>
  <c r="AX99" i="23"/>
  <c r="AX101" i="23"/>
  <c r="AX103" i="23"/>
  <c r="AX95" i="23"/>
  <c r="AX94" i="23"/>
  <c r="AX97" i="23"/>
  <c r="AX93" i="23"/>
  <c r="AX91" i="23"/>
  <c r="AX111" i="23"/>
  <c r="AX92" i="23"/>
  <c r="AX90" i="23"/>
  <c r="AX88" i="23"/>
  <c r="AX89" i="23"/>
  <c r="AX87" i="23"/>
  <c r="AX86" i="23"/>
  <c r="AX96" i="23"/>
  <c r="AX83" i="23"/>
  <c r="AX77" i="23"/>
  <c r="AX74" i="23"/>
  <c r="AX98" i="23"/>
  <c r="AX82" i="23"/>
  <c r="AX81" i="23"/>
  <c r="AX80" i="23"/>
  <c r="AX73" i="23"/>
  <c r="AX85" i="23"/>
  <c r="AX75" i="23"/>
  <c r="AX84" i="23"/>
  <c r="AX76" i="23"/>
  <c r="AX72" i="23"/>
  <c r="AX70" i="23"/>
  <c r="AX68" i="23"/>
  <c r="AX69" i="23"/>
  <c r="AX61" i="23"/>
  <c r="AX63" i="23"/>
  <c r="AX56" i="23"/>
  <c r="AX79" i="23"/>
  <c r="AX66" i="23"/>
  <c r="AX55" i="23"/>
  <c r="AX65" i="23"/>
  <c r="AX67" i="23"/>
  <c r="AX62" i="23"/>
  <c r="AX59" i="23"/>
  <c r="AX52" i="23"/>
  <c r="AX51" i="23"/>
  <c r="AX49" i="23"/>
  <c r="AX47" i="23"/>
  <c r="AX53" i="23"/>
  <c r="AX44" i="23"/>
  <c r="AX64" i="23"/>
  <c r="AX58" i="23"/>
  <c r="AX43" i="23"/>
  <c r="AX50" i="23"/>
  <c r="AX37" i="23"/>
  <c r="AX46" i="23"/>
  <c r="AX41" i="23"/>
  <c r="AX32" i="23"/>
  <c r="AX78" i="23"/>
  <c r="AX54" i="23"/>
  <c r="AX39" i="23"/>
  <c r="AX71" i="23"/>
  <c r="AX38" i="23"/>
  <c r="AX36" i="23"/>
  <c r="AX60" i="23"/>
  <c r="AX45" i="23"/>
  <c r="AX30" i="23"/>
  <c r="AX20" i="23"/>
  <c r="AX27" i="23"/>
  <c r="AX25" i="23"/>
  <c r="AX57" i="23"/>
  <c r="AX22" i="23"/>
  <c r="AX21" i="23"/>
  <c r="AX29" i="23"/>
  <c r="AX24" i="23"/>
  <c r="AX15" i="23"/>
  <c r="AX13" i="23"/>
  <c r="AX5" i="23"/>
  <c r="AX19" i="23"/>
  <c r="AX12" i="23"/>
  <c r="AX42" i="23"/>
  <c r="AX35" i="23"/>
  <c r="AX26" i="23"/>
  <c r="AX10" i="23"/>
  <c r="AX28" i="23"/>
  <c r="AX48" i="23"/>
  <c r="AX23" i="23"/>
  <c r="AX17" i="23"/>
  <c r="AX7" i="23"/>
  <c r="AX33" i="23"/>
  <c r="AX4" i="23"/>
  <c r="AX40" i="23"/>
  <c r="AX34" i="23"/>
  <c r="AX31" i="23"/>
  <c r="AX16" i="23"/>
  <c r="AX14" i="23"/>
  <c r="AX6" i="23"/>
  <c r="AX8" i="23"/>
  <c r="AY2" i="23"/>
  <c r="AX11" i="23"/>
  <c r="AX18" i="23"/>
  <c r="AX9" i="23"/>
  <c r="L27" i="14"/>
  <c r="J27" i="14"/>
  <c r="L9" i="14"/>
  <c r="J9" i="14"/>
  <c r="L10" i="14"/>
  <c r="J10" i="14"/>
  <c r="L8" i="14"/>
  <c r="J8" i="14"/>
  <c r="L72" i="14"/>
  <c r="L92" i="14" s="1"/>
  <c r="J72" i="14"/>
  <c r="J92" i="14" s="1"/>
  <c r="G18" i="1"/>
  <c r="B4" i="32" s="1"/>
  <c r="H4" i="32" s="1"/>
  <c r="E241" i="11" s="1"/>
  <c r="H14" i="32" l="1"/>
  <c r="F57" i="1"/>
  <c r="R44" i="20"/>
  <c r="R42" i="20"/>
  <c r="F51" i="1"/>
  <c r="F52" i="1"/>
  <c r="D234" i="11" s="1"/>
  <c r="D28" i="1"/>
  <c r="R141" i="20"/>
  <c r="R139" i="20"/>
  <c r="L40" i="14"/>
  <c r="J40" i="14"/>
  <c r="AY199" i="23"/>
  <c r="AY207" i="23"/>
  <c r="AY145" i="23"/>
  <c r="AY168" i="23"/>
  <c r="AY133" i="23"/>
  <c r="AY143" i="23"/>
  <c r="AY131" i="23"/>
  <c r="AY182" i="23"/>
  <c r="AY142" i="23"/>
  <c r="AY148" i="23"/>
  <c r="AY189" i="23"/>
  <c r="AY144" i="23"/>
  <c r="AY163" i="23"/>
  <c r="AY186" i="23"/>
  <c r="AY204" i="23"/>
  <c r="AY209" i="23"/>
  <c r="AY211" i="23"/>
  <c r="AY208" i="23"/>
  <c r="AY203" i="23"/>
  <c r="AY192" i="23"/>
  <c r="AY205" i="23"/>
  <c r="AY210" i="23"/>
  <c r="AY195" i="23"/>
  <c r="AY198" i="23"/>
  <c r="AY194" i="23"/>
  <c r="AY200" i="23"/>
  <c r="AY184" i="23"/>
  <c r="AY212" i="23"/>
  <c r="AY201" i="23"/>
  <c r="AY193" i="23"/>
  <c r="AY196" i="23"/>
  <c r="AY187" i="23"/>
  <c r="AY197" i="23"/>
  <c r="AY157" i="23"/>
  <c r="AY173" i="23"/>
  <c r="AY172" i="23"/>
  <c r="AY171" i="23"/>
  <c r="AY183" i="23"/>
  <c r="AY176" i="23"/>
  <c r="AY179" i="23"/>
  <c r="AY155" i="23"/>
  <c r="AY188" i="23"/>
  <c r="AY162" i="23"/>
  <c r="AY165" i="23"/>
  <c r="AY149" i="23"/>
  <c r="AY141" i="23"/>
  <c r="AY206" i="23"/>
  <c r="AY181" i="23"/>
  <c r="AY153" i="23"/>
  <c r="AY137" i="23"/>
  <c r="AY138" i="23"/>
  <c r="AY174" i="23"/>
  <c r="AY159" i="23"/>
  <c r="AY167" i="23"/>
  <c r="AY146" i="23"/>
  <c r="AY130" i="23"/>
  <c r="AY135" i="23"/>
  <c r="AY154" i="23"/>
  <c r="AY177" i="23"/>
  <c r="AY160" i="23"/>
  <c r="AY164" i="23"/>
  <c r="AY156" i="23"/>
  <c r="AY152" i="23"/>
  <c r="AY127" i="23"/>
  <c r="AY128" i="23"/>
  <c r="AY132" i="23"/>
  <c r="AY117" i="23"/>
  <c r="AY161" i="23"/>
  <c r="AY139" i="23"/>
  <c r="AY140" i="23"/>
  <c r="AY129" i="23"/>
  <c r="AY190" i="23"/>
  <c r="AY150" i="23"/>
  <c r="AY118" i="23"/>
  <c r="AY123" i="23"/>
  <c r="AY122" i="23"/>
  <c r="AY116" i="23"/>
  <c r="AY120" i="23"/>
  <c r="AY124" i="23"/>
  <c r="AY170" i="23"/>
  <c r="AY115" i="23"/>
  <c r="AY119" i="23"/>
  <c r="AY126" i="23"/>
  <c r="AY134" i="23"/>
  <c r="AY151" i="23"/>
  <c r="AY175" i="23"/>
  <c r="AY178" i="23"/>
  <c r="AY185" i="23"/>
  <c r="AY166" i="23"/>
  <c r="AY121" i="23"/>
  <c r="AY136" i="23"/>
  <c r="AY158" i="23"/>
  <c r="AY169" i="23"/>
  <c r="AY202" i="23"/>
  <c r="AY191" i="23"/>
  <c r="AY125" i="23"/>
  <c r="AY180" i="23"/>
  <c r="AY147" i="23"/>
  <c r="AY114" i="23"/>
  <c r="AY113" i="23"/>
  <c r="AY111" i="23"/>
  <c r="AY112" i="23"/>
  <c r="AY108" i="23"/>
  <c r="AY110" i="23"/>
  <c r="AY107" i="23"/>
  <c r="AY109" i="23"/>
  <c r="AY103" i="23"/>
  <c r="AY106" i="23"/>
  <c r="AY105" i="23"/>
  <c r="AY101" i="23"/>
  <c r="AY98" i="23"/>
  <c r="AY102" i="23"/>
  <c r="AY100" i="23"/>
  <c r="AY96" i="23"/>
  <c r="AY99" i="23"/>
  <c r="AY95" i="23"/>
  <c r="AY93" i="23"/>
  <c r="AY97" i="23"/>
  <c r="AY85" i="23"/>
  <c r="AY90" i="23"/>
  <c r="AY84" i="23"/>
  <c r="AY91" i="23"/>
  <c r="AY86" i="23"/>
  <c r="AY87" i="23"/>
  <c r="AY82" i="23"/>
  <c r="AY80" i="23"/>
  <c r="AY94" i="23"/>
  <c r="AY77" i="23"/>
  <c r="AY104" i="23"/>
  <c r="AY79" i="23"/>
  <c r="AY71" i="23"/>
  <c r="AY78" i="23"/>
  <c r="AY70" i="23"/>
  <c r="AY88" i="23"/>
  <c r="AY66" i="23"/>
  <c r="AY73" i="23"/>
  <c r="AY65" i="23"/>
  <c r="AY89" i="23"/>
  <c r="AY83" i="23"/>
  <c r="AY61" i="23"/>
  <c r="AY63" i="23"/>
  <c r="AY56" i="23"/>
  <c r="AY74" i="23"/>
  <c r="AY72" i="23"/>
  <c r="AY53" i="23"/>
  <c r="AY62" i="23"/>
  <c r="AY52" i="23"/>
  <c r="AY92" i="23"/>
  <c r="AY75" i="23"/>
  <c r="AY67" i="23"/>
  <c r="AY59" i="23"/>
  <c r="AY51" i="23"/>
  <c r="AY49" i="23"/>
  <c r="AY47" i="23"/>
  <c r="AY68" i="23"/>
  <c r="AY50" i="23"/>
  <c r="AY46" i="23"/>
  <c r="AY41" i="23"/>
  <c r="AY54" i="23"/>
  <c r="AY39" i="23"/>
  <c r="AY34" i="23"/>
  <c r="AY64" i="23"/>
  <c r="AY48" i="23"/>
  <c r="AY44" i="23"/>
  <c r="AY33" i="23"/>
  <c r="AY60" i="23"/>
  <c r="AY76" i="23"/>
  <c r="AY58" i="23"/>
  <c r="AY57" i="23"/>
  <c r="AY55" i="23"/>
  <c r="AY69" i="23"/>
  <c r="AY38" i="23"/>
  <c r="AY27" i="23"/>
  <c r="AY25" i="23"/>
  <c r="AY22" i="23"/>
  <c r="AY36" i="23"/>
  <c r="AY29" i="23"/>
  <c r="AY19" i="23"/>
  <c r="AY32" i="23"/>
  <c r="AY31" i="23"/>
  <c r="AY28" i="23"/>
  <c r="AY42" i="23"/>
  <c r="AY35" i="23"/>
  <c r="AY26" i="23"/>
  <c r="AY10" i="23"/>
  <c r="AY9" i="23"/>
  <c r="AY23" i="23"/>
  <c r="AY20" i="23"/>
  <c r="AY17" i="23"/>
  <c r="AY7" i="23"/>
  <c r="AY43" i="23"/>
  <c r="AY37" i="23"/>
  <c r="AY12" i="23"/>
  <c r="AY4" i="23"/>
  <c r="AY45" i="23"/>
  <c r="AY11" i="23"/>
  <c r="AY81" i="23"/>
  <c r="AY30" i="23"/>
  <c r="AY21" i="23"/>
  <c r="AY18" i="23"/>
  <c r="AY40" i="23"/>
  <c r="AY13" i="23"/>
  <c r="AY5" i="23"/>
  <c r="AY6" i="23"/>
  <c r="AZ2" i="23"/>
  <c r="AY14" i="23"/>
  <c r="AY8" i="23"/>
  <c r="AY15" i="23"/>
  <c r="AY16" i="23"/>
  <c r="AY24" i="23"/>
  <c r="F48" i="1"/>
  <c r="I23" i="1"/>
  <c r="K241" i="11" l="1"/>
  <c r="H64" i="1"/>
  <c r="G13" i="11" s="1"/>
  <c r="H139" i="20"/>
  <c r="H141" i="20"/>
  <c r="D764" i="11"/>
  <c r="H51" i="1"/>
  <c r="E764" i="11" s="1"/>
  <c r="M18" i="11"/>
  <c r="H140" i="20"/>
  <c r="D22" i="11"/>
  <c r="AZ134" i="23"/>
  <c r="AZ206" i="23"/>
  <c r="AZ192" i="23"/>
  <c r="AZ176" i="23"/>
  <c r="AZ127" i="23"/>
  <c r="AZ128" i="23"/>
  <c r="AZ164" i="23"/>
  <c r="AZ149" i="23"/>
  <c r="AZ166" i="23"/>
  <c r="AZ194" i="23"/>
  <c r="AZ168" i="23"/>
  <c r="AZ209" i="23"/>
  <c r="AZ198" i="23"/>
  <c r="AZ189" i="23"/>
  <c r="AZ210" i="23"/>
  <c r="AZ205" i="23"/>
  <c r="AZ203" i="23"/>
  <c r="AZ175" i="23"/>
  <c r="AZ204" i="23"/>
  <c r="AZ199" i="23"/>
  <c r="AZ195" i="23"/>
  <c r="AZ196" i="23"/>
  <c r="AZ197" i="23"/>
  <c r="AZ207" i="23"/>
  <c r="AZ183" i="23"/>
  <c r="AZ208" i="23"/>
  <c r="AZ186" i="23"/>
  <c r="AZ211" i="23"/>
  <c r="AZ200" i="23"/>
  <c r="AZ145" i="23"/>
  <c r="AZ193" i="23"/>
  <c r="AZ201" i="23"/>
  <c r="AZ187" i="23"/>
  <c r="AZ185" i="23"/>
  <c r="AZ177" i="23"/>
  <c r="AZ190" i="23"/>
  <c r="AZ171" i="23"/>
  <c r="AZ170" i="23"/>
  <c r="AZ184" i="23"/>
  <c r="AZ188" i="23"/>
  <c r="AZ174" i="23"/>
  <c r="AZ154" i="23"/>
  <c r="AZ182" i="23"/>
  <c r="AZ165" i="23"/>
  <c r="AZ150" i="23"/>
  <c r="AZ172" i="23"/>
  <c r="AZ178" i="23"/>
  <c r="AZ162" i="23"/>
  <c r="AZ159" i="23"/>
  <c r="AZ148" i="23"/>
  <c r="AZ141" i="23"/>
  <c r="AZ156" i="23"/>
  <c r="AZ153" i="23"/>
  <c r="AZ181" i="23"/>
  <c r="AZ173" i="23"/>
  <c r="AZ155" i="23"/>
  <c r="AZ152" i="23"/>
  <c r="AZ212" i="23"/>
  <c r="AZ167" i="23"/>
  <c r="AZ139" i="23"/>
  <c r="AZ132" i="23"/>
  <c r="AZ179" i="23"/>
  <c r="AZ161" i="23"/>
  <c r="AZ130" i="23"/>
  <c r="AZ135" i="23"/>
  <c r="AZ160" i="23"/>
  <c r="AZ142" i="23"/>
  <c r="AZ151" i="23"/>
  <c r="AZ143" i="23"/>
  <c r="AZ129" i="23"/>
  <c r="AZ138" i="23"/>
  <c r="AZ146" i="23"/>
  <c r="AZ121" i="23"/>
  <c r="AZ157" i="23"/>
  <c r="AZ126" i="23"/>
  <c r="AZ133" i="23"/>
  <c r="AZ115" i="23"/>
  <c r="AZ124" i="23"/>
  <c r="AZ144" i="23"/>
  <c r="AZ118" i="23"/>
  <c r="AZ120" i="23"/>
  <c r="AZ140" i="23"/>
  <c r="AZ116" i="23"/>
  <c r="AZ163" i="23"/>
  <c r="AZ131" i="23"/>
  <c r="AZ119" i="23"/>
  <c r="AZ122" i="23"/>
  <c r="AZ117" i="23"/>
  <c r="AZ137" i="23"/>
  <c r="AZ123" i="23"/>
  <c r="AZ114" i="23"/>
  <c r="AZ191" i="23"/>
  <c r="AZ180" i="23"/>
  <c r="AZ202" i="23"/>
  <c r="AZ169" i="23"/>
  <c r="AZ136" i="23"/>
  <c r="AZ125" i="23"/>
  <c r="AZ147" i="23"/>
  <c r="AZ158" i="23"/>
  <c r="AZ113" i="23"/>
  <c r="AZ111" i="23"/>
  <c r="AZ112" i="23"/>
  <c r="AZ110" i="23"/>
  <c r="AZ109" i="23"/>
  <c r="AZ107" i="23"/>
  <c r="AZ106" i="23"/>
  <c r="AZ104" i="23"/>
  <c r="AZ102" i="23"/>
  <c r="AZ101" i="23"/>
  <c r="AZ103" i="23"/>
  <c r="AZ97" i="23"/>
  <c r="AZ96" i="23"/>
  <c r="AZ94" i="23"/>
  <c r="AZ100" i="23"/>
  <c r="AZ99" i="23"/>
  <c r="AZ98" i="23"/>
  <c r="AZ95" i="23"/>
  <c r="AZ93" i="23"/>
  <c r="AZ92" i="23"/>
  <c r="AZ91" i="23"/>
  <c r="AZ108" i="23"/>
  <c r="AZ90" i="23"/>
  <c r="AZ87" i="23"/>
  <c r="AZ89" i="23"/>
  <c r="AZ88" i="23"/>
  <c r="AZ79" i="23"/>
  <c r="AZ85" i="23"/>
  <c r="AZ76" i="23"/>
  <c r="AZ86" i="23"/>
  <c r="AZ84" i="23"/>
  <c r="AZ75" i="23"/>
  <c r="AZ77" i="23"/>
  <c r="AZ82" i="23"/>
  <c r="AZ71" i="23"/>
  <c r="AZ69" i="23"/>
  <c r="AZ63" i="23"/>
  <c r="AZ81" i="23"/>
  <c r="AZ78" i="23"/>
  <c r="AZ74" i="23"/>
  <c r="AZ72" i="23"/>
  <c r="AZ70" i="23"/>
  <c r="AZ64" i="23"/>
  <c r="AZ60" i="23"/>
  <c r="AZ58" i="23"/>
  <c r="AZ67" i="23"/>
  <c r="AZ59" i="23"/>
  <c r="AZ57" i="23"/>
  <c r="AZ62" i="23"/>
  <c r="AZ52" i="23"/>
  <c r="AZ105" i="23"/>
  <c r="AZ68" i="23"/>
  <c r="AZ53" i="23"/>
  <c r="AZ54" i="23"/>
  <c r="AZ48" i="23"/>
  <c r="AZ46" i="23"/>
  <c r="AZ45" i="23"/>
  <c r="AZ66" i="23"/>
  <c r="AZ39" i="23"/>
  <c r="AZ73" i="23"/>
  <c r="AZ51" i="23"/>
  <c r="AZ47" i="23"/>
  <c r="AZ34" i="23"/>
  <c r="AZ61" i="23"/>
  <c r="AZ49" i="23"/>
  <c r="AZ42" i="23"/>
  <c r="AZ31" i="23"/>
  <c r="AZ83" i="23"/>
  <c r="AZ40" i="23"/>
  <c r="AZ56" i="23"/>
  <c r="AZ41" i="23"/>
  <c r="AZ22" i="23"/>
  <c r="AZ36" i="23"/>
  <c r="AZ29" i="23"/>
  <c r="AZ19" i="23"/>
  <c r="AZ37" i="23"/>
  <c r="AZ35" i="23"/>
  <c r="AZ26" i="23"/>
  <c r="AZ24" i="23"/>
  <c r="AZ23" i="23"/>
  <c r="AZ32" i="23"/>
  <c r="AZ20" i="23"/>
  <c r="AZ17" i="23"/>
  <c r="AZ7" i="23"/>
  <c r="AZ6" i="23"/>
  <c r="AZ55" i="23"/>
  <c r="AZ43" i="23"/>
  <c r="AZ12" i="23"/>
  <c r="AZ4" i="23"/>
  <c r="AZ44" i="23"/>
  <c r="AZ33" i="23"/>
  <c r="AZ28" i="23"/>
  <c r="AZ9" i="23"/>
  <c r="AZ16" i="23"/>
  <c r="AZ14" i="23"/>
  <c r="AZ30" i="23"/>
  <c r="AZ27" i="23"/>
  <c r="AZ21" i="23"/>
  <c r="AZ18" i="23"/>
  <c r="AZ8" i="23"/>
  <c r="BA2" i="23"/>
  <c r="AZ80" i="23"/>
  <c r="AZ50" i="23"/>
  <c r="AZ15" i="23"/>
  <c r="AZ13" i="23"/>
  <c r="AZ10" i="23"/>
  <c r="AZ25" i="23"/>
  <c r="AZ11" i="23"/>
  <c r="AZ65" i="23"/>
  <c r="AZ38" i="23"/>
  <c r="AZ5" i="23"/>
  <c r="H48" i="1"/>
  <c r="D333" i="11"/>
  <c r="H52" i="1"/>
  <c r="E234" i="11" s="1"/>
  <c r="K234" i="11" s="1"/>
  <c r="F7" i="16" l="1"/>
  <c r="D863" i="11"/>
  <c r="K764" i="11"/>
  <c r="N44" i="20"/>
  <c r="K141" i="20" s="1"/>
  <c r="E22" i="11"/>
  <c r="K22" i="11" s="1"/>
  <c r="N43" i="20"/>
  <c r="K140" i="20" s="1"/>
  <c r="O140" i="20" s="1"/>
  <c r="N42" i="20"/>
  <c r="K37" i="14"/>
  <c r="K35" i="14"/>
  <c r="K29" i="14"/>
  <c r="K33" i="14"/>
  <c r="K31" i="14"/>
  <c r="K32" i="14"/>
  <c r="K36" i="14"/>
  <c r="K30" i="14"/>
  <c r="K34" i="14"/>
  <c r="K28" i="14"/>
  <c r="K38" i="14"/>
  <c r="K39" i="14"/>
  <c r="BA211" i="23"/>
  <c r="BA212" i="23"/>
  <c r="BA127" i="23"/>
  <c r="BA138" i="23"/>
  <c r="BA128" i="23"/>
  <c r="BA206" i="23"/>
  <c r="BA164" i="23"/>
  <c r="BA134" i="23"/>
  <c r="BA174" i="23"/>
  <c r="BA124" i="23"/>
  <c r="BA129" i="23"/>
  <c r="BA115" i="23"/>
  <c r="BA123" i="23"/>
  <c r="BA183" i="23"/>
  <c r="BA181" i="23"/>
  <c r="BA194" i="23"/>
  <c r="BA197" i="23"/>
  <c r="BA157" i="23"/>
  <c r="BA201" i="23"/>
  <c r="BA208" i="23"/>
  <c r="BA203" i="23"/>
  <c r="BA195" i="23"/>
  <c r="BA204" i="23"/>
  <c r="BA210" i="23"/>
  <c r="BA207" i="23"/>
  <c r="BA196" i="23"/>
  <c r="BA199" i="23"/>
  <c r="BA205" i="23"/>
  <c r="BA198" i="23"/>
  <c r="BA200" i="23"/>
  <c r="BA187" i="23"/>
  <c r="BA192" i="23"/>
  <c r="BA185" i="23"/>
  <c r="BA190" i="23"/>
  <c r="BA189" i="23"/>
  <c r="BA172" i="23"/>
  <c r="BA209" i="23"/>
  <c r="BA193" i="23"/>
  <c r="BA171" i="23"/>
  <c r="BA188" i="23"/>
  <c r="BA184" i="23"/>
  <c r="BA182" i="23"/>
  <c r="BA179" i="23"/>
  <c r="BA163" i="23"/>
  <c r="BA154" i="23"/>
  <c r="BA177" i="23"/>
  <c r="BA176" i="23"/>
  <c r="BA159" i="23"/>
  <c r="BA161" i="23"/>
  <c r="BA165" i="23"/>
  <c r="BA186" i="23"/>
  <c r="BA150" i="23"/>
  <c r="BA156" i="23"/>
  <c r="BA175" i="23"/>
  <c r="BA160" i="23"/>
  <c r="BA149" i="23"/>
  <c r="BA166" i="23"/>
  <c r="BA148" i="23"/>
  <c r="BA152" i="23"/>
  <c r="BA139" i="23"/>
  <c r="BA170" i="23"/>
  <c r="BA168" i="23"/>
  <c r="BA137" i="23"/>
  <c r="BA167" i="23"/>
  <c r="BA146" i="23"/>
  <c r="BA132" i="23"/>
  <c r="BA135" i="23"/>
  <c r="BA153" i="23"/>
  <c r="BA141" i="23"/>
  <c r="BA142" i="23"/>
  <c r="BA145" i="23"/>
  <c r="BA116" i="23"/>
  <c r="BA117" i="23"/>
  <c r="BA173" i="23"/>
  <c r="BA121" i="23"/>
  <c r="BA122" i="23"/>
  <c r="BA133" i="23"/>
  <c r="BA119" i="23"/>
  <c r="BA162" i="23"/>
  <c r="BA140" i="23"/>
  <c r="BA144" i="23"/>
  <c r="BA126" i="23"/>
  <c r="BA178" i="23"/>
  <c r="BA131" i="23"/>
  <c r="BA118" i="23"/>
  <c r="BA143" i="23"/>
  <c r="BA155" i="23"/>
  <c r="BA130" i="23"/>
  <c r="BA120" i="23"/>
  <c r="BA151" i="23"/>
  <c r="BA147" i="23"/>
  <c r="BA191" i="23"/>
  <c r="BA180" i="23"/>
  <c r="BA202" i="23"/>
  <c r="BA125" i="23"/>
  <c r="BA169" i="23"/>
  <c r="BA136" i="23"/>
  <c r="BA114" i="23"/>
  <c r="BA158" i="23"/>
  <c r="BA112" i="23"/>
  <c r="BA111" i="23"/>
  <c r="BA108" i="23"/>
  <c r="BA113" i="23"/>
  <c r="BA107" i="23"/>
  <c r="BA109" i="23"/>
  <c r="BA104" i="23"/>
  <c r="BA102" i="23"/>
  <c r="BA103" i="23"/>
  <c r="BA105" i="23"/>
  <c r="BA99" i="23"/>
  <c r="BA98" i="23"/>
  <c r="BA94" i="23"/>
  <c r="BA93" i="23"/>
  <c r="BA106" i="23"/>
  <c r="BA110" i="23"/>
  <c r="BA95" i="23"/>
  <c r="BA92" i="23"/>
  <c r="BA90" i="23"/>
  <c r="BA89" i="23"/>
  <c r="BA97" i="23"/>
  <c r="BA100" i="23"/>
  <c r="BA87" i="23"/>
  <c r="BA96" i="23"/>
  <c r="BA86" i="23"/>
  <c r="BA88" i="23"/>
  <c r="BA101" i="23"/>
  <c r="BA83" i="23"/>
  <c r="BA84" i="23"/>
  <c r="BA79" i="23"/>
  <c r="BA85" i="23"/>
  <c r="BA76" i="23"/>
  <c r="BA81" i="23"/>
  <c r="BA73" i="23"/>
  <c r="BA72" i="23"/>
  <c r="BA82" i="23"/>
  <c r="BA71" i="23"/>
  <c r="BA69" i="23"/>
  <c r="BA80" i="23"/>
  <c r="BA68" i="23"/>
  <c r="BA67" i="23"/>
  <c r="BA63" i="23"/>
  <c r="BA91" i="23"/>
  <c r="BA74" i="23"/>
  <c r="BA70" i="23"/>
  <c r="BA64" i="23"/>
  <c r="BA60" i="23"/>
  <c r="BA58" i="23"/>
  <c r="BA77" i="23"/>
  <c r="BA65" i="23"/>
  <c r="BA55" i="23"/>
  <c r="BA75" i="23"/>
  <c r="BA54" i="23"/>
  <c r="BA53" i="23"/>
  <c r="BA48" i="23"/>
  <c r="BA61" i="23"/>
  <c r="BA43" i="23"/>
  <c r="BA57" i="23"/>
  <c r="BA42" i="23"/>
  <c r="BA51" i="23"/>
  <c r="BA47" i="23"/>
  <c r="BA78" i="23"/>
  <c r="BA59" i="23"/>
  <c r="BA49" i="23"/>
  <c r="BA31" i="23"/>
  <c r="BA38" i="23"/>
  <c r="BA36" i="23"/>
  <c r="BA56" i="23"/>
  <c r="BA45" i="23"/>
  <c r="BA37" i="23"/>
  <c r="BA35" i="23"/>
  <c r="BA29" i="23"/>
  <c r="BA19" i="23"/>
  <c r="BA26" i="23"/>
  <c r="BA24" i="23"/>
  <c r="BA44" i="23"/>
  <c r="BA40" i="23"/>
  <c r="BA34" i="23"/>
  <c r="BA33" i="23"/>
  <c r="BA21" i="23"/>
  <c r="BA50" i="23"/>
  <c r="BA30" i="23"/>
  <c r="BA20" i="23"/>
  <c r="BA62" i="23"/>
  <c r="BA23" i="23"/>
  <c r="BA12" i="23"/>
  <c r="BA4" i="23"/>
  <c r="BA11" i="23"/>
  <c r="BA28" i="23"/>
  <c r="BA9" i="23"/>
  <c r="BA39" i="23"/>
  <c r="BA22" i="23"/>
  <c r="BA16" i="23"/>
  <c r="BA14" i="23"/>
  <c r="BA6" i="23"/>
  <c r="BA25" i="23"/>
  <c r="BA41" i="23"/>
  <c r="BA15" i="23"/>
  <c r="BA13" i="23"/>
  <c r="BA5" i="23"/>
  <c r="BA66" i="23"/>
  <c r="BA46" i="23"/>
  <c r="BA8" i="23"/>
  <c r="BB2" i="23"/>
  <c r="BA17" i="23"/>
  <c r="BA10" i="23"/>
  <c r="BA18" i="23"/>
  <c r="BA7" i="23"/>
  <c r="BA32" i="23"/>
  <c r="BA52" i="23"/>
  <c r="BA27" i="23"/>
  <c r="D121" i="11"/>
  <c r="K90" i="14"/>
  <c r="K54" i="14"/>
  <c r="K79" i="14"/>
  <c r="K59" i="14"/>
  <c r="K56" i="14"/>
  <c r="K15" i="14"/>
  <c r="K20" i="14"/>
  <c r="K65" i="14"/>
  <c r="K22" i="14"/>
  <c r="K78" i="14"/>
  <c r="K91" i="14"/>
  <c r="K21" i="14"/>
  <c r="K17" i="14"/>
  <c r="K12" i="14"/>
  <c r="K82" i="14"/>
  <c r="K25" i="14"/>
  <c r="K83" i="14"/>
  <c r="K49" i="14"/>
  <c r="K73" i="14"/>
  <c r="K19" i="14"/>
  <c r="K76" i="14"/>
  <c r="K13" i="14"/>
  <c r="K14" i="14"/>
  <c r="K55" i="14"/>
  <c r="K75" i="14"/>
  <c r="K85" i="14"/>
  <c r="K47" i="14"/>
  <c r="K26" i="14"/>
  <c r="K58" i="14"/>
  <c r="K24" i="14"/>
  <c r="K62" i="14"/>
  <c r="K87" i="14"/>
  <c r="K23" i="14"/>
  <c r="K84" i="14"/>
  <c r="K61" i="14"/>
  <c r="K74" i="14"/>
  <c r="K64" i="14"/>
  <c r="K18" i="14"/>
  <c r="K89" i="14"/>
  <c r="K52" i="14"/>
  <c r="K11" i="14"/>
  <c r="K63" i="14"/>
  <c r="K53" i="14"/>
  <c r="K86" i="14"/>
  <c r="K81" i="14"/>
  <c r="K57" i="14"/>
  <c r="K51" i="14"/>
  <c r="K80" i="14"/>
  <c r="K60" i="14"/>
  <c r="K77" i="14"/>
  <c r="K16" i="14"/>
  <c r="K50" i="14"/>
  <c r="K88" i="14"/>
  <c r="K46" i="14"/>
  <c r="K48" i="14"/>
  <c r="K10" i="14"/>
  <c r="K9" i="14"/>
  <c r="K27" i="14"/>
  <c r="K72" i="14"/>
  <c r="K8" i="14"/>
  <c r="D123" i="11" l="1"/>
  <c r="D229" i="11" s="1"/>
  <c r="D335" i="11" s="1"/>
  <c r="D441" i="11" s="1"/>
  <c r="D547" i="11" s="1"/>
  <c r="D653" i="11" s="1"/>
  <c r="D759" i="11" s="1"/>
  <c r="D865" i="11" s="1"/>
  <c r="M15" i="11" s="1"/>
  <c r="M13" i="11" s="1"/>
  <c r="O141" i="20"/>
  <c r="K40" i="14"/>
  <c r="BB131" i="23"/>
  <c r="BB130" i="23"/>
  <c r="BB149" i="23"/>
  <c r="BB185" i="23"/>
  <c r="BB124" i="23"/>
  <c r="BB170" i="23"/>
  <c r="BB200" i="23"/>
  <c r="BB115" i="23"/>
  <c r="BB127" i="23"/>
  <c r="BB144" i="23"/>
  <c r="BB143" i="23"/>
  <c r="BB174" i="23"/>
  <c r="BB161" i="23"/>
  <c r="BB146" i="23"/>
  <c r="BB121" i="23"/>
  <c r="BB166" i="23"/>
  <c r="BB210" i="23"/>
  <c r="BB208" i="23"/>
  <c r="BB164" i="23"/>
  <c r="BB211" i="23"/>
  <c r="BB204" i="23"/>
  <c r="BB197" i="23"/>
  <c r="BB209" i="23"/>
  <c r="BB192" i="23"/>
  <c r="BB195" i="23"/>
  <c r="BB203" i="23"/>
  <c r="BB212" i="23"/>
  <c r="BB206" i="23"/>
  <c r="BB194" i="23"/>
  <c r="BB198" i="23"/>
  <c r="BB199" i="23"/>
  <c r="BB207" i="23"/>
  <c r="BB193" i="23"/>
  <c r="BB196" i="23"/>
  <c r="BB184" i="23"/>
  <c r="BB190" i="23"/>
  <c r="BB188" i="23"/>
  <c r="BB201" i="23"/>
  <c r="BB181" i="23"/>
  <c r="BB189" i="23"/>
  <c r="BB178" i="23"/>
  <c r="BB186" i="23"/>
  <c r="BB156" i="23"/>
  <c r="BB167" i="23"/>
  <c r="BB159" i="23"/>
  <c r="BB153" i="23"/>
  <c r="BB172" i="23"/>
  <c r="BB179" i="23"/>
  <c r="BB162" i="23"/>
  <c r="BB160" i="23"/>
  <c r="BB205" i="23"/>
  <c r="BB171" i="23"/>
  <c r="BB151" i="23"/>
  <c r="BB157" i="23"/>
  <c r="BB142" i="23"/>
  <c r="BB183" i="23"/>
  <c r="BB141" i="23"/>
  <c r="BB155" i="23"/>
  <c r="BB165" i="23"/>
  <c r="BB137" i="23"/>
  <c r="BB139" i="23"/>
  <c r="BB145" i="23"/>
  <c r="BB126" i="23"/>
  <c r="BB134" i="23"/>
  <c r="BB163" i="23"/>
  <c r="BB168" i="23"/>
  <c r="BB150" i="23"/>
  <c r="BB128" i="23"/>
  <c r="BB175" i="23"/>
  <c r="BB132" i="23"/>
  <c r="BB119" i="23"/>
  <c r="BB154" i="23"/>
  <c r="BB135" i="23"/>
  <c r="BB182" i="23"/>
  <c r="BB173" i="23"/>
  <c r="BB148" i="23"/>
  <c r="BB176" i="23"/>
  <c r="BB129" i="23"/>
  <c r="BB133" i="23"/>
  <c r="BB123" i="23"/>
  <c r="BB138" i="23"/>
  <c r="BB116" i="23"/>
  <c r="BB120" i="23"/>
  <c r="BB177" i="23"/>
  <c r="BB122" i="23"/>
  <c r="BB152" i="23"/>
  <c r="BB117" i="23"/>
  <c r="BB118" i="23"/>
  <c r="BB140" i="23"/>
  <c r="BB187" i="23"/>
  <c r="BB202" i="23"/>
  <c r="BB191" i="23"/>
  <c r="BB180" i="23"/>
  <c r="BB158" i="23"/>
  <c r="BB147" i="23"/>
  <c r="BB114" i="23"/>
  <c r="BB169" i="23"/>
  <c r="BB136" i="23"/>
  <c r="BB125" i="23"/>
  <c r="BB111" i="23"/>
  <c r="BB112" i="23"/>
  <c r="BB110" i="23"/>
  <c r="BB113" i="23"/>
  <c r="BB109" i="23"/>
  <c r="BB107" i="23"/>
  <c r="BB105" i="23"/>
  <c r="BB108" i="23"/>
  <c r="BB106" i="23"/>
  <c r="BB103" i="23"/>
  <c r="BB100" i="23"/>
  <c r="BB99" i="23"/>
  <c r="BB95" i="23"/>
  <c r="BB104" i="23"/>
  <c r="BB101" i="23"/>
  <c r="BB97" i="23"/>
  <c r="BB98" i="23"/>
  <c r="BB94" i="23"/>
  <c r="BB89" i="23"/>
  <c r="BB83" i="23"/>
  <c r="BB93" i="23"/>
  <c r="BB90" i="23"/>
  <c r="BB88" i="23"/>
  <c r="BB87" i="23"/>
  <c r="BB92" i="23"/>
  <c r="BB82" i="23"/>
  <c r="BB80" i="23"/>
  <c r="BB85" i="23"/>
  <c r="BB81" i="23"/>
  <c r="BB91" i="23"/>
  <c r="BB78" i="23"/>
  <c r="BB77" i="23"/>
  <c r="BB84" i="23"/>
  <c r="BB71" i="23"/>
  <c r="BB69" i="23"/>
  <c r="BB79" i="23"/>
  <c r="BB72" i="23"/>
  <c r="BB70" i="23"/>
  <c r="BB65" i="23"/>
  <c r="BB102" i="23"/>
  <c r="BB75" i="23"/>
  <c r="BB64" i="23"/>
  <c r="BB74" i="23"/>
  <c r="BB60" i="23"/>
  <c r="BB58" i="23"/>
  <c r="BB96" i="23"/>
  <c r="BB76" i="23"/>
  <c r="BB66" i="23"/>
  <c r="BB62" i="23"/>
  <c r="BB52" i="23"/>
  <c r="BB73" i="23"/>
  <c r="BB68" i="23"/>
  <c r="BB61" i="23"/>
  <c r="BB51" i="23"/>
  <c r="BB48" i="23"/>
  <c r="BB63" i="23"/>
  <c r="BB54" i="23"/>
  <c r="BB56" i="23"/>
  <c r="BB55" i="23"/>
  <c r="BB50" i="23"/>
  <c r="BB49" i="23"/>
  <c r="BB47" i="23"/>
  <c r="BB59" i="23"/>
  <c r="BB67" i="23"/>
  <c r="BB42" i="23"/>
  <c r="BB38" i="23"/>
  <c r="BB36" i="23"/>
  <c r="BB44" i="23"/>
  <c r="BB43" i="23"/>
  <c r="BB33" i="23"/>
  <c r="BB86" i="23"/>
  <c r="BB57" i="23"/>
  <c r="BB41" i="23"/>
  <c r="BB32" i="23"/>
  <c r="BB26" i="23"/>
  <c r="BB24" i="23"/>
  <c r="BB40" i="23"/>
  <c r="BB37" i="23"/>
  <c r="BB35" i="23"/>
  <c r="BB34" i="23"/>
  <c r="BB21" i="23"/>
  <c r="BB28" i="23"/>
  <c r="BB27" i="23"/>
  <c r="BB25" i="23"/>
  <c r="BB9" i="23"/>
  <c r="BB18" i="23"/>
  <c r="BC2" i="23"/>
  <c r="BB39" i="23"/>
  <c r="BB22" i="23"/>
  <c r="BB16" i="23"/>
  <c r="BB14" i="23"/>
  <c r="BB6" i="23"/>
  <c r="BB19" i="23"/>
  <c r="BB11" i="23"/>
  <c r="BB53" i="23"/>
  <c r="BB8" i="23"/>
  <c r="BB10" i="23"/>
  <c r="BB46" i="23"/>
  <c r="BB17" i="23"/>
  <c r="BB30" i="23"/>
  <c r="BB4" i="23"/>
  <c r="BB7" i="23"/>
  <c r="BB13" i="23"/>
  <c r="BB20" i="23"/>
  <c r="BB15" i="23"/>
  <c r="BB31" i="23"/>
  <c r="BB45" i="23"/>
  <c r="BB23" i="23"/>
  <c r="BB12" i="23"/>
  <c r="BB29" i="23"/>
  <c r="BB5" i="23"/>
  <c r="K92" i="14"/>
  <c r="K66" i="14"/>
  <c r="BC144" i="23" l="1"/>
  <c r="BC148" i="23"/>
  <c r="BC159" i="23"/>
  <c r="BC115" i="23"/>
  <c r="BC152" i="23"/>
  <c r="BC166" i="23"/>
  <c r="BC178" i="23"/>
  <c r="BC133" i="23"/>
  <c r="BC121" i="23"/>
  <c r="BC131" i="23"/>
  <c r="BC149" i="23"/>
  <c r="BC143" i="23"/>
  <c r="BC193" i="23"/>
  <c r="BC127" i="23"/>
  <c r="BC173" i="23"/>
  <c r="BC124" i="23"/>
  <c r="BC151" i="23"/>
  <c r="BC123" i="23"/>
  <c r="BC198" i="23"/>
  <c r="BC209" i="23"/>
  <c r="BC170" i="23"/>
  <c r="BC203" i="23"/>
  <c r="BC211" i="23"/>
  <c r="BC205" i="23"/>
  <c r="BC200" i="23"/>
  <c r="BC206" i="23"/>
  <c r="BC195" i="23"/>
  <c r="BC207" i="23"/>
  <c r="BC212" i="23"/>
  <c r="BC210" i="23"/>
  <c r="BC157" i="23"/>
  <c r="BC199" i="23"/>
  <c r="BC192" i="23"/>
  <c r="BC129" i="23"/>
  <c r="BC194" i="23"/>
  <c r="BC184" i="23"/>
  <c r="BC181" i="23"/>
  <c r="BC186" i="23"/>
  <c r="BC122" i="23"/>
  <c r="BC208" i="23"/>
  <c r="BC189" i="23"/>
  <c r="BC197" i="23"/>
  <c r="BC201" i="23"/>
  <c r="BC172" i="23"/>
  <c r="BC187" i="23"/>
  <c r="BC196" i="23"/>
  <c r="BC182" i="23"/>
  <c r="BC174" i="23"/>
  <c r="BC171" i="23"/>
  <c r="BC179" i="23"/>
  <c r="BC155" i="23"/>
  <c r="BC160" i="23"/>
  <c r="BC161" i="23"/>
  <c r="BC154" i="23"/>
  <c r="BC168" i="23"/>
  <c r="BC204" i="23"/>
  <c r="BC188" i="23"/>
  <c r="BC163" i="23"/>
  <c r="BC165" i="23"/>
  <c r="BC175" i="23"/>
  <c r="BC138" i="23"/>
  <c r="BC176" i="23"/>
  <c r="BC162" i="23"/>
  <c r="BC167" i="23"/>
  <c r="BC156" i="23"/>
  <c r="BC137" i="23"/>
  <c r="BC130" i="23"/>
  <c r="BC140" i="23"/>
  <c r="BC177" i="23"/>
  <c r="BC141" i="23"/>
  <c r="BC126" i="23"/>
  <c r="BC183" i="23"/>
  <c r="BC153" i="23"/>
  <c r="BC120" i="23"/>
  <c r="BC139" i="23"/>
  <c r="BC135" i="23"/>
  <c r="BC185" i="23"/>
  <c r="BC164" i="23"/>
  <c r="BC145" i="23"/>
  <c r="BC116" i="23"/>
  <c r="BC142" i="23"/>
  <c r="BC134" i="23"/>
  <c r="BC128" i="23"/>
  <c r="BC118" i="23"/>
  <c r="BC150" i="23"/>
  <c r="BC190" i="23"/>
  <c r="BC119" i="23"/>
  <c r="BC132" i="23"/>
  <c r="BC146" i="23"/>
  <c r="BC117" i="23"/>
  <c r="BC114" i="23"/>
  <c r="BC125" i="23"/>
  <c r="BC136" i="23"/>
  <c r="BC169" i="23"/>
  <c r="BC158" i="23"/>
  <c r="BC202" i="23"/>
  <c r="BC191" i="23"/>
  <c r="BC180" i="23"/>
  <c r="BC147" i="23"/>
  <c r="BC113" i="23"/>
  <c r="BC112" i="23"/>
  <c r="BC110" i="23"/>
  <c r="BC109" i="23"/>
  <c r="BC107" i="23"/>
  <c r="BC106" i="23"/>
  <c r="BC111" i="23"/>
  <c r="BC108" i="23"/>
  <c r="BC105" i="23"/>
  <c r="BC100" i="23"/>
  <c r="BC96" i="23"/>
  <c r="BC104" i="23"/>
  <c r="BC101" i="23"/>
  <c r="BC95" i="23"/>
  <c r="BC91" i="23"/>
  <c r="BC97" i="23"/>
  <c r="BC98" i="23"/>
  <c r="BC94" i="23"/>
  <c r="BC90" i="23"/>
  <c r="BC88" i="23"/>
  <c r="BC99" i="23"/>
  <c r="BC92" i="23"/>
  <c r="BC89" i="23"/>
  <c r="BC102" i="23"/>
  <c r="BC85" i="23"/>
  <c r="BC87" i="23"/>
  <c r="BC81" i="23"/>
  <c r="BC78" i="23"/>
  <c r="BC93" i="23"/>
  <c r="BC82" i="23"/>
  <c r="BC80" i="23"/>
  <c r="BC75" i="23"/>
  <c r="BC83" i="23"/>
  <c r="BC74" i="23"/>
  <c r="BC79" i="23"/>
  <c r="BC72" i="23"/>
  <c r="BC70" i="23"/>
  <c r="BC86" i="23"/>
  <c r="BC76" i="23"/>
  <c r="BC73" i="23"/>
  <c r="BC64" i="23"/>
  <c r="BC77" i="23"/>
  <c r="BC66" i="23"/>
  <c r="BC65" i="23"/>
  <c r="BC62" i="23"/>
  <c r="BC59" i="23"/>
  <c r="BC57" i="23"/>
  <c r="BC71" i="23"/>
  <c r="BC56" i="23"/>
  <c r="BC68" i="23"/>
  <c r="BC63" i="23"/>
  <c r="BC54" i="23"/>
  <c r="BC61" i="23"/>
  <c r="BC55" i="23"/>
  <c r="BC50" i="23"/>
  <c r="BC69" i="23"/>
  <c r="BC45" i="23"/>
  <c r="BC60" i="23"/>
  <c r="BC51" i="23"/>
  <c r="BC44" i="23"/>
  <c r="BC67" i="23"/>
  <c r="BC49" i="23"/>
  <c r="BC42" i="23"/>
  <c r="BC38" i="23"/>
  <c r="BC103" i="23"/>
  <c r="BC43" i="23"/>
  <c r="BC33" i="23"/>
  <c r="BC40" i="23"/>
  <c r="BC53" i="23"/>
  <c r="BC46" i="23"/>
  <c r="BC39" i="23"/>
  <c r="BC58" i="23"/>
  <c r="BC84" i="23"/>
  <c r="BC37" i="23"/>
  <c r="BC36" i="23"/>
  <c r="BC35" i="23"/>
  <c r="BC34" i="23"/>
  <c r="BC21" i="23"/>
  <c r="BC28" i="23"/>
  <c r="BC32" i="23"/>
  <c r="BC23" i="23"/>
  <c r="BC22" i="23"/>
  <c r="BC16" i="23"/>
  <c r="BC14" i="23"/>
  <c r="BC6" i="23"/>
  <c r="BC13" i="23"/>
  <c r="BC48" i="23"/>
  <c r="BC19" i="23"/>
  <c r="BC11" i="23"/>
  <c r="BC31" i="23"/>
  <c r="BC30" i="23"/>
  <c r="BC27" i="23"/>
  <c r="BC5" i="23"/>
  <c r="BC25" i="23"/>
  <c r="BC18" i="23"/>
  <c r="BC8" i="23"/>
  <c r="BD2" i="23"/>
  <c r="BC15" i="23"/>
  <c r="BC17" i="23"/>
  <c r="BC7" i="23"/>
  <c r="BC52" i="23"/>
  <c r="BC29" i="23"/>
  <c r="BC24" i="23"/>
  <c r="BC20" i="23"/>
  <c r="BC12" i="23"/>
  <c r="BC41" i="23"/>
  <c r="BC4" i="23"/>
  <c r="BC26" i="23"/>
  <c r="BC47" i="23"/>
  <c r="BC9" i="23"/>
  <c r="BC10" i="23"/>
  <c r="F84" i="14"/>
  <c r="F76" i="14"/>
  <c r="F62" i="14"/>
  <c r="F54" i="14"/>
  <c r="F46" i="14"/>
  <c r="F16" i="14"/>
  <c r="F24" i="14"/>
  <c r="F85" i="14"/>
  <c r="F77" i="14"/>
  <c r="F63" i="14"/>
  <c r="F55" i="14"/>
  <c r="F47" i="14"/>
  <c r="F15" i="14"/>
  <c r="F23" i="14"/>
  <c r="F86" i="14"/>
  <c r="F78" i="14"/>
  <c r="F64" i="14"/>
  <c r="F56" i="14"/>
  <c r="F48" i="14"/>
  <c r="F14" i="14"/>
  <c r="F22" i="14"/>
  <c r="F87" i="14"/>
  <c r="F79" i="14"/>
  <c r="F65" i="14"/>
  <c r="F57" i="14"/>
  <c r="F49" i="14"/>
  <c r="F13" i="14"/>
  <c r="F21" i="14"/>
  <c r="F88" i="14"/>
  <c r="F80" i="14"/>
  <c r="F72" i="14"/>
  <c r="F58" i="14"/>
  <c r="F50" i="14"/>
  <c r="F12" i="14"/>
  <c r="F20" i="14"/>
  <c r="F8" i="14"/>
  <c r="F89" i="14"/>
  <c r="F81" i="14"/>
  <c r="F73" i="14"/>
  <c r="F59" i="14"/>
  <c r="F51" i="14"/>
  <c r="F11" i="14"/>
  <c r="F19" i="14"/>
  <c r="F27" i="14"/>
  <c r="F90" i="14"/>
  <c r="F82" i="14"/>
  <c r="F74" i="14"/>
  <c r="F60" i="14"/>
  <c r="F52" i="14"/>
  <c r="F10" i="14"/>
  <c r="F18" i="14"/>
  <c r="F26" i="14"/>
  <c r="F91" i="14"/>
  <c r="F83" i="14"/>
  <c r="F75" i="14"/>
  <c r="F61" i="14"/>
  <c r="F53" i="14"/>
  <c r="F9" i="14"/>
  <c r="F17" i="14"/>
  <c r="F25" i="14"/>
  <c r="F40" i="14" l="1"/>
  <c r="BD121" i="23"/>
  <c r="BD201" i="23"/>
  <c r="BD151" i="23"/>
  <c r="BD117" i="23"/>
  <c r="BD162" i="23"/>
  <c r="BD115" i="23"/>
  <c r="BD193" i="23"/>
  <c r="BD173" i="23"/>
  <c r="BD149" i="23"/>
  <c r="BD130" i="23"/>
  <c r="BD154" i="23"/>
  <c r="BD139" i="23"/>
  <c r="BD194" i="23"/>
  <c r="BD164" i="23"/>
  <c r="BD178" i="23"/>
  <c r="BD210" i="23"/>
  <c r="BD200" i="23"/>
  <c r="BD146" i="23"/>
  <c r="BD206" i="23"/>
  <c r="BD138" i="23"/>
  <c r="BD192" i="23"/>
  <c r="BD198" i="23"/>
  <c r="BD203" i="23"/>
  <c r="BD145" i="23"/>
  <c r="BD204" i="23"/>
  <c r="BD195" i="23"/>
  <c r="BD196" i="23"/>
  <c r="BD181" i="23"/>
  <c r="BD207" i="23"/>
  <c r="BD209" i="23"/>
  <c r="BD205" i="23"/>
  <c r="BD208" i="23"/>
  <c r="BD197" i="23"/>
  <c r="BD182" i="23"/>
  <c r="BD186" i="23"/>
  <c r="BD187" i="23"/>
  <c r="BD189" i="23"/>
  <c r="BD212" i="23"/>
  <c r="BD184" i="23"/>
  <c r="BD188" i="23"/>
  <c r="BD190" i="23"/>
  <c r="BD172" i="23"/>
  <c r="BD175" i="23"/>
  <c r="BD183" i="23"/>
  <c r="BD166" i="23"/>
  <c r="BD185" i="23"/>
  <c r="BD179" i="23"/>
  <c r="BD150" i="23"/>
  <c r="BD153" i="23"/>
  <c r="BD159" i="23"/>
  <c r="BD160" i="23"/>
  <c r="BD165" i="23"/>
  <c r="BD161" i="23"/>
  <c r="BD157" i="23"/>
  <c r="BD137" i="23"/>
  <c r="BD142" i="23"/>
  <c r="BD176" i="23"/>
  <c r="BD170" i="23"/>
  <c r="BD163" i="23"/>
  <c r="BD199" i="23"/>
  <c r="BD144" i="23"/>
  <c r="BD211" i="23"/>
  <c r="BD148" i="23"/>
  <c r="BD126" i="23"/>
  <c r="BD123" i="23"/>
  <c r="BD171" i="23"/>
  <c r="BD129" i="23"/>
  <c r="BD135" i="23"/>
  <c r="BD133" i="23"/>
  <c r="BD119" i="23"/>
  <c r="BD124" i="23"/>
  <c r="BD177" i="23"/>
  <c r="BD141" i="23"/>
  <c r="BD127" i="23"/>
  <c r="BD128" i="23"/>
  <c r="BD132" i="23"/>
  <c r="BD156" i="23"/>
  <c r="BD118" i="23"/>
  <c r="BD174" i="23"/>
  <c r="BD168" i="23"/>
  <c r="BD140" i="23"/>
  <c r="BD120" i="23"/>
  <c r="BD131" i="23"/>
  <c r="BD116" i="23"/>
  <c r="BD143" i="23"/>
  <c r="BD152" i="23"/>
  <c r="BD167" i="23"/>
  <c r="BD134" i="23"/>
  <c r="BD155" i="23"/>
  <c r="BD122" i="23"/>
  <c r="BD169" i="23"/>
  <c r="BD114" i="23"/>
  <c r="BD191" i="23"/>
  <c r="BD136" i="23"/>
  <c r="BD180" i="23"/>
  <c r="BD202" i="23"/>
  <c r="BD125" i="23"/>
  <c r="BD147" i="23"/>
  <c r="BD158" i="23"/>
  <c r="BD113" i="23"/>
  <c r="BD111" i="23"/>
  <c r="BD107" i="23"/>
  <c r="BD112" i="23"/>
  <c r="BD108" i="23"/>
  <c r="BD103" i="23"/>
  <c r="BD101" i="23"/>
  <c r="BD105" i="23"/>
  <c r="BD106" i="23"/>
  <c r="BD110" i="23"/>
  <c r="BD109" i="23"/>
  <c r="BD100" i="23"/>
  <c r="BD102" i="23"/>
  <c r="BD95" i="23"/>
  <c r="BD104" i="23"/>
  <c r="BD98" i="23"/>
  <c r="BD96" i="23"/>
  <c r="BD89" i="23"/>
  <c r="BD93" i="23"/>
  <c r="BD94" i="23"/>
  <c r="BD92" i="23"/>
  <c r="BD91" i="23"/>
  <c r="BD86" i="23"/>
  <c r="BD85" i="23"/>
  <c r="BD84" i="23"/>
  <c r="BD87" i="23"/>
  <c r="BD81" i="23"/>
  <c r="BD78" i="23"/>
  <c r="BD82" i="23"/>
  <c r="BD80" i="23"/>
  <c r="BD72" i="23"/>
  <c r="BD79" i="23"/>
  <c r="BD71" i="23"/>
  <c r="BD69" i="23"/>
  <c r="BD99" i="23"/>
  <c r="BD70" i="23"/>
  <c r="BD90" i="23"/>
  <c r="BD88" i="23"/>
  <c r="BD76" i="23"/>
  <c r="BD73" i="23"/>
  <c r="BD83" i="23"/>
  <c r="BD74" i="23"/>
  <c r="BD67" i="23"/>
  <c r="BD77" i="23"/>
  <c r="BD66" i="23"/>
  <c r="BD97" i="23"/>
  <c r="BD65" i="23"/>
  <c r="BD62" i="23"/>
  <c r="BD59" i="23"/>
  <c r="BD57" i="23"/>
  <c r="BD54" i="23"/>
  <c r="BD63" i="23"/>
  <c r="BD53" i="23"/>
  <c r="BD61" i="23"/>
  <c r="BD55" i="23"/>
  <c r="BD50" i="23"/>
  <c r="BD56" i="23"/>
  <c r="BD58" i="23"/>
  <c r="BD42" i="23"/>
  <c r="BD52" i="23"/>
  <c r="BD41" i="23"/>
  <c r="BD43" i="23"/>
  <c r="BD44" i="23"/>
  <c r="BD40" i="23"/>
  <c r="BD60" i="23"/>
  <c r="BD37" i="23"/>
  <c r="BD35" i="23"/>
  <c r="BD34" i="23"/>
  <c r="BD51" i="23"/>
  <c r="BD68" i="23"/>
  <c r="BD28" i="23"/>
  <c r="BD33" i="23"/>
  <c r="BD32" i="23"/>
  <c r="BD23" i="23"/>
  <c r="BD48" i="23"/>
  <c r="BD47" i="23"/>
  <c r="BD46" i="23"/>
  <c r="BD39" i="23"/>
  <c r="BD31" i="23"/>
  <c r="BD30" i="23"/>
  <c r="BD20" i="23"/>
  <c r="BD45" i="23"/>
  <c r="BD29" i="23"/>
  <c r="BD19" i="23"/>
  <c r="BD64" i="23"/>
  <c r="BD22" i="23"/>
  <c r="BD11" i="23"/>
  <c r="BD36" i="23"/>
  <c r="BD25" i="23"/>
  <c r="BD18" i="23"/>
  <c r="BD8" i="23"/>
  <c r="BE2" i="23"/>
  <c r="BD38" i="23"/>
  <c r="BD75" i="23"/>
  <c r="BD27" i="23"/>
  <c r="BD15" i="23"/>
  <c r="BD13" i="23"/>
  <c r="BD5" i="23"/>
  <c r="BD10" i="23"/>
  <c r="BD24" i="23"/>
  <c r="BD12" i="23"/>
  <c r="BD4" i="23"/>
  <c r="BD49" i="23"/>
  <c r="BD26" i="23"/>
  <c r="BD21" i="23"/>
  <c r="BD7" i="23"/>
  <c r="BD16" i="23"/>
  <c r="BD14" i="23"/>
  <c r="BD9" i="23"/>
  <c r="BD17" i="23"/>
  <c r="BD6" i="23"/>
  <c r="BE164" i="23" l="1"/>
  <c r="BE117" i="23"/>
  <c r="BE201" i="23"/>
  <c r="BE115" i="23"/>
  <c r="BE152" i="23"/>
  <c r="BE116" i="23"/>
  <c r="BE124" i="23"/>
  <c r="BE210" i="23"/>
  <c r="BE170" i="23"/>
  <c r="BE134" i="23"/>
  <c r="BE176" i="23"/>
  <c r="BE129" i="23"/>
  <c r="BE183" i="23"/>
  <c r="BE145" i="23"/>
  <c r="BE149" i="23"/>
  <c r="BE207" i="23"/>
  <c r="BE200" i="23"/>
  <c r="BE204" i="23"/>
  <c r="BE211" i="23"/>
  <c r="BE209" i="23"/>
  <c r="BE208" i="23"/>
  <c r="BE212" i="23"/>
  <c r="BE194" i="23"/>
  <c r="BE166" i="23"/>
  <c r="BE206" i="23"/>
  <c r="BE198" i="23"/>
  <c r="BE205" i="23"/>
  <c r="BE195" i="23"/>
  <c r="BE192" i="23"/>
  <c r="BE197" i="23"/>
  <c r="BE181" i="23"/>
  <c r="BE203" i="23"/>
  <c r="BE196" i="23"/>
  <c r="BE199" i="23"/>
  <c r="BE190" i="23"/>
  <c r="BE193" i="23"/>
  <c r="BE177" i="23"/>
  <c r="BE174" i="23"/>
  <c r="BE188" i="23"/>
  <c r="BE168" i="23"/>
  <c r="BE189" i="23"/>
  <c r="BE172" i="23"/>
  <c r="BE178" i="23"/>
  <c r="BE167" i="23"/>
  <c r="BE159" i="23"/>
  <c r="BE156" i="23"/>
  <c r="BE148" i="23"/>
  <c r="BE186" i="23"/>
  <c r="BE175" i="23"/>
  <c r="BE155" i="23"/>
  <c r="BE154" i="23"/>
  <c r="BE179" i="23"/>
  <c r="BE160" i="23"/>
  <c r="BE151" i="23"/>
  <c r="BE153" i="23"/>
  <c r="BE182" i="23"/>
  <c r="BE187" i="23"/>
  <c r="BE173" i="23"/>
  <c r="BE165" i="23"/>
  <c r="BE161" i="23"/>
  <c r="BE142" i="23"/>
  <c r="BE139" i="23"/>
  <c r="BE130" i="23"/>
  <c r="BE135" i="23"/>
  <c r="BE138" i="23"/>
  <c r="BE140" i="23"/>
  <c r="BE146" i="23"/>
  <c r="BE141" i="23"/>
  <c r="BE128" i="23"/>
  <c r="BE137" i="23"/>
  <c r="BE144" i="23"/>
  <c r="BE163" i="23"/>
  <c r="BE143" i="23"/>
  <c r="BE126" i="23"/>
  <c r="BE133" i="23"/>
  <c r="BE118" i="23"/>
  <c r="BE120" i="23"/>
  <c r="BE119" i="23"/>
  <c r="BE185" i="23"/>
  <c r="BE150" i="23"/>
  <c r="BE184" i="23"/>
  <c r="BE162" i="23"/>
  <c r="BE127" i="23"/>
  <c r="BE122" i="23"/>
  <c r="BE132" i="23"/>
  <c r="BE131" i="23"/>
  <c r="BE123" i="23"/>
  <c r="BE121" i="23"/>
  <c r="BE171" i="23"/>
  <c r="BE157" i="23"/>
  <c r="BE191" i="23"/>
  <c r="BE169" i="23"/>
  <c r="BE147" i="23"/>
  <c r="BE125" i="23"/>
  <c r="BE114" i="23"/>
  <c r="BE202" i="23"/>
  <c r="BE180" i="23"/>
  <c r="BE158" i="23"/>
  <c r="BE136" i="23"/>
  <c r="BE112" i="23"/>
  <c r="BE108" i="23"/>
  <c r="BE111" i="23"/>
  <c r="BE113" i="23"/>
  <c r="BE110" i="23"/>
  <c r="BE107" i="23"/>
  <c r="BE106" i="23"/>
  <c r="BE109" i="23"/>
  <c r="BE100" i="23"/>
  <c r="BE102" i="23"/>
  <c r="BE98" i="23"/>
  <c r="BE97" i="23"/>
  <c r="BE104" i="23"/>
  <c r="BE96" i="23"/>
  <c r="BE99" i="23"/>
  <c r="BE92" i="23"/>
  <c r="BE91" i="23"/>
  <c r="BE93" i="23"/>
  <c r="BE89" i="23"/>
  <c r="BE101" i="23"/>
  <c r="BE103" i="23"/>
  <c r="BE94" i="23"/>
  <c r="BE81" i="23"/>
  <c r="BE87" i="23"/>
  <c r="BE86" i="23"/>
  <c r="BE82" i="23"/>
  <c r="BE80" i="23"/>
  <c r="BE88" i="23"/>
  <c r="BE84" i="23"/>
  <c r="BE77" i="23"/>
  <c r="BE76" i="23"/>
  <c r="BE90" i="23"/>
  <c r="BE79" i="23"/>
  <c r="BE73" i="23"/>
  <c r="BE72" i="23"/>
  <c r="BE95" i="23"/>
  <c r="BE83" i="23"/>
  <c r="BE74" i="23"/>
  <c r="BE64" i="23"/>
  <c r="BE63" i="23"/>
  <c r="BE70" i="23"/>
  <c r="BE66" i="23"/>
  <c r="BE59" i="23"/>
  <c r="BE57" i="23"/>
  <c r="BE105" i="23"/>
  <c r="BE85" i="23"/>
  <c r="BE78" i="23"/>
  <c r="BE68" i="23"/>
  <c r="BE67" i="23"/>
  <c r="BE61" i="23"/>
  <c r="BE51" i="23"/>
  <c r="BE69" i="23"/>
  <c r="BE60" i="23"/>
  <c r="BE58" i="23"/>
  <c r="BE56" i="23"/>
  <c r="BE49" i="23"/>
  <c r="BE47" i="23"/>
  <c r="BE53" i="23"/>
  <c r="BE48" i="23"/>
  <c r="BE46" i="23"/>
  <c r="BE54" i="23"/>
  <c r="BE44" i="23"/>
  <c r="BE40" i="23"/>
  <c r="BE37" i="23"/>
  <c r="BE35" i="23"/>
  <c r="BE55" i="23"/>
  <c r="BE52" i="23"/>
  <c r="BE45" i="23"/>
  <c r="BE32" i="23"/>
  <c r="BE75" i="23"/>
  <c r="BE65" i="23"/>
  <c r="BE50" i="23"/>
  <c r="BE31" i="23"/>
  <c r="BE71" i="23"/>
  <c r="BE33" i="23"/>
  <c r="BE23" i="23"/>
  <c r="BE39" i="23"/>
  <c r="BE30" i="23"/>
  <c r="BE20" i="23"/>
  <c r="BE42" i="23"/>
  <c r="BE27" i="23"/>
  <c r="BE25" i="23"/>
  <c r="BE43" i="23"/>
  <c r="BE41" i="23"/>
  <c r="BE38" i="23"/>
  <c r="BE26" i="23"/>
  <c r="BE24" i="23"/>
  <c r="BE28" i="23"/>
  <c r="BE19" i="23"/>
  <c r="BE18" i="23"/>
  <c r="BE8" i="23"/>
  <c r="BF2" i="23"/>
  <c r="BE17" i="23"/>
  <c r="BE7" i="23"/>
  <c r="BE15" i="23"/>
  <c r="BE13" i="23"/>
  <c r="BE5" i="23"/>
  <c r="BE21" i="23"/>
  <c r="BE36" i="23"/>
  <c r="BE10" i="23"/>
  <c r="BE29" i="23"/>
  <c r="BE9" i="23"/>
  <c r="BE16" i="23"/>
  <c r="BE14" i="23"/>
  <c r="BE12" i="23"/>
  <c r="BE34" i="23"/>
  <c r="BE6" i="23"/>
  <c r="BE4" i="23"/>
  <c r="BE11" i="23"/>
  <c r="BE22" i="23"/>
  <c r="BE62" i="23"/>
  <c r="BF176" i="23" l="1"/>
  <c r="BF128" i="23"/>
  <c r="BF192" i="23"/>
  <c r="BF124" i="23"/>
  <c r="BF170" i="23"/>
  <c r="BF164" i="23"/>
  <c r="BF123" i="23"/>
  <c r="BF142" i="23"/>
  <c r="BF134" i="23"/>
  <c r="BF146" i="23"/>
  <c r="BF194" i="23"/>
  <c r="BF203" i="23"/>
  <c r="BF115" i="23"/>
  <c r="BF122" i="23"/>
  <c r="BF127" i="23"/>
  <c r="BF166" i="23"/>
  <c r="BF212" i="23"/>
  <c r="BF205" i="23"/>
  <c r="BF193" i="23"/>
  <c r="BF197" i="23"/>
  <c r="BF208" i="23"/>
  <c r="BF204" i="23"/>
  <c r="BF207" i="23"/>
  <c r="BF195" i="23"/>
  <c r="BF206" i="23"/>
  <c r="BF196" i="23"/>
  <c r="BF210" i="23"/>
  <c r="BF200" i="23"/>
  <c r="BF209" i="23"/>
  <c r="BF201" i="23"/>
  <c r="BF199" i="23"/>
  <c r="BF211" i="23"/>
  <c r="BF186" i="23"/>
  <c r="BF182" i="23"/>
  <c r="BF190" i="23"/>
  <c r="BF183" i="23"/>
  <c r="BF188" i="23"/>
  <c r="BF189" i="23"/>
  <c r="BF172" i="23"/>
  <c r="BF175" i="23"/>
  <c r="BF163" i="23"/>
  <c r="BF162" i="23"/>
  <c r="BF150" i="23"/>
  <c r="BF173" i="23"/>
  <c r="BF178" i="23"/>
  <c r="BF148" i="23"/>
  <c r="BF179" i="23"/>
  <c r="BF153" i="23"/>
  <c r="BF181" i="23"/>
  <c r="BF187" i="23"/>
  <c r="BF159" i="23"/>
  <c r="BF160" i="23"/>
  <c r="BF161" i="23"/>
  <c r="BF156" i="23"/>
  <c r="BF149" i="23"/>
  <c r="BF157" i="23"/>
  <c r="BF198" i="23"/>
  <c r="BF139" i="23"/>
  <c r="BF155" i="23"/>
  <c r="BF152" i="23"/>
  <c r="BF138" i="23"/>
  <c r="BF137" i="23"/>
  <c r="BF185" i="23"/>
  <c r="BF165" i="23"/>
  <c r="BF168" i="23"/>
  <c r="BF130" i="23"/>
  <c r="BF177" i="23"/>
  <c r="BF171" i="23"/>
  <c r="BF174" i="23"/>
  <c r="BF167" i="23"/>
  <c r="BF151" i="23"/>
  <c r="BF141" i="23"/>
  <c r="BF129" i="23"/>
  <c r="BF154" i="23"/>
  <c r="BF143" i="23"/>
  <c r="BF126" i="23"/>
  <c r="BF119" i="23"/>
  <c r="BF116" i="23"/>
  <c r="BF120" i="23"/>
  <c r="BF145" i="23"/>
  <c r="BF135" i="23"/>
  <c r="BF133" i="23"/>
  <c r="BF140" i="23"/>
  <c r="BF132" i="23"/>
  <c r="BF144" i="23"/>
  <c r="BF131" i="23"/>
  <c r="BF121" i="23"/>
  <c r="BF184" i="23"/>
  <c r="BF117" i="23"/>
  <c r="BF118" i="23"/>
  <c r="BF191" i="23"/>
  <c r="BF158" i="23"/>
  <c r="BF169" i="23"/>
  <c r="BF125" i="23"/>
  <c r="BF136" i="23"/>
  <c r="BF147" i="23"/>
  <c r="BF114" i="23"/>
  <c r="BF202" i="23"/>
  <c r="BF180" i="23"/>
  <c r="BF113" i="23"/>
  <c r="BF112" i="23"/>
  <c r="BF109" i="23"/>
  <c r="BF108" i="23"/>
  <c r="BF106" i="23"/>
  <c r="BF111" i="23"/>
  <c r="BF105" i="23"/>
  <c r="BF107" i="23"/>
  <c r="BF104" i="23"/>
  <c r="BF102" i="23"/>
  <c r="BF100" i="23"/>
  <c r="BF103" i="23"/>
  <c r="BF101" i="23"/>
  <c r="BF99" i="23"/>
  <c r="BF110" i="23"/>
  <c r="BF95" i="23"/>
  <c r="BF94" i="23"/>
  <c r="BF96" i="23"/>
  <c r="BF98" i="23"/>
  <c r="BF97" i="23"/>
  <c r="BF91" i="23"/>
  <c r="BF92" i="23"/>
  <c r="BF90" i="23"/>
  <c r="BF88" i="23"/>
  <c r="BF87" i="23"/>
  <c r="BF85" i="23"/>
  <c r="BF93" i="23"/>
  <c r="BF84" i="23"/>
  <c r="BF77" i="23"/>
  <c r="BF89" i="23"/>
  <c r="BF86" i="23"/>
  <c r="BF83" i="23"/>
  <c r="BF74" i="23"/>
  <c r="BF73" i="23"/>
  <c r="BF82" i="23"/>
  <c r="BF76" i="23"/>
  <c r="BF80" i="23"/>
  <c r="BF78" i="23"/>
  <c r="BF75" i="23"/>
  <c r="BF71" i="23"/>
  <c r="BF69" i="23"/>
  <c r="BF68" i="23"/>
  <c r="BF72" i="23"/>
  <c r="BF67" i="23"/>
  <c r="BF61" i="23"/>
  <c r="BF56" i="23"/>
  <c r="BF55" i="23"/>
  <c r="BF58" i="23"/>
  <c r="BF49" i="23"/>
  <c r="BF47" i="23"/>
  <c r="BF70" i="23"/>
  <c r="BF66" i="23"/>
  <c r="BF64" i="23"/>
  <c r="BF44" i="23"/>
  <c r="BF81" i="23"/>
  <c r="BF79" i="23"/>
  <c r="BF65" i="23"/>
  <c r="BF62" i="23"/>
  <c r="BF59" i="23"/>
  <c r="BF43" i="23"/>
  <c r="BF37" i="23"/>
  <c r="BF60" i="23"/>
  <c r="BF52" i="23"/>
  <c r="BF45" i="23"/>
  <c r="BF32" i="23"/>
  <c r="BF48" i="23"/>
  <c r="BF41" i="23"/>
  <c r="BF39" i="23"/>
  <c r="BF63" i="23"/>
  <c r="BF38" i="23"/>
  <c r="BF36" i="23"/>
  <c r="BF51" i="23"/>
  <c r="BF40" i="23"/>
  <c r="BF30" i="23"/>
  <c r="BF20" i="23"/>
  <c r="BF57" i="23"/>
  <c r="BF46" i="23"/>
  <c r="BF42" i="23"/>
  <c r="BF31" i="23"/>
  <c r="BF27" i="23"/>
  <c r="BF25" i="23"/>
  <c r="BF22" i="23"/>
  <c r="BF53" i="23"/>
  <c r="BF21" i="23"/>
  <c r="BF15" i="23"/>
  <c r="BF13" i="23"/>
  <c r="BF5" i="23"/>
  <c r="BF34" i="23"/>
  <c r="BF4" i="23"/>
  <c r="BF33" i="23"/>
  <c r="BF10" i="23"/>
  <c r="BF12" i="23"/>
  <c r="BF54" i="23"/>
  <c r="BF17" i="23"/>
  <c r="BF7" i="23"/>
  <c r="BF50" i="23"/>
  <c r="BF26" i="23"/>
  <c r="BF16" i="23"/>
  <c r="BF14" i="23"/>
  <c r="BF6" i="23"/>
  <c r="BF23" i="23"/>
  <c r="BF8" i="23"/>
  <c r="BG2" i="23"/>
  <c r="BF19" i="23"/>
  <c r="BF11" i="23"/>
  <c r="BF18" i="23"/>
  <c r="BF9" i="23"/>
  <c r="BF35" i="23"/>
  <c r="BF29" i="23"/>
  <c r="BF24" i="23"/>
  <c r="BF28" i="23"/>
  <c r="BG126" i="23" l="1"/>
  <c r="BG128" i="23"/>
  <c r="BG150" i="23"/>
  <c r="BG200" i="23"/>
  <c r="BG131" i="23"/>
  <c r="BG143" i="23"/>
  <c r="BG127" i="23"/>
  <c r="BG201" i="23"/>
  <c r="BG146" i="23"/>
  <c r="BG193" i="23"/>
  <c r="BG152" i="23"/>
  <c r="BG129" i="23"/>
  <c r="BG151" i="23"/>
  <c r="BG117" i="23"/>
  <c r="BG149" i="23"/>
  <c r="BG166" i="23"/>
  <c r="BG189" i="23"/>
  <c r="BG173" i="23"/>
  <c r="BG208" i="23"/>
  <c r="BG203" i="23"/>
  <c r="BG197" i="23"/>
  <c r="BG211" i="23"/>
  <c r="BG207" i="23"/>
  <c r="BG209" i="23"/>
  <c r="BG204" i="23"/>
  <c r="BG138" i="23"/>
  <c r="BG205" i="23"/>
  <c r="BG198" i="23"/>
  <c r="BG210" i="23"/>
  <c r="BG192" i="23"/>
  <c r="BG168" i="23"/>
  <c r="BG206" i="23"/>
  <c r="BG199" i="23"/>
  <c r="BG181" i="23"/>
  <c r="BG194" i="23"/>
  <c r="BG186" i="23"/>
  <c r="BG212" i="23"/>
  <c r="BG183" i="23"/>
  <c r="BG187" i="23"/>
  <c r="BG185" i="23"/>
  <c r="BG195" i="23"/>
  <c r="BG184" i="23"/>
  <c r="BG182" i="23"/>
  <c r="BG178" i="23"/>
  <c r="BG179" i="23"/>
  <c r="BG159" i="23"/>
  <c r="BG165" i="23"/>
  <c r="BG154" i="23"/>
  <c r="BG188" i="23"/>
  <c r="BG190" i="23"/>
  <c r="BG171" i="23"/>
  <c r="BG196" i="23"/>
  <c r="BG174" i="23"/>
  <c r="BG162" i="23"/>
  <c r="BG164" i="23"/>
  <c r="BG176" i="23"/>
  <c r="BG137" i="23"/>
  <c r="BG139" i="23"/>
  <c r="BG172" i="23"/>
  <c r="BG156" i="23"/>
  <c r="BG148" i="23"/>
  <c r="BG140" i="23"/>
  <c r="BG160" i="23"/>
  <c r="BG157" i="23"/>
  <c r="BG144" i="23"/>
  <c r="BG177" i="23"/>
  <c r="BG132" i="23"/>
  <c r="BG175" i="23"/>
  <c r="BG170" i="23"/>
  <c r="BG167" i="23"/>
  <c r="BG142" i="23"/>
  <c r="BG141" i="23"/>
  <c r="BG145" i="23"/>
  <c r="BG133" i="23"/>
  <c r="BG119" i="23"/>
  <c r="BG123" i="23"/>
  <c r="BG116" i="23"/>
  <c r="BG121" i="23"/>
  <c r="BG122" i="23"/>
  <c r="BG124" i="23"/>
  <c r="BG153" i="23"/>
  <c r="BG120" i="23"/>
  <c r="BG134" i="23"/>
  <c r="BG115" i="23"/>
  <c r="BG163" i="23"/>
  <c r="BG118" i="23"/>
  <c r="BG135" i="23"/>
  <c r="BG155" i="23"/>
  <c r="BG161" i="23"/>
  <c r="BG130" i="23"/>
  <c r="BG180" i="23"/>
  <c r="BG158" i="23"/>
  <c r="BG191" i="23"/>
  <c r="BG169" i="23"/>
  <c r="BG136" i="23"/>
  <c r="BG125" i="23"/>
  <c r="BG114" i="23"/>
  <c r="BG202" i="23"/>
  <c r="BG147" i="23"/>
  <c r="BG113" i="23"/>
  <c r="BG112" i="23"/>
  <c r="BG111" i="23"/>
  <c r="BG109" i="23"/>
  <c r="BG108" i="23"/>
  <c r="BG106" i="23"/>
  <c r="BG104" i="23"/>
  <c r="BG102" i="23"/>
  <c r="BG110" i="23"/>
  <c r="BG107" i="23"/>
  <c r="BG105" i="23"/>
  <c r="BG103" i="23"/>
  <c r="BG98" i="23"/>
  <c r="BG99" i="23"/>
  <c r="BG97" i="23"/>
  <c r="BG93" i="23"/>
  <c r="BG94" i="23"/>
  <c r="BG92" i="23"/>
  <c r="BG91" i="23"/>
  <c r="BG100" i="23"/>
  <c r="BG85" i="23"/>
  <c r="BG101" i="23"/>
  <c r="BG84" i="23"/>
  <c r="BG95" i="23"/>
  <c r="BG90" i="23"/>
  <c r="BG88" i="23"/>
  <c r="BG83" i="23"/>
  <c r="BG82" i="23"/>
  <c r="BG80" i="23"/>
  <c r="BG77" i="23"/>
  <c r="BG89" i="23"/>
  <c r="BG86" i="23"/>
  <c r="BG79" i="23"/>
  <c r="BG71" i="23"/>
  <c r="BG96" i="23"/>
  <c r="BG78" i="23"/>
  <c r="BG70" i="23"/>
  <c r="BG74" i="23"/>
  <c r="BG75" i="23"/>
  <c r="BG66" i="23"/>
  <c r="BG65" i="23"/>
  <c r="BG67" i="23"/>
  <c r="BG61" i="23"/>
  <c r="BG87" i="23"/>
  <c r="BG76" i="23"/>
  <c r="BG68" i="23"/>
  <c r="BG56" i="23"/>
  <c r="BG81" i="23"/>
  <c r="BG53" i="23"/>
  <c r="BG64" i="23"/>
  <c r="BG62" i="23"/>
  <c r="BG52" i="23"/>
  <c r="BG58" i="23"/>
  <c r="BG49" i="23"/>
  <c r="BG47" i="23"/>
  <c r="BG69" i="23"/>
  <c r="BG60" i="23"/>
  <c r="BG57" i="23"/>
  <c r="BG51" i="23"/>
  <c r="BG72" i="23"/>
  <c r="BG54" i="23"/>
  <c r="BG50" i="23"/>
  <c r="BG73" i="23"/>
  <c r="BG45" i="23"/>
  <c r="BG55" i="23"/>
  <c r="BG48" i="23"/>
  <c r="BG41" i="23"/>
  <c r="BG39" i="23"/>
  <c r="BG46" i="23"/>
  <c r="BG34" i="23"/>
  <c r="BG42" i="23"/>
  <c r="BG33" i="23"/>
  <c r="BG59" i="23"/>
  <c r="BG32" i="23"/>
  <c r="BG31" i="23"/>
  <c r="BG27" i="23"/>
  <c r="BG25" i="23"/>
  <c r="BG44" i="23"/>
  <c r="BG22" i="23"/>
  <c r="BG29" i="23"/>
  <c r="BG19" i="23"/>
  <c r="BG36" i="23"/>
  <c r="BG28" i="23"/>
  <c r="BG43" i="23"/>
  <c r="BG10" i="23"/>
  <c r="BG40" i="23"/>
  <c r="BG24" i="23"/>
  <c r="BG37" i="23"/>
  <c r="BG17" i="23"/>
  <c r="BG7" i="23"/>
  <c r="BG38" i="23"/>
  <c r="BG30" i="23"/>
  <c r="BG21" i="23"/>
  <c r="BG12" i="23"/>
  <c r="BG4" i="23"/>
  <c r="BG63" i="23"/>
  <c r="BG9" i="23"/>
  <c r="BG23" i="23"/>
  <c r="BG20" i="23"/>
  <c r="BG11" i="23"/>
  <c r="BG35" i="23"/>
  <c r="BG18" i="23"/>
  <c r="BG14" i="23"/>
  <c r="BG6" i="23"/>
  <c r="BG8" i="23"/>
  <c r="BH2" i="23"/>
  <c r="BG26" i="23"/>
  <c r="BG15" i="23"/>
  <c r="BG16" i="23"/>
  <c r="BG5" i="23"/>
  <c r="BG13" i="23"/>
  <c r="BH210" i="23" l="1"/>
  <c r="BH197" i="23"/>
  <c r="BH124" i="23"/>
  <c r="BH143" i="23"/>
  <c r="BH173" i="23"/>
  <c r="BH127" i="23"/>
  <c r="BH207" i="23"/>
  <c r="BH201" i="23"/>
  <c r="BH182" i="23"/>
  <c r="BH117" i="23"/>
  <c r="BH144" i="23"/>
  <c r="BH120" i="23"/>
  <c r="BH189" i="23"/>
  <c r="BH164" i="23"/>
  <c r="BH174" i="23"/>
  <c r="BH204" i="23"/>
  <c r="BH132" i="23"/>
  <c r="BH168" i="23"/>
  <c r="BH209" i="23"/>
  <c r="BH211" i="23"/>
  <c r="BH203" i="23"/>
  <c r="BH205" i="23"/>
  <c r="BH195" i="23"/>
  <c r="BH208" i="23"/>
  <c r="BH212" i="23"/>
  <c r="BH206" i="23"/>
  <c r="BH199" i="23"/>
  <c r="BH192" i="23"/>
  <c r="BH184" i="23"/>
  <c r="BH196" i="23"/>
  <c r="BH181" i="23"/>
  <c r="BH188" i="23"/>
  <c r="BH193" i="23"/>
  <c r="BH187" i="23"/>
  <c r="BH171" i="23"/>
  <c r="BH177" i="23"/>
  <c r="BH186" i="23"/>
  <c r="BH172" i="23"/>
  <c r="BH150" i="23"/>
  <c r="BH155" i="23"/>
  <c r="BH162" i="23"/>
  <c r="BH156" i="23"/>
  <c r="BH198" i="23"/>
  <c r="BH200" i="23"/>
  <c r="BH159" i="23"/>
  <c r="BH153" i="23"/>
  <c r="BH137" i="23"/>
  <c r="BH165" i="23"/>
  <c r="BH152" i="23"/>
  <c r="BH176" i="23"/>
  <c r="BH167" i="23"/>
  <c r="BH148" i="23"/>
  <c r="BH151" i="23"/>
  <c r="BH194" i="23"/>
  <c r="BH190" i="23"/>
  <c r="BH179" i="23"/>
  <c r="BH154" i="23"/>
  <c r="BH157" i="23"/>
  <c r="BH138" i="23"/>
  <c r="BH133" i="23"/>
  <c r="BH160" i="23"/>
  <c r="BH183" i="23"/>
  <c r="BH161" i="23"/>
  <c r="BH142" i="23"/>
  <c r="BH146" i="23"/>
  <c r="BH116" i="23"/>
  <c r="BH178" i="23"/>
  <c r="BH149" i="23"/>
  <c r="BH140" i="23"/>
  <c r="BH126" i="23"/>
  <c r="BH128" i="23"/>
  <c r="BH119" i="23"/>
  <c r="BH115" i="23"/>
  <c r="BH123" i="23"/>
  <c r="BH145" i="23"/>
  <c r="BH130" i="23"/>
  <c r="BH185" i="23"/>
  <c r="BH122" i="23"/>
  <c r="BH163" i="23"/>
  <c r="BH135" i="23"/>
  <c r="BH139" i="23"/>
  <c r="BH118" i="23"/>
  <c r="BH175" i="23"/>
  <c r="BH166" i="23"/>
  <c r="BH131" i="23"/>
  <c r="BH170" i="23"/>
  <c r="BH121" i="23"/>
  <c r="BH129" i="23"/>
  <c r="BH141" i="23"/>
  <c r="BH134" i="23"/>
  <c r="BH158" i="23"/>
  <c r="BH191" i="23"/>
  <c r="BH180" i="23"/>
  <c r="BH169" i="23"/>
  <c r="BH114" i="23"/>
  <c r="BH136" i="23"/>
  <c r="BH125" i="23"/>
  <c r="BH202" i="23"/>
  <c r="BH147" i="23"/>
  <c r="BH112" i="23"/>
  <c r="BH113" i="23"/>
  <c r="BH110" i="23"/>
  <c r="BH111" i="23"/>
  <c r="BH109" i="23"/>
  <c r="BH108" i="23"/>
  <c r="BH105" i="23"/>
  <c r="BH107" i="23"/>
  <c r="BH102" i="23"/>
  <c r="BH104" i="23"/>
  <c r="BH101" i="23"/>
  <c r="BH98" i="23"/>
  <c r="BH97" i="23"/>
  <c r="BH99" i="23"/>
  <c r="BH96" i="23"/>
  <c r="BH100" i="23"/>
  <c r="BH103" i="23"/>
  <c r="BH95" i="23"/>
  <c r="BH106" i="23"/>
  <c r="BH89" i="23"/>
  <c r="BH92" i="23"/>
  <c r="BH94" i="23"/>
  <c r="BH86" i="23"/>
  <c r="BH93" i="23"/>
  <c r="BH91" i="23"/>
  <c r="BH84" i="23"/>
  <c r="BH88" i="23"/>
  <c r="BH83" i="23"/>
  <c r="BH79" i="23"/>
  <c r="BH90" i="23"/>
  <c r="BH76" i="23"/>
  <c r="BH81" i="23"/>
  <c r="BH75" i="23"/>
  <c r="BH80" i="23"/>
  <c r="BH78" i="23"/>
  <c r="BH87" i="23"/>
  <c r="BH63" i="23"/>
  <c r="BH72" i="23"/>
  <c r="BH70" i="23"/>
  <c r="BH77" i="23"/>
  <c r="BH68" i="23"/>
  <c r="BH85" i="23"/>
  <c r="BH82" i="23"/>
  <c r="BH60" i="23"/>
  <c r="BH58" i="23"/>
  <c r="BH65" i="23"/>
  <c r="BH59" i="23"/>
  <c r="BH57" i="23"/>
  <c r="BH69" i="23"/>
  <c r="BH66" i="23"/>
  <c r="BH64" i="23"/>
  <c r="BH51" i="23"/>
  <c r="BH52" i="23"/>
  <c r="BH48" i="23"/>
  <c r="BH46" i="23"/>
  <c r="BH73" i="23"/>
  <c r="BH71" i="23"/>
  <c r="BH67" i="23"/>
  <c r="BH55" i="23"/>
  <c r="BH45" i="23"/>
  <c r="BH41" i="23"/>
  <c r="BH39" i="23"/>
  <c r="BH61" i="23"/>
  <c r="BH34" i="23"/>
  <c r="BH62" i="23"/>
  <c r="BH31" i="23"/>
  <c r="BH47" i="23"/>
  <c r="BH43" i="23"/>
  <c r="BH40" i="23"/>
  <c r="BH54" i="23"/>
  <c r="BH44" i="23"/>
  <c r="BH42" i="23"/>
  <c r="BH22" i="23"/>
  <c r="BH74" i="23"/>
  <c r="BH29" i="23"/>
  <c r="BH19" i="23"/>
  <c r="BH49" i="23"/>
  <c r="BH26" i="23"/>
  <c r="BH24" i="23"/>
  <c r="BH35" i="23"/>
  <c r="BH23" i="23"/>
  <c r="BH37" i="23"/>
  <c r="BH33" i="23"/>
  <c r="BH25" i="23"/>
  <c r="BH17" i="23"/>
  <c r="BH7" i="23"/>
  <c r="BH38" i="23"/>
  <c r="BH36" i="23"/>
  <c r="BH30" i="23"/>
  <c r="BH27" i="23"/>
  <c r="BH21" i="23"/>
  <c r="BH12" i="23"/>
  <c r="BH4" i="23"/>
  <c r="BH16" i="23"/>
  <c r="BH14" i="23"/>
  <c r="BH6" i="23"/>
  <c r="BH53" i="23"/>
  <c r="BH9" i="23"/>
  <c r="BH18" i="23"/>
  <c r="BH8" i="23"/>
  <c r="BI2" i="23"/>
  <c r="BH32" i="23"/>
  <c r="BH28" i="23"/>
  <c r="BH15" i="23"/>
  <c r="BH13" i="23"/>
  <c r="BH11" i="23"/>
  <c r="BH50" i="23"/>
  <c r="BH20" i="23"/>
  <c r="BH5" i="23"/>
  <c r="BH10" i="23"/>
  <c r="BH56" i="23"/>
  <c r="BI197" i="23" l="1"/>
  <c r="BI122" i="23"/>
  <c r="BI174" i="23"/>
  <c r="BI124" i="23"/>
  <c r="BI151" i="23"/>
  <c r="BI126" i="23"/>
  <c r="BI134" i="23"/>
  <c r="BI115" i="23"/>
  <c r="BI155" i="23"/>
  <c r="BI164" i="23"/>
  <c r="BI128" i="23"/>
  <c r="BI152" i="23"/>
  <c r="BI179" i="23"/>
  <c r="BI145" i="23"/>
  <c r="BI130" i="23"/>
  <c r="BI198" i="23"/>
  <c r="BI157" i="23"/>
  <c r="BI149" i="23"/>
  <c r="BI194" i="23"/>
  <c r="BI204" i="23"/>
  <c r="BI205" i="23"/>
  <c r="BI207" i="23"/>
  <c r="BI192" i="23"/>
  <c r="BI208" i="23"/>
  <c r="BI165" i="23"/>
  <c r="BI170" i="23"/>
  <c r="BI210" i="23"/>
  <c r="BI203" i="23"/>
  <c r="BI206" i="23"/>
  <c r="BI201" i="23"/>
  <c r="BI193" i="23"/>
  <c r="BI196" i="23"/>
  <c r="BI211" i="23"/>
  <c r="BI209" i="23"/>
  <c r="BI195" i="23"/>
  <c r="BI212" i="23"/>
  <c r="BI186" i="23"/>
  <c r="BI185" i="23"/>
  <c r="BI200" i="23"/>
  <c r="BI131" i="23"/>
  <c r="BI183" i="23"/>
  <c r="BI199" i="23"/>
  <c r="BI190" i="23"/>
  <c r="BI188" i="23"/>
  <c r="BI182" i="23"/>
  <c r="BI172" i="23"/>
  <c r="BI175" i="23"/>
  <c r="BI187" i="23"/>
  <c r="BI189" i="23"/>
  <c r="BI176" i="23"/>
  <c r="BI159" i="23"/>
  <c r="BI171" i="23"/>
  <c r="BI161" i="23"/>
  <c r="BI160" i="23"/>
  <c r="BI166" i="23"/>
  <c r="BI148" i="23"/>
  <c r="BI173" i="23"/>
  <c r="BI178" i="23"/>
  <c r="BI154" i="23"/>
  <c r="BI153" i="23"/>
  <c r="BI138" i="23"/>
  <c r="BI184" i="23"/>
  <c r="BI156" i="23"/>
  <c r="BI141" i="23"/>
  <c r="BI139" i="23"/>
  <c r="BI162" i="23"/>
  <c r="BI163" i="23"/>
  <c r="BI168" i="23"/>
  <c r="BI137" i="23"/>
  <c r="BI140" i="23"/>
  <c r="BI146" i="23"/>
  <c r="BI132" i="23"/>
  <c r="BI118" i="23"/>
  <c r="BI123" i="23"/>
  <c r="BI121" i="23"/>
  <c r="BI127" i="23"/>
  <c r="BI117" i="23"/>
  <c r="BI144" i="23"/>
  <c r="BI129" i="23"/>
  <c r="BI181" i="23"/>
  <c r="BI150" i="23"/>
  <c r="BI116" i="23"/>
  <c r="BI177" i="23"/>
  <c r="BI133" i="23"/>
  <c r="BI142" i="23"/>
  <c r="BI135" i="23"/>
  <c r="BI120" i="23"/>
  <c r="BI143" i="23"/>
  <c r="BI167" i="23"/>
  <c r="BI119" i="23"/>
  <c r="BI136" i="23"/>
  <c r="BI114" i="23"/>
  <c r="BI158" i="23"/>
  <c r="BI202" i="23"/>
  <c r="BI169" i="23"/>
  <c r="BI180" i="23"/>
  <c r="BI147" i="23"/>
  <c r="BI191" i="23"/>
  <c r="BI125" i="23"/>
  <c r="BI112" i="23"/>
  <c r="BI111" i="23"/>
  <c r="BI113" i="23"/>
  <c r="BI108" i="23"/>
  <c r="BI110" i="23"/>
  <c r="BI107" i="23"/>
  <c r="BI104" i="23"/>
  <c r="BI102" i="23"/>
  <c r="BI103" i="23"/>
  <c r="BI101" i="23"/>
  <c r="BI109" i="23"/>
  <c r="BI99" i="23"/>
  <c r="BI98" i="23"/>
  <c r="BI94" i="23"/>
  <c r="BI106" i="23"/>
  <c r="BI100" i="23"/>
  <c r="BI93" i="23"/>
  <c r="BI97" i="23"/>
  <c r="BI105" i="23"/>
  <c r="BI92" i="23"/>
  <c r="BI90" i="23"/>
  <c r="BI89" i="23"/>
  <c r="BI96" i="23"/>
  <c r="BI87" i="23"/>
  <c r="BI95" i="23"/>
  <c r="BI86" i="23"/>
  <c r="BI88" i="23"/>
  <c r="BI83" i="23"/>
  <c r="BI79" i="23"/>
  <c r="BI91" i="23"/>
  <c r="BI76" i="23"/>
  <c r="BI73" i="23"/>
  <c r="BI85" i="23"/>
  <c r="BI82" i="23"/>
  <c r="BI80" i="23"/>
  <c r="BI72" i="23"/>
  <c r="BI78" i="23"/>
  <c r="BI75" i="23"/>
  <c r="BI81" i="23"/>
  <c r="BI69" i="23"/>
  <c r="BI68" i="23"/>
  <c r="BI67" i="23"/>
  <c r="BI60" i="23"/>
  <c r="BI58" i="23"/>
  <c r="BI71" i="23"/>
  <c r="BI63" i="23"/>
  <c r="BI55" i="23"/>
  <c r="BI66" i="23"/>
  <c r="BI54" i="23"/>
  <c r="BI64" i="23"/>
  <c r="BI51" i="23"/>
  <c r="BI70" i="23"/>
  <c r="BI57" i="23"/>
  <c r="BI52" i="23"/>
  <c r="BI48" i="23"/>
  <c r="BI53" i="23"/>
  <c r="BI43" i="23"/>
  <c r="BI84" i="23"/>
  <c r="BI77" i="23"/>
  <c r="BI74" i="23"/>
  <c r="BI42" i="23"/>
  <c r="BI61" i="23"/>
  <c r="BI62" i="23"/>
  <c r="BI46" i="23"/>
  <c r="BI31" i="23"/>
  <c r="BI50" i="23"/>
  <c r="BI38" i="23"/>
  <c r="BI36" i="23"/>
  <c r="BI49" i="23"/>
  <c r="BI44" i="23"/>
  <c r="BI37" i="23"/>
  <c r="BI35" i="23"/>
  <c r="BI56" i="23"/>
  <c r="BI39" i="23"/>
  <c r="BI29" i="23"/>
  <c r="BI19" i="23"/>
  <c r="BI47" i="23"/>
  <c r="BI26" i="23"/>
  <c r="BI24" i="23"/>
  <c r="BI65" i="23"/>
  <c r="BI21" i="23"/>
  <c r="BI34" i="23"/>
  <c r="BI33" i="23"/>
  <c r="BI30" i="23"/>
  <c r="BI20" i="23"/>
  <c r="BI27" i="23"/>
  <c r="BI12" i="23"/>
  <c r="BI4" i="23"/>
  <c r="BI45" i="23"/>
  <c r="BI9" i="23"/>
  <c r="BI11" i="23"/>
  <c r="BI59" i="23"/>
  <c r="BI40" i="23"/>
  <c r="BI16" i="23"/>
  <c r="BI14" i="23"/>
  <c r="BI6" i="23"/>
  <c r="BI41" i="23"/>
  <c r="BI32" i="23"/>
  <c r="BI28" i="23"/>
  <c r="BI15" i="23"/>
  <c r="BI13" i="23"/>
  <c r="BI5" i="23"/>
  <c r="BI22" i="23"/>
  <c r="BI17" i="23"/>
  <c r="BI18" i="23"/>
  <c r="BI23" i="23"/>
  <c r="BI25" i="23"/>
  <c r="BI7" i="23"/>
  <c r="BI10" i="23"/>
  <c r="BI8" i="23"/>
  <c r="BJ2" i="23"/>
  <c r="BJ145" i="23" l="1"/>
  <c r="BJ127" i="23"/>
  <c r="BJ116" i="23"/>
  <c r="BJ120" i="23"/>
  <c r="BJ149" i="23"/>
  <c r="BJ164" i="23"/>
  <c r="BJ144" i="23"/>
  <c r="BJ159" i="23"/>
  <c r="BJ193" i="23"/>
  <c r="BJ166" i="23"/>
  <c r="BJ194" i="23"/>
  <c r="BJ175" i="23"/>
  <c r="BJ121" i="23"/>
  <c r="BJ139" i="23"/>
  <c r="BJ179" i="23"/>
  <c r="BJ199" i="23"/>
  <c r="BJ201" i="23"/>
  <c r="BJ173" i="23"/>
  <c r="BJ211" i="23"/>
  <c r="BJ130" i="23"/>
  <c r="BJ182" i="23"/>
  <c r="BJ189" i="23"/>
  <c r="BJ192" i="23"/>
  <c r="BJ204" i="23"/>
  <c r="BJ210" i="23"/>
  <c r="BJ203" i="23"/>
  <c r="BJ212" i="23"/>
  <c r="BJ197" i="23"/>
  <c r="BJ196" i="23"/>
  <c r="BJ200" i="23"/>
  <c r="BJ195" i="23"/>
  <c r="BJ205" i="23"/>
  <c r="BJ206" i="23"/>
  <c r="BJ135" i="23"/>
  <c r="BJ208" i="23"/>
  <c r="BJ157" i="23"/>
  <c r="BJ184" i="23"/>
  <c r="BJ185" i="23"/>
  <c r="BJ188" i="23"/>
  <c r="BJ198" i="23"/>
  <c r="BJ187" i="23"/>
  <c r="BJ183" i="23"/>
  <c r="BJ186" i="23"/>
  <c r="BJ174" i="23"/>
  <c r="BJ172" i="23"/>
  <c r="BJ170" i="23"/>
  <c r="BJ168" i="23"/>
  <c r="BJ178" i="23"/>
  <c r="BJ167" i="23"/>
  <c r="BJ154" i="23"/>
  <c r="BJ209" i="23"/>
  <c r="BJ177" i="23"/>
  <c r="BJ141" i="23"/>
  <c r="BJ161" i="23"/>
  <c r="BJ137" i="23"/>
  <c r="BJ176" i="23"/>
  <c r="BJ153" i="23"/>
  <c r="BJ142" i="23"/>
  <c r="BJ134" i="23"/>
  <c r="BJ163" i="23"/>
  <c r="BJ128" i="23"/>
  <c r="BJ165" i="23"/>
  <c r="BJ156" i="23"/>
  <c r="BJ207" i="23"/>
  <c r="BJ138" i="23"/>
  <c r="BJ152" i="23"/>
  <c r="BJ143" i="23"/>
  <c r="BJ146" i="23"/>
  <c r="BJ129" i="23"/>
  <c r="BJ119" i="23"/>
  <c r="BJ181" i="23"/>
  <c r="BJ162" i="23"/>
  <c r="BJ148" i="23"/>
  <c r="BJ140" i="23"/>
  <c r="BJ126" i="23"/>
  <c r="BJ133" i="23"/>
  <c r="BJ123" i="23"/>
  <c r="BJ115" i="23"/>
  <c r="BJ124" i="23"/>
  <c r="BJ150" i="23"/>
  <c r="BJ122" i="23"/>
  <c r="BJ160" i="23"/>
  <c r="BJ190" i="23"/>
  <c r="BJ131" i="23"/>
  <c r="BJ117" i="23"/>
  <c r="BJ151" i="23"/>
  <c r="BJ132" i="23"/>
  <c r="BJ155" i="23"/>
  <c r="BJ118" i="23"/>
  <c r="BJ171" i="23"/>
  <c r="BJ136" i="23"/>
  <c r="BJ191" i="23"/>
  <c r="BJ202" i="23"/>
  <c r="BJ180" i="23"/>
  <c r="BJ125" i="23"/>
  <c r="BJ147" i="23"/>
  <c r="BJ158" i="23"/>
  <c r="BJ169" i="23"/>
  <c r="BJ114" i="23"/>
  <c r="BJ111" i="23"/>
  <c r="BJ113" i="23"/>
  <c r="BJ109" i="23"/>
  <c r="BJ108" i="23"/>
  <c r="BJ112" i="23"/>
  <c r="BJ110" i="23"/>
  <c r="BJ107" i="23"/>
  <c r="BJ106" i="23"/>
  <c r="BJ103" i="23"/>
  <c r="BJ101" i="23"/>
  <c r="BJ104" i="23"/>
  <c r="BJ99" i="23"/>
  <c r="BJ105" i="23"/>
  <c r="BJ100" i="23"/>
  <c r="BJ102" i="23"/>
  <c r="BJ96" i="23"/>
  <c r="BJ98" i="23"/>
  <c r="BJ93" i="23"/>
  <c r="BJ94" i="23"/>
  <c r="BJ91" i="23"/>
  <c r="BJ90" i="23"/>
  <c r="BJ83" i="23"/>
  <c r="BJ95" i="23"/>
  <c r="BJ86" i="23"/>
  <c r="BJ97" i="23"/>
  <c r="BJ88" i="23"/>
  <c r="BJ87" i="23"/>
  <c r="BJ82" i="23"/>
  <c r="BJ80" i="23"/>
  <c r="BJ89" i="23"/>
  <c r="BJ84" i="23"/>
  <c r="BJ81" i="23"/>
  <c r="BJ78" i="23"/>
  <c r="BJ77" i="23"/>
  <c r="BJ69" i="23"/>
  <c r="BJ71" i="23"/>
  <c r="BJ65" i="23"/>
  <c r="BJ85" i="23"/>
  <c r="BJ74" i="23"/>
  <c r="BJ73" i="23"/>
  <c r="BJ64" i="23"/>
  <c r="BJ76" i="23"/>
  <c r="BJ60" i="23"/>
  <c r="BJ58" i="23"/>
  <c r="BJ63" i="23"/>
  <c r="BJ92" i="23"/>
  <c r="BJ75" i="23"/>
  <c r="BJ62" i="23"/>
  <c r="BJ52" i="23"/>
  <c r="BJ70" i="23"/>
  <c r="BJ61" i="23"/>
  <c r="BJ51" i="23"/>
  <c r="BJ66" i="23"/>
  <c r="BJ57" i="23"/>
  <c r="BJ48" i="23"/>
  <c r="BJ53" i="23"/>
  <c r="BJ59" i="23"/>
  <c r="BJ50" i="23"/>
  <c r="BJ56" i="23"/>
  <c r="BJ49" i="23"/>
  <c r="BJ47" i="23"/>
  <c r="BJ55" i="23"/>
  <c r="BJ46" i="23"/>
  <c r="BJ72" i="23"/>
  <c r="BJ38" i="23"/>
  <c r="BJ36" i="23"/>
  <c r="BJ33" i="23"/>
  <c r="BJ54" i="23"/>
  <c r="BJ32" i="23"/>
  <c r="BJ79" i="23"/>
  <c r="BJ68" i="23"/>
  <c r="BJ26" i="23"/>
  <c r="BJ24" i="23"/>
  <c r="BJ67" i="23"/>
  <c r="BJ21" i="23"/>
  <c r="BJ28" i="23"/>
  <c r="BJ40" i="23"/>
  <c r="BJ37" i="23"/>
  <c r="BJ27" i="23"/>
  <c r="BJ25" i="23"/>
  <c r="BJ39" i="23"/>
  <c r="BJ30" i="23"/>
  <c r="BJ9" i="23"/>
  <c r="BJ29" i="23"/>
  <c r="BJ23" i="23"/>
  <c r="BJ8" i="23"/>
  <c r="BJ44" i="23"/>
  <c r="BJ16" i="23"/>
  <c r="BJ14" i="23"/>
  <c r="BJ6" i="23"/>
  <c r="BJ20" i="23"/>
  <c r="BJ18" i="23"/>
  <c r="BJ45" i="23"/>
  <c r="BJ41" i="23"/>
  <c r="BJ34" i="23"/>
  <c r="BJ31" i="23"/>
  <c r="BJ11" i="23"/>
  <c r="BK2" i="23"/>
  <c r="BJ35" i="23"/>
  <c r="BJ22" i="23"/>
  <c r="BJ10" i="23"/>
  <c r="BJ19" i="23"/>
  <c r="BJ17" i="23"/>
  <c r="BJ15" i="23"/>
  <c r="BJ4" i="23"/>
  <c r="BJ12" i="23"/>
  <c r="BJ7" i="23"/>
  <c r="BJ5" i="23"/>
  <c r="BJ13" i="23"/>
  <c r="BJ43" i="23"/>
  <c r="BJ42" i="23"/>
  <c r="BK197" i="23" l="1"/>
  <c r="BK115" i="23"/>
  <c r="BK189" i="23"/>
  <c r="BK128" i="23"/>
  <c r="BK153" i="23"/>
  <c r="BK132" i="23"/>
  <c r="BK148" i="23"/>
  <c r="BK187" i="23"/>
  <c r="BK166" i="23"/>
  <c r="BK123" i="23"/>
  <c r="BK176" i="23"/>
  <c r="BK131" i="23"/>
  <c r="BK194" i="23"/>
  <c r="BK164" i="23"/>
  <c r="BK126" i="23"/>
  <c r="BK135" i="23"/>
  <c r="BK204" i="23"/>
  <c r="BK124" i="23"/>
  <c r="BK127" i="23"/>
  <c r="BK196" i="23"/>
  <c r="BK206" i="23"/>
  <c r="BK212" i="23"/>
  <c r="BK209" i="23"/>
  <c r="BK207" i="23"/>
  <c r="BK193" i="23"/>
  <c r="BK199" i="23"/>
  <c r="BK192" i="23"/>
  <c r="BK211" i="23"/>
  <c r="BK203" i="23"/>
  <c r="BK161" i="23"/>
  <c r="BK201" i="23"/>
  <c r="BK186" i="23"/>
  <c r="BK205" i="23"/>
  <c r="BK198" i="23"/>
  <c r="BK210" i="23"/>
  <c r="BK181" i="23"/>
  <c r="BK184" i="23"/>
  <c r="BK208" i="23"/>
  <c r="BK195" i="23"/>
  <c r="BK175" i="23"/>
  <c r="BK172" i="23"/>
  <c r="BK182" i="23"/>
  <c r="BK190" i="23"/>
  <c r="BK154" i="23"/>
  <c r="BK183" i="23"/>
  <c r="BK150" i="23"/>
  <c r="BK188" i="23"/>
  <c r="BK178" i="23"/>
  <c r="BK171" i="23"/>
  <c r="BK165" i="23"/>
  <c r="BK157" i="23"/>
  <c r="BK138" i="23"/>
  <c r="BK174" i="23"/>
  <c r="BK177" i="23"/>
  <c r="BK162" i="23"/>
  <c r="BK155" i="23"/>
  <c r="BK149" i="23"/>
  <c r="BK163" i="23"/>
  <c r="BK159" i="23"/>
  <c r="BK160" i="23"/>
  <c r="BK152" i="23"/>
  <c r="BK139" i="23"/>
  <c r="BK142" i="23"/>
  <c r="BK156" i="23"/>
  <c r="BK141" i="23"/>
  <c r="BK129" i="23"/>
  <c r="BK179" i="23"/>
  <c r="BK134" i="23"/>
  <c r="BK119" i="23"/>
  <c r="BK145" i="23"/>
  <c r="BK200" i="23"/>
  <c r="BK185" i="23"/>
  <c r="BK173" i="23"/>
  <c r="BK140" i="23"/>
  <c r="BK122" i="23"/>
  <c r="BK118" i="23"/>
  <c r="BK116" i="23"/>
  <c r="BK117" i="23"/>
  <c r="BK167" i="23"/>
  <c r="BK170" i="23"/>
  <c r="BK144" i="23"/>
  <c r="BK151" i="23"/>
  <c r="BK146" i="23"/>
  <c r="BK143" i="23"/>
  <c r="BK130" i="23"/>
  <c r="BK133" i="23"/>
  <c r="BK168" i="23"/>
  <c r="BK137" i="23"/>
  <c r="BK121" i="23"/>
  <c r="BK120" i="23"/>
  <c r="BK191" i="23"/>
  <c r="BK125" i="23"/>
  <c r="BK169" i="23"/>
  <c r="BK147" i="23"/>
  <c r="BK202" i="23"/>
  <c r="BK136" i="23"/>
  <c r="BK114" i="23"/>
  <c r="BK158" i="23"/>
  <c r="BK180" i="23"/>
  <c r="BK113" i="23"/>
  <c r="BK110" i="23"/>
  <c r="BK109" i="23"/>
  <c r="BK106" i="23"/>
  <c r="BK112" i="23"/>
  <c r="BK107" i="23"/>
  <c r="BK105" i="23"/>
  <c r="BK108" i="23"/>
  <c r="BK104" i="23"/>
  <c r="BK102" i="23"/>
  <c r="BK100" i="23"/>
  <c r="BK101" i="23"/>
  <c r="BK111" i="23"/>
  <c r="BK96" i="23"/>
  <c r="BK95" i="23"/>
  <c r="BK94" i="23"/>
  <c r="BK91" i="23"/>
  <c r="BK93" i="23"/>
  <c r="BK103" i="23"/>
  <c r="BK99" i="23"/>
  <c r="BK97" i="23"/>
  <c r="BK92" i="23"/>
  <c r="BK88" i="23"/>
  <c r="BK87" i="23"/>
  <c r="BK83" i="23"/>
  <c r="BK98" i="23"/>
  <c r="BK89" i="23"/>
  <c r="BK86" i="23"/>
  <c r="BK90" i="23"/>
  <c r="BK78" i="23"/>
  <c r="BK75" i="23"/>
  <c r="BK74" i="23"/>
  <c r="BK69" i="23"/>
  <c r="BK81" i="23"/>
  <c r="BK71" i="23"/>
  <c r="BK77" i="23"/>
  <c r="BK70" i="23"/>
  <c r="BK84" i="23"/>
  <c r="BK79" i="23"/>
  <c r="BK76" i="23"/>
  <c r="BK85" i="23"/>
  <c r="BK63" i="23"/>
  <c r="BK82" i="23"/>
  <c r="BK62" i="23"/>
  <c r="BK80" i="23"/>
  <c r="BK73" i="23"/>
  <c r="BK64" i="23"/>
  <c r="BK59" i="23"/>
  <c r="BK57" i="23"/>
  <c r="BK72" i="23"/>
  <c r="BK67" i="23"/>
  <c r="BK56" i="23"/>
  <c r="BK53" i="23"/>
  <c r="BK52" i="23"/>
  <c r="BK60" i="23"/>
  <c r="BK50" i="23"/>
  <c r="BK54" i="23"/>
  <c r="BK45" i="23"/>
  <c r="BK68" i="23"/>
  <c r="BK61" i="23"/>
  <c r="BK44" i="23"/>
  <c r="BK48" i="23"/>
  <c r="BK38" i="23"/>
  <c r="BK33" i="23"/>
  <c r="BK42" i="23"/>
  <c r="BK40" i="23"/>
  <c r="BK58" i="23"/>
  <c r="BK51" i="23"/>
  <c r="BK41" i="23"/>
  <c r="BK39" i="23"/>
  <c r="BK55" i="23"/>
  <c r="BK47" i="23"/>
  <c r="BK46" i="23"/>
  <c r="BK21" i="23"/>
  <c r="BK65" i="23"/>
  <c r="BK49" i="23"/>
  <c r="BK28" i="23"/>
  <c r="BK66" i="23"/>
  <c r="BK43" i="23"/>
  <c r="BK23" i="23"/>
  <c r="BK32" i="23"/>
  <c r="BK22" i="23"/>
  <c r="BK36" i="23"/>
  <c r="BK16" i="23"/>
  <c r="BK14" i="23"/>
  <c r="BK6" i="23"/>
  <c r="BK26" i="23"/>
  <c r="BK15" i="23"/>
  <c r="BK34" i="23"/>
  <c r="BK31" i="23"/>
  <c r="BK11" i="23"/>
  <c r="BK29" i="23"/>
  <c r="BK24" i="23"/>
  <c r="BK20" i="23"/>
  <c r="BK18" i="23"/>
  <c r="BK8" i="23"/>
  <c r="BL2" i="23"/>
  <c r="BK13" i="23"/>
  <c r="BK5" i="23"/>
  <c r="BK19" i="23"/>
  <c r="BK17" i="23"/>
  <c r="BK7" i="23"/>
  <c r="BK25" i="23"/>
  <c r="BK12" i="23"/>
  <c r="BK10" i="23"/>
  <c r="BK9" i="23"/>
  <c r="BK35" i="23"/>
  <c r="BK30" i="23"/>
  <c r="BK37" i="23"/>
  <c r="BK27" i="23"/>
  <c r="BK4" i="23"/>
  <c r="BL131" i="23" l="1"/>
  <c r="BL133" i="23"/>
  <c r="BL115" i="23"/>
  <c r="BL126" i="23"/>
  <c r="BL166" i="23"/>
  <c r="BL129" i="23"/>
  <c r="BL122" i="23"/>
  <c r="BL206" i="23"/>
  <c r="BL140" i="23"/>
  <c r="BL134" i="23"/>
  <c r="BL170" i="23"/>
  <c r="BL144" i="23"/>
  <c r="BL196" i="23"/>
  <c r="BL149" i="23"/>
  <c r="BL143" i="23"/>
  <c r="BL127" i="23"/>
  <c r="BL121" i="23"/>
  <c r="BL168" i="23"/>
  <c r="BL200" i="23"/>
  <c r="BL211" i="23"/>
  <c r="BL204" i="23"/>
  <c r="BL209" i="23"/>
  <c r="BL192" i="23"/>
  <c r="BL210" i="23"/>
  <c r="BL212" i="23"/>
  <c r="BL207" i="23"/>
  <c r="BL194" i="23"/>
  <c r="BL201" i="23"/>
  <c r="BL208" i="23"/>
  <c r="BL195" i="23"/>
  <c r="BL205" i="23"/>
  <c r="BL203" i="23"/>
  <c r="BL199" i="23"/>
  <c r="BL181" i="23"/>
  <c r="BL198" i="23"/>
  <c r="BL184" i="23"/>
  <c r="BL197" i="23"/>
  <c r="BL182" i="23"/>
  <c r="BL185" i="23"/>
  <c r="BL175" i="23"/>
  <c r="BL186" i="23"/>
  <c r="BL183" i="23"/>
  <c r="BL189" i="23"/>
  <c r="BL161" i="23"/>
  <c r="BL160" i="23"/>
  <c r="BL154" i="23"/>
  <c r="BL174" i="23"/>
  <c r="BL178" i="23"/>
  <c r="BL179" i="23"/>
  <c r="BL155" i="23"/>
  <c r="BL173" i="23"/>
  <c r="BL177" i="23"/>
  <c r="BL165" i="23"/>
  <c r="BL193" i="23"/>
  <c r="BL164" i="23"/>
  <c r="BL176" i="23"/>
  <c r="BL148" i="23"/>
  <c r="BL172" i="23"/>
  <c r="BL151" i="23"/>
  <c r="BL142" i="23"/>
  <c r="BL188" i="23"/>
  <c r="BL152" i="23"/>
  <c r="BL139" i="23"/>
  <c r="BL137" i="23"/>
  <c r="BL163" i="23"/>
  <c r="BL150" i="23"/>
  <c r="BL156" i="23"/>
  <c r="BL190" i="23"/>
  <c r="BL141" i="23"/>
  <c r="BL145" i="23"/>
  <c r="BL130" i="23"/>
  <c r="BL171" i="23"/>
  <c r="BL135" i="23"/>
  <c r="BL117" i="23"/>
  <c r="BL124" i="23"/>
  <c r="BL187" i="23"/>
  <c r="BL120" i="23"/>
  <c r="BL146" i="23"/>
  <c r="BL119" i="23"/>
  <c r="BL157" i="23"/>
  <c r="BL138" i="23"/>
  <c r="BL162" i="23"/>
  <c r="BL159" i="23"/>
  <c r="BL153" i="23"/>
  <c r="BL118" i="23"/>
  <c r="BL132" i="23"/>
  <c r="BL167" i="23"/>
  <c r="BL123" i="23"/>
  <c r="BL116" i="23"/>
  <c r="BL128" i="23"/>
  <c r="BL147" i="23"/>
  <c r="BL136" i="23"/>
  <c r="BL180" i="23"/>
  <c r="BL114" i="23"/>
  <c r="BL158" i="23"/>
  <c r="BL202" i="23"/>
  <c r="BL125" i="23"/>
  <c r="BL191" i="23"/>
  <c r="BL169" i="23"/>
  <c r="BL113" i="23"/>
  <c r="BL111" i="23"/>
  <c r="BL107" i="23"/>
  <c r="BL112" i="23"/>
  <c r="BL110" i="23"/>
  <c r="BL103" i="23"/>
  <c r="BL101" i="23"/>
  <c r="BL108" i="23"/>
  <c r="BL109" i="23"/>
  <c r="BL105" i="23"/>
  <c r="BL106" i="23"/>
  <c r="BL104" i="23"/>
  <c r="BL99" i="23"/>
  <c r="BL100" i="23"/>
  <c r="BL95" i="23"/>
  <c r="BL89" i="23"/>
  <c r="BL98" i="23"/>
  <c r="BL97" i="23"/>
  <c r="BL88" i="23"/>
  <c r="BL93" i="23"/>
  <c r="BL96" i="23"/>
  <c r="BL102" i="23"/>
  <c r="BL86" i="23"/>
  <c r="BL85" i="23"/>
  <c r="BL94" i="23"/>
  <c r="BL87" i="23"/>
  <c r="BL90" i="23"/>
  <c r="BL91" i="23"/>
  <c r="BL78" i="23"/>
  <c r="BL92" i="23"/>
  <c r="BL81" i="23"/>
  <c r="BL72" i="23"/>
  <c r="BL84" i="23"/>
  <c r="BL79" i="23"/>
  <c r="BL71" i="23"/>
  <c r="BL69" i="23"/>
  <c r="BL83" i="23"/>
  <c r="BL77" i="23"/>
  <c r="BL70" i="23"/>
  <c r="BL67" i="23"/>
  <c r="BL82" i="23"/>
  <c r="BL66" i="23"/>
  <c r="BL62" i="23"/>
  <c r="BL80" i="23"/>
  <c r="BL75" i="23"/>
  <c r="BL73" i="23"/>
  <c r="BL64" i="23"/>
  <c r="BL59" i="23"/>
  <c r="BL57" i="23"/>
  <c r="BL65" i="23"/>
  <c r="BL54" i="23"/>
  <c r="BL74" i="23"/>
  <c r="BL68" i="23"/>
  <c r="BL53" i="23"/>
  <c r="BL60" i="23"/>
  <c r="BL50" i="23"/>
  <c r="BL55" i="23"/>
  <c r="BL42" i="23"/>
  <c r="BL63" i="23"/>
  <c r="BL41" i="23"/>
  <c r="BL52" i="23"/>
  <c r="BL40" i="23"/>
  <c r="BL56" i="23"/>
  <c r="BL47" i="23"/>
  <c r="BL43" i="23"/>
  <c r="BL37" i="23"/>
  <c r="BL35" i="23"/>
  <c r="BL76" i="23"/>
  <c r="BL45" i="23"/>
  <c r="BL34" i="23"/>
  <c r="BL49" i="23"/>
  <c r="BL28" i="23"/>
  <c r="BL48" i="23"/>
  <c r="BL23" i="23"/>
  <c r="BL58" i="23"/>
  <c r="BL38" i="23"/>
  <c r="BL36" i="23"/>
  <c r="BL30" i="23"/>
  <c r="BL20" i="23"/>
  <c r="BL31" i="23"/>
  <c r="BL29" i="23"/>
  <c r="BL19" i="23"/>
  <c r="BL44" i="23"/>
  <c r="BL21" i="23"/>
  <c r="BL11" i="23"/>
  <c r="BL24" i="23"/>
  <c r="BL18" i="23"/>
  <c r="BL8" i="23"/>
  <c r="BM2" i="23"/>
  <c r="BL10" i="23"/>
  <c r="BL61" i="23"/>
  <c r="BL26" i="23"/>
  <c r="BL15" i="23"/>
  <c r="BL13" i="23"/>
  <c r="BL5" i="23"/>
  <c r="BL46" i="23"/>
  <c r="BL25" i="23"/>
  <c r="BL12" i="23"/>
  <c r="BL4" i="23"/>
  <c r="BL27" i="23"/>
  <c r="BL39" i="23"/>
  <c r="BL17" i="23"/>
  <c r="BL7" i="23"/>
  <c r="BL22" i="23"/>
  <c r="BL9" i="23"/>
  <c r="BL14" i="23"/>
  <c r="BL6" i="23"/>
  <c r="BL16" i="23"/>
  <c r="BL32" i="23"/>
  <c r="BL51" i="23"/>
  <c r="BL33" i="23"/>
  <c r="BM139" i="23" l="1"/>
  <c r="BM189" i="23"/>
  <c r="BM205" i="23"/>
  <c r="BM129" i="23"/>
  <c r="BM206" i="23"/>
  <c r="BM173" i="23"/>
  <c r="BM124" i="23"/>
  <c r="BM116" i="23"/>
  <c r="BM210" i="23"/>
  <c r="BM138" i="23"/>
  <c r="BM151" i="23"/>
  <c r="BM141" i="23"/>
  <c r="BM149" i="23"/>
  <c r="BM212" i="23"/>
  <c r="BM146" i="23"/>
  <c r="BM166" i="23"/>
  <c r="BM199" i="23"/>
  <c r="BM164" i="23"/>
  <c r="BM193" i="23"/>
  <c r="BM198" i="23"/>
  <c r="BM207" i="23"/>
  <c r="BM204" i="23"/>
  <c r="BM209" i="23"/>
  <c r="BM143" i="23"/>
  <c r="BM182" i="23"/>
  <c r="BM201" i="23"/>
  <c r="BM115" i="23"/>
  <c r="BM208" i="23"/>
  <c r="BM196" i="23"/>
  <c r="BM170" i="23"/>
  <c r="BM211" i="23"/>
  <c r="BM200" i="23"/>
  <c r="BM186" i="23"/>
  <c r="BM197" i="23"/>
  <c r="BM183" i="23"/>
  <c r="BM188" i="23"/>
  <c r="BM195" i="23"/>
  <c r="BM178" i="23"/>
  <c r="BM161" i="23"/>
  <c r="BM163" i="23"/>
  <c r="BM203" i="23"/>
  <c r="BM192" i="23"/>
  <c r="BM185" i="23"/>
  <c r="BM162" i="23"/>
  <c r="BM181" i="23"/>
  <c r="BM172" i="23"/>
  <c r="BM167" i="23"/>
  <c r="BM148" i="23"/>
  <c r="BM159" i="23"/>
  <c r="BM176" i="23"/>
  <c r="BM160" i="23"/>
  <c r="BM165" i="23"/>
  <c r="BM156" i="23"/>
  <c r="BM174" i="23"/>
  <c r="BM150" i="23"/>
  <c r="BM187" i="23"/>
  <c r="BM179" i="23"/>
  <c r="BM168" i="23"/>
  <c r="BM140" i="23"/>
  <c r="BM145" i="23"/>
  <c r="BM171" i="23"/>
  <c r="BM153" i="23"/>
  <c r="BM144" i="23"/>
  <c r="BM126" i="23"/>
  <c r="BM130" i="23"/>
  <c r="BM131" i="23"/>
  <c r="BM155" i="23"/>
  <c r="BM137" i="23"/>
  <c r="BM127" i="23"/>
  <c r="BM135" i="23"/>
  <c r="BM194" i="23"/>
  <c r="BM184" i="23"/>
  <c r="BM154" i="23"/>
  <c r="BM152" i="23"/>
  <c r="BM120" i="23"/>
  <c r="BM119" i="23"/>
  <c r="BM123" i="23"/>
  <c r="BM133" i="23"/>
  <c r="BM118" i="23"/>
  <c r="BM121" i="23"/>
  <c r="BM122" i="23"/>
  <c r="BM128" i="23"/>
  <c r="BM132" i="23"/>
  <c r="BM177" i="23"/>
  <c r="BM142" i="23"/>
  <c r="BM134" i="23"/>
  <c r="BM117" i="23"/>
  <c r="BM190" i="23"/>
  <c r="BM157" i="23"/>
  <c r="BM175" i="23"/>
  <c r="BM114" i="23"/>
  <c r="BM202" i="23"/>
  <c r="BM180" i="23"/>
  <c r="BM147" i="23"/>
  <c r="BM191" i="23"/>
  <c r="BM125" i="23"/>
  <c r="BM136" i="23"/>
  <c r="BM158" i="23"/>
  <c r="BM169" i="23"/>
  <c r="BM111" i="23"/>
  <c r="BM112" i="23"/>
  <c r="BM110" i="23"/>
  <c r="BM107" i="23"/>
  <c r="BM109" i="23"/>
  <c r="BM113" i="23"/>
  <c r="BM105" i="23"/>
  <c r="BM101" i="23"/>
  <c r="BM103" i="23"/>
  <c r="BM100" i="23"/>
  <c r="BM108" i="23"/>
  <c r="BM102" i="23"/>
  <c r="BM97" i="23"/>
  <c r="BM95" i="23"/>
  <c r="BM93" i="23"/>
  <c r="BM106" i="23"/>
  <c r="BM96" i="23"/>
  <c r="BM90" i="23"/>
  <c r="BM89" i="23"/>
  <c r="BM88" i="23"/>
  <c r="BM91" i="23"/>
  <c r="BM84" i="23"/>
  <c r="BM81" i="23"/>
  <c r="BM92" i="23"/>
  <c r="BM85" i="23"/>
  <c r="BM104" i="23"/>
  <c r="BM82" i="23"/>
  <c r="BM80" i="23"/>
  <c r="BM77" i="23"/>
  <c r="BM87" i="23"/>
  <c r="BM76" i="23"/>
  <c r="BM71" i="23"/>
  <c r="BM70" i="23"/>
  <c r="BM86" i="23"/>
  <c r="BM73" i="23"/>
  <c r="BM72" i="23"/>
  <c r="BM64" i="23"/>
  <c r="BM75" i="23"/>
  <c r="BM63" i="23"/>
  <c r="BM59" i="23"/>
  <c r="BM57" i="23"/>
  <c r="BM78" i="23"/>
  <c r="BM65" i="23"/>
  <c r="BM79" i="23"/>
  <c r="BM69" i="23"/>
  <c r="BM66" i="23"/>
  <c r="BM61" i="23"/>
  <c r="BM51" i="23"/>
  <c r="BM99" i="23"/>
  <c r="BM94" i="23"/>
  <c r="BM60" i="23"/>
  <c r="BM58" i="23"/>
  <c r="BM55" i="23"/>
  <c r="BM54" i="23"/>
  <c r="BM98" i="23"/>
  <c r="BM62" i="23"/>
  <c r="BM49" i="23"/>
  <c r="BM47" i="23"/>
  <c r="BM83" i="23"/>
  <c r="BM48" i="23"/>
  <c r="BM46" i="23"/>
  <c r="BM40" i="23"/>
  <c r="BM56" i="23"/>
  <c r="BM50" i="23"/>
  <c r="BM43" i="23"/>
  <c r="BM42" i="23"/>
  <c r="BM37" i="23"/>
  <c r="BM35" i="23"/>
  <c r="BM53" i="23"/>
  <c r="BM44" i="23"/>
  <c r="BM32" i="23"/>
  <c r="BM68" i="23"/>
  <c r="BM31" i="23"/>
  <c r="BM67" i="23"/>
  <c r="BM74" i="23"/>
  <c r="BM23" i="23"/>
  <c r="BM38" i="23"/>
  <c r="BM36" i="23"/>
  <c r="BM30" i="23"/>
  <c r="BM20" i="23"/>
  <c r="BM45" i="23"/>
  <c r="BM41" i="23"/>
  <c r="BM34" i="23"/>
  <c r="BM27" i="23"/>
  <c r="BM25" i="23"/>
  <c r="BM52" i="23"/>
  <c r="BM39" i="23"/>
  <c r="BM26" i="23"/>
  <c r="BM24" i="23"/>
  <c r="BM18" i="23"/>
  <c r="BM8" i="23"/>
  <c r="BN2" i="23"/>
  <c r="BM22" i="23"/>
  <c r="BM29" i="23"/>
  <c r="BM15" i="23"/>
  <c r="BM13" i="23"/>
  <c r="BM5" i="23"/>
  <c r="BM17" i="23"/>
  <c r="BM10" i="23"/>
  <c r="BM7" i="23"/>
  <c r="BM9" i="23"/>
  <c r="BM33" i="23"/>
  <c r="BM16" i="23"/>
  <c r="BM14" i="23"/>
  <c r="BM19" i="23"/>
  <c r="BM12" i="23"/>
  <c r="BM11" i="23"/>
  <c r="BM28" i="23"/>
  <c r="BM6" i="23"/>
  <c r="BM4" i="23"/>
  <c r="BM21" i="23"/>
  <c r="BN176" i="23" l="1"/>
  <c r="BN139" i="23"/>
  <c r="BN194" i="23"/>
  <c r="BN116" i="23"/>
  <c r="BN151" i="23"/>
  <c r="BN210" i="23"/>
  <c r="BN146" i="23"/>
  <c r="BN152" i="23"/>
  <c r="BN124" i="23"/>
  <c r="BN164" i="23"/>
  <c r="BN193" i="23"/>
  <c r="BN115" i="23"/>
  <c r="BN171" i="23"/>
  <c r="BN144" i="23"/>
  <c r="BN188" i="23"/>
  <c r="BN183" i="23"/>
  <c r="BN117" i="23"/>
  <c r="BN157" i="23"/>
  <c r="BN181" i="23"/>
  <c r="BN203" i="23"/>
  <c r="BN212" i="23"/>
  <c r="BN205" i="23"/>
  <c r="BN197" i="23"/>
  <c r="BN208" i="23"/>
  <c r="BN209" i="23"/>
  <c r="BN204" i="23"/>
  <c r="BN206" i="23"/>
  <c r="BN211" i="23"/>
  <c r="BN207" i="23"/>
  <c r="BN195" i="23"/>
  <c r="BN168" i="23"/>
  <c r="BN192" i="23"/>
  <c r="BN199" i="23"/>
  <c r="BN186" i="23"/>
  <c r="BN198" i="23"/>
  <c r="BN201" i="23"/>
  <c r="BN187" i="23"/>
  <c r="BN189" i="23"/>
  <c r="BN172" i="23"/>
  <c r="BN184" i="23"/>
  <c r="BN190" i="23"/>
  <c r="BN182" i="23"/>
  <c r="BN174" i="23"/>
  <c r="BN196" i="23"/>
  <c r="BN175" i="23"/>
  <c r="BN177" i="23"/>
  <c r="BN165" i="23"/>
  <c r="BN148" i="23"/>
  <c r="BN163" i="23"/>
  <c r="BN178" i="23"/>
  <c r="BN162" i="23"/>
  <c r="BN160" i="23"/>
  <c r="BN161" i="23"/>
  <c r="BN167" i="23"/>
  <c r="BN159" i="23"/>
  <c r="BN149" i="23"/>
  <c r="BN140" i="23"/>
  <c r="BN173" i="23"/>
  <c r="BN153" i="23"/>
  <c r="BN141" i="23"/>
  <c r="BN135" i="23"/>
  <c r="BN170" i="23"/>
  <c r="BN137" i="23"/>
  <c r="BN142" i="23"/>
  <c r="BN126" i="23"/>
  <c r="BN130" i="23"/>
  <c r="BN185" i="23"/>
  <c r="BN118" i="23"/>
  <c r="BN119" i="23"/>
  <c r="BN155" i="23"/>
  <c r="BN127" i="23"/>
  <c r="BN128" i="23"/>
  <c r="BN129" i="23"/>
  <c r="BN133" i="23"/>
  <c r="BN123" i="23"/>
  <c r="BN122" i="23"/>
  <c r="BN179" i="23"/>
  <c r="BN150" i="23"/>
  <c r="BN143" i="23"/>
  <c r="BN120" i="23"/>
  <c r="BN145" i="23"/>
  <c r="BN132" i="23"/>
  <c r="BN200" i="23"/>
  <c r="BN166" i="23"/>
  <c r="BN138" i="23"/>
  <c r="BN131" i="23"/>
  <c r="BN156" i="23"/>
  <c r="BN134" i="23"/>
  <c r="BN154" i="23"/>
  <c r="BN121" i="23"/>
  <c r="BN169" i="23"/>
  <c r="BN125" i="23"/>
  <c r="BN147" i="23"/>
  <c r="BN136" i="23"/>
  <c r="BN191" i="23"/>
  <c r="BN114" i="23"/>
  <c r="BN158" i="23"/>
  <c r="BN202" i="23"/>
  <c r="BN180" i="23"/>
  <c r="BN113" i="23"/>
  <c r="BN112" i="23"/>
  <c r="BN111" i="23"/>
  <c r="BN109" i="23"/>
  <c r="BN108" i="23"/>
  <c r="BN106" i="23"/>
  <c r="BN110" i="23"/>
  <c r="BN107" i="23"/>
  <c r="BN105" i="23"/>
  <c r="BN104" i="23"/>
  <c r="BN102" i="23"/>
  <c r="BN100" i="23"/>
  <c r="BN99" i="23"/>
  <c r="BN103" i="23"/>
  <c r="BN95" i="23"/>
  <c r="BN98" i="23"/>
  <c r="BN94" i="23"/>
  <c r="BN101" i="23"/>
  <c r="BN96" i="23"/>
  <c r="BN91" i="23"/>
  <c r="BN92" i="23"/>
  <c r="BN90" i="23"/>
  <c r="BN87" i="23"/>
  <c r="BN88" i="23"/>
  <c r="BN97" i="23"/>
  <c r="BN93" i="23"/>
  <c r="BN82" i="23"/>
  <c r="BN81" i="23"/>
  <c r="BN80" i="23"/>
  <c r="BN77" i="23"/>
  <c r="BN85" i="23"/>
  <c r="BN74" i="23"/>
  <c r="BN83" i="23"/>
  <c r="BN73" i="23"/>
  <c r="BN86" i="23"/>
  <c r="BN72" i="23"/>
  <c r="BN68" i="23"/>
  <c r="BN78" i="23"/>
  <c r="BN75" i="23"/>
  <c r="BN65" i="23"/>
  <c r="BN64" i="23"/>
  <c r="BN79" i="23"/>
  <c r="BN71" i="23"/>
  <c r="BN69" i="23"/>
  <c r="BN66" i="23"/>
  <c r="BN61" i="23"/>
  <c r="BN84" i="23"/>
  <c r="BN56" i="23"/>
  <c r="BN55" i="23"/>
  <c r="BN70" i="23"/>
  <c r="BN54" i="23"/>
  <c r="BN62" i="23"/>
  <c r="BN59" i="23"/>
  <c r="BN49" i="23"/>
  <c r="BN47" i="23"/>
  <c r="BN76" i="23"/>
  <c r="BN67" i="23"/>
  <c r="BN44" i="23"/>
  <c r="BN58" i="23"/>
  <c r="BN52" i="23"/>
  <c r="BN51" i="23"/>
  <c r="BN43" i="23"/>
  <c r="BN89" i="23"/>
  <c r="BN60" i="23"/>
  <c r="BN50" i="23"/>
  <c r="BN42" i="23"/>
  <c r="BN37" i="23"/>
  <c r="BN53" i="23"/>
  <c r="BN32" i="23"/>
  <c r="BN39" i="23"/>
  <c r="BN46" i="23"/>
  <c r="BN38" i="23"/>
  <c r="BN36" i="23"/>
  <c r="BN57" i="23"/>
  <c r="BN48" i="23"/>
  <c r="BN30" i="23"/>
  <c r="BN20" i="23"/>
  <c r="BN45" i="23"/>
  <c r="BN41" i="23"/>
  <c r="BN34" i="23"/>
  <c r="BN27" i="23"/>
  <c r="BN25" i="23"/>
  <c r="BN35" i="23"/>
  <c r="BN33" i="23"/>
  <c r="BN22" i="23"/>
  <c r="BN21" i="23"/>
  <c r="BN31" i="23"/>
  <c r="BN29" i="23"/>
  <c r="BN24" i="23"/>
  <c r="BN15" i="23"/>
  <c r="BN13" i="23"/>
  <c r="BN5" i="23"/>
  <c r="BN12" i="23"/>
  <c r="BN40" i="23"/>
  <c r="BN26" i="23"/>
  <c r="BN10" i="23"/>
  <c r="BN19" i="23"/>
  <c r="BN4" i="23"/>
  <c r="BN63" i="23"/>
  <c r="BN23" i="23"/>
  <c r="BN17" i="23"/>
  <c r="BN7" i="23"/>
  <c r="BN28" i="23"/>
  <c r="BN16" i="23"/>
  <c r="BN14" i="23"/>
  <c r="BN6" i="23"/>
  <c r="BN9" i="23"/>
  <c r="BN18" i="23"/>
  <c r="BN8" i="23"/>
  <c r="BO2" i="23"/>
  <c r="BN11" i="23"/>
  <c r="BO145" i="23" l="1"/>
  <c r="BO188" i="23"/>
  <c r="BO116" i="23"/>
  <c r="BO127" i="23"/>
  <c r="BO121" i="23"/>
  <c r="BO201" i="23"/>
  <c r="BO128" i="23"/>
  <c r="BO152" i="23"/>
  <c r="BO157" i="23"/>
  <c r="BO117" i="23"/>
  <c r="BO198" i="23"/>
  <c r="BO200" i="23"/>
  <c r="BO149" i="23"/>
  <c r="BO173" i="23"/>
  <c r="BO166" i="23"/>
  <c r="BO194" i="23"/>
  <c r="BO209" i="23"/>
  <c r="BO203" i="23"/>
  <c r="BO195" i="23"/>
  <c r="BO208" i="23"/>
  <c r="BO204" i="23"/>
  <c r="BO207" i="23"/>
  <c r="BO167" i="23"/>
  <c r="BO175" i="23"/>
  <c r="BO193" i="23"/>
  <c r="BO199" i="23"/>
  <c r="BO210" i="23"/>
  <c r="BO206" i="23"/>
  <c r="BO211" i="23"/>
  <c r="BO205" i="23"/>
  <c r="BO196" i="23"/>
  <c r="BO197" i="23"/>
  <c r="BO186" i="23"/>
  <c r="BO212" i="23"/>
  <c r="BO187" i="23"/>
  <c r="BO181" i="23"/>
  <c r="BO192" i="23"/>
  <c r="BO172" i="23"/>
  <c r="BO184" i="23"/>
  <c r="BO182" i="23"/>
  <c r="BO178" i="23"/>
  <c r="BO160" i="23"/>
  <c r="BO168" i="23"/>
  <c r="BO154" i="23"/>
  <c r="BO183" i="23"/>
  <c r="BO170" i="23"/>
  <c r="BO159" i="23"/>
  <c r="BO150" i="23"/>
  <c r="BO176" i="23"/>
  <c r="BO165" i="23"/>
  <c r="BO155" i="23"/>
  <c r="BO137" i="23"/>
  <c r="BO139" i="23"/>
  <c r="BO142" i="23"/>
  <c r="BO189" i="23"/>
  <c r="BO161" i="23"/>
  <c r="BO148" i="23"/>
  <c r="BO163" i="23"/>
  <c r="BO138" i="23"/>
  <c r="BO133" i="23"/>
  <c r="BO171" i="23"/>
  <c r="BO177" i="23"/>
  <c r="BO162" i="23"/>
  <c r="BO164" i="23"/>
  <c r="BO141" i="23"/>
  <c r="BO130" i="23"/>
  <c r="BO156" i="23"/>
  <c r="BO146" i="23"/>
  <c r="BO132" i="23"/>
  <c r="BO151" i="23"/>
  <c r="BO143" i="23"/>
  <c r="BO126" i="23"/>
  <c r="BO131" i="23"/>
  <c r="BO123" i="23"/>
  <c r="BO144" i="23"/>
  <c r="BO118" i="23"/>
  <c r="BO153" i="23"/>
  <c r="BO129" i="23"/>
  <c r="BO120" i="23"/>
  <c r="BO124" i="23"/>
  <c r="BO134" i="23"/>
  <c r="BO119" i="23"/>
  <c r="BO190" i="23"/>
  <c r="BO179" i="23"/>
  <c r="BO140" i="23"/>
  <c r="BO122" i="23"/>
  <c r="BO185" i="23"/>
  <c r="BO135" i="23"/>
  <c r="BO174" i="23"/>
  <c r="BO115" i="23"/>
  <c r="BO136" i="23"/>
  <c r="BO147" i="23"/>
  <c r="BO114" i="23"/>
  <c r="BO202" i="23"/>
  <c r="BO191" i="23"/>
  <c r="BO169" i="23"/>
  <c r="BO158" i="23"/>
  <c r="BO125" i="23"/>
  <c r="BO180" i="23"/>
  <c r="BO113" i="23"/>
  <c r="BO112" i="23"/>
  <c r="BO111" i="23"/>
  <c r="BO109" i="23"/>
  <c r="BO105" i="23"/>
  <c r="BO110" i="23"/>
  <c r="BO107" i="23"/>
  <c r="BO103" i="23"/>
  <c r="BO100" i="23"/>
  <c r="BO95" i="23"/>
  <c r="BO101" i="23"/>
  <c r="BO96" i="23"/>
  <c r="BO106" i="23"/>
  <c r="BO99" i="23"/>
  <c r="BO102" i="23"/>
  <c r="BO104" i="23"/>
  <c r="BO94" i="23"/>
  <c r="BO92" i="23"/>
  <c r="BO91" i="23"/>
  <c r="BO88" i="23"/>
  <c r="BO85" i="23"/>
  <c r="BO108" i="23"/>
  <c r="BO98" i="23"/>
  <c r="BO84" i="23"/>
  <c r="BO97" i="23"/>
  <c r="BO90" i="23"/>
  <c r="BO89" i="23"/>
  <c r="BO86" i="23"/>
  <c r="BO82" i="23"/>
  <c r="BO80" i="23"/>
  <c r="BO81" i="23"/>
  <c r="BO77" i="23"/>
  <c r="BO79" i="23"/>
  <c r="BO71" i="23"/>
  <c r="BO78" i="23"/>
  <c r="BO70" i="23"/>
  <c r="BO72" i="23"/>
  <c r="BO87" i="23"/>
  <c r="BO73" i="23"/>
  <c r="BO76" i="23"/>
  <c r="BO74" i="23"/>
  <c r="BO66" i="23"/>
  <c r="BO69" i="23"/>
  <c r="BO65" i="23"/>
  <c r="BO61" i="23"/>
  <c r="BO56" i="23"/>
  <c r="BO67" i="23"/>
  <c r="BO53" i="23"/>
  <c r="BO83" i="23"/>
  <c r="BO63" i="23"/>
  <c r="BO62" i="23"/>
  <c r="BO52" i="23"/>
  <c r="BO59" i="23"/>
  <c r="BO55" i="23"/>
  <c r="BO49" i="23"/>
  <c r="BO47" i="23"/>
  <c r="BO75" i="23"/>
  <c r="BO50" i="23"/>
  <c r="BO40" i="23"/>
  <c r="BO43" i="23"/>
  <c r="BO44" i="23"/>
  <c r="BO39" i="23"/>
  <c r="BO57" i="23"/>
  <c r="BO45" i="23"/>
  <c r="BO41" i="23"/>
  <c r="BO34" i="23"/>
  <c r="BO93" i="23"/>
  <c r="BO48" i="23"/>
  <c r="BO33" i="23"/>
  <c r="BO38" i="23"/>
  <c r="BO36" i="23"/>
  <c r="BO27" i="23"/>
  <c r="BO25" i="23"/>
  <c r="BO58" i="23"/>
  <c r="BO35" i="23"/>
  <c r="BO22" i="23"/>
  <c r="BO64" i="23"/>
  <c r="BO60" i="23"/>
  <c r="BO29" i="23"/>
  <c r="BO19" i="23"/>
  <c r="BO54" i="23"/>
  <c r="BO28" i="23"/>
  <c r="BO68" i="23"/>
  <c r="BO26" i="23"/>
  <c r="BO10" i="23"/>
  <c r="BO9" i="23"/>
  <c r="BO23" i="23"/>
  <c r="BO20" i="23"/>
  <c r="BO17" i="23"/>
  <c r="BO7" i="23"/>
  <c r="BO32" i="23"/>
  <c r="BO12" i="23"/>
  <c r="BO4" i="23"/>
  <c r="BO51" i="23"/>
  <c r="BO11" i="23"/>
  <c r="BO42" i="23"/>
  <c r="BO37" i="23"/>
  <c r="BO30" i="23"/>
  <c r="BO21" i="23"/>
  <c r="BO18" i="23"/>
  <c r="BO46" i="23"/>
  <c r="BO8" i="23"/>
  <c r="BP2" i="23"/>
  <c r="BO16" i="23"/>
  <c r="BO24" i="23"/>
  <c r="BO5" i="23"/>
  <c r="BO31" i="23"/>
  <c r="BO13" i="23"/>
  <c r="BO15" i="23"/>
  <c r="BO6" i="23"/>
  <c r="BO14" i="23"/>
  <c r="BP146" i="23" l="1"/>
  <c r="BP128" i="23"/>
  <c r="BP170" i="23"/>
  <c r="BP148" i="23"/>
  <c r="BP164" i="23"/>
  <c r="BP129" i="23"/>
  <c r="BP121" i="23"/>
  <c r="BP115" i="23"/>
  <c r="BP127" i="23"/>
  <c r="BP134" i="23"/>
  <c r="BP166" i="23"/>
  <c r="BP192" i="23"/>
  <c r="BP200" i="23"/>
  <c r="BP203" i="23"/>
  <c r="BP206" i="23"/>
  <c r="BP205" i="23"/>
  <c r="BP212" i="23"/>
  <c r="BP197" i="23"/>
  <c r="BP149" i="23"/>
  <c r="BP211" i="23"/>
  <c r="BP195" i="23"/>
  <c r="BP204" i="23"/>
  <c r="BP208" i="23"/>
  <c r="BP209" i="23"/>
  <c r="BP207" i="23"/>
  <c r="BP194" i="23"/>
  <c r="BP196" i="23"/>
  <c r="BP210" i="23"/>
  <c r="BP199" i="23"/>
  <c r="BP184" i="23"/>
  <c r="BP198" i="23"/>
  <c r="BP193" i="23"/>
  <c r="BP187" i="23"/>
  <c r="BP124" i="23"/>
  <c r="BP186" i="23"/>
  <c r="BP182" i="23"/>
  <c r="BP201" i="23"/>
  <c r="BP188" i="23"/>
  <c r="BP189" i="23"/>
  <c r="BP174" i="23"/>
  <c r="BP183" i="23"/>
  <c r="BP171" i="23"/>
  <c r="BP172" i="23"/>
  <c r="BP175" i="23"/>
  <c r="BP163" i="23"/>
  <c r="BP165" i="23"/>
  <c r="BP153" i="23"/>
  <c r="BP150" i="23"/>
  <c r="BP185" i="23"/>
  <c r="BP176" i="23"/>
  <c r="BP156" i="23"/>
  <c r="BP152" i="23"/>
  <c r="BP157" i="23"/>
  <c r="BP159" i="23"/>
  <c r="BP151" i="23"/>
  <c r="BP140" i="23"/>
  <c r="BP161" i="23"/>
  <c r="BP155" i="23"/>
  <c r="BP137" i="23"/>
  <c r="BP162" i="23"/>
  <c r="BP143" i="23"/>
  <c r="BP167" i="23"/>
  <c r="BP177" i="23"/>
  <c r="BP178" i="23"/>
  <c r="BP141" i="23"/>
  <c r="BP126" i="23"/>
  <c r="BP190" i="23"/>
  <c r="BP145" i="23"/>
  <c r="BP117" i="23"/>
  <c r="BP173" i="23"/>
  <c r="BP133" i="23"/>
  <c r="BP122" i="23"/>
  <c r="BP154" i="23"/>
  <c r="BP119" i="23"/>
  <c r="BP120" i="23"/>
  <c r="BP132" i="23"/>
  <c r="BP130" i="23"/>
  <c r="BP181" i="23"/>
  <c r="BP160" i="23"/>
  <c r="BP139" i="23"/>
  <c r="BP131" i="23"/>
  <c r="BP116" i="23"/>
  <c r="BP142" i="23"/>
  <c r="BP168" i="23"/>
  <c r="BP135" i="23"/>
  <c r="BP179" i="23"/>
  <c r="BP138" i="23"/>
  <c r="BP123" i="23"/>
  <c r="BP118" i="23"/>
  <c r="BP144" i="23"/>
  <c r="BP125" i="23"/>
  <c r="BP169" i="23"/>
  <c r="BP180" i="23"/>
  <c r="BP114" i="23"/>
  <c r="BP202" i="23"/>
  <c r="BP191" i="23"/>
  <c r="BP136" i="23"/>
  <c r="BP147" i="23"/>
  <c r="BP158" i="23"/>
  <c r="BP110" i="23"/>
  <c r="BP111" i="23"/>
  <c r="BP113" i="23"/>
  <c r="BP108" i="23"/>
  <c r="BP112" i="23"/>
  <c r="BP109" i="23"/>
  <c r="BP106" i="23"/>
  <c r="BP103" i="23"/>
  <c r="BP101" i="23"/>
  <c r="BP100" i="23"/>
  <c r="BP105" i="23"/>
  <c r="BP97" i="23"/>
  <c r="BP104" i="23"/>
  <c r="BP96" i="23"/>
  <c r="BP102" i="23"/>
  <c r="BP98" i="23"/>
  <c r="BP93" i="23"/>
  <c r="BP107" i="23"/>
  <c r="BP94" i="23"/>
  <c r="BP92" i="23"/>
  <c r="BP91" i="23"/>
  <c r="BP95" i="23"/>
  <c r="BP90" i="23"/>
  <c r="BP89" i="23"/>
  <c r="BP99" i="23"/>
  <c r="BP87" i="23"/>
  <c r="BP83" i="23"/>
  <c r="BP82" i="23"/>
  <c r="BP80" i="23"/>
  <c r="BP85" i="23"/>
  <c r="BP79" i="23"/>
  <c r="BP76" i="23"/>
  <c r="BP86" i="23"/>
  <c r="BP75" i="23"/>
  <c r="BP88" i="23"/>
  <c r="BP81" i="23"/>
  <c r="BP77" i="23"/>
  <c r="BP73" i="23"/>
  <c r="BP74" i="23"/>
  <c r="BP63" i="23"/>
  <c r="BP78" i="23"/>
  <c r="BP71" i="23"/>
  <c r="BP69" i="23"/>
  <c r="BP66" i="23"/>
  <c r="BP84" i="23"/>
  <c r="BP67" i="23"/>
  <c r="BP68" i="23"/>
  <c r="BP60" i="23"/>
  <c r="BP58" i="23"/>
  <c r="BP59" i="23"/>
  <c r="BP57" i="23"/>
  <c r="BP62" i="23"/>
  <c r="BP65" i="23"/>
  <c r="BP56" i="23"/>
  <c r="BP48" i="23"/>
  <c r="BP46" i="23"/>
  <c r="BP53" i="23"/>
  <c r="BP45" i="23"/>
  <c r="BP72" i="23"/>
  <c r="BP44" i="23"/>
  <c r="BP39" i="23"/>
  <c r="BP70" i="23"/>
  <c r="BP47" i="23"/>
  <c r="BP41" i="23"/>
  <c r="BP34" i="23"/>
  <c r="BP64" i="23"/>
  <c r="BP51" i="23"/>
  <c r="BP49" i="23"/>
  <c r="BP31" i="23"/>
  <c r="BP55" i="23"/>
  <c r="BP54" i="23"/>
  <c r="BP35" i="23"/>
  <c r="BP22" i="23"/>
  <c r="BP43" i="23"/>
  <c r="BP33" i="23"/>
  <c r="BP29" i="23"/>
  <c r="BP19" i="23"/>
  <c r="BP61" i="23"/>
  <c r="BP50" i="23"/>
  <c r="BP37" i="23"/>
  <c r="BP32" i="23"/>
  <c r="BP26" i="23"/>
  <c r="BP24" i="23"/>
  <c r="BP42" i="23"/>
  <c r="BP23" i="23"/>
  <c r="BP40" i="23"/>
  <c r="BP38" i="23"/>
  <c r="BP20" i="23"/>
  <c r="BP17" i="23"/>
  <c r="BP7" i="23"/>
  <c r="BP16" i="23"/>
  <c r="BP14" i="23"/>
  <c r="BP12" i="23"/>
  <c r="BP4" i="23"/>
  <c r="BP28" i="23"/>
  <c r="BP9" i="23"/>
  <c r="BP6" i="23"/>
  <c r="BP52" i="23"/>
  <c r="BP30" i="23"/>
  <c r="BP27" i="23"/>
  <c r="BP21" i="23"/>
  <c r="BP18" i="23"/>
  <c r="BP8" i="23"/>
  <c r="BQ2" i="23"/>
  <c r="BP15" i="23"/>
  <c r="BP13" i="23"/>
  <c r="BP25" i="23"/>
  <c r="BP5" i="23"/>
  <c r="BP10" i="23"/>
  <c r="BP11" i="23"/>
  <c r="BP36" i="23"/>
  <c r="BQ164" i="23" l="1"/>
  <c r="BQ131" i="23"/>
  <c r="BQ129" i="23"/>
  <c r="BQ209" i="23"/>
  <c r="BQ132" i="23"/>
  <c r="BQ127" i="23"/>
  <c r="BQ173" i="23"/>
  <c r="BQ124" i="23"/>
  <c r="BQ117" i="23"/>
  <c r="BQ183" i="23"/>
  <c r="BQ193" i="23"/>
  <c r="BQ143" i="23"/>
  <c r="BQ192" i="23"/>
  <c r="BQ146" i="23"/>
  <c r="BQ145" i="23"/>
  <c r="BQ201" i="23"/>
  <c r="BQ211" i="23"/>
  <c r="BQ205" i="23"/>
  <c r="BQ197" i="23"/>
  <c r="BQ206" i="23"/>
  <c r="BQ199" i="23"/>
  <c r="BQ212" i="23"/>
  <c r="BQ194" i="23"/>
  <c r="BQ195" i="23"/>
  <c r="BQ204" i="23"/>
  <c r="BQ207" i="23"/>
  <c r="BQ203" i="23"/>
  <c r="BQ186" i="23"/>
  <c r="BQ200" i="23"/>
  <c r="BQ208" i="23"/>
  <c r="BQ187" i="23"/>
  <c r="BQ135" i="23"/>
  <c r="BQ181" i="23"/>
  <c r="BQ198" i="23"/>
  <c r="BQ190" i="23"/>
  <c r="BQ185" i="23"/>
  <c r="BQ172" i="23"/>
  <c r="BQ182" i="23"/>
  <c r="BQ189" i="23"/>
  <c r="BQ210" i="23"/>
  <c r="BQ171" i="23"/>
  <c r="BQ159" i="23"/>
  <c r="BQ170" i="23"/>
  <c r="BQ162" i="23"/>
  <c r="BQ155" i="23"/>
  <c r="BQ152" i="23"/>
  <c r="BQ163" i="23"/>
  <c r="BQ156" i="23"/>
  <c r="BQ151" i="23"/>
  <c r="BQ161" i="23"/>
  <c r="BQ157" i="23"/>
  <c r="BQ179" i="23"/>
  <c r="BQ140" i="23"/>
  <c r="BQ148" i="23"/>
  <c r="BQ178" i="23"/>
  <c r="BQ177" i="23"/>
  <c r="BQ150" i="23"/>
  <c r="BQ142" i="23"/>
  <c r="BQ144" i="23"/>
  <c r="BQ196" i="23"/>
  <c r="BQ188" i="23"/>
  <c r="BQ174" i="23"/>
  <c r="BQ166" i="23"/>
  <c r="BQ149" i="23"/>
  <c r="BQ115" i="23"/>
  <c r="BQ126" i="23"/>
  <c r="BQ184" i="23"/>
  <c r="BQ160" i="23"/>
  <c r="BQ154" i="23"/>
  <c r="BQ137" i="23"/>
  <c r="BQ128" i="23"/>
  <c r="BQ133" i="23"/>
  <c r="BQ116" i="23"/>
  <c r="BQ165" i="23"/>
  <c r="BQ153" i="23"/>
  <c r="BQ176" i="23"/>
  <c r="BQ139" i="23"/>
  <c r="BQ138" i="23"/>
  <c r="BQ119" i="23"/>
  <c r="BQ120" i="23"/>
  <c r="BQ123" i="23"/>
  <c r="BQ175" i="23"/>
  <c r="BQ134" i="23"/>
  <c r="BQ121" i="23"/>
  <c r="BQ141" i="23"/>
  <c r="BQ167" i="23"/>
  <c r="BQ130" i="23"/>
  <c r="BQ118" i="23"/>
  <c r="BQ122" i="23"/>
  <c r="BQ168" i="23"/>
  <c r="BQ191" i="23"/>
  <c r="BQ147" i="23"/>
  <c r="BQ114" i="23"/>
  <c r="BQ125" i="23"/>
  <c r="BQ169" i="23"/>
  <c r="BQ180" i="23"/>
  <c r="BQ136" i="23"/>
  <c r="BQ202" i="23"/>
  <c r="BQ158" i="23"/>
  <c r="BQ112" i="23"/>
  <c r="BQ111" i="23"/>
  <c r="BQ113" i="23"/>
  <c r="BQ108" i="23"/>
  <c r="BQ109" i="23"/>
  <c r="BQ104" i="23"/>
  <c r="BQ102" i="23"/>
  <c r="BQ107" i="23"/>
  <c r="BQ106" i="23"/>
  <c r="BQ103" i="23"/>
  <c r="BQ101" i="23"/>
  <c r="BQ110" i="23"/>
  <c r="BQ99" i="23"/>
  <c r="BQ98" i="23"/>
  <c r="BQ105" i="23"/>
  <c r="BQ94" i="23"/>
  <c r="BQ93" i="23"/>
  <c r="BQ96" i="23"/>
  <c r="BQ97" i="23"/>
  <c r="BQ92" i="23"/>
  <c r="BQ90" i="23"/>
  <c r="BQ89" i="23"/>
  <c r="BQ100" i="23"/>
  <c r="BQ91" i="23"/>
  <c r="BQ95" i="23"/>
  <c r="BQ87" i="23"/>
  <c r="BQ86" i="23"/>
  <c r="BQ85" i="23"/>
  <c r="BQ79" i="23"/>
  <c r="BQ76" i="23"/>
  <c r="BQ84" i="23"/>
  <c r="BQ73" i="23"/>
  <c r="BQ72" i="23"/>
  <c r="BQ74" i="23"/>
  <c r="BQ75" i="23"/>
  <c r="BQ68" i="23"/>
  <c r="BQ83" i="23"/>
  <c r="BQ80" i="23"/>
  <c r="BQ71" i="23"/>
  <c r="BQ70" i="23"/>
  <c r="BQ67" i="23"/>
  <c r="BQ82" i="23"/>
  <c r="BQ81" i="23"/>
  <c r="BQ60" i="23"/>
  <c r="BQ58" i="23"/>
  <c r="BQ55" i="23"/>
  <c r="BQ88" i="23"/>
  <c r="BQ64" i="23"/>
  <c r="BQ54" i="23"/>
  <c r="BQ65" i="23"/>
  <c r="BQ56" i="23"/>
  <c r="BQ48" i="23"/>
  <c r="BQ46" i="23"/>
  <c r="BQ61" i="23"/>
  <c r="BQ51" i="23"/>
  <c r="BQ43" i="23"/>
  <c r="BQ78" i="23"/>
  <c r="BQ57" i="23"/>
  <c r="BQ42" i="23"/>
  <c r="BQ62" i="23"/>
  <c r="BQ53" i="23"/>
  <c r="BQ47" i="23"/>
  <c r="BQ41" i="23"/>
  <c r="BQ77" i="23"/>
  <c r="BQ49" i="23"/>
  <c r="BQ45" i="23"/>
  <c r="BQ31" i="23"/>
  <c r="BQ63" i="23"/>
  <c r="BQ38" i="23"/>
  <c r="BQ36" i="23"/>
  <c r="BQ66" i="23"/>
  <c r="BQ59" i="23"/>
  <c r="BQ52" i="23"/>
  <c r="BQ40" i="23"/>
  <c r="BQ37" i="23"/>
  <c r="BQ35" i="23"/>
  <c r="BQ69" i="23"/>
  <c r="BQ34" i="23"/>
  <c r="BQ33" i="23"/>
  <c r="BQ29" i="23"/>
  <c r="BQ19" i="23"/>
  <c r="BQ50" i="23"/>
  <c r="BQ32" i="23"/>
  <c r="BQ26" i="23"/>
  <c r="BQ24" i="23"/>
  <c r="BQ21" i="23"/>
  <c r="BQ44" i="23"/>
  <c r="BQ30" i="23"/>
  <c r="BQ20" i="23"/>
  <c r="BQ23" i="23"/>
  <c r="BQ12" i="23"/>
  <c r="BQ4" i="23"/>
  <c r="BQ25" i="23"/>
  <c r="BQ11" i="23"/>
  <c r="BQ28" i="23"/>
  <c r="BQ9" i="23"/>
  <c r="BQ22" i="23"/>
  <c r="BQ16" i="23"/>
  <c r="BQ14" i="23"/>
  <c r="BQ6" i="23"/>
  <c r="BQ15" i="23"/>
  <c r="BQ13" i="23"/>
  <c r="BQ5" i="23"/>
  <c r="BQ39" i="23"/>
  <c r="BR2" i="23"/>
  <c r="BQ18" i="23"/>
  <c r="BQ10" i="23"/>
  <c r="BQ8" i="23"/>
  <c r="BQ17" i="23"/>
  <c r="BQ7" i="23"/>
  <c r="BQ27" i="23"/>
  <c r="BR143" i="23" l="1"/>
  <c r="BR149" i="23"/>
  <c r="BR204" i="23"/>
  <c r="BR170" i="23"/>
  <c r="BR131" i="23"/>
  <c r="BR211" i="23"/>
  <c r="BR152" i="23"/>
  <c r="BR115" i="23"/>
  <c r="BR142" i="23"/>
  <c r="BR120" i="23"/>
  <c r="BR200" i="23"/>
  <c r="BR206" i="23"/>
  <c r="BR127" i="23"/>
  <c r="BR124" i="23"/>
  <c r="BR189" i="23"/>
  <c r="BR201" i="23"/>
  <c r="BR197" i="23"/>
  <c r="BR164" i="23"/>
  <c r="BR195" i="23"/>
  <c r="BR151" i="23"/>
  <c r="BR207" i="23"/>
  <c r="BR210" i="23"/>
  <c r="BR205" i="23"/>
  <c r="BR203" i="23"/>
  <c r="BR209" i="23"/>
  <c r="BR192" i="23"/>
  <c r="BR212" i="23"/>
  <c r="BR117" i="23"/>
  <c r="BR184" i="23"/>
  <c r="BR196" i="23"/>
  <c r="BR183" i="23"/>
  <c r="BR193" i="23"/>
  <c r="BR208" i="23"/>
  <c r="BR186" i="23"/>
  <c r="BR185" i="23"/>
  <c r="BR177" i="23"/>
  <c r="BR190" i="23"/>
  <c r="BR182" i="23"/>
  <c r="BR171" i="23"/>
  <c r="BR172" i="23"/>
  <c r="BR174" i="23"/>
  <c r="BR181" i="23"/>
  <c r="BR165" i="23"/>
  <c r="BR159" i="23"/>
  <c r="BR150" i="23"/>
  <c r="BR148" i="23"/>
  <c r="BR168" i="23"/>
  <c r="BR167" i="23"/>
  <c r="BR163" i="23"/>
  <c r="BR156" i="23"/>
  <c r="BR173" i="23"/>
  <c r="BR160" i="23"/>
  <c r="BR157" i="23"/>
  <c r="BR137" i="23"/>
  <c r="BR198" i="23"/>
  <c r="BR176" i="23"/>
  <c r="BR162" i="23"/>
  <c r="BR155" i="23"/>
  <c r="BR194" i="23"/>
  <c r="BR179" i="23"/>
  <c r="BR187" i="23"/>
  <c r="BR128" i="23"/>
  <c r="BR175" i="23"/>
  <c r="BR144" i="23"/>
  <c r="BR178" i="23"/>
  <c r="BR161" i="23"/>
  <c r="BR154" i="23"/>
  <c r="BR140" i="23"/>
  <c r="BR141" i="23"/>
  <c r="BR139" i="23"/>
  <c r="BR126" i="23"/>
  <c r="BR135" i="23"/>
  <c r="BR134" i="23"/>
  <c r="BR146" i="23"/>
  <c r="BR130" i="23"/>
  <c r="BR133" i="23"/>
  <c r="BR123" i="23"/>
  <c r="BR121" i="23"/>
  <c r="BR122" i="23"/>
  <c r="BR145" i="23"/>
  <c r="BR153" i="23"/>
  <c r="BR199" i="23"/>
  <c r="BR116" i="23"/>
  <c r="BR188" i="23"/>
  <c r="BR166" i="23"/>
  <c r="BR129" i="23"/>
  <c r="BR118" i="23"/>
  <c r="BR119" i="23"/>
  <c r="BR132" i="23"/>
  <c r="BR138" i="23"/>
  <c r="BR114" i="23"/>
  <c r="BR191" i="23"/>
  <c r="BR136" i="23"/>
  <c r="BR125" i="23"/>
  <c r="BR147" i="23"/>
  <c r="BR202" i="23"/>
  <c r="BR180" i="23"/>
  <c r="BR169" i="23"/>
  <c r="BR158" i="23"/>
  <c r="BR112" i="23"/>
  <c r="BR113" i="23"/>
  <c r="BR107" i="23"/>
  <c r="BR108" i="23"/>
  <c r="BR110" i="23"/>
  <c r="BR106" i="23"/>
  <c r="BR111" i="23"/>
  <c r="BR105" i="23"/>
  <c r="BR104" i="23"/>
  <c r="BR102" i="23"/>
  <c r="BR98" i="23"/>
  <c r="BR101" i="23"/>
  <c r="BR97" i="23"/>
  <c r="BR95" i="23"/>
  <c r="BR94" i="23"/>
  <c r="BR92" i="23"/>
  <c r="BR109" i="23"/>
  <c r="BR99" i="23"/>
  <c r="BR93" i="23"/>
  <c r="BR83" i="23"/>
  <c r="BR89" i="23"/>
  <c r="BR103" i="23"/>
  <c r="BR91" i="23"/>
  <c r="BR96" i="23"/>
  <c r="BR82" i="23"/>
  <c r="BR80" i="23"/>
  <c r="BR88" i="23"/>
  <c r="BR81" i="23"/>
  <c r="BR90" i="23"/>
  <c r="BR85" i="23"/>
  <c r="BR84" i="23"/>
  <c r="BR78" i="23"/>
  <c r="BR77" i="23"/>
  <c r="BR87" i="23"/>
  <c r="BR76" i="23"/>
  <c r="BR75" i="23"/>
  <c r="BR79" i="23"/>
  <c r="BR69" i="23"/>
  <c r="BR65" i="23"/>
  <c r="BR64" i="23"/>
  <c r="BR73" i="23"/>
  <c r="BR67" i="23"/>
  <c r="BR60" i="23"/>
  <c r="BR58" i="23"/>
  <c r="BR68" i="23"/>
  <c r="BR70" i="23"/>
  <c r="BR62" i="23"/>
  <c r="BR52" i="23"/>
  <c r="BR61" i="23"/>
  <c r="BR51" i="23"/>
  <c r="BR56" i="23"/>
  <c r="BR48" i="23"/>
  <c r="BR46" i="23"/>
  <c r="BR72" i="23"/>
  <c r="BR63" i="23"/>
  <c r="BR50" i="23"/>
  <c r="BR100" i="23"/>
  <c r="BR66" i="23"/>
  <c r="BR54" i="23"/>
  <c r="BR49" i="23"/>
  <c r="BR47" i="23"/>
  <c r="BR45" i="23"/>
  <c r="BR57" i="23"/>
  <c r="BR38" i="23"/>
  <c r="BR36" i="23"/>
  <c r="BR33" i="23"/>
  <c r="BR74" i="23"/>
  <c r="BR55" i="23"/>
  <c r="BR42" i="23"/>
  <c r="BR32" i="23"/>
  <c r="BR86" i="23"/>
  <c r="BR53" i="23"/>
  <c r="BR43" i="23"/>
  <c r="BR41" i="23"/>
  <c r="BR26" i="23"/>
  <c r="BR24" i="23"/>
  <c r="BR37" i="23"/>
  <c r="BR21" i="23"/>
  <c r="BR40" i="23"/>
  <c r="BR31" i="23"/>
  <c r="BR28" i="23"/>
  <c r="BR59" i="23"/>
  <c r="BR27" i="23"/>
  <c r="BR25" i="23"/>
  <c r="BR34" i="23"/>
  <c r="BR9" i="23"/>
  <c r="BR22" i="23"/>
  <c r="BR16" i="23"/>
  <c r="BR14" i="23"/>
  <c r="BR6" i="23"/>
  <c r="BS2" i="23"/>
  <c r="BR19" i="23"/>
  <c r="BR11" i="23"/>
  <c r="BR35" i="23"/>
  <c r="BR18" i="23"/>
  <c r="BR8" i="23"/>
  <c r="BR39" i="23"/>
  <c r="BR10" i="23"/>
  <c r="BR71" i="23"/>
  <c r="BR17" i="23"/>
  <c r="BR20" i="23"/>
  <c r="BR5" i="23"/>
  <c r="BR23" i="23"/>
  <c r="BR44" i="23"/>
  <c r="BR12" i="23"/>
  <c r="BR13" i="23"/>
  <c r="BR30" i="23"/>
  <c r="BR29" i="23"/>
  <c r="BR4" i="23"/>
  <c r="BR15" i="23"/>
  <c r="BR7" i="23"/>
  <c r="BS115" i="23" l="1"/>
  <c r="BS211" i="23"/>
  <c r="BS145" i="23"/>
  <c r="BS124" i="23"/>
  <c r="BS144" i="23"/>
  <c r="BS132" i="23"/>
  <c r="BS166" i="23"/>
  <c r="BS152" i="23"/>
  <c r="BS173" i="23"/>
  <c r="BS159" i="23"/>
  <c r="BS123" i="23"/>
  <c r="BS128" i="23"/>
  <c r="BS164" i="23"/>
  <c r="BS151" i="23"/>
  <c r="BS149" i="23"/>
  <c r="BS170" i="23"/>
  <c r="BS189" i="23"/>
  <c r="BS194" i="23"/>
  <c r="BS208" i="23"/>
  <c r="BS193" i="23"/>
  <c r="BS203" i="23"/>
  <c r="BS197" i="23"/>
  <c r="BS174" i="23"/>
  <c r="BS209" i="23"/>
  <c r="BS205" i="23"/>
  <c r="BS207" i="23"/>
  <c r="BS121" i="23"/>
  <c r="BS212" i="23"/>
  <c r="BS192" i="23"/>
  <c r="BS199" i="23"/>
  <c r="BS196" i="23"/>
  <c r="BS206" i="23"/>
  <c r="BS210" i="23"/>
  <c r="BS198" i="23"/>
  <c r="BS178" i="23"/>
  <c r="BS201" i="23"/>
  <c r="BS187" i="23"/>
  <c r="BS195" i="23"/>
  <c r="BS184" i="23"/>
  <c r="BS185" i="23"/>
  <c r="BS186" i="23"/>
  <c r="BS204" i="23"/>
  <c r="BS188" i="23"/>
  <c r="BS183" i="23"/>
  <c r="BS172" i="23"/>
  <c r="BS160" i="23"/>
  <c r="BS163" i="23"/>
  <c r="BS150" i="23"/>
  <c r="BS190" i="23"/>
  <c r="BS168" i="23"/>
  <c r="BS200" i="23"/>
  <c r="BS182" i="23"/>
  <c r="BS175" i="23"/>
  <c r="BS167" i="23"/>
  <c r="BS165" i="23"/>
  <c r="BS148" i="23"/>
  <c r="BS177" i="23"/>
  <c r="BS162" i="23"/>
  <c r="BS155" i="23"/>
  <c r="BS181" i="23"/>
  <c r="BS156" i="23"/>
  <c r="BS154" i="23"/>
  <c r="BS139" i="23"/>
  <c r="BS137" i="23"/>
  <c r="BS153" i="23"/>
  <c r="BS141" i="23"/>
  <c r="BS176" i="23"/>
  <c r="BS157" i="23"/>
  <c r="BS133" i="23"/>
  <c r="BS179" i="23"/>
  <c r="BS135" i="23"/>
  <c r="BS138" i="23"/>
  <c r="BS140" i="23"/>
  <c r="BS126" i="23"/>
  <c r="BS127" i="23"/>
  <c r="BS119" i="23"/>
  <c r="BS129" i="23"/>
  <c r="BS117" i="23"/>
  <c r="BS161" i="23"/>
  <c r="BS122" i="23"/>
  <c r="BS116" i="23"/>
  <c r="BS142" i="23"/>
  <c r="BS143" i="23"/>
  <c r="BS120" i="23"/>
  <c r="BS130" i="23"/>
  <c r="BS131" i="23"/>
  <c r="BS118" i="23"/>
  <c r="BS146" i="23"/>
  <c r="BS171" i="23"/>
  <c r="BS134" i="23"/>
  <c r="BS158" i="23"/>
  <c r="BS191" i="23"/>
  <c r="BS180" i="23"/>
  <c r="BS169" i="23"/>
  <c r="BS125" i="23"/>
  <c r="BS147" i="23"/>
  <c r="BS114" i="23"/>
  <c r="BS202" i="23"/>
  <c r="BS136" i="23"/>
  <c r="BS113" i="23"/>
  <c r="BS111" i="23"/>
  <c r="BS110" i="23"/>
  <c r="BS109" i="23"/>
  <c r="BS106" i="23"/>
  <c r="BS108" i="23"/>
  <c r="BS105" i="23"/>
  <c r="BS112" i="23"/>
  <c r="BS100" i="23"/>
  <c r="BS102" i="23"/>
  <c r="BS96" i="23"/>
  <c r="BS99" i="23"/>
  <c r="BS95" i="23"/>
  <c r="BS101" i="23"/>
  <c r="BS97" i="23"/>
  <c r="BS98" i="23"/>
  <c r="BS103" i="23"/>
  <c r="BS107" i="23"/>
  <c r="BS104" i="23"/>
  <c r="BS91" i="23"/>
  <c r="BS94" i="23"/>
  <c r="BS89" i="23"/>
  <c r="BS93" i="23"/>
  <c r="BS86" i="23"/>
  <c r="BS84" i="23"/>
  <c r="BS92" i="23"/>
  <c r="BS78" i="23"/>
  <c r="BS87" i="23"/>
  <c r="BS83" i="23"/>
  <c r="BS75" i="23"/>
  <c r="BS88" i="23"/>
  <c r="BS81" i="23"/>
  <c r="BS74" i="23"/>
  <c r="BS76" i="23"/>
  <c r="BS79" i="23"/>
  <c r="BS69" i="23"/>
  <c r="BS72" i="23"/>
  <c r="BS80" i="23"/>
  <c r="BS68" i="23"/>
  <c r="BS90" i="23"/>
  <c r="BS70" i="23"/>
  <c r="BS62" i="23"/>
  <c r="BS63" i="23"/>
  <c r="BS59" i="23"/>
  <c r="BS57" i="23"/>
  <c r="BS77" i="23"/>
  <c r="BS66" i="23"/>
  <c r="BS65" i="23"/>
  <c r="BS56" i="23"/>
  <c r="BS67" i="23"/>
  <c r="BS61" i="23"/>
  <c r="BS51" i="23"/>
  <c r="BS50" i="23"/>
  <c r="BS82" i="23"/>
  <c r="BS53" i="23"/>
  <c r="BS52" i="23"/>
  <c r="BS45" i="23"/>
  <c r="BS85" i="23"/>
  <c r="BS64" i="23"/>
  <c r="BS60" i="23"/>
  <c r="BS55" i="23"/>
  <c r="BS44" i="23"/>
  <c r="BS49" i="23"/>
  <c r="BS38" i="23"/>
  <c r="BS33" i="23"/>
  <c r="BS71" i="23"/>
  <c r="BS58" i="23"/>
  <c r="BS54" i="23"/>
  <c r="BS43" i="23"/>
  <c r="BS39" i="23"/>
  <c r="BS73" i="23"/>
  <c r="BS37" i="23"/>
  <c r="BS32" i="23"/>
  <c r="BS21" i="23"/>
  <c r="BS40" i="23"/>
  <c r="BS31" i="23"/>
  <c r="BS28" i="23"/>
  <c r="BS23" i="23"/>
  <c r="BS46" i="23"/>
  <c r="BS22" i="23"/>
  <c r="BS48" i="23"/>
  <c r="BS16" i="23"/>
  <c r="BS14" i="23"/>
  <c r="BS6" i="23"/>
  <c r="BS5" i="23"/>
  <c r="BS41" i="23"/>
  <c r="BS19" i="23"/>
  <c r="BS11" i="23"/>
  <c r="BS15" i="23"/>
  <c r="BS13" i="23"/>
  <c r="BS35" i="23"/>
  <c r="BS25" i="23"/>
  <c r="BS18" i="23"/>
  <c r="BS8" i="23"/>
  <c r="BT2" i="23"/>
  <c r="BS47" i="23"/>
  <c r="BS30" i="23"/>
  <c r="BS27" i="23"/>
  <c r="BS42" i="23"/>
  <c r="BS17" i="23"/>
  <c r="BS7" i="23"/>
  <c r="BS36" i="23"/>
  <c r="BS29" i="23"/>
  <c r="BS24" i="23"/>
  <c r="BS20" i="23"/>
  <c r="BS12" i="23"/>
  <c r="BS34" i="23"/>
  <c r="BS26" i="23"/>
  <c r="BS10" i="23"/>
  <c r="BS4" i="23"/>
  <c r="BS9" i="23"/>
  <c r="BT193" i="23" l="1"/>
  <c r="BT134" i="23"/>
  <c r="BT189" i="23"/>
  <c r="BT126" i="23"/>
  <c r="BT198" i="23"/>
  <c r="BT190" i="23"/>
  <c r="BT196" i="23"/>
  <c r="BT145" i="23"/>
  <c r="BT166" i="23"/>
  <c r="BT127" i="23"/>
  <c r="BT149" i="23"/>
  <c r="BT144" i="23"/>
  <c r="BT131" i="23"/>
  <c r="BT164" i="23"/>
  <c r="BT142" i="23"/>
  <c r="BT207" i="23"/>
  <c r="BT212" i="23"/>
  <c r="BT205" i="23"/>
  <c r="BT168" i="23"/>
  <c r="BT195" i="23"/>
  <c r="BT176" i="23"/>
  <c r="BT128" i="23"/>
  <c r="BT208" i="23"/>
  <c r="BT173" i="23"/>
  <c r="BT210" i="23"/>
  <c r="BT192" i="23"/>
  <c r="BT211" i="23"/>
  <c r="BT200" i="23"/>
  <c r="BT203" i="23"/>
  <c r="BT206" i="23"/>
  <c r="BT209" i="23"/>
  <c r="BT199" i="23"/>
  <c r="BT194" i="23"/>
  <c r="BT204" i="23"/>
  <c r="BT197" i="23"/>
  <c r="BT182" i="23"/>
  <c r="BT186" i="23"/>
  <c r="BT185" i="23"/>
  <c r="BT172" i="23"/>
  <c r="BT201" i="23"/>
  <c r="BT184" i="23"/>
  <c r="BT178" i="23"/>
  <c r="BT160" i="23"/>
  <c r="BT150" i="23"/>
  <c r="BT155" i="23"/>
  <c r="BT174" i="23"/>
  <c r="BT170" i="23"/>
  <c r="BT167" i="23"/>
  <c r="BT162" i="23"/>
  <c r="BT161" i="23"/>
  <c r="BT177" i="23"/>
  <c r="BT137" i="23"/>
  <c r="BT179" i="23"/>
  <c r="BT187" i="23"/>
  <c r="BT156" i="23"/>
  <c r="BT141" i="23"/>
  <c r="BT151" i="23"/>
  <c r="BT143" i="23"/>
  <c r="BT175" i="23"/>
  <c r="BT130" i="23"/>
  <c r="BT132" i="23"/>
  <c r="BT129" i="23"/>
  <c r="BT171" i="23"/>
  <c r="BT183" i="23"/>
  <c r="BT146" i="23"/>
  <c r="BT119" i="23"/>
  <c r="BT163" i="23"/>
  <c r="BT154" i="23"/>
  <c r="BT157" i="23"/>
  <c r="BT152" i="23"/>
  <c r="BT139" i="23"/>
  <c r="BT133" i="23"/>
  <c r="BT122" i="23"/>
  <c r="BT120" i="23"/>
  <c r="BT181" i="23"/>
  <c r="BT159" i="23"/>
  <c r="BT138" i="23"/>
  <c r="BT140" i="23"/>
  <c r="BT188" i="23"/>
  <c r="BT165" i="23"/>
  <c r="BT115" i="23"/>
  <c r="BT116" i="23"/>
  <c r="BT118" i="23"/>
  <c r="BT121" i="23"/>
  <c r="BT153" i="23"/>
  <c r="BT117" i="23"/>
  <c r="BT123" i="23"/>
  <c r="BT135" i="23"/>
  <c r="BT148" i="23"/>
  <c r="BT124" i="23"/>
  <c r="BT136" i="23"/>
  <c r="BT202" i="23"/>
  <c r="BT191" i="23"/>
  <c r="BT180" i="23"/>
  <c r="BT147" i="23"/>
  <c r="BT114" i="23"/>
  <c r="BT158" i="23"/>
  <c r="BT125" i="23"/>
  <c r="BT169" i="23"/>
  <c r="BT112" i="23"/>
  <c r="BT107" i="23"/>
  <c r="BT111" i="23"/>
  <c r="BT113" i="23"/>
  <c r="BT108" i="23"/>
  <c r="BT110" i="23"/>
  <c r="BT103" i="23"/>
  <c r="BT101" i="23"/>
  <c r="BT106" i="23"/>
  <c r="BT105" i="23"/>
  <c r="BT102" i="23"/>
  <c r="BT100" i="23"/>
  <c r="BT98" i="23"/>
  <c r="BT99" i="23"/>
  <c r="BT89" i="23"/>
  <c r="BT88" i="23"/>
  <c r="BT109" i="23"/>
  <c r="BT104" i="23"/>
  <c r="BT95" i="23"/>
  <c r="BT97" i="23"/>
  <c r="BT86" i="23"/>
  <c r="BT90" i="23"/>
  <c r="BT85" i="23"/>
  <c r="BT91" i="23"/>
  <c r="BT96" i="23"/>
  <c r="BT93" i="23"/>
  <c r="BT87" i="23"/>
  <c r="BT83" i="23"/>
  <c r="BT92" i="23"/>
  <c r="BT84" i="23"/>
  <c r="BT78" i="23"/>
  <c r="BT72" i="23"/>
  <c r="BT82" i="23"/>
  <c r="BT80" i="23"/>
  <c r="BT79" i="23"/>
  <c r="BT71" i="23"/>
  <c r="BT69" i="23"/>
  <c r="BT75" i="23"/>
  <c r="BT70" i="23"/>
  <c r="BT67" i="23"/>
  <c r="BT77" i="23"/>
  <c r="BT73" i="23"/>
  <c r="BT66" i="23"/>
  <c r="BT81" i="23"/>
  <c r="BT62" i="23"/>
  <c r="BT63" i="23"/>
  <c r="BT59" i="23"/>
  <c r="BT57" i="23"/>
  <c r="BT74" i="23"/>
  <c r="BT54" i="23"/>
  <c r="BT76" i="23"/>
  <c r="BT53" i="23"/>
  <c r="BT65" i="23"/>
  <c r="BT61" i="23"/>
  <c r="BT51" i="23"/>
  <c r="BT50" i="23"/>
  <c r="BT52" i="23"/>
  <c r="BT68" i="23"/>
  <c r="BT58" i="23"/>
  <c r="BT42" i="23"/>
  <c r="BT41" i="23"/>
  <c r="BT56" i="23"/>
  <c r="BT64" i="23"/>
  <c r="BT46" i="23"/>
  <c r="BT40" i="23"/>
  <c r="BT37" i="23"/>
  <c r="BT35" i="23"/>
  <c r="BT94" i="23"/>
  <c r="BT44" i="23"/>
  <c r="BT34" i="23"/>
  <c r="BT45" i="23"/>
  <c r="BT31" i="23"/>
  <c r="BT28" i="23"/>
  <c r="BT60" i="23"/>
  <c r="BT23" i="23"/>
  <c r="BT39" i="23"/>
  <c r="BT30" i="23"/>
  <c r="BT20" i="23"/>
  <c r="BT55" i="23"/>
  <c r="BT36" i="23"/>
  <c r="BT29" i="23"/>
  <c r="BT19" i="23"/>
  <c r="BT22" i="23"/>
  <c r="BT11" i="23"/>
  <c r="BT10" i="23"/>
  <c r="BT25" i="23"/>
  <c r="BT18" i="23"/>
  <c r="BT8" i="23"/>
  <c r="BU2" i="23"/>
  <c r="BT47" i="23"/>
  <c r="BT32" i="23"/>
  <c r="BT27" i="23"/>
  <c r="BT15" i="23"/>
  <c r="BT13" i="23"/>
  <c r="BT5" i="23"/>
  <c r="BT49" i="23"/>
  <c r="BT33" i="23"/>
  <c r="BT24" i="23"/>
  <c r="BT12" i="23"/>
  <c r="BT4" i="23"/>
  <c r="BT43" i="23"/>
  <c r="BT26" i="23"/>
  <c r="BT16" i="23"/>
  <c r="BT6" i="23"/>
  <c r="BT38" i="23"/>
  <c r="BT14" i="23"/>
  <c r="BT7" i="23"/>
  <c r="BT48" i="23"/>
  <c r="BT21" i="23"/>
  <c r="BT17" i="23"/>
  <c r="BT9" i="23"/>
  <c r="BU135" i="23" l="1"/>
  <c r="BU131" i="23"/>
  <c r="BU123" i="23"/>
  <c r="BU115" i="23"/>
  <c r="BU190" i="23"/>
  <c r="BU204" i="23"/>
  <c r="BU199" i="23"/>
  <c r="BU211" i="23"/>
  <c r="BU208" i="23"/>
  <c r="BU200" i="23"/>
  <c r="BU210" i="23"/>
  <c r="BU192" i="23"/>
  <c r="BU209" i="23"/>
  <c r="BU203" i="23"/>
  <c r="BU207" i="23"/>
  <c r="BU212" i="23"/>
  <c r="BU134" i="23"/>
  <c r="BU205" i="23"/>
  <c r="BU193" i="23"/>
  <c r="BU197" i="23"/>
  <c r="BU186" i="23"/>
  <c r="BU166" i="23"/>
  <c r="BU198" i="23"/>
  <c r="BU195" i="23"/>
  <c r="BU196" i="23"/>
  <c r="BU206" i="23"/>
  <c r="BU184" i="23"/>
  <c r="BU194" i="23"/>
  <c r="BU187" i="23"/>
  <c r="BU182" i="23"/>
  <c r="BU189" i="23"/>
  <c r="BU188" i="23"/>
  <c r="BU172" i="23"/>
  <c r="BU201" i="23"/>
  <c r="BU181" i="23"/>
  <c r="BU173" i="23"/>
  <c r="BU183" i="23"/>
  <c r="BU170" i="23"/>
  <c r="BU178" i="23"/>
  <c r="BU163" i="23"/>
  <c r="BU159" i="23"/>
  <c r="BU156" i="23"/>
  <c r="BU150" i="23"/>
  <c r="BU176" i="23"/>
  <c r="BU148" i="23"/>
  <c r="BU174" i="23"/>
  <c r="BU167" i="23"/>
  <c r="BU164" i="23"/>
  <c r="BU165" i="23"/>
  <c r="BU142" i="23"/>
  <c r="BU175" i="23"/>
  <c r="BU160" i="23"/>
  <c r="BU149" i="23"/>
  <c r="BU137" i="23"/>
  <c r="BU138" i="23"/>
  <c r="BU139" i="23"/>
  <c r="BU161" i="23"/>
  <c r="BU153" i="23"/>
  <c r="BU126" i="23"/>
  <c r="BU177" i="23"/>
  <c r="BU127" i="23"/>
  <c r="BU132" i="23"/>
  <c r="BU185" i="23"/>
  <c r="BU152" i="23"/>
  <c r="BU157" i="23"/>
  <c r="BU141" i="23"/>
  <c r="BU146" i="23"/>
  <c r="BU130" i="23"/>
  <c r="BU151" i="23"/>
  <c r="BU143" i="23"/>
  <c r="BU128" i="23"/>
  <c r="BU120" i="23"/>
  <c r="BU121" i="23"/>
  <c r="BU133" i="23"/>
  <c r="BU179" i="23"/>
  <c r="BU145" i="23"/>
  <c r="BU129" i="23"/>
  <c r="BU116" i="23"/>
  <c r="BU117" i="23"/>
  <c r="BU122" i="23"/>
  <c r="BU162" i="23"/>
  <c r="BU168" i="23"/>
  <c r="BU155" i="23"/>
  <c r="BU124" i="23"/>
  <c r="BU154" i="23"/>
  <c r="BU171" i="23"/>
  <c r="BU144" i="23"/>
  <c r="BU119" i="23"/>
  <c r="BU118" i="23"/>
  <c r="BU140" i="23"/>
  <c r="BU202" i="23"/>
  <c r="BU180" i="23"/>
  <c r="BU114" i="23"/>
  <c r="BU191" i="23"/>
  <c r="BU147" i="23"/>
  <c r="BU158" i="23"/>
  <c r="BU136" i="23"/>
  <c r="BU169" i="23"/>
  <c r="BU125" i="23"/>
  <c r="BU112" i="23"/>
  <c r="BU113" i="23"/>
  <c r="BU109" i="23"/>
  <c r="BU108" i="23"/>
  <c r="BU106" i="23"/>
  <c r="BU111" i="23"/>
  <c r="BU110" i="23"/>
  <c r="BU107" i="23"/>
  <c r="BU104" i="23"/>
  <c r="BU103" i="23"/>
  <c r="BU102" i="23"/>
  <c r="BU101" i="23"/>
  <c r="BU97" i="23"/>
  <c r="BU105" i="23"/>
  <c r="BU99" i="23"/>
  <c r="BU94" i="23"/>
  <c r="BU100" i="23"/>
  <c r="BU96" i="23"/>
  <c r="BU95" i="23"/>
  <c r="BU93" i="23"/>
  <c r="BU92" i="23"/>
  <c r="BU91" i="23"/>
  <c r="BU88" i="23"/>
  <c r="BU87" i="23"/>
  <c r="BU86" i="23"/>
  <c r="BU81" i="23"/>
  <c r="BU90" i="23"/>
  <c r="BU83" i="23"/>
  <c r="BU77" i="23"/>
  <c r="BU76" i="23"/>
  <c r="BU79" i="23"/>
  <c r="BU69" i="23"/>
  <c r="BU70" i="23"/>
  <c r="BU85" i="23"/>
  <c r="BU84" i="23"/>
  <c r="BU82" i="23"/>
  <c r="BU71" i="23"/>
  <c r="BU64" i="23"/>
  <c r="BU89" i="23"/>
  <c r="BU74" i="23"/>
  <c r="BU63" i="23"/>
  <c r="BU59" i="23"/>
  <c r="BU57" i="23"/>
  <c r="BU72" i="23"/>
  <c r="BU61" i="23"/>
  <c r="BU51" i="23"/>
  <c r="BU98" i="23"/>
  <c r="BU60" i="23"/>
  <c r="BU58" i="23"/>
  <c r="BU67" i="23"/>
  <c r="BU52" i="23"/>
  <c r="BU68" i="23"/>
  <c r="BU53" i="23"/>
  <c r="BU49" i="23"/>
  <c r="BU47" i="23"/>
  <c r="BU48" i="23"/>
  <c r="BU46" i="23"/>
  <c r="BU78" i="23"/>
  <c r="BU54" i="23"/>
  <c r="BU40" i="23"/>
  <c r="BU37" i="23"/>
  <c r="BU35" i="23"/>
  <c r="BU65" i="23"/>
  <c r="BU32" i="23"/>
  <c r="BU50" i="23"/>
  <c r="BU41" i="23"/>
  <c r="BU31" i="23"/>
  <c r="BU62" i="23"/>
  <c r="BU23" i="23"/>
  <c r="BU66" i="23"/>
  <c r="BU39" i="23"/>
  <c r="BU30" i="23"/>
  <c r="BU20" i="23"/>
  <c r="BU73" i="23"/>
  <c r="BU27" i="23"/>
  <c r="BU25" i="23"/>
  <c r="BU75" i="23"/>
  <c r="BU38" i="23"/>
  <c r="BU34" i="23"/>
  <c r="BU26" i="23"/>
  <c r="BU24" i="23"/>
  <c r="BU55" i="23"/>
  <c r="BU28" i="23"/>
  <c r="BU19" i="23"/>
  <c r="BU18" i="23"/>
  <c r="BU8" i="23"/>
  <c r="BV2" i="23"/>
  <c r="BU21" i="23"/>
  <c r="BU45" i="23"/>
  <c r="BU15" i="23"/>
  <c r="BU13" i="23"/>
  <c r="BU5" i="23"/>
  <c r="BU10" i="23"/>
  <c r="BU17" i="23"/>
  <c r="BU7" i="23"/>
  <c r="BU80" i="23"/>
  <c r="BU43" i="23"/>
  <c r="BU36" i="23"/>
  <c r="BU29" i="23"/>
  <c r="BU9" i="23"/>
  <c r="BU56" i="23"/>
  <c r="BU44" i="23"/>
  <c r="BU16" i="23"/>
  <c r="BU14" i="23"/>
  <c r="BU12" i="23"/>
  <c r="BU4" i="23"/>
  <c r="BU11" i="23"/>
  <c r="BU22" i="23"/>
  <c r="BU6" i="23"/>
  <c r="BU42" i="23"/>
  <c r="BU33" i="23"/>
  <c r="BV210" i="23" l="1"/>
  <c r="BV124" i="23"/>
  <c r="BV122" i="23"/>
  <c r="BV201" i="23"/>
  <c r="BV127" i="23"/>
  <c r="BV188" i="23"/>
  <c r="BV134" i="23"/>
  <c r="BV162" i="23"/>
  <c r="BV148" i="23"/>
  <c r="BV170" i="23"/>
  <c r="BV120" i="23"/>
  <c r="BV157" i="23"/>
  <c r="BV166" i="23"/>
  <c r="BV183" i="23"/>
  <c r="BV212" i="23"/>
  <c r="BV207" i="23"/>
  <c r="BV115" i="23"/>
  <c r="BV196" i="23"/>
  <c r="BV208" i="23"/>
  <c r="BV204" i="23"/>
  <c r="BV205" i="23"/>
  <c r="BV192" i="23"/>
  <c r="BV198" i="23"/>
  <c r="BV203" i="23"/>
  <c r="BV193" i="23"/>
  <c r="BV209" i="23"/>
  <c r="BV206" i="23"/>
  <c r="BV176" i="23"/>
  <c r="BV211" i="23"/>
  <c r="BV186" i="23"/>
  <c r="BV181" i="23"/>
  <c r="BV164" i="23"/>
  <c r="BV200" i="23"/>
  <c r="BV197" i="23"/>
  <c r="BV187" i="23"/>
  <c r="BV185" i="23"/>
  <c r="BV194" i="23"/>
  <c r="BV199" i="23"/>
  <c r="BV184" i="23"/>
  <c r="BV189" i="23"/>
  <c r="BV190" i="23"/>
  <c r="BV182" i="23"/>
  <c r="BV175" i="23"/>
  <c r="BV171" i="23"/>
  <c r="BV159" i="23"/>
  <c r="BV160" i="23"/>
  <c r="BV165" i="23"/>
  <c r="BV153" i="23"/>
  <c r="BV179" i="23"/>
  <c r="BV163" i="23"/>
  <c r="BV172" i="23"/>
  <c r="BV173" i="23"/>
  <c r="BV155" i="23"/>
  <c r="BV174" i="23"/>
  <c r="BV150" i="23"/>
  <c r="BV140" i="23"/>
  <c r="BV161" i="23"/>
  <c r="BV156" i="23"/>
  <c r="BV154" i="23"/>
  <c r="BV138" i="23"/>
  <c r="BV141" i="23"/>
  <c r="BV144" i="23"/>
  <c r="BV143" i="23"/>
  <c r="BV135" i="23"/>
  <c r="BV168" i="23"/>
  <c r="BV142" i="23"/>
  <c r="BV130" i="23"/>
  <c r="BV178" i="23"/>
  <c r="BV151" i="23"/>
  <c r="BV149" i="23"/>
  <c r="BV137" i="23"/>
  <c r="BV126" i="23"/>
  <c r="BV177" i="23"/>
  <c r="BV123" i="23"/>
  <c r="BV152" i="23"/>
  <c r="BV117" i="23"/>
  <c r="BV167" i="23"/>
  <c r="BV119" i="23"/>
  <c r="BV129" i="23"/>
  <c r="BV146" i="23"/>
  <c r="BV116" i="23"/>
  <c r="BV118" i="23"/>
  <c r="BV128" i="23"/>
  <c r="BV132" i="23"/>
  <c r="BV139" i="23"/>
  <c r="BV131" i="23"/>
  <c r="BV195" i="23"/>
  <c r="BV145" i="23"/>
  <c r="BV121" i="23"/>
  <c r="BV133" i="23"/>
  <c r="BV114" i="23"/>
  <c r="BV169" i="23"/>
  <c r="BV158" i="23"/>
  <c r="BV125" i="23"/>
  <c r="BV136" i="23"/>
  <c r="BV191" i="23"/>
  <c r="BV147" i="23"/>
  <c r="BV202" i="23"/>
  <c r="BV180" i="23"/>
  <c r="BV113" i="23"/>
  <c r="BV112" i="23"/>
  <c r="BV111" i="23"/>
  <c r="BV109" i="23"/>
  <c r="BV108" i="23"/>
  <c r="BV107" i="23"/>
  <c r="BV106" i="23"/>
  <c r="BV105" i="23"/>
  <c r="BV104" i="23"/>
  <c r="BV102" i="23"/>
  <c r="BV100" i="23"/>
  <c r="BV99" i="23"/>
  <c r="BV110" i="23"/>
  <c r="BV95" i="23"/>
  <c r="BV103" i="23"/>
  <c r="BV94" i="23"/>
  <c r="BV91" i="23"/>
  <c r="BV93" i="23"/>
  <c r="BV92" i="23"/>
  <c r="BV90" i="23"/>
  <c r="BV97" i="23"/>
  <c r="BV96" i="23"/>
  <c r="BV87" i="23"/>
  <c r="BV101" i="23"/>
  <c r="BV98" i="23"/>
  <c r="BV84" i="23"/>
  <c r="BV83" i="23"/>
  <c r="BV77" i="23"/>
  <c r="BV74" i="23"/>
  <c r="BV89" i="23"/>
  <c r="BV85" i="23"/>
  <c r="BV73" i="23"/>
  <c r="BV70" i="23"/>
  <c r="BV82" i="23"/>
  <c r="BV71" i="23"/>
  <c r="BV80" i="23"/>
  <c r="BV78" i="23"/>
  <c r="BV81" i="23"/>
  <c r="BV68" i="23"/>
  <c r="BV79" i="23"/>
  <c r="BV63" i="23"/>
  <c r="BV72" i="23"/>
  <c r="BV61" i="23"/>
  <c r="BV65" i="23"/>
  <c r="BV64" i="23"/>
  <c r="BV56" i="23"/>
  <c r="BV86" i="23"/>
  <c r="BV75" i="23"/>
  <c r="BV67" i="23"/>
  <c r="BV55" i="23"/>
  <c r="BV53" i="23"/>
  <c r="BV88" i="23"/>
  <c r="BV76" i="23"/>
  <c r="BV58" i="23"/>
  <c r="BV49" i="23"/>
  <c r="BV47" i="23"/>
  <c r="BV54" i="23"/>
  <c r="BV44" i="23"/>
  <c r="BV62" i="23"/>
  <c r="BV59" i="23"/>
  <c r="BV43" i="23"/>
  <c r="BV57" i="23"/>
  <c r="BV40" i="23"/>
  <c r="BV37" i="23"/>
  <c r="BV51" i="23"/>
  <c r="BV46" i="23"/>
  <c r="BV32" i="23"/>
  <c r="BV48" i="23"/>
  <c r="BV42" i="23"/>
  <c r="BV39" i="23"/>
  <c r="BV69" i="23"/>
  <c r="BV60" i="23"/>
  <c r="BV45" i="23"/>
  <c r="BV38" i="23"/>
  <c r="BV36" i="23"/>
  <c r="BV66" i="23"/>
  <c r="BV52" i="23"/>
  <c r="BV50" i="23"/>
  <c r="BV30" i="23"/>
  <c r="BV20" i="23"/>
  <c r="BV27" i="23"/>
  <c r="BV25" i="23"/>
  <c r="BV22" i="23"/>
  <c r="BV35" i="23"/>
  <c r="BV33" i="23"/>
  <c r="BV21" i="23"/>
  <c r="BV41" i="23"/>
  <c r="BV15" i="23"/>
  <c r="BV13" i="23"/>
  <c r="BV5" i="23"/>
  <c r="BV10" i="23"/>
  <c r="BV12" i="23"/>
  <c r="BV17" i="23"/>
  <c r="BV7" i="23"/>
  <c r="BV4" i="23"/>
  <c r="BV26" i="23"/>
  <c r="BV16" i="23"/>
  <c r="BV14" i="23"/>
  <c r="BV6" i="23"/>
  <c r="BV34" i="23"/>
  <c r="BV31" i="23"/>
  <c r="BV23" i="23"/>
  <c r="BV18" i="23"/>
  <c r="BW2" i="23"/>
  <c r="BV11" i="23"/>
  <c r="BV28" i="23"/>
  <c r="BV19" i="23"/>
  <c r="BV8" i="23"/>
  <c r="BV29" i="23"/>
  <c r="BV24" i="23"/>
  <c r="BV9" i="23"/>
  <c r="BW203" i="23" l="1"/>
  <c r="BW157" i="23"/>
  <c r="BW129" i="23"/>
  <c r="BW144" i="23"/>
  <c r="BW143" i="23"/>
  <c r="BW201" i="23"/>
  <c r="BW140" i="23"/>
  <c r="BW151" i="23"/>
  <c r="BW146" i="23"/>
  <c r="BW149" i="23"/>
  <c r="BW122" i="23"/>
  <c r="BW138" i="23"/>
  <c r="BW159" i="23"/>
  <c r="BW168" i="23"/>
  <c r="BW166" i="23"/>
  <c r="BW193" i="23"/>
  <c r="BW194" i="23"/>
  <c r="BW209" i="23"/>
  <c r="BW182" i="23"/>
  <c r="BW211" i="23"/>
  <c r="BW208" i="23"/>
  <c r="BW206" i="23"/>
  <c r="BW212" i="23"/>
  <c r="BW130" i="23"/>
  <c r="BW210" i="23"/>
  <c r="BW196" i="23"/>
  <c r="BW205" i="23"/>
  <c r="BW192" i="23"/>
  <c r="BW207" i="23"/>
  <c r="BW195" i="23"/>
  <c r="BW204" i="23"/>
  <c r="BW184" i="23"/>
  <c r="BW187" i="23"/>
  <c r="BW199" i="23"/>
  <c r="BW183" i="23"/>
  <c r="BW186" i="23"/>
  <c r="BW176" i="23"/>
  <c r="BW178" i="23"/>
  <c r="BW163" i="23"/>
  <c r="BW167" i="23"/>
  <c r="BW190" i="23"/>
  <c r="BW189" i="23"/>
  <c r="BW174" i="23"/>
  <c r="BW164" i="23"/>
  <c r="BW150" i="23"/>
  <c r="BW156" i="23"/>
  <c r="BW171" i="23"/>
  <c r="BW177" i="23"/>
  <c r="BW162" i="23"/>
  <c r="BW198" i="23"/>
  <c r="BW154" i="23"/>
  <c r="BW152" i="23"/>
  <c r="BW197" i="23"/>
  <c r="BW160" i="23"/>
  <c r="BW153" i="23"/>
  <c r="BW141" i="23"/>
  <c r="BW139" i="23"/>
  <c r="BW185" i="23"/>
  <c r="BW175" i="23"/>
  <c r="BW165" i="23"/>
  <c r="BW161" i="23"/>
  <c r="BW126" i="23"/>
  <c r="BW170" i="23"/>
  <c r="BW132" i="23"/>
  <c r="BW179" i="23"/>
  <c r="BW127" i="23"/>
  <c r="BW133" i="23"/>
  <c r="BW117" i="23"/>
  <c r="BW200" i="23"/>
  <c r="BW188" i="23"/>
  <c r="BW116" i="23"/>
  <c r="BW120" i="23"/>
  <c r="BW124" i="23"/>
  <c r="BW134" i="23"/>
  <c r="BW181" i="23"/>
  <c r="BW172" i="23"/>
  <c r="BW173" i="23"/>
  <c r="BW128" i="23"/>
  <c r="BW142" i="23"/>
  <c r="BW145" i="23"/>
  <c r="BW115" i="23"/>
  <c r="BW137" i="23"/>
  <c r="BW123" i="23"/>
  <c r="BW155" i="23"/>
  <c r="BW118" i="23"/>
  <c r="BW121" i="23"/>
  <c r="BW119" i="23"/>
  <c r="BW135" i="23"/>
  <c r="BW148" i="23"/>
  <c r="BW131" i="23"/>
  <c r="BW180" i="23"/>
  <c r="BW147" i="23"/>
  <c r="BW125" i="23"/>
  <c r="BW136" i="23"/>
  <c r="BW114" i="23"/>
  <c r="BW202" i="23"/>
  <c r="BW191" i="23"/>
  <c r="BW158" i="23"/>
  <c r="BW169" i="23"/>
  <c r="BW113" i="23"/>
  <c r="BW112" i="23"/>
  <c r="BW110" i="23"/>
  <c r="BW107" i="23"/>
  <c r="BW109" i="23"/>
  <c r="BW105" i="23"/>
  <c r="BW108" i="23"/>
  <c r="BW102" i="23"/>
  <c r="BW111" i="23"/>
  <c r="BW106" i="23"/>
  <c r="BW104" i="23"/>
  <c r="BW101" i="23"/>
  <c r="BW99" i="23"/>
  <c r="BW98" i="23"/>
  <c r="BW103" i="23"/>
  <c r="BW95" i="23"/>
  <c r="BW97" i="23"/>
  <c r="BW93" i="23"/>
  <c r="BW89" i="23"/>
  <c r="BW85" i="23"/>
  <c r="BW84" i="23"/>
  <c r="BW96" i="23"/>
  <c r="BW87" i="23"/>
  <c r="BW92" i="23"/>
  <c r="BW88" i="23"/>
  <c r="BW94" i="23"/>
  <c r="BW82" i="23"/>
  <c r="BW80" i="23"/>
  <c r="BW77" i="23"/>
  <c r="BW86" i="23"/>
  <c r="BW81" i="23"/>
  <c r="BW79" i="23"/>
  <c r="BW71" i="23"/>
  <c r="BW100" i="23"/>
  <c r="BW78" i="23"/>
  <c r="BW70" i="23"/>
  <c r="BW72" i="23"/>
  <c r="BW66" i="23"/>
  <c r="BW76" i="23"/>
  <c r="BW75" i="23"/>
  <c r="BW65" i="23"/>
  <c r="BW91" i="23"/>
  <c r="BW90" i="23"/>
  <c r="BW61" i="23"/>
  <c r="BW74" i="23"/>
  <c r="BW64" i="23"/>
  <c r="BW56" i="23"/>
  <c r="BW53" i="23"/>
  <c r="BW73" i="23"/>
  <c r="BW69" i="23"/>
  <c r="BW68" i="23"/>
  <c r="BW62" i="23"/>
  <c r="BW52" i="23"/>
  <c r="BW58" i="23"/>
  <c r="BW49" i="23"/>
  <c r="BW47" i="23"/>
  <c r="BW63" i="23"/>
  <c r="BW54" i="23"/>
  <c r="BW60" i="23"/>
  <c r="BW57" i="23"/>
  <c r="BW55" i="23"/>
  <c r="BW50" i="23"/>
  <c r="BW40" i="23"/>
  <c r="BW51" i="23"/>
  <c r="BW46" i="23"/>
  <c r="BW48" i="23"/>
  <c r="BW42" i="23"/>
  <c r="BW39" i="23"/>
  <c r="BW43" i="23"/>
  <c r="BW34" i="23"/>
  <c r="BW67" i="23"/>
  <c r="BW33" i="23"/>
  <c r="BW27" i="23"/>
  <c r="BW25" i="23"/>
  <c r="BW22" i="23"/>
  <c r="BW44" i="23"/>
  <c r="BW29" i="23"/>
  <c r="BW19" i="23"/>
  <c r="BW41" i="23"/>
  <c r="BW28" i="23"/>
  <c r="BW83" i="23"/>
  <c r="BW45" i="23"/>
  <c r="BW10" i="23"/>
  <c r="BW59" i="23"/>
  <c r="BW35" i="23"/>
  <c r="BW32" i="23"/>
  <c r="BW17" i="23"/>
  <c r="BW7" i="23"/>
  <c r="BW30" i="23"/>
  <c r="BW21" i="23"/>
  <c r="BW12" i="23"/>
  <c r="BW4" i="23"/>
  <c r="BW24" i="23"/>
  <c r="BW9" i="23"/>
  <c r="BW37" i="23"/>
  <c r="BW31" i="23"/>
  <c r="BW23" i="23"/>
  <c r="BW20" i="23"/>
  <c r="BW11" i="23"/>
  <c r="BW38" i="23"/>
  <c r="BW18" i="23"/>
  <c r="BW14" i="23"/>
  <c r="BW5" i="23"/>
  <c r="BW8" i="23"/>
  <c r="BX2" i="23"/>
  <c r="BW13" i="23"/>
  <c r="BW6" i="23"/>
  <c r="BW16" i="23"/>
  <c r="BW36" i="23"/>
  <c r="BW15" i="23"/>
  <c r="BW26" i="23"/>
  <c r="BX185" i="23" l="1"/>
  <c r="BX210" i="23"/>
  <c r="BX187" i="23"/>
  <c r="BX176" i="23"/>
  <c r="BX206" i="23"/>
  <c r="BX117" i="23"/>
  <c r="BX128" i="23"/>
  <c r="BX115" i="23"/>
  <c r="BX182" i="23"/>
  <c r="BX174" i="23"/>
  <c r="BX127" i="23"/>
  <c r="BX198" i="23"/>
  <c r="BX138" i="23"/>
  <c r="BX124" i="23"/>
  <c r="BX129" i="23"/>
  <c r="BX201" i="23"/>
  <c r="BX146" i="23"/>
  <c r="BX161" i="23"/>
  <c r="BX165" i="23"/>
  <c r="BX134" i="23"/>
  <c r="BX144" i="23"/>
  <c r="BX164" i="23"/>
  <c r="BX149" i="23"/>
  <c r="BX200" i="23"/>
  <c r="BX199" i="23"/>
  <c r="BX197" i="23"/>
  <c r="BX170" i="23"/>
  <c r="BX121" i="23"/>
  <c r="BX212" i="23"/>
  <c r="BX194" i="23"/>
  <c r="BX203" i="23"/>
  <c r="BX189" i="23"/>
  <c r="BX173" i="23"/>
  <c r="BX208" i="23"/>
  <c r="BX207" i="23"/>
  <c r="BX211" i="23"/>
  <c r="BX193" i="23"/>
  <c r="BX184" i="23"/>
  <c r="BX205" i="23"/>
  <c r="BX209" i="23"/>
  <c r="BX192" i="23"/>
  <c r="BX186" i="23"/>
  <c r="BX196" i="23"/>
  <c r="BX204" i="23"/>
  <c r="BX195" i="23"/>
  <c r="BX175" i="23"/>
  <c r="BX188" i="23"/>
  <c r="BX177" i="23"/>
  <c r="BX154" i="23"/>
  <c r="BX190" i="23"/>
  <c r="BX162" i="23"/>
  <c r="BX160" i="23"/>
  <c r="BX168" i="23"/>
  <c r="BX150" i="23"/>
  <c r="BX156" i="23"/>
  <c r="BX179" i="23"/>
  <c r="BX166" i="23"/>
  <c r="BX183" i="23"/>
  <c r="BX171" i="23"/>
  <c r="BX151" i="23"/>
  <c r="BX153" i="23"/>
  <c r="BX167" i="23"/>
  <c r="BX172" i="23"/>
  <c r="BX148" i="23"/>
  <c r="BX157" i="23"/>
  <c r="BX130" i="23"/>
  <c r="BX178" i="23"/>
  <c r="BX141" i="23"/>
  <c r="BX137" i="23"/>
  <c r="BX142" i="23"/>
  <c r="BX145" i="23"/>
  <c r="BX126" i="23"/>
  <c r="BX135" i="23"/>
  <c r="BX163" i="23"/>
  <c r="BX159" i="23"/>
  <c r="BX123" i="23"/>
  <c r="BX122" i="23"/>
  <c r="BX119" i="23"/>
  <c r="BX133" i="23"/>
  <c r="BX139" i="23"/>
  <c r="BX140" i="23"/>
  <c r="BX132" i="23"/>
  <c r="BX131" i="23"/>
  <c r="BX152" i="23"/>
  <c r="BX118" i="23"/>
  <c r="BX155" i="23"/>
  <c r="BX181" i="23"/>
  <c r="BX116" i="23"/>
  <c r="BX120" i="23"/>
  <c r="BX143" i="23"/>
  <c r="BX191" i="23"/>
  <c r="BX147" i="23"/>
  <c r="BX202" i="23"/>
  <c r="BX180" i="23"/>
  <c r="BX158" i="23"/>
  <c r="BX136" i="23"/>
  <c r="BX125" i="23"/>
  <c r="BX114" i="23"/>
  <c r="BX169" i="23"/>
  <c r="BX112" i="23"/>
  <c r="BX113" i="23"/>
  <c r="BX111" i="23"/>
  <c r="BX110" i="23"/>
  <c r="BX107" i="23"/>
  <c r="BX105" i="23"/>
  <c r="BX109" i="23"/>
  <c r="BX106" i="23"/>
  <c r="BX104" i="23"/>
  <c r="BX101" i="23"/>
  <c r="BX100" i="23"/>
  <c r="BX97" i="23"/>
  <c r="BX96" i="23"/>
  <c r="BX103" i="23"/>
  <c r="BX99" i="23"/>
  <c r="BX102" i="23"/>
  <c r="BX95" i="23"/>
  <c r="BX108" i="23"/>
  <c r="BX98" i="23"/>
  <c r="BX93" i="23"/>
  <c r="BX90" i="23"/>
  <c r="BX88" i="23"/>
  <c r="BX94" i="23"/>
  <c r="BX92" i="23"/>
  <c r="BX89" i="23"/>
  <c r="BX85" i="23"/>
  <c r="BX87" i="23"/>
  <c r="BX86" i="23"/>
  <c r="BX81" i="23"/>
  <c r="BX79" i="23"/>
  <c r="BX82" i="23"/>
  <c r="BX80" i="23"/>
  <c r="BX76" i="23"/>
  <c r="BX75" i="23"/>
  <c r="BX71" i="23"/>
  <c r="BX84" i="23"/>
  <c r="BX78" i="23"/>
  <c r="BX72" i="23"/>
  <c r="BX91" i="23"/>
  <c r="BX73" i="23"/>
  <c r="BX63" i="23"/>
  <c r="BX69" i="23"/>
  <c r="BX74" i="23"/>
  <c r="BX70" i="23"/>
  <c r="BX64" i="23"/>
  <c r="BX65" i="23"/>
  <c r="BX66" i="23"/>
  <c r="BX60" i="23"/>
  <c r="BX58" i="23"/>
  <c r="BX59" i="23"/>
  <c r="BX57" i="23"/>
  <c r="BX68" i="23"/>
  <c r="BX54" i="23"/>
  <c r="BX55" i="23"/>
  <c r="BX48" i="23"/>
  <c r="BX46" i="23"/>
  <c r="BX56" i="23"/>
  <c r="BX51" i="23"/>
  <c r="BX45" i="23"/>
  <c r="BX77" i="23"/>
  <c r="BX42" i="23"/>
  <c r="BX39" i="23"/>
  <c r="BX43" i="23"/>
  <c r="BX34" i="23"/>
  <c r="BX44" i="23"/>
  <c r="BX41" i="23"/>
  <c r="BX31" i="23"/>
  <c r="BX61" i="23"/>
  <c r="BX47" i="23"/>
  <c r="BX83" i="23"/>
  <c r="BX67" i="23"/>
  <c r="BX40" i="23"/>
  <c r="BX22" i="23"/>
  <c r="BX29" i="23"/>
  <c r="BX19" i="23"/>
  <c r="BX36" i="23"/>
  <c r="BX26" i="23"/>
  <c r="BX24" i="23"/>
  <c r="BX62" i="23"/>
  <c r="BX32" i="23"/>
  <c r="BX23" i="23"/>
  <c r="BX35" i="23"/>
  <c r="BX25" i="23"/>
  <c r="BX17" i="23"/>
  <c r="BX7" i="23"/>
  <c r="BX50" i="23"/>
  <c r="BX6" i="23"/>
  <c r="BX53" i="23"/>
  <c r="BX30" i="23"/>
  <c r="BX27" i="23"/>
  <c r="BX21" i="23"/>
  <c r="BX12" i="23"/>
  <c r="BX4" i="23"/>
  <c r="BX33" i="23"/>
  <c r="BX9" i="23"/>
  <c r="BX16" i="23"/>
  <c r="BX14" i="23"/>
  <c r="BX38" i="23"/>
  <c r="BX18" i="23"/>
  <c r="BX8" i="23"/>
  <c r="BY2" i="23"/>
  <c r="BX28" i="23"/>
  <c r="BX15" i="23"/>
  <c r="BX13" i="23"/>
  <c r="BX10" i="23"/>
  <c r="BX49" i="23"/>
  <c r="BX11" i="23"/>
  <c r="BX37" i="23"/>
  <c r="BX52" i="23"/>
  <c r="BX5" i="23"/>
  <c r="BX20" i="23"/>
  <c r="BY115" i="23" l="1"/>
  <c r="BY201" i="23"/>
  <c r="BY206" i="23"/>
  <c r="BY174" i="23"/>
  <c r="BY117" i="23"/>
  <c r="BY123" i="23"/>
  <c r="BY152" i="23"/>
  <c r="BY164" i="23"/>
  <c r="BY157" i="23"/>
  <c r="BY128" i="23"/>
  <c r="BY124" i="23"/>
  <c r="BY130" i="23"/>
  <c r="BY183" i="23"/>
  <c r="BY149" i="23"/>
  <c r="BY116" i="23"/>
  <c r="BY193" i="23"/>
  <c r="BY203" i="23"/>
  <c r="BY204" i="23"/>
  <c r="BY127" i="23"/>
  <c r="BY173" i="23"/>
  <c r="BY208" i="23"/>
  <c r="BY143" i="23"/>
  <c r="BY205" i="23"/>
  <c r="BY200" i="23"/>
  <c r="BY209" i="23"/>
  <c r="BY195" i="23"/>
  <c r="BY212" i="23"/>
  <c r="BY197" i="23"/>
  <c r="BY207" i="23"/>
  <c r="BY198" i="23"/>
  <c r="BY192" i="23"/>
  <c r="BY210" i="23"/>
  <c r="BY181" i="23"/>
  <c r="BY185" i="23"/>
  <c r="BY186" i="23"/>
  <c r="BY196" i="23"/>
  <c r="BY187" i="23"/>
  <c r="BY189" i="23"/>
  <c r="BY170" i="23"/>
  <c r="BY194" i="23"/>
  <c r="BY182" i="23"/>
  <c r="BY199" i="23"/>
  <c r="BY171" i="23"/>
  <c r="BY156" i="23"/>
  <c r="BY188" i="23"/>
  <c r="BY162" i="23"/>
  <c r="BY160" i="23"/>
  <c r="BY168" i="23"/>
  <c r="BY190" i="23"/>
  <c r="BY163" i="23"/>
  <c r="BY159" i="23"/>
  <c r="BY167" i="23"/>
  <c r="BY155" i="23"/>
  <c r="BY148" i="23"/>
  <c r="BY172" i="23"/>
  <c r="BY177" i="23"/>
  <c r="BY161" i="23"/>
  <c r="BY175" i="23"/>
  <c r="BY176" i="23"/>
  <c r="BY165" i="23"/>
  <c r="BY151" i="23"/>
  <c r="BY141" i="23"/>
  <c r="BY129" i="23"/>
  <c r="BY133" i="23"/>
  <c r="BY142" i="23"/>
  <c r="BY144" i="23"/>
  <c r="BY126" i="23"/>
  <c r="BY132" i="23"/>
  <c r="BY139" i="23"/>
  <c r="BY145" i="23"/>
  <c r="BY179" i="23"/>
  <c r="BY178" i="23"/>
  <c r="BY154" i="23"/>
  <c r="BY138" i="23"/>
  <c r="BY140" i="23"/>
  <c r="BY146" i="23"/>
  <c r="BY135" i="23"/>
  <c r="BY131" i="23"/>
  <c r="BY120" i="23"/>
  <c r="BY150" i="23"/>
  <c r="BY184" i="23"/>
  <c r="BY137" i="23"/>
  <c r="BY211" i="23"/>
  <c r="BY153" i="23"/>
  <c r="BY121" i="23"/>
  <c r="BY122" i="23"/>
  <c r="BY134" i="23"/>
  <c r="BY166" i="23"/>
  <c r="BY119" i="23"/>
  <c r="BY118" i="23"/>
  <c r="BY114" i="23"/>
  <c r="BY202" i="23"/>
  <c r="BY125" i="23"/>
  <c r="BY169" i="23"/>
  <c r="BY180" i="23"/>
  <c r="BY191" i="23"/>
  <c r="BY147" i="23"/>
  <c r="BY158" i="23"/>
  <c r="BY136" i="23"/>
  <c r="BY112" i="23"/>
  <c r="BY111" i="23"/>
  <c r="BY113" i="23"/>
  <c r="BY108" i="23"/>
  <c r="BY105" i="23"/>
  <c r="BY107" i="23"/>
  <c r="BY110" i="23"/>
  <c r="BY104" i="23"/>
  <c r="BY102" i="23"/>
  <c r="BY103" i="23"/>
  <c r="BY101" i="23"/>
  <c r="BY99" i="23"/>
  <c r="BY106" i="23"/>
  <c r="BY98" i="23"/>
  <c r="BY100" i="23"/>
  <c r="BY94" i="23"/>
  <c r="BY109" i="23"/>
  <c r="BY93" i="23"/>
  <c r="BY95" i="23"/>
  <c r="BY96" i="23"/>
  <c r="BY92" i="23"/>
  <c r="BY90" i="23"/>
  <c r="BY89" i="23"/>
  <c r="BY97" i="23"/>
  <c r="BY91" i="23"/>
  <c r="BY87" i="23"/>
  <c r="BY86" i="23"/>
  <c r="BY88" i="23"/>
  <c r="BY83" i="23"/>
  <c r="BY81" i="23"/>
  <c r="BY79" i="23"/>
  <c r="BY82" i="23"/>
  <c r="BY80" i="23"/>
  <c r="BY76" i="23"/>
  <c r="BY73" i="23"/>
  <c r="BY84" i="23"/>
  <c r="BY72" i="23"/>
  <c r="BY78" i="23"/>
  <c r="BY85" i="23"/>
  <c r="BY74" i="23"/>
  <c r="BY68" i="23"/>
  <c r="BY67" i="23"/>
  <c r="BY65" i="23"/>
  <c r="BY66" i="23"/>
  <c r="BY60" i="23"/>
  <c r="BY58" i="23"/>
  <c r="BY55" i="23"/>
  <c r="BY71" i="23"/>
  <c r="BY54" i="23"/>
  <c r="BY63" i="23"/>
  <c r="BY57" i="23"/>
  <c r="BY48" i="23"/>
  <c r="BY46" i="23"/>
  <c r="BY77" i="23"/>
  <c r="BY43" i="23"/>
  <c r="BY69" i="23"/>
  <c r="BY52" i="23"/>
  <c r="BY42" i="23"/>
  <c r="BY70" i="23"/>
  <c r="BY64" i="23"/>
  <c r="BY44" i="23"/>
  <c r="BY41" i="23"/>
  <c r="BY31" i="23"/>
  <c r="BY59" i="23"/>
  <c r="BY50" i="23"/>
  <c r="BY38" i="23"/>
  <c r="BY36" i="23"/>
  <c r="BY62" i="23"/>
  <c r="BY53" i="23"/>
  <c r="BY49" i="23"/>
  <c r="BY37" i="23"/>
  <c r="BY35" i="23"/>
  <c r="BY56" i="23"/>
  <c r="BY61" i="23"/>
  <c r="BY39" i="23"/>
  <c r="BY29" i="23"/>
  <c r="BY19" i="23"/>
  <c r="BY26" i="23"/>
  <c r="BY24" i="23"/>
  <c r="BY21" i="23"/>
  <c r="BY51" i="23"/>
  <c r="BY47" i="23"/>
  <c r="BY45" i="23"/>
  <c r="BY30" i="23"/>
  <c r="BY20" i="23"/>
  <c r="BY32" i="23"/>
  <c r="BY27" i="23"/>
  <c r="BY12" i="23"/>
  <c r="BY4" i="23"/>
  <c r="BY75" i="23"/>
  <c r="BY9" i="23"/>
  <c r="BY11" i="23"/>
  <c r="BY33" i="23"/>
  <c r="BY16" i="23"/>
  <c r="BY14" i="23"/>
  <c r="BY6" i="23"/>
  <c r="BY34" i="23"/>
  <c r="BY28" i="23"/>
  <c r="BY15" i="23"/>
  <c r="BY13" i="23"/>
  <c r="BY5" i="23"/>
  <c r="BY22" i="23"/>
  <c r="BY25" i="23"/>
  <c r="BY8" i="23"/>
  <c r="BZ2" i="23"/>
  <c r="BY7" i="23"/>
  <c r="BY23" i="23"/>
  <c r="BY17" i="23"/>
  <c r="BY10" i="23"/>
  <c r="BY40" i="23"/>
  <c r="BY18" i="23"/>
  <c r="BZ181" i="23" l="1"/>
  <c r="BZ197" i="23"/>
  <c r="BZ152" i="23"/>
  <c r="BZ211" i="23"/>
  <c r="BZ124" i="23"/>
  <c r="BZ131" i="23"/>
  <c r="BZ127" i="23"/>
  <c r="BZ207" i="23"/>
  <c r="BZ166" i="23"/>
  <c r="BZ151" i="23"/>
  <c r="BZ168" i="23"/>
  <c r="BZ164" i="23"/>
  <c r="BZ139" i="23"/>
  <c r="BZ185" i="23"/>
  <c r="BZ192" i="23"/>
  <c r="BZ210" i="23"/>
  <c r="BZ129" i="23"/>
  <c r="BZ208" i="23"/>
  <c r="BZ203" i="23"/>
  <c r="BZ204" i="23"/>
  <c r="BZ205" i="23"/>
  <c r="BZ212" i="23"/>
  <c r="BZ194" i="23"/>
  <c r="BZ200" i="23"/>
  <c r="BZ146" i="23"/>
  <c r="BZ193" i="23"/>
  <c r="BZ195" i="23"/>
  <c r="BZ198" i="23"/>
  <c r="BZ201" i="23"/>
  <c r="BZ184" i="23"/>
  <c r="BZ121" i="23"/>
  <c r="BZ183" i="23"/>
  <c r="BZ206" i="23"/>
  <c r="BZ182" i="23"/>
  <c r="BZ186" i="23"/>
  <c r="BZ196" i="23"/>
  <c r="BZ209" i="23"/>
  <c r="BZ199" i="23"/>
  <c r="BZ189" i="23"/>
  <c r="BZ172" i="23"/>
  <c r="BZ171" i="23"/>
  <c r="BZ190" i="23"/>
  <c r="BZ177" i="23"/>
  <c r="BZ173" i="23"/>
  <c r="BZ170" i="23"/>
  <c r="BZ162" i="23"/>
  <c r="BZ159" i="23"/>
  <c r="BZ187" i="23"/>
  <c r="BZ150" i="23"/>
  <c r="BZ154" i="23"/>
  <c r="BZ175" i="23"/>
  <c r="BZ161" i="23"/>
  <c r="BZ174" i="23"/>
  <c r="BZ178" i="23"/>
  <c r="BZ179" i="23"/>
  <c r="BZ165" i="23"/>
  <c r="BZ156" i="23"/>
  <c r="BZ148" i="23"/>
  <c r="BZ188" i="23"/>
  <c r="BZ163" i="23"/>
  <c r="BZ142" i="23"/>
  <c r="BZ157" i="23"/>
  <c r="BZ138" i="23"/>
  <c r="BZ143" i="23"/>
  <c r="BZ126" i="23"/>
  <c r="BZ133" i="23"/>
  <c r="BZ123" i="23"/>
  <c r="BZ176" i="23"/>
  <c r="BZ167" i="23"/>
  <c r="BZ137" i="23"/>
  <c r="BZ117" i="23"/>
  <c r="BZ119" i="23"/>
  <c r="BZ153" i="23"/>
  <c r="BZ144" i="23"/>
  <c r="BZ130" i="23"/>
  <c r="BZ128" i="23"/>
  <c r="BZ118" i="23"/>
  <c r="BZ120" i="23"/>
  <c r="BZ122" i="23"/>
  <c r="BZ145" i="23"/>
  <c r="BZ155" i="23"/>
  <c r="BZ140" i="23"/>
  <c r="BZ160" i="23"/>
  <c r="BZ135" i="23"/>
  <c r="BZ116" i="23"/>
  <c r="BZ141" i="23"/>
  <c r="BZ134" i="23"/>
  <c r="BZ132" i="23"/>
  <c r="BZ149" i="23"/>
  <c r="BZ115" i="23"/>
  <c r="BZ114" i="23"/>
  <c r="BZ147" i="23"/>
  <c r="BZ202" i="23"/>
  <c r="BZ169" i="23"/>
  <c r="BZ158" i="23"/>
  <c r="BZ136" i="23"/>
  <c r="BZ191" i="23"/>
  <c r="BZ180" i="23"/>
  <c r="BZ125" i="23"/>
  <c r="BZ113" i="23"/>
  <c r="BZ111" i="23"/>
  <c r="BZ112" i="23"/>
  <c r="BZ110" i="23"/>
  <c r="BZ109" i="23"/>
  <c r="BZ108" i="23"/>
  <c r="BZ105" i="23"/>
  <c r="BZ107" i="23"/>
  <c r="BZ106" i="23"/>
  <c r="BZ104" i="23"/>
  <c r="BZ101" i="23"/>
  <c r="BZ100" i="23"/>
  <c r="BZ103" i="23"/>
  <c r="BZ102" i="23"/>
  <c r="BZ96" i="23"/>
  <c r="BZ93" i="23"/>
  <c r="BZ99" i="23"/>
  <c r="BZ91" i="23"/>
  <c r="BZ98" i="23"/>
  <c r="BZ92" i="23"/>
  <c r="BZ83" i="23"/>
  <c r="BZ88" i="23"/>
  <c r="BZ82" i="23"/>
  <c r="BZ80" i="23"/>
  <c r="BZ86" i="23"/>
  <c r="BZ81" i="23"/>
  <c r="BZ87" i="23"/>
  <c r="BZ78" i="23"/>
  <c r="BZ95" i="23"/>
  <c r="BZ94" i="23"/>
  <c r="BZ90" i="23"/>
  <c r="BZ77" i="23"/>
  <c r="BZ85" i="23"/>
  <c r="BZ84" i="23"/>
  <c r="BZ72" i="23"/>
  <c r="BZ74" i="23"/>
  <c r="BZ73" i="23"/>
  <c r="BZ97" i="23"/>
  <c r="BZ65" i="23"/>
  <c r="BZ70" i="23"/>
  <c r="BZ64" i="23"/>
  <c r="BZ66" i="23"/>
  <c r="BZ60" i="23"/>
  <c r="BZ58" i="23"/>
  <c r="BZ67" i="23"/>
  <c r="BZ62" i="23"/>
  <c r="BZ52" i="23"/>
  <c r="BZ63" i="23"/>
  <c r="BZ61" i="23"/>
  <c r="BZ51" i="23"/>
  <c r="BZ76" i="23"/>
  <c r="BZ57" i="23"/>
  <c r="BZ55" i="23"/>
  <c r="BZ48" i="23"/>
  <c r="BZ46" i="23"/>
  <c r="BZ75" i="23"/>
  <c r="BZ71" i="23"/>
  <c r="BZ59" i="23"/>
  <c r="BZ50" i="23"/>
  <c r="BZ89" i="23"/>
  <c r="BZ53" i="23"/>
  <c r="BZ49" i="23"/>
  <c r="BZ47" i="23"/>
  <c r="BZ54" i="23"/>
  <c r="BZ44" i="23"/>
  <c r="BZ43" i="23"/>
  <c r="BZ41" i="23"/>
  <c r="BZ38" i="23"/>
  <c r="BZ36" i="23"/>
  <c r="BZ45" i="23"/>
  <c r="BZ33" i="23"/>
  <c r="BZ79" i="23"/>
  <c r="BZ56" i="23"/>
  <c r="BZ40" i="23"/>
  <c r="BZ32" i="23"/>
  <c r="BZ26" i="23"/>
  <c r="BZ24" i="23"/>
  <c r="BZ21" i="23"/>
  <c r="BZ42" i="23"/>
  <c r="BZ35" i="23"/>
  <c r="BZ34" i="23"/>
  <c r="BZ28" i="23"/>
  <c r="BZ68" i="23"/>
  <c r="BZ37" i="23"/>
  <c r="BZ31" i="23"/>
  <c r="BZ27" i="23"/>
  <c r="BZ25" i="23"/>
  <c r="BZ30" i="23"/>
  <c r="BZ9" i="23"/>
  <c r="BZ20" i="23"/>
  <c r="BZ18" i="23"/>
  <c r="BZ8" i="23"/>
  <c r="CA2" i="23"/>
  <c r="BZ16" i="23"/>
  <c r="BZ14" i="23"/>
  <c r="BZ6" i="23"/>
  <c r="BZ29" i="23"/>
  <c r="BZ11" i="23"/>
  <c r="BZ23" i="23"/>
  <c r="BZ22" i="23"/>
  <c r="BZ10" i="23"/>
  <c r="BZ19" i="23"/>
  <c r="BZ17" i="23"/>
  <c r="BZ69" i="23"/>
  <c r="BZ4" i="23"/>
  <c r="BZ13" i="23"/>
  <c r="BZ7" i="23"/>
  <c r="BZ15" i="23"/>
  <c r="BZ12" i="23"/>
  <c r="BZ5" i="23"/>
  <c r="BZ39" i="23"/>
  <c r="CA170" i="23" l="1"/>
  <c r="CA115" i="23"/>
  <c r="CA149" i="23"/>
  <c r="CA165" i="23"/>
  <c r="CA124" i="23"/>
  <c r="CA131" i="23"/>
  <c r="CA164" i="23"/>
  <c r="CA157" i="23"/>
  <c r="CA145" i="23"/>
  <c r="CA143" i="23"/>
  <c r="CA127" i="23"/>
  <c r="CA205" i="23"/>
  <c r="CA129" i="23"/>
  <c r="CA182" i="23"/>
  <c r="CA178" i="23"/>
  <c r="CA203" i="23"/>
  <c r="CA211" i="23"/>
  <c r="CA198" i="23"/>
  <c r="CA199" i="23"/>
  <c r="CA206" i="23"/>
  <c r="CA197" i="23"/>
  <c r="CA209" i="23"/>
  <c r="CA207" i="23"/>
  <c r="CA210" i="23"/>
  <c r="CA192" i="23"/>
  <c r="CA208" i="23"/>
  <c r="CA194" i="23"/>
  <c r="CA184" i="23"/>
  <c r="CA186" i="23"/>
  <c r="CA204" i="23"/>
  <c r="CA195" i="23"/>
  <c r="CA201" i="23"/>
  <c r="CA185" i="23"/>
  <c r="CA212" i="23"/>
  <c r="CA183" i="23"/>
  <c r="CA190" i="23"/>
  <c r="CA172" i="23"/>
  <c r="CA181" i="23"/>
  <c r="CA187" i="23"/>
  <c r="CA174" i="23"/>
  <c r="CA200" i="23"/>
  <c r="CA168" i="23"/>
  <c r="CA188" i="23"/>
  <c r="CA173" i="23"/>
  <c r="CA163" i="23"/>
  <c r="CA166" i="23"/>
  <c r="CA153" i="23"/>
  <c r="CA193" i="23"/>
  <c r="CA176" i="23"/>
  <c r="CA148" i="23"/>
  <c r="CA156" i="23"/>
  <c r="CA171" i="23"/>
  <c r="CA152" i="23"/>
  <c r="CA137" i="23"/>
  <c r="CA189" i="23"/>
  <c r="CA161" i="23"/>
  <c r="CA167" i="23"/>
  <c r="CA151" i="23"/>
  <c r="CA128" i="23"/>
  <c r="CA177" i="23"/>
  <c r="CA159" i="23"/>
  <c r="CA141" i="23"/>
  <c r="CA155" i="23"/>
  <c r="CA138" i="23"/>
  <c r="CA146" i="23"/>
  <c r="CA160" i="23"/>
  <c r="CA140" i="23"/>
  <c r="CA126" i="23"/>
  <c r="CA196" i="23"/>
  <c r="CA175" i="23"/>
  <c r="CA154" i="23"/>
  <c r="CA135" i="23"/>
  <c r="CA132" i="23"/>
  <c r="CA117" i="23"/>
  <c r="CA120" i="23"/>
  <c r="CA121" i="23"/>
  <c r="CA139" i="23"/>
  <c r="CA150" i="23"/>
  <c r="CA130" i="23"/>
  <c r="CA118" i="23"/>
  <c r="CA116" i="23"/>
  <c r="CA119" i="23"/>
  <c r="CA122" i="23"/>
  <c r="CA123" i="23"/>
  <c r="CA179" i="23"/>
  <c r="CA142" i="23"/>
  <c r="CA162" i="23"/>
  <c r="CA133" i="23"/>
  <c r="CA134" i="23"/>
  <c r="CA144" i="23"/>
  <c r="CA180" i="23"/>
  <c r="CA125" i="23"/>
  <c r="CA147" i="23"/>
  <c r="CA158" i="23"/>
  <c r="CA169" i="23"/>
  <c r="CA191" i="23"/>
  <c r="CA202" i="23"/>
  <c r="CA136" i="23"/>
  <c r="CA114" i="23"/>
  <c r="CA113" i="23"/>
  <c r="CA110" i="23"/>
  <c r="CA109" i="23"/>
  <c r="CA112" i="23"/>
  <c r="CA111" i="23"/>
  <c r="CA108" i="23"/>
  <c r="CA107" i="23"/>
  <c r="CA106" i="23"/>
  <c r="CA103" i="23"/>
  <c r="CA101" i="23"/>
  <c r="CA100" i="23"/>
  <c r="CA98" i="23"/>
  <c r="CA96" i="23"/>
  <c r="CA102" i="23"/>
  <c r="CA95" i="23"/>
  <c r="CA97" i="23"/>
  <c r="CA91" i="23"/>
  <c r="CA104" i="23"/>
  <c r="CA99" i="23"/>
  <c r="CA92" i="23"/>
  <c r="CA105" i="23"/>
  <c r="CA93" i="23"/>
  <c r="CA90" i="23"/>
  <c r="CA85" i="23"/>
  <c r="CA87" i="23"/>
  <c r="CA86" i="23"/>
  <c r="CA82" i="23"/>
  <c r="CA80" i="23"/>
  <c r="CA78" i="23"/>
  <c r="CA75" i="23"/>
  <c r="CA83" i="23"/>
  <c r="CA74" i="23"/>
  <c r="CA73" i="23"/>
  <c r="CA94" i="23"/>
  <c r="CA77" i="23"/>
  <c r="CA69" i="23"/>
  <c r="CA88" i="23"/>
  <c r="CA79" i="23"/>
  <c r="CA71" i="23"/>
  <c r="CA84" i="23"/>
  <c r="CA72" i="23"/>
  <c r="CA67" i="23"/>
  <c r="CA62" i="23"/>
  <c r="CA76" i="23"/>
  <c r="CA68" i="23"/>
  <c r="CA59" i="23"/>
  <c r="CA57" i="23"/>
  <c r="CA89" i="23"/>
  <c r="CA56" i="23"/>
  <c r="CA60" i="23"/>
  <c r="CA50" i="23"/>
  <c r="CA66" i="23"/>
  <c r="CA64" i="23"/>
  <c r="CA45" i="23"/>
  <c r="CA70" i="23"/>
  <c r="CA61" i="23"/>
  <c r="CA44" i="23"/>
  <c r="CA48" i="23"/>
  <c r="CA38" i="23"/>
  <c r="CA36" i="23"/>
  <c r="CA65" i="23"/>
  <c r="CA63" i="23"/>
  <c r="CA58" i="23"/>
  <c r="CA33" i="23"/>
  <c r="CA55" i="23"/>
  <c r="CA52" i="23"/>
  <c r="CA39" i="23"/>
  <c r="CA54" i="23"/>
  <c r="CA53" i="23"/>
  <c r="CA81" i="23"/>
  <c r="CA21" i="23"/>
  <c r="CA42" i="23"/>
  <c r="CA35" i="23"/>
  <c r="CA34" i="23"/>
  <c r="CA28" i="23"/>
  <c r="CA23" i="23"/>
  <c r="CA49" i="23"/>
  <c r="CA43" i="23"/>
  <c r="CA22" i="23"/>
  <c r="CA16" i="23"/>
  <c r="CA14" i="23"/>
  <c r="CA6" i="23"/>
  <c r="CA37" i="23"/>
  <c r="CA13" i="23"/>
  <c r="CA47" i="23"/>
  <c r="CA11" i="23"/>
  <c r="CA5" i="23"/>
  <c r="CA51" i="23"/>
  <c r="CA29" i="23"/>
  <c r="CA24" i="23"/>
  <c r="CA20" i="23"/>
  <c r="CA18" i="23"/>
  <c r="CA8" i="23"/>
  <c r="CB2" i="23"/>
  <c r="CA46" i="23"/>
  <c r="CA26" i="23"/>
  <c r="CA15" i="23"/>
  <c r="CA19" i="23"/>
  <c r="CA17" i="23"/>
  <c r="CA7" i="23"/>
  <c r="CA40" i="23"/>
  <c r="CA25" i="23"/>
  <c r="CA12" i="23"/>
  <c r="CA32" i="23"/>
  <c r="CA27" i="23"/>
  <c r="CA30" i="23"/>
  <c r="CA4" i="23"/>
  <c r="CA31" i="23"/>
  <c r="CA9" i="23"/>
  <c r="CA10" i="23"/>
  <c r="CA41" i="23"/>
  <c r="CB210" i="23" l="1"/>
  <c r="CB149" i="23"/>
  <c r="CB207" i="23"/>
  <c r="CB152" i="23"/>
  <c r="CB127" i="23"/>
  <c r="CB143" i="23"/>
  <c r="CB148" i="23"/>
  <c r="CB117" i="23"/>
  <c r="CB123" i="23"/>
  <c r="CB173" i="23"/>
  <c r="CB197" i="23"/>
  <c r="CB178" i="23"/>
  <c r="CB138" i="23"/>
  <c r="CB200" i="23"/>
  <c r="CB134" i="23"/>
  <c r="CB128" i="23"/>
  <c r="CB146" i="23"/>
  <c r="CB176" i="23"/>
  <c r="CB122" i="23"/>
  <c r="CB164" i="23"/>
  <c r="CB193" i="23"/>
  <c r="CB168" i="23"/>
  <c r="CB179" i="23"/>
  <c r="CB151" i="23"/>
  <c r="CB166" i="23"/>
  <c r="CB203" i="23"/>
  <c r="CB189" i="23"/>
  <c r="CB211" i="23"/>
  <c r="CB150" i="23"/>
  <c r="CB115" i="23"/>
  <c r="CB170" i="23"/>
  <c r="CB194" i="23"/>
  <c r="CB209" i="23"/>
  <c r="CB205" i="23"/>
  <c r="CB204" i="23"/>
  <c r="CB208" i="23"/>
  <c r="CB212" i="23"/>
  <c r="CB192" i="23"/>
  <c r="CB187" i="23"/>
  <c r="CB195" i="23"/>
  <c r="CB206" i="23"/>
  <c r="CB181" i="23"/>
  <c r="CB198" i="23"/>
  <c r="CB184" i="23"/>
  <c r="CB199" i="23"/>
  <c r="CB186" i="23"/>
  <c r="CB171" i="23"/>
  <c r="CB182" i="23"/>
  <c r="CB188" i="23"/>
  <c r="CB172" i="23"/>
  <c r="CB183" i="23"/>
  <c r="CB185" i="23"/>
  <c r="CB190" i="23"/>
  <c r="CB196" i="23"/>
  <c r="CB167" i="23"/>
  <c r="CB160" i="23"/>
  <c r="CB163" i="23"/>
  <c r="CB165" i="23"/>
  <c r="CB155" i="23"/>
  <c r="CB174" i="23"/>
  <c r="CB175" i="23"/>
  <c r="CB201" i="23"/>
  <c r="CB154" i="23"/>
  <c r="CB141" i="23"/>
  <c r="CB161" i="23"/>
  <c r="CB177" i="23"/>
  <c r="CB162" i="23"/>
  <c r="CB156" i="23"/>
  <c r="CB140" i="23"/>
  <c r="CB144" i="23"/>
  <c r="CB135" i="23"/>
  <c r="CB132" i="23"/>
  <c r="CB142" i="23"/>
  <c r="CB126" i="23"/>
  <c r="CB129" i="23"/>
  <c r="CB121" i="23"/>
  <c r="CB159" i="23"/>
  <c r="CB157" i="23"/>
  <c r="CB133" i="23"/>
  <c r="CB116" i="23"/>
  <c r="CB137" i="23"/>
  <c r="CB145" i="23"/>
  <c r="CB120" i="23"/>
  <c r="CB124" i="23"/>
  <c r="CB119" i="23"/>
  <c r="CB153" i="23"/>
  <c r="CB131" i="23"/>
  <c r="CB130" i="23"/>
  <c r="CB139" i="23"/>
  <c r="CB118" i="23"/>
  <c r="CB191" i="23"/>
  <c r="CB125" i="23"/>
  <c r="CB114" i="23"/>
  <c r="CB136" i="23"/>
  <c r="CB169" i="23"/>
  <c r="CB180" i="23"/>
  <c r="CB147" i="23"/>
  <c r="CB158" i="23"/>
  <c r="CB202" i="23"/>
  <c r="CB112" i="23"/>
  <c r="CB111" i="23"/>
  <c r="CB113" i="23"/>
  <c r="CB107" i="23"/>
  <c r="CB109" i="23"/>
  <c r="CB110" i="23"/>
  <c r="CB103" i="23"/>
  <c r="CB101" i="23"/>
  <c r="CB106" i="23"/>
  <c r="CB105" i="23"/>
  <c r="CB104" i="23"/>
  <c r="CB102" i="23"/>
  <c r="CB108" i="23"/>
  <c r="CB96" i="23"/>
  <c r="CB97" i="23"/>
  <c r="CB89" i="23"/>
  <c r="CB99" i="23"/>
  <c r="CB94" i="23"/>
  <c r="CB88" i="23"/>
  <c r="CB92" i="23"/>
  <c r="CB91" i="23"/>
  <c r="CB98" i="23"/>
  <c r="CB86" i="23"/>
  <c r="CB100" i="23"/>
  <c r="CB85" i="23"/>
  <c r="CB90" i="23"/>
  <c r="CB84" i="23"/>
  <c r="CB78" i="23"/>
  <c r="CB72" i="23"/>
  <c r="CB79" i="23"/>
  <c r="CB71" i="23"/>
  <c r="CB69" i="23"/>
  <c r="CB95" i="23"/>
  <c r="CB82" i="23"/>
  <c r="CB74" i="23"/>
  <c r="CB80" i="23"/>
  <c r="CB77" i="23"/>
  <c r="CB93" i="23"/>
  <c r="CB83" i="23"/>
  <c r="CB76" i="23"/>
  <c r="CB75" i="23"/>
  <c r="CB67" i="23"/>
  <c r="CB66" i="23"/>
  <c r="CB87" i="23"/>
  <c r="CB62" i="23"/>
  <c r="CB68" i="23"/>
  <c r="CB59" i="23"/>
  <c r="CB57" i="23"/>
  <c r="CB54" i="23"/>
  <c r="CB70" i="23"/>
  <c r="CB64" i="23"/>
  <c r="CB53" i="23"/>
  <c r="CB60" i="23"/>
  <c r="CB50" i="23"/>
  <c r="CB73" i="23"/>
  <c r="CB56" i="23"/>
  <c r="CB51" i="23"/>
  <c r="CB42" i="23"/>
  <c r="CB65" i="23"/>
  <c r="CB41" i="23"/>
  <c r="CB63" i="23"/>
  <c r="CB58" i="23"/>
  <c r="CB55" i="23"/>
  <c r="CB52" i="23"/>
  <c r="CB45" i="23"/>
  <c r="CB47" i="23"/>
  <c r="CB37" i="23"/>
  <c r="CB35" i="23"/>
  <c r="CB81" i="23"/>
  <c r="CB34" i="23"/>
  <c r="CB28" i="23"/>
  <c r="CB61" i="23"/>
  <c r="CB44" i="23"/>
  <c r="CB36" i="23"/>
  <c r="CB23" i="23"/>
  <c r="CB38" i="23"/>
  <c r="CB33" i="23"/>
  <c r="CB32" i="23"/>
  <c r="CB30" i="23"/>
  <c r="CB20" i="23"/>
  <c r="CB48" i="23"/>
  <c r="CB40" i="23"/>
  <c r="CB29" i="23"/>
  <c r="CB19" i="23"/>
  <c r="CB21" i="23"/>
  <c r="CB11" i="23"/>
  <c r="CB39" i="23"/>
  <c r="CB24" i="23"/>
  <c r="CB18" i="23"/>
  <c r="CB8" i="23"/>
  <c r="CC2" i="23"/>
  <c r="CB10" i="23"/>
  <c r="CB46" i="23"/>
  <c r="CB26" i="23"/>
  <c r="CB15" i="23"/>
  <c r="CB13" i="23"/>
  <c r="CB5" i="23"/>
  <c r="CB49" i="23"/>
  <c r="CB31" i="23"/>
  <c r="CB25" i="23"/>
  <c r="CB12" i="23"/>
  <c r="CB4" i="23"/>
  <c r="CB27" i="23"/>
  <c r="CB6" i="23"/>
  <c r="CB14" i="23"/>
  <c r="CB9" i="23"/>
  <c r="CB17" i="23"/>
  <c r="CB22" i="23"/>
  <c r="CB7" i="23"/>
  <c r="CB43" i="23"/>
  <c r="CB16" i="23"/>
  <c r="CC166" i="23" l="1"/>
  <c r="CC210" i="23"/>
  <c r="CC124" i="23"/>
  <c r="CC199" i="23"/>
  <c r="CC164" i="23"/>
  <c r="CC151" i="23"/>
  <c r="CC121" i="23"/>
  <c r="CC170" i="23"/>
  <c r="CC131" i="23"/>
  <c r="CC152" i="23"/>
  <c r="CC132" i="23"/>
  <c r="CC126" i="23"/>
  <c r="CC161" i="23"/>
  <c r="CC173" i="23"/>
  <c r="CC189" i="23"/>
  <c r="CC145" i="23"/>
  <c r="CC193" i="23"/>
  <c r="CC115" i="23"/>
  <c r="CC201" i="23"/>
  <c r="CC144" i="23"/>
  <c r="CC128" i="23"/>
  <c r="CC207" i="23"/>
  <c r="CC211" i="23"/>
  <c r="CC208" i="23"/>
  <c r="CC205" i="23"/>
  <c r="CC176" i="23"/>
  <c r="CC192" i="23"/>
  <c r="CC204" i="23"/>
  <c r="CC200" i="23"/>
  <c r="CC209" i="23"/>
  <c r="CC203" i="23"/>
  <c r="CC206" i="23"/>
  <c r="CC212" i="23"/>
  <c r="CC197" i="23"/>
  <c r="CC194" i="23"/>
  <c r="CC188" i="23"/>
  <c r="CC195" i="23"/>
  <c r="CC198" i="23"/>
  <c r="CC187" i="23"/>
  <c r="CC181" i="23"/>
  <c r="CC186" i="23"/>
  <c r="CC171" i="23"/>
  <c r="CC182" i="23"/>
  <c r="CC184" i="23"/>
  <c r="CC177" i="23"/>
  <c r="CC175" i="23"/>
  <c r="CC185" i="23"/>
  <c r="CC183" i="23"/>
  <c r="CC174" i="23"/>
  <c r="CC167" i="23"/>
  <c r="CC163" i="23"/>
  <c r="CC190" i="23"/>
  <c r="CC172" i="23"/>
  <c r="CC179" i="23"/>
  <c r="CC178" i="23"/>
  <c r="CC160" i="23"/>
  <c r="CC155" i="23"/>
  <c r="CC159" i="23"/>
  <c r="CC165" i="23"/>
  <c r="CC150" i="23"/>
  <c r="CC156" i="23"/>
  <c r="CC148" i="23"/>
  <c r="CC196" i="23"/>
  <c r="CC127" i="23"/>
  <c r="CC129" i="23"/>
  <c r="CC157" i="23"/>
  <c r="CC149" i="23"/>
  <c r="CC130" i="23"/>
  <c r="CC133" i="23"/>
  <c r="CC162" i="23"/>
  <c r="CC122" i="23"/>
  <c r="CC137" i="23"/>
  <c r="CC139" i="23"/>
  <c r="CC140" i="23"/>
  <c r="CC134" i="23"/>
  <c r="CC117" i="23"/>
  <c r="CC153" i="23"/>
  <c r="CC119" i="23"/>
  <c r="CC123" i="23"/>
  <c r="CC168" i="23"/>
  <c r="CC118" i="23"/>
  <c r="CC146" i="23"/>
  <c r="CC141" i="23"/>
  <c r="CC120" i="23"/>
  <c r="CC135" i="23"/>
  <c r="CC143" i="23"/>
  <c r="CC116" i="23"/>
  <c r="CC138" i="23"/>
  <c r="CC142" i="23"/>
  <c r="CC154" i="23"/>
  <c r="CC191" i="23"/>
  <c r="CC169" i="23"/>
  <c r="CC114" i="23"/>
  <c r="CC125" i="23"/>
  <c r="CC147" i="23"/>
  <c r="CC202" i="23"/>
  <c r="CC180" i="23"/>
  <c r="CC158" i="23"/>
  <c r="CC136" i="23"/>
  <c r="CC113" i="23"/>
  <c r="CC112" i="23"/>
  <c r="CC109" i="23"/>
  <c r="CC107" i="23"/>
  <c r="CC108" i="23"/>
  <c r="CC111" i="23"/>
  <c r="CC103" i="23"/>
  <c r="CC105" i="23"/>
  <c r="CC99" i="23"/>
  <c r="CC97" i="23"/>
  <c r="CC110" i="23"/>
  <c r="CC104" i="23"/>
  <c r="CC100" i="23"/>
  <c r="CC98" i="23"/>
  <c r="CC95" i="23"/>
  <c r="CC102" i="23"/>
  <c r="CC94" i="23"/>
  <c r="CC93" i="23"/>
  <c r="CC92" i="23"/>
  <c r="CC90" i="23"/>
  <c r="CC106" i="23"/>
  <c r="CC89" i="23"/>
  <c r="CC83" i="23"/>
  <c r="CC81" i="23"/>
  <c r="CC91" i="23"/>
  <c r="CC101" i="23"/>
  <c r="CC88" i="23"/>
  <c r="CC85" i="23"/>
  <c r="CC84" i="23"/>
  <c r="CC77" i="23"/>
  <c r="CC76" i="23"/>
  <c r="CC80" i="23"/>
  <c r="CC75" i="23"/>
  <c r="CC69" i="23"/>
  <c r="CC96" i="23"/>
  <c r="CC70" i="23"/>
  <c r="CC64" i="23"/>
  <c r="CC86" i="23"/>
  <c r="CC63" i="23"/>
  <c r="CC68" i="23"/>
  <c r="CC67" i="23"/>
  <c r="CC59" i="23"/>
  <c r="CC57" i="23"/>
  <c r="CC61" i="23"/>
  <c r="CC51" i="23"/>
  <c r="CC78" i="23"/>
  <c r="CC65" i="23"/>
  <c r="CC60" i="23"/>
  <c r="CC58" i="23"/>
  <c r="CC50" i="23"/>
  <c r="CC87" i="23"/>
  <c r="CC82" i="23"/>
  <c r="CC73" i="23"/>
  <c r="CC72" i="23"/>
  <c r="CC71" i="23"/>
  <c r="CC66" i="23"/>
  <c r="CC56" i="23"/>
  <c r="CC79" i="23"/>
  <c r="CC74" i="23"/>
  <c r="CC62" i="23"/>
  <c r="CC52" i="23"/>
  <c r="CC49" i="23"/>
  <c r="CC47" i="23"/>
  <c r="CC55" i="23"/>
  <c r="CC54" i="23"/>
  <c r="CC48" i="23"/>
  <c r="CC46" i="23"/>
  <c r="CC45" i="23"/>
  <c r="CC37" i="23"/>
  <c r="CC35" i="23"/>
  <c r="CC40" i="23"/>
  <c r="CC32" i="23"/>
  <c r="CC43" i="23"/>
  <c r="CC42" i="23"/>
  <c r="CC31" i="23"/>
  <c r="CC53" i="23"/>
  <c r="CC44" i="23"/>
  <c r="CC36" i="23"/>
  <c r="CC34" i="23"/>
  <c r="CC23" i="23"/>
  <c r="CC38" i="23"/>
  <c r="CC33" i="23"/>
  <c r="CC30" i="23"/>
  <c r="CC20" i="23"/>
  <c r="CC27" i="23"/>
  <c r="CC25" i="23"/>
  <c r="CC39" i="23"/>
  <c r="CC26" i="23"/>
  <c r="CC24" i="23"/>
  <c r="CC18" i="23"/>
  <c r="CC8" i="23"/>
  <c r="CD2" i="23"/>
  <c r="CC17" i="23"/>
  <c r="CC7" i="23"/>
  <c r="CC29" i="23"/>
  <c r="CC15" i="23"/>
  <c r="CC13" i="23"/>
  <c r="CC5" i="23"/>
  <c r="CC10" i="23"/>
  <c r="CC22" i="23"/>
  <c r="CC9" i="23"/>
  <c r="CC41" i="23"/>
  <c r="CC16" i="23"/>
  <c r="CC14" i="23"/>
  <c r="CC19" i="23"/>
  <c r="CC6" i="23"/>
  <c r="CC4" i="23"/>
  <c r="CC28" i="23"/>
  <c r="CC11" i="23"/>
  <c r="CC21" i="23"/>
  <c r="CC12" i="23"/>
  <c r="CD194" i="23" l="1"/>
  <c r="CD139" i="23"/>
  <c r="CD192" i="23"/>
  <c r="CD117" i="23"/>
  <c r="CD166" i="23"/>
  <c r="CD124" i="23"/>
  <c r="CD130" i="23"/>
  <c r="CD209" i="23"/>
  <c r="CD131" i="23"/>
  <c r="CD193" i="23"/>
  <c r="CD208" i="23"/>
  <c r="CD126" i="23"/>
  <c r="CD203" i="23"/>
  <c r="CD204" i="23"/>
  <c r="CD207" i="23"/>
  <c r="CD144" i="23"/>
  <c r="CD198" i="23"/>
  <c r="CD212" i="23"/>
  <c r="CD205" i="23"/>
  <c r="CD206" i="23"/>
  <c r="CD210" i="23"/>
  <c r="CD200" i="23"/>
  <c r="CD196" i="23"/>
  <c r="CD134" i="23"/>
  <c r="CD197" i="23"/>
  <c r="CD181" i="23"/>
  <c r="CD187" i="23"/>
  <c r="CD195" i="23"/>
  <c r="CD211" i="23"/>
  <c r="CD201" i="23"/>
  <c r="CD172" i="23"/>
  <c r="CD175" i="23"/>
  <c r="CD188" i="23"/>
  <c r="CD184" i="23"/>
  <c r="CD189" i="23"/>
  <c r="CD190" i="23"/>
  <c r="CD174" i="23"/>
  <c r="CD179" i="23"/>
  <c r="CD164" i="23"/>
  <c r="CD165" i="23"/>
  <c r="CD177" i="23"/>
  <c r="CD160" i="23"/>
  <c r="CD162" i="23"/>
  <c r="CD170" i="23"/>
  <c r="CD168" i="23"/>
  <c r="CD167" i="23"/>
  <c r="CD155" i="23"/>
  <c r="CD156" i="23"/>
  <c r="CD183" i="23"/>
  <c r="CD141" i="23"/>
  <c r="CD138" i="23"/>
  <c r="CD182" i="23"/>
  <c r="CD163" i="23"/>
  <c r="CD150" i="23"/>
  <c r="CD128" i="23"/>
  <c r="CD132" i="23"/>
  <c r="CD176" i="23"/>
  <c r="CD173" i="23"/>
  <c r="CD151" i="23"/>
  <c r="CD153" i="23"/>
  <c r="CD143" i="23"/>
  <c r="CD135" i="23"/>
  <c r="CD171" i="23"/>
  <c r="CD148" i="23"/>
  <c r="CD133" i="23"/>
  <c r="CD157" i="23"/>
  <c r="CD140" i="23"/>
  <c r="CD119" i="23"/>
  <c r="CD120" i="23"/>
  <c r="CD185" i="23"/>
  <c r="CD149" i="23"/>
  <c r="CD116" i="23"/>
  <c r="CD146" i="23"/>
  <c r="CD152" i="23"/>
  <c r="CD137" i="23"/>
  <c r="CD127" i="23"/>
  <c r="CD142" i="23"/>
  <c r="CD129" i="23"/>
  <c r="CD121" i="23"/>
  <c r="CD154" i="23"/>
  <c r="CD145" i="23"/>
  <c r="CD123" i="23"/>
  <c r="CD186" i="23"/>
  <c r="CD161" i="23"/>
  <c r="CD118" i="23"/>
  <c r="CD122" i="23"/>
  <c r="CD199" i="23"/>
  <c r="CD178" i="23"/>
  <c r="CD159" i="23"/>
  <c r="CD115" i="23"/>
  <c r="CD136" i="23"/>
  <c r="CD180" i="23"/>
  <c r="CD202" i="23"/>
  <c r="CD147" i="23"/>
  <c r="CD169" i="23"/>
  <c r="CD125" i="23"/>
  <c r="CD191" i="23"/>
  <c r="CD158" i="23"/>
  <c r="CD114" i="23"/>
  <c r="CD113" i="23"/>
  <c r="CD112" i="23"/>
  <c r="CD109" i="23"/>
  <c r="CD108" i="23"/>
  <c r="CD106" i="23"/>
  <c r="CD110" i="23"/>
  <c r="CD111" i="23"/>
  <c r="CD107" i="23"/>
  <c r="CD104" i="23"/>
  <c r="CD102" i="23"/>
  <c r="CD100" i="23"/>
  <c r="CD105" i="23"/>
  <c r="CD99" i="23"/>
  <c r="CD103" i="23"/>
  <c r="CD95" i="23"/>
  <c r="CD94" i="23"/>
  <c r="CD97" i="23"/>
  <c r="CD98" i="23"/>
  <c r="CD91" i="23"/>
  <c r="CD101" i="23"/>
  <c r="CD92" i="23"/>
  <c r="CD90" i="23"/>
  <c r="CD96" i="23"/>
  <c r="CD89" i="23"/>
  <c r="CD88" i="23"/>
  <c r="CD87" i="23"/>
  <c r="CD86" i="23"/>
  <c r="CD85" i="23"/>
  <c r="CD84" i="23"/>
  <c r="CD77" i="23"/>
  <c r="CD74" i="23"/>
  <c r="CD93" i="23"/>
  <c r="CD82" i="23"/>
  <c r="CD81" i="23"/>
  <c r="CD80" i="23"/>
  <c r="CD73" i="23"/>
  <c r="CD75" i="23"/>
  <c r="CD69" i="23"/>
  <c r="CD83" i="23"/>
  <c r="CD76" i="23"/>
  <c r="CD70" i="23"/>
  <c r="CD72" i="23"/>
  <c r="CD68" i="23"/>
  <c r="CD61" i="23"/>
  <c r="CD71" i="23"/>
  <c r="CD63" i="23"/>
  <c r="CD56" i="23"/>
  <c r="CD79" i="23"/>
  <c r="CD66" i="23"/>
  <c r="CD55" i="23"/>
  <c r="CD64" i="23"/>
  <c r="CD62" i="23"/>
  <c r="CD59" i="23"/>
  <c r="CD52" i="23"/>
  <c r="CD51" i="23"/>
  <c r="CD49" i="23"/>
  <c r="CD47" i="23"/>
  <c r="CD53" i="23"/>
  <c r="CD44" i="23"/>
  <c r="CD67" i="23"/>
  <c r="CD58" i="23"/>
  <c r="CD43" i="23"/>
  <c r="CD65" i="23"/>
  <c r="CD37" i="23"/>
  <c r="CD50" i="23"/>
  <c r="CD40" i="23"/>
  <c r="CD32" i="23"/>
  <c r="CD39" i="23"/>
  <c r="CD46" i="23"/>
  <c r="CD41" i="23"/>
  <c r="CD38" i="23"/>
  <c r="CD36" i="23"/>
  <c r="CD57" i="23"/>
  <c r="CD78" i="23"/>
  <c r="CD60" i="23"/>
  <c r="CD42" i="23"/>
  <c r="CD35" i="23"/>
  <c r="CD33" i="23"/>
  <c r="CD30" i="23"/>
  <c r="CD20" i="23"/>
  <c r="CD27" i="23"/>
  <c r="CD25" i="23"/>
  <c r="CD31" i="23"/>
  <c r="CD22" i="23"/>
  <c r="CD21" i="23"/>
  <c r="CD29" i="23"/>
  <c r="CD24" i="23"/>
  <c r="CD15" i="23"/>
  <c r="CD13" i="23"/>
  <c r="CD5" i="23"/>
  <c r="CD19" i="23"/>
  <c r="CD12" i="23"/>
  <c r="CD54" i="23"/>
  <c r="CD26" i="23"/>
  <c r="CD10" i="23"/>
  <c r="CD28" i="23"/>
  <c r="CD4" i="23"/>
  <c r="CD23" i="23"/>
  <c r="CD17" i="23"/>
  <c r="CD7" i="23"/>
  <c r="CD16" i="23"/>
  <c r="CD14" i="23"/>
  <c r="CD6" i="23"/>
  <c r="CD48" i="23"/>
  <c r="CD11" i="23"/>
  <c r="CD45" i="23"/>
  <c r="CE2" i="23"/>
  <c r="CD9" i="23"/>
  <c r="CD8" i="23"/>
  <c r="CD18" i="23"/>
  <c r="CD34" i="23"/>
  <c r="CE173" i="23" l="1"/>
  <c r="CE189" i="23"/>
  <c r="CE192" i="23"/>
  <c r="CE121" i="23"/>
  <c r="CE175" i="23"/>
  <c r="CE133" i="23"/>
  <c r="CE130" i="23"/>
  <c r="CE127" i="23"/>
  <c r="CE126" i="23"/>
  <c r="CE166" i="23"/>
  <c r="CE145" i="23"/>
  <c r="CE149" i="23"/>
  <c r="CE185" i="23"/>
  <c r="CE209" i="23"/>
  <c r="CE212" i="23"/>
  <c r="CE190" i="23"/>
  <c r="CE200" i="23"/>
  <c r="CE205" i="23"/>
  <c r="CE204" i="23"/>
  <c r="CE208" i="23"/>
  <c r="CE203" i="23"/>
  <c r="CE210" i="23"/>
  <c r="CE207" i="23"/>
  <c r="CE198" i="23"/>
  <c r="CE193" i="23"/>
  <c r="CE199" i="23"/>
  <c r="CE186" i="23"/>
  <c r="CE201" i="23"/>
  <c r="CE206" i="23"/>
  <c r="CE197" i="23"/>
  <c r="CE184" i="23"/>
  <c r="CE195" i="23"/>
  <c r="CE211" i="23"/>
  <c r="CE181" i="23"/>
  <c r="CE182" i="23"/>
  <c r="CE196" i="23"/>
  <c r="CE194" i="23"/>
  <c r="CE183" i="23"/>
  <c r="CE172" i="23"/>
  <c r="CE174" i="23"/>
  <c r="CE170" i="23"/>
  <c r="CE176" i="23"/>
  <c r="CE164" i="23"/>
  <c r="CE168" i="23"/>
  <c r="CE177" i="23"/>
  <c r="CE178" i="23"/>
  <c r="CE160" i="23"/>
  <c r="CE165" i="23"/>
  <c r="CE187" i="23"/>
  <c r="CE159" i="23"/>
  <c r="CE163" i="23"/>
  <c r="CE156" i="23"/>
  <c r="CE151" i="23"/>
  <c r="CE157" i="23"/>
  <c r="CE167" i="23"/>
  <c r="CE152" i="23"/>
  <c r="CE179" i="23"/>
  <c r="CE155" i="23"/>
  <c r="CE154" i="23"/>
  <c r="CE139" i="23"/>
  <c r="CE143" i="23"/>
  <c r="CE141" i="23"/>
  <c r="CE153" i="23"/>
  <c r="CE144" i="23"/>
  <c r="CE120" i="23"/>
  <c r="CE124" i="23"/>
  <c r="CE142" i="23"/>
  <c r="CE134" i="23"/>
  <c r="CE122" i="23"/>
  <c r="CE150" i="23"/>
  <c r="CE138" i="23"/>
  <c r="CE118" i="23"/>
  <c r="CE119" i="23"/>
  <c r="CE117" i="23"/>
  <c r="CE188" i="23"/>
  <c r="CE171" i="23"/>
  <c r="CE115" i="23"/>
  <c r="CE135" i="23"/>
  <c r="CE129" i="23"/>
  <c r="CE137" i="23"/>
  <c r="CE146" i="23"/>
  <c r="CE132" i="23"/>
  <c r="CE140" i="23"/>
  <c r="CE131" i="23"/>
  <c r="CE162" i="23"/>
  <c r="CE128" i="23"/>
  <c r="CE161" i="23"/>
  <c r="CE116" i="23"/>
  <c r="CE123" i="23"/>
  <c r="CE148" i="23"/>
  <c r="CE169" i="23"/>
  <c r="CE202" i="23"/>
  <c r="CE180" i="23"/>
  <c r="CE147" i="23"/>
  <c r="CE158" i="23"/>
  <c r="CE191" i="23"/>
  <c r="CE136" i="23"/>
  <c r="CE125" i="23"/>
  <c r="CE114" i="23"/>
  <c r="CE113" i="23"/>
  <c r="CE111" i="23"/>
  <c r="CE108" i="23"/>
  <c r="CE107" i="23"/>
  <c r="CE109" i="23"/>
  <c r="CE105" i="23"/>
  <c r="CE112" i="23"/>
  <c r="CE106" i="23"/>
  <c r="CE103" i="23"/>
  <c r="CE101" i="23"/>
  <c r="CE110" i="23"/>
  <c r="CE104" i="23"/>
  <c r="CE100" i="23"/>
  <c r="CE98" i="23"/>
  <c r="CE96" i="23"/>
  <c r="CE93" i="23"/>
  <c r="CE94" i="23"/>
  <c r="CE85" i="23"/>
  <c r="CE95" i="23"/>
  <c r="CE90" i="23"/>
  <c r="CE84" i="23"/>
  <c r="CE89" i="23"/>
  <c r="CE86" i="23"/>
  <c r="CE87" i="23"/>
  <c r="CE88" i="23"/>
  <c r="CE82" i="23"/>
  <c r="CE80" i="23"/>
  <c r="CE77" i="23"/>
  <c r="CE97" i="23"/>
  <c r="CE83" i="23"/>
  <c r="CE79" i="23"/>
  <c r="CE71" i="23"/>
  <c r="CE102" i="23"/>
  <c r="CE99" i="23"/>
  <c r="CE91" i="23"/>
  <c r="CE78" i="23"/>
  <c r="CE70" i="23"/>
  <c r="CE76" i="23"/>
  <c r="CE92" i="23"/>
  <c r="CE81" i="23"/>
  <c r="CE66" i="23"/>
  <c r="CE73" i="23"/>
  <c r="CE65" i="23"/>
  <c r="CE61" i="23"/>
  <c r="CE63" i="23"/>
  <c r="CE56" i="23"/>
  <c r="CE75" i="23"/>
  <c r="CE69" i="23"/>
  <c r="CE53" i="23"/>
  <c r="CE62" i="23"/>
  <c r="CE52" i="23"/>
  <c r="CE72" i="23"/>
  <c r="CE64" i="23"/>
  <c r="CE59" i="23"/>
  <c r="CE51" i="23"/>
  <c r="CE49" i="23"/>
  <c r="CE47" i="23"/>
  <c r="CE74" i="23"/>
  <c r="CE40" i="23"/>
  <c r="CE55" i="23"/>
  <c r="CE50" i="23"/>
  <c r="CE39" i="23"/>
  <c r="CE68" i="23"/>
  <c r="CE34" i="23"/>
  <c r="CE54" i="23"/>
  <c r="CE48" i="23"/>
  <c r="CE44" i="23"/>
  <c r="CE33" i="23"/>
  <c r="CE67" i="23"/>
  <c r="CE58" i="23"/>
  <c r="CE57" i="23"/>
  <c r="CE38" i="23"/>
  <c r="CE27" i="23"/>
  <c r="CE25" i="23"/>
  <c r="CE32" i="23"/>
  <c r="CE31" i="23"/>
  <c r="CE22" i="23"/>
  <c r="CE46" i="23"/>
  <c r="CE41" i="23"/>
  <c r="CE29" i="23"/>
  <c r="CE19" i="23"/>
  <c r="CE28" i="23"/>
  <c r="CE26" i="23"/>
  <c r="CE10" i="23"/>
  <c r="CE43" i="23"/>
  <c r="CE42" i="23"/>
  <c r="CE23" i="23"/>
  <c r="CE20" i="23"/>
  <c r="CE17" i="23"/>
  <c r="CE7" i="23"/>
  <c r="CE9" i="23"/>
  <c r="CE37" i="23"/>
  <c r="CE12" i="23"/>
  <c r="CE4" i="23"/>
  <c r="CE36" i="23"/>
  <c r="CE11" i="23"/>
  <c r="CE45" i="23"/>
  <c r="CE30" i="23"/>
  <c r="CE21" i="23"/>
  <c r="CE18" i="23"/>
  <c r="CE13" i="23"/>
  <c r="CE15" i="23"/>
  <c r="CE6" i="23"/>
  <c r="CE60" i="23"/>
  <c r="CE35" i="23"/>
  <c r="CE24" i="23"/>
  <c r="CE14" i="23"/>
  <c r="CE5" i="23"/>
  <c r="CE16" i="23"/>
  <c r="CE8" i="23"/>
  <c r="CF2" i="23"/>
  <c r="CF200" i="23" l="1"/>
  <c r="CF164" i="23"/>
  <c r="CF115" i="23"/>
  <c r="CF122" i="23"/>
  <c r="CF175" i="23"/>
  <c r="CF133" i="23"/>
  <c r="CF132" i="23"/>
  <c r="CF116" i="23"/>
  <c r="CF121" i="23"/>
  <c r="CF135" i="23"/>
  <c r="CF210" i="23"/>
  <c r="CF189" i="23"/>
  <c r="CF208" i="23"/>
  <c r="CF204" i="23"/>
  <c r="CF211" i="23"/>
  <c r="CF209" i="23"/>
  <c r="CF192" i="23"/>
  <c r="CF196" i="23"/>
  <c r="CF195" i="23"/>
  <c r="CF201" i="23"/>
  <c r="CF198" i="23"/>
  <c r="CF205" i="23"/>
  <c r="CF203" i="23"/>
  <c r="CF193" i="23"/>
  <c r="CF206" i="23"/>
  <c r="CF207" i="23"/>
  <c r="CF197" i="23"/>
  <c r="CF181" i="23"/>
  <c r="CF212" i="23"/>
  <c r="CF166" i="23"/>
  <c r="CF184" i="23"/>
  <c r="CF199" i="23"/>
  <c r="CF183" i="23"/>
  <c r="CF188" i="23"/>
  <c r="CF174" i="23"/>
  <c r="CF177" i="23"/>
  <c r="CF172" i="23"/>
  <c r="CF165" i="23"/>
  <c r="CF156" i="23"/>
  <c r="CF150" i="23"/>
  <c r="CF170" i="23"/>
  <c r="CF194" i="23"/>
  <c r="CF186" i="23"/>
  <c r="CF187" i="23"/>
  <c r="CF190" i="23"/>
  <c r="CF178" i="23"/>
  <c r="CF155" i="23"/>
  <c r="CF173" i="23"/>
  <c r="CF161" i="23"/>
  <c r="CF168" i="23"/>
  <c r="CF138" i="23"/>
  <c r="CF182" i="23"/>
  <c r="CF159" i="23"/>
  <c r="CF154" i="23"/>
  <c r="CF148" i="23"/>
  <c r="CF141" i="23"/>
  <c r="CF137" i="23"/>
  <c r="CF143" i="23"/>
  <c r="CF145" i="23"/>
  <c r="CF146" i="23"/>
  <c r="CF126" i="23"/>
  <c r="CF130" i="23"/>
  <c r="CF185" i="23"/>
  <c r="CF162" i="23"/>
  <c r="CF153" i="23"/>
  <c r="CF140" i="23"/>
  <c r="CF127" i="23"/>
  <c r="CF176" i="23"/>
  <c r="CF163" i="23"/>
  <c r="CF160" i="23"/>
  <c r="CF157" i="23"/>
  <c r="CF139" i="23"/>
  <c r="CF131" i="23"/>
  <c r="CF117" i="23"/>
  <c r="CF129" i="23"/>
  <c r="CF152" i="23"/>
  <c r="CF118" i="23"/>
  <c r="CF167" i="23"/>
  <c r="CF142" i="23"/>
  <c r="CF128" i="23"/>
  <c r="CF134" i="23"/>
  <c r="CF120" i="23"/>
  <c r="CF171" i="23"/>
  <c r="CF179" i="23"/>
  <c r="CF124" i="23"/>
  <c r="CF149" i="23"/>
  <c r="CF123" i="23"/>
  <c r="CF119" i="23"/>
  <c r="CF144" i="23"/>
  <c r="CF151" i="23"/>
  <c r="CF191" i="23"/>
  <c r="CF114" i="23"/>
  <c r="CF125" i="23"/>
  <c r="CF136" i="23"/>
  <c r="CF202" i="23"/>
  <c r="CF180" i="23"/>
  <c r="CF147" i="23"/>
  <c r="CF158" i="23"/>
  <c r="CF169" i="23"/>
  <c r="CF111" i="23"/>
  <c r="CF110" i="23"/>
  <c r="CF109" i="23"/>
  <c r="CF108" i="23"/>
  <c r="CF106" i="23"/>
  <c r="CF112" i="23"/>
  <c r="CF113" i="23"/>
  <c r="CF104" i="23"/>
  <c r="CF102" i="23"/>
  <c r="CF97" i="23"/>
  <c r="CF107" i="23"/>
  <c r="CF101" i="23"/>
  <c r="CF98" i="23"/>
  <c r="CF96" i="23"/>
  <c r="CF100" i="23"/>
  <c r="CF94" i="23"/>
  <c r="CF105" i="23"/>
  <c r="CF92" i="23"/>
  <c r="CF91" i="23"/>
  <c r="CF103" i="23"/>
  <c r="CF89" i="23"/>
  <c r="CF87" i="23"/>
  <c r="CF84" i="23"/>
  <c r="CF95" i="23"/>
  <c r="CF93" i="23"/>
  <c r="CF85" i="23"/>
  <c r="CF88" i="23"/>
  <c r="CF83" i="23"/>
  <c r="CF79" i="23"/>
  <c r="CF76" i="23"/>
  <c r="CF75" i="23"/>
  <c r="CF77" i="23"/>
  <c r="CF70" i="23"/>
  <c r="CF81" i="23"/>
  <c r="CF71" i="23"/>
  <c r="CF63" i="23"/>
  <c r="CF90" i="23"/>
  <c r="CF78" i="23"/>
  <c r="CF74" i="23"/>
  <c r="CF69" i="23"/>
  <c r="CF73" i="23"/>
  <c r="CF64" i="23"/>
  <c r="CF60" i="23"/>
  <c r="CF58" i="23"/>
  <c r="CF50" i="23"/>
  <c r="CF82" i="23"/>
  <c r="CF72" i="23"/>
  <c r="CF67" i="23"/>
  <c r="CF59" i="23"/>
  <c r="CF57" i="23"/>
  <c r="CF66" i="23"/>
  <c r="CF62" i="23"/>
  <c r="CF56" i="23"/>
  <c r="CF52" i="23"/>
  <c r="CF53" i="23"/>
  <c r="CF99" i="23"/>
  <c r="CF86" i="23"/>
  <c r="CF54" i="23"/>
  <c r="CF48" i="23"/>
  <c r="CF46" i="23"/>
  <c r="CF80" i="23"/>
  <c r="CF68" i="23"/>
  <c r="CF45" i="23"/>
  <c r="CF40" i="23"/>
  <c r="CF39" i="23"/>
  <c r="CF47" i="23"/>
  <c r="CF34" i="23"/>
  <c r="CF61" i="23"/>
  <c r="CF49" i="23"/>
  <c r="CF42" i="23"/>
  <c r="CF31" i="23"/>
  <c r="CF51" i="23"/>
  <c r="CF65" i="23"/>
  <c r="CF32" i="23"/>
  <c r="CF22" i="23"/>
  <c r="CF41" i="23"/>
  <c r="CF29" i="23"/>
  <c r="CF19" i="23"/>
  <c r="CF43" i="23"/>
  <c r="CF37" i="23"/>
  <c r="CF26" i="23"/>
  <c r="CF24" i="23"/>
  <c r="CF23" i="23"/>
  <c r="CF20" i="23"/>
  <c r="CF17" i="23"/>
  <c r="CF7" i="23"/>
  <c r="CF33" i="23"/>
  <c r="CF12" i="23"/>
  <c r="CF4" i="23"/>
  <c r="CF16" i="23"/>
  <c r="CF14" i="23"/>
  <c r="CF36" i="23"/>
  <c r="CF28" i="23"/>
  <c r="CF9" i="23"/>
  <c r="CF6" i="23"/>
  <c r="CF44" i="23"/>
  <c r="CF30" i="23"/>
  <c r="CF27" i="23"/>
  <c r="CF21" i="23"/>
  <c r="CF18" i="23"/>
  <c r="CF8" i="23"/>
  <c r="CG2" i="23"/>
  <c r="CF35" i="23"/>
  <c r="CF15" i="23"/>
  <c r="CF13" i="23"/>
  <c r="CF55" i="23"/>
  <c r="CF38" i="23"/>
  <c r="CF10" i="23"/>
  <c r="CF11" i="23"/>
  <c r="CF5" i="23"/>
  <c r="CF25" i="23"/>
  <c r="CG204" i="23" l="1"/>
  <c r="CG135" i="23"/>
  <c r="CG186" i="23"/>
  <c r="CG194" i="23"/>
  <c r="CG116" i="23"/>
  <c r="CG170" i="23"/>
  <c r="CG124" i="23"/>
  <c r="CG200" i="23"/>
  <c r="CG196" i="23"/>
  <c r="CG138" i="23"/>
  <c r="CG115" i="23"/>
  <c r="CG128" i="23"/>
  <c r="CG126" i="23"/>
  <c r="CG127" i="23"/>
  <c r="CG164" i="23"/>
  <c r="CG129" i="23"/>
  <c r="CG197" i="23"/>
  <c r="CG146" i="23"/>
  <c r="CG149" i="23"/>
  <c r="CG201" i="23"/>
  <c r="CG209" i="23"/>
  <c r="CG203" i="23"/>
  <c r="CG206" i="23"/>
  <c r="CG207" i="23"/>
  <c r="CG210" i="23"/>
  <c r="CG208" i="23"/>
  <c r="CG211" i="23"/>
  <c r="CG179" i="23"/>
  <c r="CG198" i="23"/>
  <c r="CG195" i="23"/>
  <c r="CG193" i="23"/>
  <c r="CG192" i="23"/>
  <c r="CG181" i="23"/>
  <c r="CG212" i="23"/>
  <c r="CG199" i="23"/>
  <c r="CG183" i="23"/>
  <c r="CG171" i="23"/>
  <c r="CG187" i="23"/>
  <c r="CG189" i="23"/>
  <c r="CG176" i="23"/>
  <c r="CG188" i="23"/>
  <c r="CG184" i="23"/>
  <c r="CG162" i="23"/>
  <c r="CG160" i="23"/>
  <c r="CG150" i="23"/>
  <c r="CG156" i="23"/>
  <c r="CG182" i="23"/>
  <c r="CG190" i="23"/>
  <c r="CG165" i="23"/>
  <c r="CG159" i="23"/>
  <c r="CG166" i="23"/>
  <c r="CG205" i="23"/>
  <c r="CG173" i="23"/>
  <c r="CG167" i="23"/>
  <c r="CG175" i="23"/>
  <c r="CG155" i="23"/>
  <c r="CG178" i="23"/>
  <c r="CG148" i="23"/>
  <c r="CG142" i="23"/>
  <c r="CG144" i="23"/>
  <c r="CG172" i="23"/>
  <c r="CG174" i="23"/>
  <c r="CG157" i="23"/>
  <c r="CG143" i="23"/>
  <c r="CG131" i="23"/>
  <c r="CG154" i="23"/>
  <c r="CG133" i="23"/>
  <c r="CG119" i="23"/>
  <c r="CG117" i="23"/>
  <c r="CG185" i="23"/>
  <c r="CG168" i="23"/>
  <c r="CG137" i="23"/>
  <c r="CG140" i="23"/>
  <c r="CG122" i="23"/>
  <c r="CG123" i="23"/>
  <c r="CG177" i="23"/>
  <c r="CG153" i="23"/>
  <c r="CG141" i="23"/>
  <c r="CG152" i="23"/>
  <c r="CG120" i="23"/>
  <c r="CG139" i="23"/>
  <c r="CG132" i="23"/>
  <c r="CG134" i="23"/>
  <c r="CG118" i="23"/>
  <c r="CG161" i="23"/>
  <c r="CG151" i="23"/>
  <c r="CG121" i="23"/>
  <c r="CG163" i="23"/>
  <c r="CG130" i="23"/>
  <c r="CG145" i="23"/>
  <c r="CG180" i="23"/>
  <c r="CG147" i="23"/>
  <c r="CG169" i="23"/>
  <c r="CG158" i="23"/>
  <c r="CG125" i="23"/>
  <c r="CG202" i="23"/>
  <c r="CG191" i="23"/>
  <c r="CG114" i="23"/>
  <c r="CG136" i="23"/>
  <c r="CG112" i="23"/>
  <c r="CG111" i="23"/>
  <c r="CG108" i="23"/>
  <c r="CG105" i="23"/>
  <c r="CG113" i="23"/>
  <c r="CG104" i="23"/>
  <c r="CG102" i="23"/>
  <c r="CG110" i="23"/>
  <c r="CG103" i="23"/>
  <c r="CG101" i="23"/>
  <c r="CG106" i="23"/>
  <c r="CG99" i="23"/>
  <c r="CG98" i="23"/>
  <c r="CG94" i="23"/>
  <c r="CG93" i="23"/>
  <c r="CG100" i="23"/>
  <c r="CG95" i="23"/>
  <c r="CG92" i="23"/>
  <c r="CG90" i="23"/>
  <c r="CG109" i="23"/>
  <c r="CG89" i="23"/>
  <c r="CG96" i="23"/>
  <c r="CG88" i="23"/>
  <c r="CG87" i="23"/>
  <c r="CG97" i="23"/>
  <c r="CG86" i="23"/>
  <c r="CG107" i="23"/>
  <c r="CG84" i="23"/>
  <c r="CG83" i="23"/>
  <c r="CG79" i="23"/>
  <c r="CG76" i="23"/>
  <c r="CG81" i="23"/>
  <c r="CG73" i="23"/>
  <c r="CG72" i="23"/>
  <c r="CG91" i="23"/>
  <c r="CG71" i="23"/>
  <c r="CG68" i="23"/>
  <c r="CG82" i="23"/>
  <c r="CG69" i="23"/>
  <c r="CG67" i="23"/>
  <c r="CG63" i="23"/>
  <c r="CG75" i="23"/>
  <c r="CG64" i="23"/>
  <c r="CG60" i="23"/>
  <c r="CG58" i="23"/>
  <c r="CG77" i="23"/>
  <c r="CG65" i="23"/>
  <c r="CG55" i="23"/>
  <c r="CG80" i="23"/>
  <c r="CG74" i="23"/>
  <c r="CG54" i="23"/>
  <c r="CG53" i="23"/>
  <c r="CG48" i="23"/>
  <c r="CG46" i="23"/>
  <c r="CG78" i="23"/>
  <c r="CG61" i="23"/>
  <c r="CG43" i="23"/>
  <c r="CG57" i="23"/>
  <c r="CG50" i="23"/>
  <c r="CG42" i="23"/>
  <c r="CG52" i="23"/>
  <c r="CG47" i="23"/>
  <c r="CG59" i="23"/>
  <c r="CG49" i="23"/>
  <c r="CG31" i="23"/>
  <c r="CG66" i="23"/>
  <c r="CG41" i="23"/>
  <c r="CG38" i="23"/>
  <c r="CG36" i="23"/>
  <c r="CG45" i="23"/>
  <c r="CG37" i="23"/>
  <c r="CG35" i="23"/>
  <c r="CG56" i="23"/>
  <c r="CG62" i="23"/>
  <c r="CG29" i="23"/>
  <c r="CG19" i="23"/>
  <c r="CG85" i="23"/>
  <c r="CG26" i="23"/>
  <c r="CG24" i="23"/>
  <c r="CG21" i="23"/>
  <c r="CG30" i="23"/>
  <c r="CG20" i="23"/>
  <c r="CG33" i="23"/>
  <c r="CG23" i="23"/>
  <c r="CG12" i="23"/>
  <c r="CG4" i="23"/>
  <c r="CG11" i="23"/>
  <c r="CG51" i="23"/>
  <c r="CG28" i="23"/>
  <c r="CG9" i="23"/>
  <c r="CG25" i="23"/>
  <c r="CG39" i="23"/>
  <c r="CG22" i="23"/>
  <c r="CG16" i="23"/>
  <c r="CG14" i="23"/>
  <c r="CG6" i="23"/>
  <c r="CG34" i="23"/>
  <c r="CG40" i="23"/>
  <c r="CG15" i="23"/>
  <c r="CG13" i="23"/>
  <c r="CG5" i="23"/>
  <c r="CG32" i="23"/>
  <c r="CG44" i="23"/>
  <c r="CG7" i="23"/>
  <c r="CG27" i="23"/>
  <c r="CG17" i="23"/>
  <c r="CG10" i="23"/>
  <c r="CG70" i="23"/>
  <c r="CG18" i="23"/>
  <c r="CG8" i="23"/>
  <c r="CH2" i="23"/>
  <c r="CH159" i="23" l="1"/>
  <c r="CH173" i="23"/>
  <c r="CH143" i="23"/>
  <c r="CH164" i="23"/>
  <c r="CH176" i="23"/>
  <c r="CH166" i="23"/>
  <c r="CH170" i="23"/>
  <c r="CH116" i="23"/>
  <c r="CH193" i="23"/>
  <c r="CH146" i="23"/>
  <c r="CH124" i="23"/>
  <c r="CH115" i="23"/>
  <c r="CH171" i="23"/>
  <c r="CH201" i="23"/>
  <c r="CH127" i="23"/>
  <c r="CH183" i="23"/>
  <c r="CH129" i="23"/>
  <c r="CH149" i="23"/>
  <c r="CH174" i="23"/>
  <c r="CH196" i="23"/>
  <c r="CH117" i="23"/>
  <c r="CH210" i="23"/>
  <c r="CH197" i="23"/>
  <c r="CH209" i="23"/>
  <c r="CH206" i="23"/>
  <c r="CH212" i="23"/>
  <c r="CH195" i="23"/>
  <c r="CH207" i="23"/>
  <c r="CH194" i="23"/>
  <c r="CH211" i="23"/>
  <c r="CH204" i="23"/>
  <c r="CH184" i="23"/>
  <c r="CH205" i="23"/>
  <c r="CH198" i="23"/>
  <c r="CH208" i="23"/>
  <c r="CH144" i="23"/>
  <c r="CH192" i="23"/>
  <c r="CH186" i="23"/>
  <c r="CH172" i="23"/>
  <c r="CH185" i="23"/>
  <c r="CH203" i="23"/>
  <c r="CH200" i="23"/>
  <c r="CH199" i="23"/>
  <c r="CH190" i="23"/>
  <c r="CH179" i="23"/>
  <c r="CH177" i="23"/>
  <c r="CH162" i="23"/>
  <c r="CH150" i="23"/>
  <c r="CH154" i="23"/>
  <c r="CH188" i="23"/>
  <c r="CH163" i="23"/>
  <c r="CH161" i="23"/>
  <c r="CH165" i="23"/>
  <c r="CH155" i="23"/>
  <c r="CH175" i="23"/>
  <c r="CH187" i="23"/>
  <c r="CH160" i="23"/>
  <c r="CH167" i="23"/>
  <c r="CH156" i="23"/>
  <c r="CH148" i="23"/>
  <c r="CH151" i="23"/>
  <c r="CH153" i="23"/>
  <c r="CH152" i="23"/>
  <c r="CH182" i="23"/>
  <c r="CH189" i="23"/>
  <c r="CH137" i="23"/>
  <c r="CH139" i="23"/>
  <c r="CH145" i="23"/>
  <c r="CH157" i="23"/>
  <c r="CH142" i="23"/>
  <c r="CH130" i="23"/>
  <c r="CH141" i="23"/>
  <c r="CH140" i="23"/>
  <c r="CH120" i="23"/>
  <c r="CH121" i="23"/>
  <c r="CH128" i="23"/>
  <c r="CH119" i="23"/>
  <c r="CH122" i="23"/>
  <c r="CH131" i="23"/>
  <c r="CH118" i="23"/>
  <c r="CH168" i="23"/>
  <c r="CH126" i="23"/>
  <c r="CH181" i="23"/>
  <c r="CH132" i="23"/>
  <c r="CH178" i="23"/>
  <c r="CH135" i="23"/>
  <c r="CH133" i="23"/>
  <c r="CH138" i="23"/>
  <c r="CH123" i="23"/>
  <c r="CH134" i="23"/>
  <c r="CH202" i="23"/>
  <c r="CH169" i="23"/>
  <c r="CH158" i="23"/>
  <c r="CH191" i="23"/>
  <c r="CH147" i="23"/>
  <c r="CH136" i="23"/>
  <c r="CH125" i="23"/>
  <c r="CH114" i="23"/>
  <c r="CH180" i="23"/>
  <c r="CH112" i="23"/>
  <c r="CH113" i="23"/>
  <c r="CH111" i="23"/>
  <c r="CH110" i="23"/>
  <c r="CH108" i="23"/>
  <c r="CH107" i="23"/>
  <c r="CH106" i="23"/>
  <c r="CH109" i="23"/>
  <c r="CH102" i="23"/>
  <c r="CH100" i="23"/>
  <c r="CH99" i="23"/>
  <c r="CH104" i="23"/>
  <c r="CH95" i="23"/>
  <c r="CH105" i="23"/>
  <c r="CH97" i="23"/>
  <c r="CH98" i="23"/>
  <c r="CH96" i="23"/>
  <c r="CH94" i="23"/>
  <c r="CH103" i="23"/>
  <c r="CH101" i="23"/>
  <c r="CH93" i="23"/>
  <c r="CH89" i="23"/>
  <c r="CH83" i="23"/>
  <c r="CH87" i="23"/>
  <c r="CH91" i="23"/>
  <c r="CH82" i="23"/>
  <c r="CH80" i="23"/>
  <c r="CH85" i="23"/>
  <c r="CH81" i="23"/>
  <c r="CH88" i="23"/>
  <c r="CH78" i="23"/>
  <c r="CH86" i="23"/>
  <c r="CH77" i="23"/>
  <c r="CH71" i="23"/>
  <c r="CH92" i="23"/>
  <c r="CH79" i="23"/>
  <c r="CH72" i="23"/>
  <c r="CH65" i="23"/>
  <c r="CH75" i="23"/>
  <c r="CH64" i="23"/>
  <c r="CH69" i="23"/>
  <c r="CH60" i="23"/>
  <c r="CH58" i="23"/>
  <c r="CH76" i="23"/>
  <c r="CH73" i="23"/>
  <c r="CH66" i="23"/>
  <c r="CH62" i="23"/>
  <c r="CH52" i="23"/>
  <c r="CH68" i="23"/>
  <c r="CH61" i="23"/>
  <c r="CH51" i="23"/>
  <c r="CH90" i="23"/>
  <c r="CH74" i="23"/>
  <c r="CH48" i="23"/>
  <c r="CH46" i="23"/>
  <c r="CH54" i="23"/>
  <c r="CH55" i="23"/>
  <c r="CH63" i="23"/>
  <c r="CH49" i="23"/>
  <c r="CH47" i="23"/>
  <c r="CH59" i="23"/>
  <c r="CH42" i="23"/>
  <c r="CH41" i="23"/>
  <c r="CH38" i="23"/>
  <c r="CH36" i="23"/>
  <c r="CH67" i="23"/>
  <c r="CH53" i="23"/>
  <c r="CH44" i="23"/>
  <c r="CH43" i="23"/>
  <c r="CH33" i="23"/>
  <c r="CH84" i="23"/>
  <c r="CH57" i="23"/>
  <c r="CH32" i="23"/>
  <c r="CH70" i="23"/>
  <c r="CH31" i="23"/>
  <c r="CH26" i="23"/>
  <c r="CH24" i="23"/>
  <c r="CH37" i="23"/>
  <c r="CH21" i="23"/>
  <c r="CH45" i="23"/>
  <c r="CH28" i="23"/>
  <c r="CH56" i="23"/>
  <c r="CH35" i="23"/>
  <c r="CH34" i="23"/>
  <c r="CH27" i="23"/>
  <c r="CH25" i="23"/>
  <c r="CH9" i="23"/>
  <c r="CH39" i="23"/>
  <c r="CH22" i="23"/>
  <c r="CH16" i="23"/>
  <c r="CH14" i="23"/>
  <c r="CH6" i="23"/>
  <c r="CH18" i="23"/>
  <c r="CH50" i="23"/>
  <c r="CH19" i="23"/>
  <c r="CH11" i="23"/>
  <c r="CH8" i="23"/>
  <c r="CI2" i="23"/>
  <c r="CH10" i="23"/>
  <c r="CH17" i="23"/>
  <c r="CH30" i="23"/>
  <c r="CH7" i="23"/>
  <c r="CH23" i="23"/>
  <c r="CH5" i="23"/>
  <c r="CH29" i="23"/>
  <c r="CH15" i="23"/>
  <c r="CH13" i="23"/>
  <c r="CH4" i="23"/>
  <c r="CH12" i="23"/>
  <c r="CH40" i="23"/>
  <c r="CH20" i="23"/>
  <c r="CI157" i="23" l="1"/>
  <c r="CI139" i="23"/>
  <c r="CI203" i="23"/>
  <c r="CI131" i="23"/>
  <c r="CI124" i="23"/>
  <c r="CI128" i="23"/>
  <c r="CI148" i="23"/>
  <c r="CI116" i="23"/>
  <c r="CI127" i="23"/>
  <c r="CI151" i="23"/>
  <c r="CI144" i="23"/>
  <c r="CI174" i="23"/>
  <c r="CI143" i="23"/>
  <c r="CI134" i="23"/>
  <c r="CI173" i="23"/>
  <c r="CI209" i="23"/>
  <c r="CI189" i="23"/>
  <c r="CI206" i="23"/>
  <c r="CI212" i="23"/>
  <c r="CI210" i="23"/>
  <c r="CI211" i="23"/>
  <c r="CI208" i="23"/>
  <c r="CI204" i="23"/>
  <c r="CI195" i="23"/>
  <c r="CI193" i="23"/>
  <c r="CI196" i="23"/>
  <c r="CI201" i="23"/>
  <c r="CI192" i="23"/>
  <c r="CI184" i="23"/>
  <c r="CI200" i="23"/>
  <c r="CI199" i="23"/>
  <c r="CI152" i="23"/>
  <c r="CI207" i="23"/>
  <c r="CI194" i="23"/>
  <c r="CI187" i="23"/>
  <c r="CI197" i="23"/>
  <c r="CI186" i="23"/>
  <c r="CI181" i="23"/>
  <c r="CI205" i="23"/>
  <c r="CI175" i="23"/>
  <c r="CI172" i="23"/>
  <c r="CI179" i="23"/>
  <c r="CI178" i="23"/>
  <c r="CI160" i="23"/>
  <c r="CI188" i="23"/>
  <c r="CI176" i="23"/>
  <c r="CI177" i="23"/>
  <c r="CI162" i="23"/>
  <c r="CI167" i="23"/>
  <c r="CI156" i="23"/>
  <c r="CI164" i="23"/>
  <c r="CI161" i="23"/>
  <c r="CI182" i="23"/>
  <c r="CI183" i="23"/>
  <c r="CI170" i="23"/>
  <c r="CI150" i="23"/>
  <c r="CI140" i="23"/>
  <c r="CI166" i="23"/>
  <c r="CI142" i="23"/>
  <c r="CI126" i="23"/>
  <c r="CI155" i="23"/>
  <c r="CI138" i="23"/>
  <c r="CI146" i="23"/>
  <c r="CI129" i="23"/>
  <c r="CI135" i="23"/>
  <c r="CI171" i="23"/>
  <c r="CI165" i="23"/>
  <c r="CI154" i="23"/>
  <c r="CI145" i="23"/>
  <c r="CI190" i="23"/>
  <c r="CI159" i="23"/>
  <c r="CI137" i="23"/>
  <c r="CI122" i="23"/>
  <c r="CI185" i="23"/>
  <c r="CI153" i="23"/>
  <c r="CI117" i="23"/>
  <c r="CI198" i="23"/>
  <c r="CI132" i="23"/>
  <c r="CI130" i="23"/>
  <c r="CI141" i="23"/>
  <c r="CI133" i="23"/>
  <c r="CI118" i="23"/>
  <c r="CI121" i="23"/>
  <c r="CI123" i="23"/>
  <c r="CI149" i="23"/>
  <c r="CI119" i="23"/>
  <c r="CI115" i="23"/>
  <c r="CI120" i="23"/>
  <c r="CI163" i="23"/>
  <c r="CI168" i="23"/>
  <c r="CI147" i="23"/>
  <c r="CI114" i="23"/>
  <c r="CI136" i="23"/>
  <c r="CI202" i="23"/>
  <c r="CI180" i="23"/>
  <c r="CI158" i="23"/>
  <c r="CI191" i="23"/>
  <c r="CI169" i="23"/>
  <c r="CI125" i="23"/>
  <c r="CI113" i="23"/>
  <c r="CI112" i="23"/>
  <c r="CI110" i="23"/>
  <c r="CI109" i="23"/>
  <c r="CI111" i="23"/>
  <c r="CI106" i="23"/>
  <c r="CI108" i="23"/>
  <c r="CI107" i="23"/>
  <c r="CI105" i="23"/>
  <c r="CI100" i="23"/>
  <c r="CI102" i="23"/>
  <c r="CI96" i="23"/>
  <c r="CI103" i="23"/>
  <c r="CI95" i="23"/>
  <c r="CI104" i="23"/>
  <c r="CI99" i="23"/>
  <c r="CI93" i="23"/>
  <c r="CI91" i="23"/>
  <c r="CI101" i="23"/>
  <c r="CI90" i="23"/>
  <c r="CI98" i="23"/>
  <c r="CI94" i="23"/>
  <c r="CI88" i="23"/>
  <c r="CI97" i="23"/>
  <c r="CI92" i="23"/>
  <c r="CI83" i="23"/>
  <c r="CI81" i="23"/>
  <c r="CI78" i="23"/>
  <c r="CI89" i="23"/>
  <c r="CI82" i="23"/>
  <c r="CI80" i="23"/>
  <c r="CI75" i="23"/>
  <c r="CI87" i="23"/>
  <c r="CI74" i="23"/>
  <c r="CI79" i="23"/>
  <c r="CI72" i="23"/>
  <c r="CI73" i="23"/>
  <c r="CI84" i="23"/>
  <c r="CI70" i="23"/>
  <c r="CI76" i="23"/>
  <c r="CI64" i="23"/>
  <c r="CI77" i="23"/>
  <c r="CI71" i="23"/>
  <c r="CI66" i="23"/>
  <c r="CI65" i="23"/>
  <c r="CI62" i="23"/>
  <c r="CI59" i="23"/>
  <c r="CI57" i="23"/>
  <c r="CI85" i="23"/>
  <c r="CI56" i="23"/>
  <c r="CI54" i="23"/>
  <c r="CI86" i="23"/>
  <c r="CI61" i="23"/>
  <c r="CI55" i="23"/>
  <c r="CI67" i="23"/>
  <c r="CI45" i="23"/>
  <c r="CI60" i="23"/>
  <c r="CI51" i="23"/>
  <c r="CI44" i="23"/>
  <c r="CI49" i="23"/>
  <c r="CI42" i="23"/>
  <c r="CI41" i="23"/>
  <c r="CI38" i="23"/>
  <c r="CI36" i="23"/>
  <c r="CI68" i="23"/>
  <c r="CI53" i="23"/>
  <c r="CI43" i="23"/>
  <c r="CI33" i="23"/>
  <c r="CI40" i="23"/>
  <c r="CI39" i="23"/>
  <c r="CI69" i="23"/>
  <c r="CI52" i="23"/>
  <c r="CI37" i="23"/>
  <c r="CI21" i="23"/>
  <c r="CI46" i="23"/>
  <c r="CI28" i="23"/>
  <c r="CI63" i="23"/>
  <c r="CI23" i="23"/>
  <c r="CI50" i="23"/>
  <c r="CI22" i="23"/>
  <c r="CI47" i="23"/>
  <c r="CI16" i="23"/>
  <c r="CI14" i="23"/>
  <c r="CI6" i="23"/>
  <c r="CI30" i="23"/>
  <c r="CI15" i="23"/>
  <c r="CI19" i="23"/>
  <c r="CI11" i="23"/>
  <c r="CI27" i="23"/>
  <c r="CI34" i="23"/>
  <c r="CI31" i="23"/>
  <c r="CI25" i="23"/>
  <c r="CI18" i="23"/>
  <c r="CI8" i="23"/>
  <c r="CJ2" i="23"/>
  <c r="CI13" i="23"/>
  <c r="CI5" i="23"/>
  <c r="CI58" i="23"/>
  <c r="CI48" i="23"/>
  <c r="CI35" i="23"/>
  <c r="CI32" i="23"/>
  <c r="CI17" i="23"/>
  <c r="CI7" i="23"/>
  <c r="CI29" i="23"/>
  <c r="CI24" i="23"/>
  <c r="CI20" i="23"/>
  <c r="CI12" i="23"/>
  <c r="CI9" i="23"/>
  <c r="CI10" i="23"/>
  <c r="CI26" i="23"/>
  <c r="CI4" i="23"/>
  <c r="CJ200" i="23" l="1"/>
  <c r="CJ168" i="23"/>
  <c r="CJ115" i="23"/>
  <c r="CJ145" i="23"/>
  <c r="CJ152" i="23"/>
  <c r="CJ151" i="23"/>
  <c r="CJ206" i="23"/>
  <c r="CJ129" i="23"/>
  <c r="CJ179" i="23"/>
  <c r="CJ127" i="23"/>
  <c r="CJ117" i="23"/>
  <c r="CJ118" i="23"/>
  <c r="CJ164" i="23"/>
  <c r="CJ149" i="23"/>
  <c r="CJ131" i="23"/>
  <c r="CJ198" i="23"/>
  <c r="CJ163" i="23"/>
  <c r="CJ139" i="23"/>
  <c r="CJ194" i="23"/>
  <c r="CJ210" i="23"/>
  <c r="CJ205" i="23"/>
  <c r="CJ211" i="23"/>
  <c r="CJ204" i="23"/>
  <c r="CJ208" i="23"/>
  <c r="CJ203" i="23"/>
  <c r="CJ197" i="23"/>
  <c r="CJ193" i="23"/>
  <c r="CJ196" i="23"/>
  <c r="CJ182" i="23"/>
  <c r="CJ201" i="23"/>
  <c r="CJ207" i="23"/>
  <c r="CJ192" i="23"/>
  <c r="CJ209" i="23"/>
  <c r="CJ212" i="23"/>
  <c r="CJ199" i="23"/>
  <c r="CJ187" i="23"/>
  <c r="CJ183" i="23"/>
  <c r="CJ186" i="23"/>
  <c r="CJ189" i="23"/>
  <c r="CJ181" i="23"/>
  <c r="CJ171" i="23"/>
  <c r="CJ170" i="23"/>
  <c r="CJ188" i="23"/>
  <c r="CJ160" i="23"/>
  <c r="CJ165" i="23"/>
  <c r="CJ156" i="23"/>
  <c r="CJ155" i="23"/>
  <c r="CJ185" i="23"/>
  <c r="CJ167" i="23"/>
  <c r="CJ150" i="23"/>
  <c r="CJ162" i="23"/>
  <c r="CJ159" i="23"/>
  <c r="CJ153" i="23"/>
  <c r="CJ154" i="23"/>
  <c r="CJ148" i="23"/>
  <c r="CJ141" i="23"/>
  <c r="CJ195" i="23"/>
  <c r="CJ161" i="23"/>
  <c r="CJ177" i="23"/>
  <c r="CJ175" i="23"/>
  <c r="CJ157" i="23"/>
  <c r="CJ132" i="23"/>
  <c r="CJ190" i="23"/>
  <c r="CJ172" i="23"/>
  <c r="CJ126" i="23"/>
  <c r="CJ128" i="23"/>
  <c r="CJ135" i="23"/>
  <c r="CJ184" i="23"/>
  <c r="CJ173" i="23"/>
  <c r="CJ178" i="23"/>
  <c r="CJ137" i="23"/>
  <c r="CJ143" i="23"/>
  <c r="CJ138" i="23"/>
  <c r="CJ133" i="23"/>
  <c r="CJ120" i="23"/>
  <c r="CJ121" i="23"/>
  <c r="CJ176" i="23"/>
  <c r="CJ140" i="23"/>
  <c r="CJ146" i="23"/>
  <c r="CJ116" i="23"/>
  <c r="CJ119" i="23"/>
  <c r="CJ144" i="23"/>
  <c r="CJ130" i="23"/>
  <c r="CJ174" i="23"/>
  <c r="CJ166" i="23"/>
  <c r="CJ134" i="23"/>
  <c r="CJ122" i="23"/>
  <c r="CJ124" i="23"/>
  <c r="CJ123" i="23"/>
  <c r="CJ142" i="23"/>
  <c r="CJ125" i="23"/>
  <c r="CJ158" i="23"/>
  <c r="CJ147" i="23"/>
  <c r="CJ114" i="23"/>
  <c r="CJ202" i="23"/>
  <c r="CJ180" i="23"/>
  <c r="CJ169" i="23"/>
  <c r="CJ136" i="23"/>
  <c r="CJ191" i="23"/>
  <c r="CJ112" i="23"/>
  <c r="CJ111" i="23"/>
  <c r="CJ107" i="23"/>
  <c r="CJ113" i="23"/>
  <c r="CJ103" i="23"/>
  <c r="CJ101" i="23"/>
  <c r="CJ109" i="23"/>
  <c r="CJ108" i="23"/>
  <c r="CJ105" i="23"/>
  <c r="CJ102" i="23"/>
  <c r="CJ100" i="23"/>
  <c r="CJ104" i="23"/>
  <c r="CJ98" i="23"/>
  <c r="CJ95" i="23"/>
  <c r="CJ99" i="23"/>
  <c r="CJ96" i="23"/>
  <c r="CJ89" i="23"/>
  <c r="CJ88" i="23"/>
  <c r="CJ93" i="23"/>
  <c r="CJ92" i="23"/>
  <c r="CJ91" i="23"/>
  <c r="CJ86" i="23"/>
  <c r="CJ85" i="23"/>
  <c r="CJ106" i="23"/>
  <c r="CJ94" i="23"/>
  <c r="CJ90" i="23"/>
  <c r="CJ81" i="23"/>
  <c r="CJ78" i="23"/>
  <c r="CJ97" i="23"/>
  <c r="CJ82" i="23"/>
  <c r="CJ80" i="23"/>
  <c r="CJ72" i="23"/>
  <c r="CJ84" i="23"/>
  <c r="CJ79" i="23"/>
  <c r="CJ71" i="23"/>
  <c r="CJ69" i="23"/>
  <c r="CJ83" i="23"/>
  <c r="CJ73" i="23"/>
  <c r="CJ74" i="23"/>
  <c r="CJ67" i="23"/>
  <c r="CJ87" i="23"/>
  <c r="CJ77" i="23"/>
  <c r="CJ76" i="23"/>
  <c r="CJ66" i="23"/>
  <c r="CJ75" i="23"/>
  <c r="CJ65" i="23"/>
  <c r="CJ62" i="23"/>
  <c r="CJ59" i="23"/>
  <c r="CJ57" i="23"/>
  <c r="CJ70" i="23"/>
  <c r="CJ54" i="23"/>
  <c r="CJ63" i="23"/>
  <c r="CJ53" i="23"/>
  <c r="CJ61" i="23"/>
  <c r="CJ55" i="23"/>
  <c r="CJ58" i="23"/>
  <c r="CJ50" i="23"/>
  <c r="CJ42" i="23"/>
  <c r="CJ56" i="23"/>
  <c r="CJ52" i="23"/>
  <c r="CJ41" i="23"/>
  <c r="CJ68" i="23"/>
  <c r="CJ43" i="23"/>
  <c r="CJ44" i="23"/>
  <c r="CJ60" i="23"/>
  <c r="CJ46" i="23"/>
  <c r="CJ37" i="23"/>
  <c r="CJ35" i="23"/>
  <c r="CJ34" i="23"/>
  <c r="CJ28" i="23"/>
  <c r="CJ64" i="23"/>
  <c r="CJ45" i="23"/>
  <c r="CJ23" i="23"/>
  <c r="CJ51" i="23"/>
  <c r="CJ48" i="23"/>
  <c r="CJ47" i="23"/>
  <c r="CJ40" i="23"/>
  <c r="CJ39" i="23"/>
  <c r="CJ30" i="23"/>
  <c r="CJ20" i="23"/>
  <c r="CJ36" i="23"/>
  <c r="CJ33" i="23"/>
  <c r="CJ32" i="23"/>
  <c r="CJ29" i="23"/>
  <c r="CJ19" i="23"/>
  <c r="CJ22" i="23"/>
  <c r="CJ11" i="23"/>
  <c r="CJ31" i="23"/>
  <c r="CJ25" i="23"/>
  <c r="CJ18" i="23"/>
  <c r="CJ8" i="23"/>
  <c r="CK2" i="23"/>
  <c r="CJ49" i="23"/>
  <c r="CJ27" i="23"/>
  <c r="CJ15" i="23"/>
  <c r="CJ13" i="23"/>
  <c r="CJ5" i="23"/>
  <c r="CJ38" i="23"/>
  <c r="CJ10" i="23"/>
  <c r="CJ24" i="23"/>
  <c r="CJ12" i="23"/>
  <c r="CJ4" i="23"/>
  <c r="CJ110" i="23"/>
  <c r="CJ26" i="23"/>
  <c r="CJ9" i="23"/>
  <c r="CJ21" i="23"/>
  <c r="CJ7" i="23"/>
  <c r="CJ14" i="23"/>
  <c r="CJ16" i="23"/>
  <c r="CJ17" i="23"/>
  <c r="CJ6" i="23"/>
  <c r="CK128" i="23" l="1"/>
  <c r="CK146" i="23"/>
  <c r="CK145" i="23"/>
  <c r="CK124" i="23"/>
  <c r="CK192" i="23"/>
  <c r="CK206" i="23"/>
  <c r="CK207" i="23"/>
  <c r="CK121" i="23"/>
  <c r="CK170" i="23"/>
  <c r="CK134" i="23"/>
  <c r="CK199" i="23"/>
  <c r="CK129" i="23"/>
  <c r="CK115" i="23"/>
  <c r="CK183" i="23"/>
  <c r="CK164" i="23"/>
  <c r="CK203" i="23"/>
  <c r="CK182" i="23"/>
  <c r="CK200" i="23"/>
  <c r="CK211" i="23"/>
  <c r="CK209" i="23"/>
  <c r="CK149" i="23"/>
  <c r="CK205" i="23"/>
  <c r="CK143" i="23"/>
  <c r="CK212" i="23"/>
  <c r="CK208" i="23"/>
  <c r="CK176" i="23"/>
  <c r="CK210" i="23"/>
  <c r="CK195" i="23"/>
  <c r="CK193" i="23"/>
  <c r="CK184" i="23"/>
  <c r="CK194" i="23"/>
  <c r="CK204" i="23"/>
  <c r="CK168" i="23"/>
  <c r="CK166" i="23"/>
  <c r="CK198" i="23"/>
  <c r="CK197" i="23"/>
  <c r="CK187" i="23"/>
  <c r="CK185" i="23"/>
  <c r="CK181" i="23"/>
  <c r="CK171" i="23"/>
  <c r="CK190" i="23"/>
  <c r="CK174" i="23"/>
  <c r="CK201" i="23"/>
  <c r="CK162" i="23"/>
  <c r="CK173" i="23"/>
  <c r="CK161" i="23"/>
  <c r="CK196" i="23"/>
  <c r="CK189" i="23"/>
  <c r="CK167" i="23"/>
  <c r="CK156" i="23"/>
  <c r="CK154" i="23"/>
  <c r="CK186" i="23"/>
  <c r="CK172" i="23"/>
  <c r="CK177" i="23"/>
  <c r="CK150" i="23"/>
  <c r="CK152" i="23"/>
  <c r="CK157" i="23"/>
  <c r="CK141" i="23"/>
  <c r="CK159" i="23"/>
  <c r="CK131" i="23"/>
  <c r="CK163" i="23"/>
  <c r="CK126" i="23"/>
  <c r="CK160" i="23"/>
  <c r="CK155" i="23"/>
  <c r="CK144" i="23"/>
  <c r="CK122" i="23"/>
  <c r="CK179" i="23"/>
  <c r="CK130" i="23"/>
  <c r="CK132" i="23"/>
  <c r="CK120" i="23"/>
  <c r="CK139" i="23"/>
  <c r="CK117" i="23"/>
  <c r="CK188" i="23"/>
  <c r="CK140" i="23"/>
  <c r="CK127" i="23"/>
  <c r="CK135" i="23"/>
  <c r="CK118" i="23"/>
  <c r="CK175" i="23"/>
  <c r="CK137" i="23"/>
  <c r="CK123" i="23"/>
  <c r="CK153" i="23"/>
  <c r="CK119" i="23"/>
  <c r="CK178" i="23"/>
  <c r="CK151" i="23"/>
  <c r="CK133" i="23"/>
  <c r="CK116" i="23"/>
  <c r="CK165" i="23"/>
  <c r="CK148" i="23"/>
  <c r="CK142" i="23"/>
  <c r="CK138" i="23"/>
  <c r="CK147" i="23"/>
  <c r="CK114" i="23"/>
  <c r="CK169" i="23"/>
  <c r="CK136" i="23"/>
  <c r="CK191" i="23"/>
  <c r="CK158" i="23"/>
  <c r="CK125" i="23"/>
  <c r="CK202" i="23"/>
  <c r="CK180" i="23"/>
  <c r="CK113" i="23"/>
  <c r="CK111" i="23"/>
  <c r="CK112" i="23"/>
  <c r="CK108" i="23"/>
  <c r="CK107" i="23"/>
  <c r="CK105" i="23"/>
  <c r="CK109" i="23"/>
  <c r="CK100" i="23"/>
  <c r="CK104" i="23"/>
  <c r="CK101" i="23"/>
  <c r="CK110" i="23"/>
  <c r="CK106" i="23"/>
  <c r="CK97" i="23"/>
  <c r="CK99" i="23"/>
  <c r="CK96" i="23"/>
  <c r="CK103" i="23"/>
  <c r="CK102" i="23"/>
  <c r="CK98" i="23"/>
  <c r="CK93" i="23"/>
  <c r="CK92" i="23"/>
  <c r="CK91" i="23"/>
  <c r="CK94" i="23"/>
  <c r="CK88" i="23"/>
  <c r="CK81" i="23"/>
  <c r="CK87" i="23"/>
  <c r="CK86" i="23"/>
  <c r="CK84" i="23"/>
  <c r="CK82" i="23"/>
  <c r="CK80" i="23"/>
  <c r="CK89" i="23"/>
  <c r="CK90" i="23"/>
  <c r="CK77" i="23"/>
  <c r="CK85" i="23"/>
  <c r="CK76" i="23"/>
  <c r="CK79" i="23"/>
  <c r="CK73" i="23"/>
  <c r="CK72" i="23"/>
  <c r="CK74" i="23"/>
  <c r="CK69" i="23"/>
  <c r="CK64" i="23"/>
  <c r="CK63" i="23"/>
  <c r="CK71" i="23"/>
  <c r="CK66" i="23"/>
  <c r="CK59" i="23"/>
  <c r="CK57" i="23"/>
  <c r="CK70" i="23"/>
  <c r="CK95" i="23"/>
  <c r="CK83" i="23"/>
  <c r="CK78" i="23"/>
  <c r="CK68" i="23"/>
  <c r="CK67" i="23"/>
  <c r="CK61" i="23"/>
  <c r="CK51" i="23"/>
  <c r="CK60" i="23"/>
  <c r="CK58" i="23"/>
  <c r="CK50" i="23"/>
  <c r="CK75" i="23"/>
  <c r="CK65" i="23"/>
  <c r="CK49" i="23"/>
  <c r="CK47" i="23"/>
  <c r="CK53" i="23"/>
  <c r="CK48" i="23"/>
  <c r="CK46" i="23"/>
  <c r="CK44" i="23"/>
  <c r="CK37" i="23"/>
  <c r="CK35" i="23"/>
  <c r="CK56" i="23"/>
  <c r="CK45" i="23"/>
  <c r="CK32" i="23"/>
  <c r="CK31" i="23"/>
  <c r="CK62" i="23"/>
  <c r="CK52" i="23"/>
  <c r="CK41" i="23"/>
  <c r="CK23" i="23"/>
  <c r="CK43" i="23"/>
  <c r="CK40" i="23"/>
  <c r="CK39" i="23"/>
  <c r="CK30" i="23"/>
  <c r="CK20" i="23"/>
  <c r="CK55" i="23"/>
  <c r="CK27" i="23"/>
  <c r="CK25" i="23"/>
  <c r="CK38" i="23"/>
  <c r="CK26" i="23"/>
  <c r="CK24" i="23"/>
  <c r="CK54" i="23"/>
  <c r="CK28" i="23"/>
  <c r="CK19" i="23"/>
  <c r="CK18" i="23"/>
  <c r="CK8" i="23"/>
  <c r="CL2" i="23"/>
  <c r="CK36" i="23"/>
  <c r="CK34" i="23"/>
  <c r="CK15" i="23"/>
  <c r="CK13" i="23"/>
  <c r="CK5" i="23"/>
  <c r="CK17" i="23"/>
  <c r="CK7" i="23"/>
  <c r="CK42" i="23"/>
  <c r="CK10" i="23"/>
  <c r="CK21" i="23"/>
  <c r="CK29" i="23"/>
  <c r="CK9" i="23"/>
  <c r="CK16" i="23"/>
  <c r="CK14" i="23"/>
  <c r="CK22" i="23"/>
  <c r="CK12" i="23"/>
  <c r="CK33" i="23"/>
  <c r="CK6" i="23"/>
  <c r="CK4" i="23"/>
  <c r="CK11" i="23"/>
  <c r="CL192" i="23" l="1"/>
  <c r="CL134" i="23"/>
  <c r="CL123" i="23"/>
  <c r="CL170" i="23"/>
  <c r="CL210" i="23"/>
  <c r="CL152" i="23"/>
  <c r="CL132" i="23"/>
  <c r="CL115" i="23"/>
  <c r="CL127" i="23"/>
  <c r="CL151" i="23"/>
  <c r="CL193" i="23"/>
  <c r="CL164" i="23"/>
  <c r="CL194" i="23"/>
  <c r="CL131" i="23"/>
  <c r="CL166" i="23"/>
  <c r="CL157" i="23"/>
  <c r="CL204" i="23"/>
  <c r="CL209" i="23"/>
  <c r="CL205" i="23"/>
  <c r="CL195" i="23"/>
  <c r="CL207" i="23"/>
  <c r="CL201" i="23"/>
  <c r="CL203" i="23"/>
  <c r="CL211" i="23"/>
  <c r="CL128" i="23"/>
  <c r="CL198" i="23"/>
  <c r="CL206" i="23"/>
  <c r="CL208" i="23"/>
  <c r="CL181" i="23"/>
  <c r="CL212" i="23"/>
  <c r="CL196" i="23"/>
  <c r="CL197" i="23"/>
  <c r="CL183" i="23"/>
  <c r="CL172" i="23"/>
  <c r="CL186" i="23"/>
  <c r="CL185" i="23"/>
  <c r="CL189" i="23"/>
  <c r="CL177" i="23"/>
  <c r="CL153" i="23"/>
  <c r="CL199" i="23"/>
  <c r="CL175" i="23"/>
  <c r="CL162" i="23"/>
  <c r="CL159" i="23"/>
  <c r="CL156" i="23"/>
  <c r="CL187" i="23"/>
  <c r="CL188" i="23"/>
  <c r="CL200" i="23"/>
  <c r="CL184" i="23"/>
  <c r="CL171" i="23"/>
  <c r="CL174" i="23"/>
  <c r="CL190" i="23"/>
  <c r="CL168" i="23"/>
  <c r="CL165" i="23"/>
  <c r="CL167" i="23"/>
  <c r="CL148" i="23"/>
  <c r="CL178" i="23"/>
  <c r="CL141" i="23"/>
  <c r="CL182" i="23"/>
  <c r="CL140" i="23"/>
  <c r="CL173" i="23"/>
  <c r="CL160" i="23"/>
  <c r="CL143" i="23"/>
  <c r="CL126" i="23"/>
  <c r="CL124" i="23"/>
  <c r="CL154" i="23"/>
  <c r="CL135" i="23"/>
  <c r="CL179" i="23"/>
  <c r="CL155" i="23"/>
  <c r="CL149" i="23"/>
  <c r="CL120" i="23"/>
  <c r="CL122" i="23"/>
  <c r="CL163" i="23"/>
  <c r="CL133" i="23"/>
  <c r="CL121" i="23"/>
  <c r="CL137" i="23"/>
  <c r="CL130" i="23"/>
  <c r="CL118" i="23"/>
  <c r="CL117" i="23"/>
  <c r="CL129" i="23"/>
  <c r="CL116" i="23"/>
  <c r="CL138" i="23"/>
  <c r="CL145" i="23"/>
  <c r="CL161" i="23"/>
  <c r="CL150" i="23"/>
  <c r="CL119" i="23"/>
  <c r="CL176" i="23"/>
  <c r="CL146" i="23"/>
  <c r="CL142" i="23"/>
  <c r="CL144" i="23"/>
  <c r="CL139" i="23"/>
  <c r="CL202" i="23"/>
  <c r="CL158" i="23"/>
  <c r="CL136" i="23"/>
  <c r="CL191" i="23"/>
  <c r="CL180" i="23"/>
  <c r="CL169" i="23"/>
  <c r="CL114" i="23"/>
  <c r="CL125" i="23"/>
  <c r="CL147" i="23"/>
  <c r="CL113" i="23"/>
  <c r="CL112" i="23"/>
  <c r="CL111" i="23"/>
  <c r="CL109" i="23"/>
  <c r="CL108" i="23"/>
  <c r="CL106" i="23"/>
  <c r="CL105" i="23"/>
  <c r="CL107" i="23"/>
  <c r="CL110" i="23"/>
  <c r="CL104" i="23"/>
  <c r="CL102" i="23"/>
  <c r="CL100" i="23"/>
  <c r="CL103" i="23"/>
  <c r="CL101" i="23"/>
  <c r="CL99" i="23"/>
  <c r="CL95" i="23"/>
  <c r="CL94" i="23"/>
  <c r="CL96" i="23"/>
  <c r="CL97" i="23"/>
  <c r="CL91" i="23"/>
  <c r="CL92" i="23"/>
  <c r="CL90" i="23"/>
  <c r="CL87" i="23"/>
  <c r="CL98" i="23"/>
  <c r="CL88" i="23"/>
  <c r="CL85" i="23"/>
  <c r="CL83" i="23"/>
  <c r="CL89" i="23"/>
  <c r="CL77" i="23"/>
  <c r="CL74" i="23"/>
  <c r="CL73" i="23"/>
  <c r="CL81" i="23"/>
  <c r="CL93" i="23"/>
  <c r="CL69" i="23"/>
  <c r="CL86" i="23"/>
  <c r="CL78" i="23"/>
  <c r="CL75" i="23"/>
  <c r="CL70" i="23"/>
  <c r="CL80" i="23"/>
  <c r="CL71" i="23"/>
  <c r="CL68" i="23"/>
  <c r="CL67" i="23"/>
  <c r="CL61" i="23"/>
  <c r="CL56" i="23"/>
  <c r="CL55" i="23"/>
  <c r="CL82" i="23"/>
  <c r="CL79" i="23"/>
  <c r="CL65" i="23"/>
  <c r="CL58" i="23"/>
  <c r="CL50" i="23"/>
  <c r="CL49" i="23"/>
  <c r="CL47" i="23"/>
  <c r="CL44" i="23"/>
  <c r="CL62" i="23"/>
  <c r="CL59" i="23"/>
  <c r="CL43" i="23"/>
  <c r="CL53" i="23"/>
  <c r="CL37" i="23"/>
  <c r="CL66" i="23"/>
  <c r="CL60" i="23"/>
  <c r="CL46" i="23"/>
  <c r="CL45" i="23"/>
  <c r="CL32" i="23"/>
  <c r="CL51" i="23"/>
  <c r="CL48" i="23"/>
  <c r="CL40" i="23"/>
  <c r="CL39" i="23"/>
  <c r="CL52" i="23"/>
  <c r="CL38" i="23"/>
  <c r="CL36" i="23"/>
  <c r="CL76" i="23"/>
  <c r="CL72" i="23"/>
  <c r="CL84" i="23"/>
  <c r="CL64" i="23"/>
  <c r="CL30" i="23"/>
  <c r="CL20" i="23"/>
  <c r="CL63" i="23"/>
  <c r="CL27" i="23"/>
  <c r="CL25" i="23"/>
  <c r="CL54" i="23"/>
  <c r="CL34" i="23"/>
  <c r="CL22" i="23"/>
  <c r="CL42" i="23"/>
  <c r="CL31" i="23"/>
  <c r="CL21" i="23"/>
  <c r="CL15" i="23"/>
  <c r="CL13" i="23"/>
  <c r="CL5" i="23"/>
  <c r="CL57" i="23"/>
  <c r="CL4" i="23"/>
  <c r="CL10" i="23"/>
  <c r="CL12" i="23"/>
  <c r="CL17" i="23"/>
  <c r="CL7" i="23"/>
  <c r="CL41" i="23"/>
  <c r="CL26" i="23"/>
  <c r="CL16" i="23"/>
  <c r="CL14" i="23"/>
  <c r="CL6" i="23"/>
  <c r="CL33" i="23"/>
  <c r="CL23" i="23"/>
  <c r="CL19" i="23"/>
  <c r="CL35" i="23"/>
  <c r="CL29" i="23"/>
  <c r="CL24" i="23"/>
  <c r="CL18" i="23"/>
  <c r="CL28" i="23"/>
  <c r="CL8" i="23"/>
  <c r="CM2" i="23"/>
  <c r="CL9" i="23"/>
  <c r="CL11" i="23"/>
  <c r="CM197" i="23" l="1"/>
  <c r="CM166" i="23"/>
  <c r="CM132" i="23"/>
  <c r="CM148" i="23"/>
  <c r="CM151" i="23"/>
  <c r="CM189" i="23"/>
  <c r="CM131" i="23"/>
  <c r="CM127" i="23"/>
  <c r="CM144" i="23"/>
  <c r="CM173" i="23"/>
  <c r="CM152" i="23"/>
  <c r="CM143" i="23"/>
  <c r="CM159" i="23"/>
  <c r="CM168" i="23"/>
  <c r="CM193" i="23"/>
  <c r="CM117" i="23"/>
  <c r="CM200" i="23"/>
  <c r="CM149" i="23"/>
  <c r="CM146" i="23"/>
  <c r="CM185" i="23"/>
  <c r="CM208" i="23"/>
  <c r="CM178" i="23"/>
  <c r="CM209" i="23"/>
  <c r="CM211" i="23"/>
  <c r="CM205" i="23"/>
  <c r="CM195" i="23"/>
  <c r="CM192" i="23"/>
  <c r="CM212" i="23"/>
  <c r="CM196" i="23"/>
  <c r="CM199" i="23"/>
  <c r="CM184" i="23"/>
  <c r="CM206" i="23"/>
  <c r="CM198" i="23"/>
  <c r="CM203" i="23"/>
  <c r="CM187" i="23"/>
  <c r="CM210" i="23"/>
  <c r="CM207" i="23"/>
  <c r="CM204" i="23"/>
  <c r="CM201" i="23"/>
  <c r="CM194" i="23"/>
  <c r="CM181" i="23"/>
  <c r="CM186" i="23"/>
  <c r="CM174" i="23"/>
  <c r="CM175" i="23"/>
  <c r="CM170" i="23"/>
  <c r="CM171" i="23"/>
  <c r="CM177" i="23"/>
  <c r="CM161" i="23"/>
  <c r="CM155" i="23"/>
  <c r="CM165" i="23"/>
  <c r="CM150" i="23"/>
  <c r="CM182" i="23"/>
  <c r="CM176" i="23"/>
  <c r="CM156" i="23"/>
  <c r="CM183" i="23"/>
  <c r="CM138" i="23"/>
  <c r="CM163" i="23"/>
  <c r="CM188" i="23"/>
  <c r="CM167" i="23"/>
  <c r="CM172" i="23"/>
  <c r="CM179" i="23"/>
  <c r="CM164" i="23"/>
  <c r="CM140" i="23"/>
  <c r="CM130" i="23"/>
  <c r="CM128" i="23"/>
  <c r="CM190" i="23"/>
  <c r="CM157" i="23"/>
  <c r="CM141" i="23"/>
  <c r="CM134" i="23"/>
  <c r="CM119" i="23"/>
  <c r="CM116" i="23"/>
  <c r="CM122" i="23"/>
  <c r="CM126" i="23"/>
  <c r="CM162" i="23"/>
  <c r="CM139" i="23"/>
  <c r="CM129" i="23"/>
  <c r="CM115" i="23"/>
  <c r="CM137" i="23"/>
  <c r="CM142" i="23"/>
  <c r="CM135" i="23"/>
  <c r="CM133" i="23"/>
  <c r="CM160" i="23"/>
  <c r="CM153" i="23"/>
  <c r="CM145" i="23"/>
  <c r="CM118" i="23"/>
  <c r="CM120" i="23"/>
  <c r="CM123" i="23"/>
  <c r="CM124" i="23"/>
  <c r="CM121" i="23"/>
  <c r="CM154" i="23"/>
  <c r="CM125" i="23"/>
  <c r="CM147" i="23"/>
  <c r="CM114" i="23"/>
  <c r="CM136" i="23"/>
  <c r="CM158" i="23"/>
  <c r="CM202" i="23"/>
  <c r="CM180" i="23"/>
  <c r="CM169" i="23"/>
  <c r="CM191" i="23"/>
  <c r="CM113" i="23"/>
  <c r="CM112" i="23"/>
  <c r="CM109" i="23"/>
  <c r="CM111" i="23"/>
  <c r="CM110" i="23"/>
  <c r="CM106" i="23"/>
  <c r="CM108" i="23"/>
  <c r="CM105" i="23"/>
  <c r="CM107" i="23"/>
  <c r="CM104" i="23"/>
  <c r="CM102" i="23"/>
  <c r="CM101" i="23"/>
  <c r="CM97" i="23"/>
  <c r="CM94" i="23"/>
  <c r="CM92" i="23"/>
  <c r="CM91" i="23"/>
  <c r="CM103" i="23"/>
  <c r="CM95" i="23"/>
  <c r="CM85" i="23"/>
  <c r="CM99" i="23"/>
  <c r="CM98" i="23"/>
  <c r="CM88" i="23"/>
  <c r="CM84" i="23"/>
  <c r="CM100" i="23"/>
  <c r="CM82" i="23"/>
  <c r="CM80" i="23"/>
  <c r="CM89" i="23"/>
  <c r="CM77" i="23"/>
  <c r="CM90" i="23"/>
  <c r="CM86" i="23"/>
  <c r="CM79" i="23"/>
  <c r="CM71" i="23"/>
  <c r="CM83" i="23"/>
  <c r="CM78" i="23"/>
  <c r="CM70" i="23"/>
  <c r="CM93" i="23"/>
  <c r="CM74" i="23"/>
  <c r="CM69" i="23"/>
  <c r="CM96" i="23"/>
  <c r="CM75" i="23"/>
  <c r="CM66" i="23"/>
  <c r="CM65" i="23"/>
  <c r="CM73" i="23"/>
  <c r="CM67" i="23"/>
  <c r="CM61" i="23"/>
  <c r="CM68" i="23"/>
  <c r="CM56" i="23"/>
  <c r="CM53" i="23"/>
  <c r="CM81" i="23"/>
  <c r="CM64" i="23"/>
  <c r="CM62" i="23"/>
  <c r="CM52" i="23"/>
  <c r="CM87" i="23"/>
  <c r="CM58" i="23"/>
  <c r="CM50" i="23"/>
  <c r="CM49" i="23"/>
  <c r="CM47" i="23"/>
  <c r="CM63" i="23"/>
  <c r="CM60" i="23"/>
  <c r="CM57" i="23"/>
  <c r="CM51" i="23"/>
  <c r="CM54" i="23"/>
  <c r="CM40" i="23"/>
  <c r="CM46" i="23"/>
  <c r="CM45" i="23"/>
  <c r="CM48" i="23"/>
  <c r="CM39" i="23"/>
  <c r="CM34" i="23"/>
  <c r="CM55" i="23"/>
  <c r="CM42" i="23"/>
  <c r="CM41" i="23"/>
  <c r="CM33" i="23"/>
  <c r="CM43" i="23"/>
  <c r="CM27" i="23"/>
  <c r="CM25" i="23"/>
  <c r="CM22" i="23"/>
  <c r="CM35" i="23"/>
  <c r="CM29" i="23"/>
  <c r="CM19" i="23"/>
  <c r="CM44" i="23"/>
  <c r="CM28" i="23"/>
  <c r="CM59" i="23"/>
  <c r="CM36" i="23"/>
  <c r="CM31" i="23"/>
  <c r="CM10" i="23"/>
  <c r="CM9" i="23"/>
  <c r="CM37" i="23"/>
  <c r="CM17" i="23"/>
  <c r="CM7" i="23"/>
  <c r="CM76" i="23"/>
  <c r="CM38" i="23"/>
  <c r="CM30" i="23"/>
  <c r="CM21" i="23"/>
  <c r="CM12" i="23"/>
  <c r="CM4" i="23"/>
  <c r="CM24" i="23"/>
  <c r="CM23" i="23"/>
  <c r="CM20" i="23"/>
  <c r="CM11" i="23"/>
  <c r="CM72" i="23"/>
  <c r="CM18" i="23"/>
  <c r="CM14" i="23"/>
  <c r="CM15" i="23"/>
  <c r="CM5" i="23"/>
  <c r="CM32" i="23"/>
  <c r="CM16" i="23"/>
  <c r="CM8" i="23"/>
  <c r="CN2" i="23"/>
  <c r="CM6" i="23"/>
  <c r="CM26" i="23"/>
  <c r="CM13" i="23"/>
  <c r="CN162" i="23" l="1"/>
  <c r="CN207" i="23"/>
  <c r="CN210" i="23"/>
  <c r="CN176" i="23"/>
  <c r="CN121" i="23"/>
  <c r="CN115" i="23"/>
  <c r="CN199" i="23"/>
  <c r="CN123" i="23"/>
  <c r="CN189" i="23"/>
  <c r="CN201" i="23"/>
  <c r="CN117" i="23"/>
  <c r="CN170" i="23"/>
  <c r="CN154" i="23"/>
  <c r="CN145" i="23"/>
  <c r="CN181" i="23"/>
  <c r="CN166" i="23"/>
  <c r="CN133" i="23"/>
  <c r="CN174" i="23"/>
  <c r="CN149" i="23"/>
  <c r="CN188" i="23"/>
  <c r="CN173" i="23"/>
  <c r="CN211" i="23"/>
  <c r="CN196" i="23"/>
  <c r="CN204" i="23"/>
  <c r="CN205" i="23"/>
  <c r="CN192" i="23"/>
  <c r="CN193" i="23"/>
  <c r="CN197" i="23"/>
  <c r="CN185" i="23"/>
  <c r="CN209" i="23"/>
  <c r="CN198" i="23"/>
  <c r="CN187" i="23"/>
  <c r="CN208" i="23"/>
  <c r="CN212" i="23"/>
  <c r="CN203" i="23"/>
  <c r="CN206" i="23"/>
  <c r="CN194" i="23"/>
  <c r="CN184" i="23"/>
  <c r="CN195" i="23"/>
  <c r="CN186" i="23"/>
  <c r="CN183" i="23"/>
  <c r="CN175" i="23"/>
  <c r="CN182" i="23"/>
  <c r="CN190" i="23"/>
  <c r="CN172" i="23"/>
  <c r="CN179" i="23"/>
  <c r="CN159" i="23"/>
  <c r="CN164" i="23"/>
  <c r="CN168" i="23"/>
  <c r="CN155" i="23"/>
  <c r="CN148" i="23"/>
  <c r="CN171" i="23"/>
  <c r="CN163" i="23"/>
  <c r="CN141" i="23"/>
  <c r="CN161" i="23"/>
  <c r="CN160" i="23"/>
  <c r="CN165" i="23"/>
  <c r="CN137" i="23"/>
  <c r="CN177" i="23"/>
  <c r="CN178" i="23"/>
  <c r="CN140" i="23"/>
  <c r="CN143" i="23"/>
  <c r="CN146" i="23"/>
  <c r="CN127" i="23"/>
  <c r="CN129" i="23"/>
  <c r="CN128" i="23"/>
  <c r="CN150" i="23"/>
  <c r="CN157" i="23"/>
  <c r="CN135" i="23"/>
  <c r="CN151" i="23"/>
  <c r="CN153" i="23"/>
  <c r="CN142" i="23"/>
  <c r="CN130" i="23"/>
  <c r="CN131" i="23"/>
  <c r="CN126" i="23"/>
  <c r="CN120" i="23"/>
  <c r="CN139" i="23"/>
  <c r="CN152" i="23"/>
  <c r="CN118" i="23"/>
  <c r="CN119" i="23"/>
  <c r="CN124" i="23"/>
  <c r="CN134" i="23"/>
  <c r="CN138" i="23"/>
  <c r="CN200" i="23"/>
  <c r="CN167" i="23"/>
  <c r="CN132" i="23"/>
  <c r="CN116" i="23"/>
  <c r="CN122" i="23"/>
  <c r="CN156" i="23"/>
  <c r="CN144" i="23"/>
  <c r="CN202" i="23"/>
  <c r="CN147" i="23"/>
  <c r="CN125" i="23"/>
  <c r="CN191" i="23"/>
  <c r="CN158" i="23"/>
  <c r="CN136" i="23"/>
  <c r="CN169" i="23"/>
  <c r="CN180" i="23"/>
  <c r="CN114" i="23"/>
  <c r="CN111" i="23"/>
  <c r="CN110" i="23"/>
  <c r="CN107" i="23"/>
  <c r="CN113" i="23"/>
  <c r="CN108" i="23"/>
  <c r="CN109" i="23"/>
  <c r="CN106" i="23"/>
  <c r="CN104" i="23"/>
  <c r="CN101" i="23"/>
  <c r="CN112" i="23"/>
  <c r="CN105" i="23"/>
  <c r="CN103" i="23"/>
  <c r="CN97" i="23"/>
  <c r="CN99" i="23"/>
  <c r="CN96" i="23"/>
  <c r="CN98" i="23"/>
  <c r="CN95" i="23"/>
  <c r="CN93" i="23"/>
  <c r="CN89" i="23"/>
  <c r="CN94" i="23"/>
  <c r="CN91" i="23"/>
  <c r="CN90" i="23"/>
  <c r="CN86" i="23"/>
  <c r="CN79" i="23"/>
  <c r="CN87" i="23"/>
  <c r="CN76" i="23"/>
  <c r="CN92" i="23"/>
  <c r="CN81" i="23"/>
  <c r="CN75" i="23"/>
  <c r="CN78" i="23"/>
  <c r="CN70" i="23"/>
  <c r="CN63" i="23"/>
  <c r="CN85" i="23"/>
  <c r="CN72" i="23"/>
  <c r="CN77" i="23"/>
  <c r="CN68" i="23"/>
  <c r="CN56" i="23"/>
  <c r="CN83" i="23"/>
  <c r="CN60" i="23"/>
  <c r="CN58" i="23"/>
  <c r="CN50" i="23"/>
  <c r="CN102" i="23"/>
  <c r="CN100" i="23"/>
  <c r="CN84" i="23"/>
  <c r="CN65" i="23"/>
  <c r="CN59" i="23"/>
  <c r="CN57" i="23"/>
  <c r="CN88" i="23"/>
  <c r="CN73" i="23"/>
  <c r="CN71" i="23"/>
  <c r="CN67" i="23"/>
  <c r="CN51" i="23"/>
  <c r="CN69" i="23"/>
  <c r="CN52" i="23"/>
  <c r="CN48" i="23"/>
  <c r="CN46" i="23"/>
  <c r="CN66" i="23"/>
  <c r="CN64" i="23"/>
  <c r="CN55" i="23"/>
  <c r="CN45" i="23"/>
  <c r="CN39" i="23"/>
  <c r="CN61" i="23"/>
  <c r="CN40" i="23"/>
  <c r="CN34" i="23"/>
  <c r="CN62" i="23"/>
  <c r="CN54" i="23"/>
  <c r="CN31" i="23"/>
  <c r="CN82" i="23"/>
  <c r="CN80" i="23"/>
  <c r="CN47" i="23"/>
  <c r="CN43" i="23"/>
  <c r="CN22" i="23"/>
  <c r="CN35" i="23"/>
  <c r="CN29" i="23"/>
  <c r="CN19" i="23"/>
  <c r="CN53" i="23"/>
  <c r="CN49" i="23"/>
  <c r="CN36" i="23"/>
  <c r="CN33" i="23"/>
  <c r="CN26" i="23"/>
  <c r="CN24" i="23"/>
  <c r="CN23" i="23"/>
  <c r="CN37" i="23"/>
  <c r="CN25" i="23"/>
  <c r="CN17" i="23"/>
  <c r="CN7" i="23"/>
  <c r="CN44" i="23"/>
  <c r="CN32" i="23"/>
  <c r="CN16" i="23"/>
  <c r="CN14" i="23"/>
  <c r="CN6" i="23"/>
  <c r="CN42" i="23"/>
  <c r="CN38" i="23"/>
  <c r="CN30" i="23"/>
  <c r="CN27" i="23"/>
  <c r="CN21" i="23"/>
  <c r="CN12" i="23"/>
  <c r="CN4" i="23"/>
  <c r="CN74" i="23"/>
  <c r="CN9" i="23"/>
  <c r="CN18" i="23"/>
  <c r="CN8" i="23"/>
  <c r="CO2" i="23"/>
  <c r="CN28" i="23"/>
  <c r="CN15" i="23"/>
  <c r="CN13" i="23"/>
  <c r="CN5" i="23"/>
  <c r="CN10" i="23"/>
  <c r="CN11" i="23"/>
  <c r="CN20" i="23"/>
  <c r="CN41" i="23"/>
  <c r="CO126" i="23" l="1"/>
  <c r="CO134" i="23"/>
  <c r="CO149" i="23"/>
  <c r="CO122" i="23"/>
  <c r="CO145" i="23"/>
  <c r="CO168" i="23"/>
  <c r="CO157" i="23"/>
  <c r="CO173" i="23"/>
  <c r="CO197" i="23"/>
  <c r="CO140" i="23"/>
  <c r="CO212" i="23"/>
  <c r="CO183" i="23"/>
  <c r="CO164" i="23"/>
  <c r="CO194" i="23"/>
  <c r="CO207" i="23"/>
  <c r="CO209" i="23"/>
  <c r="CO124" i="23"/>
  <c r="CO193" i="23"/>
  <c r="CO196" i="23"/>
  <c r="CO208" i="23"/>
  <c r="CO204" i="23"/>
  <c r="CO205" i="23"/>
  <c r="CO195" i="23"/>
  <c r="CO206" i="23"/>
  <c r="CO192" i="23"/>
  <c r="CO200" i="23"/>
  <c r="CO211" i="23"/>
  <c r="CO198" i="23"/>
  <c r="CO210" i="23"/>
  <c r="CO186" i="23"/>
  <c r="CO199" i="23"/>
  <c r="CO203" i="23"/>
  <c r="CO181" i="23"/>
  <c r="CO187" i="23"/>
  <c r="CO185" i="23"/>
  <c r="CO188" i="23"/>
  <c r="CO182" i="23"/>
  <c r="CO189" i="23"/>
  <c r="CO174" i="23"/>
  <c r="CO177" i="23"/>
  <c r="CO175" i="23"/>
  <c r="CO190" i="23"/>
  <c r="CO171" i="23"/>
  <c r="CO201" i="23"/>
  <c r="CO184" i="23"/>
  <c r="CO167" i="23"/>
  <c r="CO150" i="23"/>
  <c r="CO154" i="23"/>
  <c r="CO148" i="23"/>
  <c r="CO172" i="23"/>
  <c r="CO170" i="23"/>
  <c r="CO161" i="23"/>
  <c r="CO179" i="23"/>
  <c r="CO162" i="23"/>
  <c r="CO176" i="23"/>
  <c r="CO165" i="23"/>
  <c r="CO141" i="23"/>
  <c r="CO156" i="23"/>
  <c r="CO127" i="23"/>
  <c r="CO135" i="23"/>
  <c r="CO129" i="23"/>
  <c r="CO163" i="23"/>
  <c r="CO155" i="23"/>
  <c r="CO152" i="23"/>
  <c r="CO159" i="23"/>
  <c r="CO151" i="23"/>
  <c r="CO143" i="23"/>
  <c r="CO146" i="23"/>
  <c r="CO130" i="23"/>
  <c r="CO131" i="23"/>
  <c r="CO116" i="23"/>
  <c r="CO160" i="23"/>
  <c r="CO153" i="23"/>
  <c r="CO138" i="23"/>
  <c r="CO144" i="23"/>
  <c r="CO118" i="23"/>
  <c r="CO137" i="23"/>
  <c r="CO139" i="23"/>
  <c r="CO117" i="23"/>
  <c r="CO121" i="23"/>
  <c r="CO115" i="23"/>
  <c r="CO120" i="23"/>
  <c r="CO178" i="23"/>
  <c r="CO119" i="23"/>
  <c r="CO133" i="23"/>
  <c r="CO142" i="23"/>
  <c r="CO123" i="23"/>
  <c r="CO166" i="23"/>
  <c r="CO128" i="23"/>
  <c r="CO132" i="23"/>
  <c r="CO191" i="23"/>
  <c r="CO180" i="23"/>
  <c r="CO147" i="23"/>
  <c r="CO136" i="23"/>
  <c r="CO114" i="23"/>
  <c r="CO158" i="23"/>
  <c r="CO125" i="23"/>
  <c r="CO169" i="23"/>
  <c r="CO202" i="23"/>
  <c r="CO112" i="23"/>
  <c r="CO111" i="23"/>
  <c r="CO113" i="23"/>
  <c r="CO108" i="23"/>
  <c r="CO107" i="23"/>
  <c r="CO105" i="23"/>
  <c r="CO110" i="23"/>
  <c r="CO109" i="23"/>
  <c r="CO104" i="23"/>
  <c r="CO102" i="23"/>
  <c r="CO103" i="23"/>
  <c r="CO101" i="23"/>
  <c r="CO99" i="23"/>
  <c r="CO98" i="23"/>
  <c r="CO94" i="23"/>
  <c r="CO100" i="23"/>
  <c r="CO93" i="23"/>
  <c r="CO97" i="23"/>
  <c r="CO106" i="23"/>
  <c r="CO92" i="23"/>
  <c r="CO90" i="23"/>
  <c r="CO89" i="23"/>
  <c r="CO95" i="23"/>
  <c r="CO87" i="23"/>
  <c r="CO86" i="23"/>
  <c r="CO91" i="23"/>
  <c r="CO84" i="23"/>
  <c r="CO96" i="23"/>
  <c r="CO79" i="23"/>
  <c r="CO76" i="23"/>
  <c r="CO73" i="23"/>
  <c r="CO82" i="23"/>
  <c r="CO80" i="23"/>
  <c r="CO72" i="23"/>
  <c r="CO78" i="23"/>
  <c r="CO75" i="23"/>
  <c r="CO70" i="23"/>
  <c r="CO68" i="23"/>
  <c r="CO83" i="23"/>
  <c r="CO67" i="23"/>
  <c r="CO60" i="23"/>
  <c r="CO58" i="23"/>
  <c r="CO88" i="23"/>
  <c r="CO74" i="23"/>
  <c r="CO63" i="23"/>
  <c r="CO55" i="23"/>
  <c r="CO69" i="23"/>
  <c r="CO66" i="23"/>
  <c r="CO54" i="23"/>
  <c r="CO65" i="23"/>
  <c r="CO51" i="23"/>
  <c r="CO77" i="23"/>
  <c r="CO57" i="23"/>
  <c r="CO52" i="23"/>
  <c r="CO48" i="23"/>
  <c r="CO46" i="23"/>
  <c r="CO81" i="23"/>
  <c r="CO53" i="23"/>
  <c r="CO43" i="23"/>
  <c r="CO42" i="23"/>
  <c r="CO61" i="23"/>
  <c r="CO40" i="23"/>
  <c r="CO71" i="23"/>
  <c r="CO62" i="23"/>
  <c r="CO56" i="23"/>
  <c r="CO31" i="23"/>
  <c r="CO38" i="23"/>
  <c r="CO36" i="23"/>
  <c r="CO85" i="23"/>
  <c r="CO64" i="23"/>
  <c r="CO50" i="23"/>
  <c r="CO49" i="23"/>
  <c r="CO44" i="23"/>
  <c r="CO37" i="23"/>
  <c r="CO35" i="23"/>
  <c r="CO59" i="23"/>
  <c r="CO45" i="23"/>
  <c r="CO39" i="23"/>
  <c r="CO29" i="23"/>
  <c r="CO19" i="23"/>
  <c r="CO47" i="23"/>
  <c r="CO34" i="23"/>
  <c r="CO33" i="23"/>
  <c r="CO26" i="23"/>
  <c r="CO24" i="23"/>
  <c r="CO32" i="23"/>
  <c r="CO21" i="23"/>
  <c r="CO41" i="23"/>
  <c r="CO30" i="23"/>
  <c r="CO20" i="23"/>
  <c r="CO27" i="23"/>
  <c r="CO12" i="23"/>
  <c r="CO4" i="23"/>
  <c r="CO9" i="23"/>
  <c r="CO11" i="23"/>
  <c r="CO16" i="23"/>
  <c r="CO14" i="23"/>
  <c r="CO6" i="23"/>
  <c r="CO28" i="23"/>
  <c r="CO15" i="23"/>
  <c r="CO13" i="23"/>
  <c r="CO5" i="23"/>
  <c r="CO22" i="23"/>
  <c r="CO23" i="23"/>
  <c r="CO10" i="23"/>
  <c r="CO17" i="23"/>
  <c r="CO8" i="23"/>
  <c r="CP2" i="23"/>
  <c r="CO18" i="23"/>
  <c r="CO25" i="23"/>
  <c r="CO7" i="23"/>
  <c r="CP142" i="23" l="1"/>
  <c r="CP182" i="23"/>
  <c r="CP167" i="23"/>
  <c r="CP190" i="23"/>
  <c r="CP206" i="23"/>
  <c r="CP176" i="23"/>
  <c r="CP115" i="23"/>
  <c r="CP124" i="23"/>
  <c r="CP127" i="23"/>
  <c r="CP120" i="23"/>
  <c r="CP161" i="23"/>
  <c r="CP135" i="23"/>
  <c r="CP144" i="23"/>
  <c r="CP189" i="23"/>
  <c r="CP212" i="23"/>
  <c r="CP204" i="23"/>
  <c r="CP166" i="23"/>
  <c r="CP194" i="23"/>
  <c r="CP205" i="23"/>
  <c r="CP203" i="23"/>
  <c r="CP200" i="23"/>
  <c r="CP192" i="23"/>
  <c r="CP210" i="23"/>
  <c r="CP208" i="23"/>
  <c r="CP175" i="23"/>
  <c r="CP193" i="23"/>
  <c r="CP197" i="23"/>
  <c r="CP211" i="23"/>
  <c r="CP198" i="23"/>
  <c r="CP207" i="23"/>
  <c r="CP195" i="23"/>
  <c r="CP184" i="23"/>
  <c r="CP181" i="23"/>
  <c r="CP209" i="23"/>
  <c r="CP187" i="23"/>
  <c r="CP164" i="23"/>
  <c r="CP199" i="23"/>
  <c r="CP186" i="23"/>
  <c r="CP172" i="23"/>
  <c r="CP177" i="23"/>
  <c r="CP188" i="23"/>
  <c r="CP196" i="23"/>
  <c r="CP159" i="23"/>
  <c r="CP163" i="23"/>
  <c r="CP183" i="23"/>
  <c r="CP162" i="23"/>
  <c r="CP173" i="23"/>
  <c r="CP168" i="23"/>
  <c r="CP150" i="23"/>
  <c r="CP153" i="23"/>
  <c r="CP152" i="23"/>
  <c r="CP201" i="23"/>
  <c r="CP148" i="23"/>
  <c r="CP151" i="23"/>
  <c r="CP141" i="23"/>
  <c r="CP154" i="23"/>
  <c r="CP185" i="23"/>
  <c r="CP179" i="23"/>
  <c r="CP165" i="23"/>
  <c r="CP143" i="23"/>
  <c r="CP145" i="23"/>
  <c r="CP146" i="23"/>
  <c r="CP126" i="23"/>
  <c r="CP156" i="23"/>
  <c r="CP140" i="23"/>
  <c r="CP174" i="23"/>
  <c r="CP157" i="23"/>
  <c r="CP128" i="23"/>
  <c r="CP119" i="23"/>
  <c r="CP122" i="23"/>
  <c r="CP178" i="23"/>
  <c r="CP137" i="23"/>
  <c r="CP131" i="23"/>
  <c r="CP160" i="23"/>
  <c r="CP155" i="23"/>
  <c r="CP139" i="23"/>
  <c r="CP132" i="23"/>
  <c r="CP117" i="23"/>
  <c r="CP171" i="23"/>
  <c r="CP129" i="23"/>
  <c r="CP121" i="23"/>
  <c r="CP118" i="23"/>
  <c r="CP133" i="23"/>
  <c r="CP170" i="23"/>
  <c r="CP123" i="23"/>
  <c r="CP149" i="23"/>
  <c r="CP130" i="23"/>
  <c r="CP138" i="23"/>
  <c r="CP134" i="23"/>
  <c r="CP116" i="23"/>
  <c r="CP169" i="23"/>
  <c r="CP136" i="23"/>
  <c r="CP125" i="23"/>
  <c r="CP202" i="23"/>
  <c r="CP180" i="23"/>
  <c r="CP158" i="23"/>
  <c r="CP147" i="23"/>
  <c r="CP114" i="23"/>
  <c r="CP191" i="23"/>
  <c r="CP113" i="23"/>
  <c r="CP109" i="23"/>
  <c r="CP108" i="23"/>
  <c r="CP111" i="23"/>
  <c r="CP110" i="23"/>
  <c r="CP106" i="23"/>
  <c r="CP105" i="23"/>
  <c r="CP103" i="23"/>
  <c r="CP101" i="23"/>
  <c r="CP112" i="23"/>
  <c r="CP102" i="23"/>
  <c r="CP98" i="23"/>
  <c r="CP100" i="23"/>
  <c r="CP96" i="23"/>
  <c r="CP95" i="23"/>
  <c r="CP97" i="23"/>
  <c r="CP88" i="23"/>
  <c r="CP93" i="23"/>
  <c r="CP91" i="23"/>
  <c r="CP90" i="23"/>
  <c r="CP83" i="23"/>
  <c r="CP86" i="23"/>
  <c r="CP99" i="23"/>
  <c r="CP87" i="23"/>
  <c r="CP82" i="23"/>
  <c r="CP80" i="23"/>
  <c r="CP104" i="23"/>
  <c r="CP81" i="23"/>
  <c r="CP107" i="23"/>
  <c r="CP85" i="23"/>
  <c r="CP84" i="23"/>
  <c r="CP78" i="23"/>
  <c r="CP77" i="23"/>
  <c r="CP92" i="23"/>
  <c r="CP94" i="23"/>
  <c r="CP89" i="23"/>
  <c r="CP76" i="23"/>
  <c r="CP71" i="23"/>
  <c r="CP65" i="23"/>
  <c r="CP74" i="23"/>
  <c r="CP73" i="23"/>
  <c r="CP69" i="23"/>
  <c r="CP64" i="23"/>
  <c r="CP70" i="23"/>
  <c r="CP60" i="23"/>
  <c r="CP58" i="23"/>
  <c r="CP63" i="23"/>
  <c r="CP72" i="23"/>
  <c r="CP62" i="23"/>
  <c r="CP52" i="23"/>
  <c r="CP61" i="23"/>
  <c r="CP51" i="23"/>
  <c r="CP79" i="23"/>
  <c r="CP75" i="23"/>
  <c r="CP67" i="23"/>
  <c r="CP57" i="23"/>
  <c r="CP48" i="23"/>
  <c r="CP46" i="23"/>
  <c r="CP53" i="23"/>
  <c r="CP68" i="23"/>
  <c r="CP59" i="23"/>
  <c r="CP56" i="23"/>
  <c r="CP49" i="23"/>
  <c r="CP47" i="23"/>
  <c r="CP66" i="23"/>
  <c r="CP54" i="23"/>
  <c r="CP38" i="23"/>
  <c r="CP36" i="23"/>
  <c r="CP41" i="23"/>
  <c r="CP33" i="23"/>
  <c r="CP32" i="23"/>
  <c r="CP50" i="23"/>
  <c r="CP55" i="23"/>
  <c r="CP40" i="23"/>
  <c r="CP35" i="23"/>
  <c r="CP34" i="23"/>
  <c r="CP26" i="23"/>
  <c r="CP24" i="23"/>
  <c r="CP21" i="23"/>
  <c r="CP28" i="23"/>
  <c r="CP37" i="23"/>
  <c r="CP27" i="23"/>
  <c r="CP25" i="23"/>
  <c r="CP42" i="23"/>
  <c r="CP39" i="23"/>
  <c r="CP30" i="23"/>
  <c r="CP9" i="23"/>
  <c r="CP8" i="23"/>
  <c r="CP16" i="23"/>
  <c r="CP14" i="23"/>
  <c r="CP6" i="23"/>
  <c r="CP23" i="23"/>
  <c r="CP20" i="23"/>
  <c r="CQ2" i="23"/>
  <c r="CP44" i="23"/>
  <c r="CP43" i="23"/>
  <c r="CP11" i="23"/>
  <c r="CP29" i="23"/>
  <c r="CP18" i="23"/>
  <c r="CP45" i="23"/>
  <c r="CP22" i="23"/>
  <c r="CP10" i="23"/>
  <c r="CP19" i="23"/>
  <c r="CP17" i="23"/>
  <c r="CP15" i="23"/>
  <c r="CP31" i="23"/>
  <c r="CP12" i="23"/>
  <c r="CP5" i="23"/>
  <c r="CP4" i="23"/>
  <c r="CP13" i="23"/>
  <c r="CP7" i="23"/>
  <c r="CQ121" i="23" l="1"/>
  <c r="CQ127" i="23"/>
  <c r="CQ197" i="23"/>
  <c r="CQ129" i="23"/>
  <c r="CQ115" i="23"/>
  <c r="CQ122" i="23"/>
  <c r="CQ128" i="23"/>
  <c r="CQ149" i="23"/>
  <c r="CQ167" i="23"/>
  <c r="CQ183" i="23"/>
  <c r="CQ204" i="23"/>
  <c r="CQ164" i="23"/>
  <c r="CQ200" i="23"/>
  <c r="CQ170" i="23"/>
  <c r="CQ199" i="23"/>
  <c r="CQ208" i="23"/>
  <c r="CQ166" i="23"/>
  <c r="CQ189" i="23"/>
  <c r="CQ205" i="23"/>
  <c r="CQ207" i="23"/>
  <c r="CQ195" i="23"/>
  <c r="CQ203" i="23"/>
  <c r="CQ194" i="23"/>
  <c r="CQ193" i="23"/>
  <c r="CQ210" i="23"/>
  <c r="CQ174" i="23"/>
  <c r="CQ196" i="23"/>
  <c r="CQ209" i="23"/>
  <c r="CQ212" i="23"/>
  <c r="CQ206" i="23"/>
  <c r="CQ192" i="23"/>
  <c r="CQ198" i="23"/>
  <c r="CQ176" i="23"/>
  <c r="CQ211" i="23"/>
  <c r="CQ201" i="23"/>
  <c r="CQ187" i="23"/>
  <c r="CQ185" i="23"/>
  <c r="CQ184" i="23"/>
  <c r="CQ160" i="23"/>
  <c r="CQ181" i="23"/>
  <c r="CQ190" i="23"/>
  <c r="CQ172" i="23"/>
  <c r="CQ175" i="23"/>
  <c r="CQ155" i="23"/>
  <c r="CQ161" i="23"/>
  <c r="CQ151" i="23"/>
  <c r="CQ141" i="23"/>
  <c r="CQ182" i="23"/>
  <c r="CQ173" i="23"/>
  <c r="CQ159" i="23"/>
  <c r="CQ150" i="23"/>
  <c r="CQ188" i="23"/>
  <c r="CQ171" i="23"/>
  <c r="CQ179" i="23"/>
  <c r="CQ168" i="23"/>
  <c r="CQ177" i="23"/>
  <c r="CQ153" i="23"/>
  <c r="CQ138" i="23"/>
  <c r="CQ139" i="23"/>
  <c r="CQ142" i="23"/>
  <c r="CQ144" i="23"/>
  <c r="CQ145" i="23"/>
  <c r="CQ146" i="23"/>
  <c r="CQ186" i="23"/>
  <c r="CQ157" i="23"/>
  <c r="CQ137" i="23"/>
  <c r="CQ143" i="23"/>
  <c r="CQ162" i="23"/>
  <c r="CQ165" i="23"/>
  <c r="CQ140" i="23"/>
  <c r="CQ132" i="23"/>
  <c r="CQ148" i="23"/>
  <c r="CQ154" i="23"/>
  <c r="CQ117" i="23"/>
  <c r="CQ130" i="23"/>
  <c r="CQ119" i="23"/>
  <c r="CQ116" i="23"/>
  <c r="CQ123" i="23"/>
  <c r="CQ156" i="23"/>
  <c r="CQ126" i="23"/>
  <c r="CQ131" i="23"/>
  <c r="CQ133" i="23"/>
  <c r="CQ152" i="23"/>
  <c r="CQ124" i="23"/>
  <c r="CQ135" i="23"/>
  <c r="CQ134" i="23"/>
  <c r="CQ163" i="23"/>
  <c r="CQ178" i="23"/>
  <c r="CQ118" i="23"/>
  <c r="CQ120" i="23"/>
  <c r="CQ158" i="23"/>
  <c r="CQ136" i="23"/>
  <c r="CQ202" i="23"/>
  <c r="CQ169" i="23"/>
  <c r="CQ191" i="23"/>
  <c r="CQ180" i="23"/>
  <c r="CQ114" i="23"/>
  <c r="CQ125" i="23"/>
  <c r="CQ147" i="23"/>
  <c r="CQ113" i="23"/>
  <c r="CQ110" i="23"/>
  <c r="CQ112" i="23"/>
  <c r="CQ109" i="23"/>
  <c r="CQ106" i="23"/>
  <c r="CQ107" i="23"/>
  <c r="CQ111" i="23"/>
  <c r="CQ104" i="23"/>
  <c r="CQ102" i="23"/>
  <c r="CQ100" i="23"/>
  <c r="CQ108" i="23"/>
  <c r="CQ105" i="23"/>
  <c r="CQ103" i="23"/>
  <c r="CQ96" i="23"/>
  <c r="CQ95" i="23"/>
  <c r="CQ98" i="23"/>
  <c r="CQ101" i="23"/>
  <c r="CQ94" i="23"/>
  <c r="CQ99" i="23"/>
  <c r="CQ91" i="23"/>
  <c r="CQ97" i="23"/>
  <c r="CQ92" i="23"/>
  <c r="CQ90" i="23"/>
  <c r="CQ87" i="23"/>
  <c r="CQ93" i="23"/>
  <c r="CQ89" i="23"/>
  <c r="CQ88" i="23"/>
  <c r="CQ86" i="23"/>
  <c r="CQ85" i="23"/>
  <c r="CQ84" i="23"/>
  <c r="CQ78" i="23"/>
  <c r="CQ83" i="23"/>
  <c r="CQ75" i="23"/>
  <c r="CQ74" i="23"/>
  <c r="CQ76" i="23"/>
  <c r="CQ71" i="23"/>
  <c r="CQ82" i="23"/>
  <c r="CQ77" i="23"/>
  <c r="CQ81" i="23"/>
  <c r="CQ79" i="23"/>
  <c r="CQ63" i="23"/>
  <c r="CQ72" i="23"/>
  <c r="CQ62" i="23"/>
  <c r="CQ64" i="23"/>
  <c r="CQ59" i="23"/>
  <c r="CQ57" i="23"/>
  <c r="CQ67" i="23"/>
  <c r="CQ56" i="23"/>
  <c r="CQ53" i="23"/>
  <c r="CQ52" i="23"/>
  <c r="CQ69" i="23"/>
  <c r="CQ68" i="23"/>
  <c r="CQ60" i="23"/>
  <c r="CQ70" i="23"/>
  <c r="CQ54" i="23"/>
  <c r="CQ45" i="23"/>
  <c r="CQ61" i="23"/>
  <c r="CQ50" i="23"/>
  <c r="CQ44" i="23"/>
  <c r="CQ48" i="23"/>
  <c r="CQ38" i="23"/>
  <c r="CQ36" i="23"/>
  <c r="CQ51" i="23"/>
  <c r="CQ41" i="23"/>
  <c r="CQ33" i="23"/>
  <c r="CQ42" i="23"/>
  <c r="CQ73" i="23"/>
  <c r="CQ58" i="23"/>
  <c r="CQ39" i="23"/>
  <c r="CQ66" i="23"/>
  <c r="CQ65" i="23"/>
  <c r="CQ47" i="23"/>
  <c r="CQ46" i="23"/>
  <c r="CQ21" i="23"/>
  <c r="CQ55" i="23"/>
  <c r="CQ49" i="23"/>
  <c r="CQ32" i="23"/>
  <c r="CQ28" i="23"/>
  <c r="CQ31" i="23"/>
  <c r="CQ23" i="23"/>
  <c r="CQ80" i="23"/>
  <c r="CQ22" i="23"/>
  <c r="CQ34" i="23"/>
  <c r="CQ16" i="23"/>
  <c r="CQ14" i="23"/>
  <c r="CQ6" i="23"/>
  <c r="CQ26" i="23"/>
  <c r="CQ5" i="23"/>
  <c r="CQ43" i="23"/>
  <c r="CQ11" i="23"/>
  <c r="CQ35" i="23"/>
  <c r="CQ15" i="23"/>
  <c r="CQ13" i="23"/>
  <c r="CQ29" i="23"/>
  <c r="CQ24" i="23"/>
  <c r="CQ20" i="23"/>
  <c r="CQ18" i="23"/>
  <c r="CQ8" i="23"/>
  <c r="CR2" i="23"/>
  <c r="CQ40" i="23"/>
  <c r="CQ19" i="23"/>
  <c r="CQ17" i="23"/>
  <c r="CQ7" i="23"/>
  <c r="CQ25" i="23"/>
  <c r="CQ12" i="23"/>
  <c r="CQ27" i="23"/>
  <c r="CQ37" i="23"/>
  <c r="CQ4" i="23"/>
  <c r="CQ9" i="23"/>
  <c r="CQ30" i="23"/>
  <c r="CQ10" i="23"/>
  <c r="CR201" i="23" l="1"/>
  <c r="CR129" i="23"/>
  <c r="CR164" i="23"/>
  <c r="CR128" i="23"/>
  <c r="CR131" i="23"/>
  <c r="CR211" i="23"/>
  <c r="CR143" i="23"/>
  <c r="CR210" i="23"/>
  <c r="CR127" i="23"/>
  <c r="CR123" i="23"/>
  <c r="CR146" i="23"/>
  <c r="CR134" i="23"/>
  <c r="CR144" i="23"/>
  <c r="CR193" i="23"/>
  <c r="CR121" i="23"/>
  <c r="CR138" i="23"/>
  <c r="CR178" i="23"/>
  <c r="CR157" i="23"/>
  <c r="CR197" i="23"/>
  <c r="CR204" i="23"/>
  <c r="CR166" i="23"/>
  <c r="CR208" i="23"/>
  <c r="CR207" i="23"/>
  <c r="CR192" i="23"/>
  <c r="CR206" i="23"/>
  <c r="CR195" i="23"/>
  <c r="CR209" i="23"/>
  <c r="CR205" i="23"/>
  <c r="CR212" i="23"/>
  <c r="CR194" i="23"/>
  <c r="CR186" i="23"/>
  <c r="CR198" i="23"/>
  <c r="CR199" i="23"/>
  <c r="CR200" i="23"/>
  <c r="CR187" i="23"/>
  <c r="CR181" i="23"/>
  <c r="CR184" i="23"/>
  <c r="CR185" i="23"/>
  <c r="CR172" i="23"/>
  <c r="CR196" i="23"/>
  <c r="CR183" i="23"/>
  <c r="CR171" i="23"/>
  <c r="CR182" i="23"/>
  <c r="CR160" i="23"/>
  <c r="CR168" i="23"/>
  <c r="CR148" i="23"/>
  <c r="CR175" i="23"/>
  <c r="CR177" i="23"/>
  <c r="CR161" i="23"/>
  <c r="CR189" i="23"/>
  <c r="CR174" i="23"/>
  <c r="CR155" i="23"/>
  <c r="CR170" i="23"/>
  <c r="CR173" i="23"/>
  <c r="CR150" i="23"/>
  <c r="CR152" i="23"/>
  <c r="CR135" i="23"/>
  <c r="CR154" i="23"/>
  <c r="CR141" i="23"/>
  <c r="CR142" i="23"/>
  <c r="CR167" i="23"/>
  <c r="CR149" i="23"/>
  <c r="CR153" i="23"/>
  <c r="CR132" i="23"/>
  <c r="CR176" i="23"/>
  <c r="CR162" i="23"/>
  <c r="CR159" i="23"/>
  <c r="CR119" i="23"/>
  <c r="CR118" i="23"/>
  <c r="CR116" i="23"/>
  <c r="CR126" i="23"/>
  <c r="CR117" i="23"/>
  <c r="CR190" i="23"/>
  <c r="CR165" i="23"/>
  <c r="CR140" i="23"/>
  <c r="CR163" i="23"/>
  <c r="CR151" i="23"/>
  <c r="CR137" i="23"/>
  <c r="CR124" i="23"/>
  <c r="CR115" i="23"/>
  <c r="CR120" i="23"/>
  <c r="CR188" i="23"/>
  <c r="CR179" i="23"/>
  <c r="CR156" i="23"/>
  <c r="CR145" i="23"/>
  <c r="CR130" i="23"/>
  <c r="CR122" i="23"/>
  <c r="CR139" i="23"/>
  <c r="CR133" i="23"/>
  <c r="CR169" i="23"/>
  <c r="CR158" i="23"/>
  <c r="CR203" i="23"/>
  <c r="CR147" i="23"/>
  <c r="CR125" i="23"/>
  <c r="CR136" i="23"/>
  <c r="CR202" i="23"/>
  <c r="CR114" i="23"/>
  <c r="CR180" i="23"/>
  <c r="CR191" i="23"/>
  <c r="CR113" i="23"/>
  <c r="CR107" i="23"/>
  <c r="CR111" i="23"/>
  <c r="CR112" i="23"/>
  <c r="CR109" i="23"/>
  <c r="CR103" i="23"/>
  <c r="CR101" i="23"/>
  <c r="CR110" i="23"/>
  <c r="CR105" i="23"/>
  <c r="CR108" i="23"/>
  <c r="CR99" i="23"/>
  <c r="CR98" i="23"/>
  <c r="CR106" i="23"/>
  <c r="CR95" i="23"/>
  <c r="CR93" i="23"/>
  <c r="CR89" i="23"/>
  <c r="CR97" i="23"/>
  <c r="CR88" i="23"/>
  <c r="CR100" i="23"/>
  <c r="CR94" i="23"/>
  <c r="CR86" i="23"/>
  <c r="CR102" i="23"/>
  <c r="CR96" i="23"/>
  <c r="CR85" i="23"/>
  <c r="CR90" i="23"/>
  <c r="CR87" i="23"/>
  <c r="CR92" i="23"/>
  <c r="CR83" i="23"/>
  <c r="CR84" i="23"/>
  <c r="CR78" i="23"/>
  <c r="CR81" i="23"/>
  <c r="CR72" i="23"/>
  <c r="CR79" i="23"/>
  <c r="CR71" i="23"/>
  <c r="CR69" i="23"/>
  <c r="CR104" i="23"/>
  <c r="CR91" i="23"/>
  <c r="CR76" i="23"/>
  <c r="CR82" i="23"/>
  <c r="CR77" i="23"/>
  <c r="CR80" i="23"/>
  <c r="CR67" i="23"/>
  <c r="CR70" i="23"/>
  <c r="CR66" i="23"/>
  <c r="CR62" i="23"/>
  <c r="CR74" i="23"/>
  <c r="CR64" i="23"/>
  <c r="CR59" i="23"/>
  <c r="CR57" i="23"/>
  <c r="CR65" i="23"/>
  <c r="CR54" i="23"/>
  <c r="CR75" i="23"/>
  <c r="CR73" i="23"/>
  <c r="CR68" i="23"/>
  <c r="CR53" i="23"/>
  <c r="CR60" i="23"/>
  <c r="CR63" i="23"/>
  <c r="CR56" i="23"/>
  <c r="CR55" i="23"/>
  <c r="CR42" i="23"/>
  <c r="CR41" i="23"/>
  <c r="CR51" i="23"/>
  <c r="CR47" i="23"/>
  <c r="CR43" i="23"/>
  <c r="CR37" i="23"/>
  <c r="CR35" i="23"/>
  <c r="CR45" i="23"/>
  <c r="CR40" i="23"/>
  <c r="CR34" i="23"/>
  <c r="CR61" i="23"/>
  <c r="CR58" i="23"/>
  <c r="CR49" i="23"/>
  <c r="CR33" i="23"/>
  <c r="CR32" i="23"/>
  <c r="CR28" i="23"/>
  <c r="CR48" i="23"/>
  <c r="CR36" i="23"/>
  <c r="CR31" i="23"/>
  <c r="CR23" i="23"/>
  <c r="CR52" i="23"/>
  <c r="CR44" i="23"/>
  <c r="CR38" i="23"/>
  <c r="CR30" i="23"/>
  <c r="CR20" i="23"/>
  <c r="CR29" i="23"/>
  <c r="CR19" i="23"/>
  <c r="CR21" i="23"/>
  <c r="CR11" i="23"/>
  <c r="CR10" i="23"/>
  <c r="CR50" i="23"/>
  <c r="CR46" i="23"/>
  <c r="CR24" i="23"/>
  <c r="CR18" i="23"/>
  <c r="CR8" i="23"/>
  <c r="CS2" i="23"/>
  <c r="CR26" i="23"/>
  <c r="CR15" i="23"/>
  <c r="CR13" i="23"/>
  <c r="CR5" i="23"/>
  <c r="CR25" i="23"/>
  <c r="CR12" i="23"/>
  <c r="CR4" i="23"/>
  <c r="CR27" i="23"/>
  <c r="CR22" i="23"/>
  <c r="CR17" i="23"/>
  <c r="CR6" i="23"/>
  <c r="CR7" i="23"/>
  <c r="CR16" i="23"/>
  <c r="CR14" i="23"/>
  <c r="CR9" i="23"/>
  <c r="CR39" i="23"/>
  <c r="CS149" i="23" l="1"/>
  <c r="CS201" i="23"/>
  <c r="CS144" i="23"/>
  <c r="CS115" i="23"/>
  <c r="CS124" i="23"/>
  <c r="CS210" i="23"/>
  <c r="CS151" i="23"/>
  <c r="CS170" i="23"/>
  <c r="CS130" i="23"/>
  <c r="CS138" i="23"/>
  <c r="CS146" i="23"/>
  <c r="CS203" i="23"/>
  <c r="CS198" i="23"/>
  <c r="CS152" i="23"/>
  <c r="CS188" i="23"/>
  <c r="CS117" i="23"/>
  <c r="CS143" i="23"/>
  <c r="CS211" i="23"/>
  <c r="CS204" i="23"/>
  <c r="CS121" i="23"/>
  <c r="CS164" i="23"/>
  <c r="CS189" i="23"/>
  <c r="CS205" i="23"/>
  <c r="CS131" i="23"/>
  <c r="CS209" i="23"/>
  <c r="CS199" i="23"/>
  <c r="CS173" i="23"/>
  <c r="CS207" i="23"/>
  <c r="CS208" i="23"/>
  <c r="CS206" i="23"/>
  <c r="CS192" i="23"/>
  <c r="CS194" i="23"/>
  <c r="CS182" i="23"/>
  <c r="CS200" i="23"/>
  <c r="CS193" i="23"/>
  <c r="CS197" i="23"/>
  <c r="CS195" i="23"/>
  <c r="CS212" i="23"/>
  <c r="CS183" i="23"/>
  <c r="CS185" i="23"/>
  <c r="CS175" i="23"/>
  <c r="CS172" i="23"/>
  <c r="CS161" i="23"/>
  <c r="CS167" i="23"/>
  <c r="CS168" i="23"/>
  <c r="CS179" i="23"/>
  <c r="CS163" i="23"/>
  <c r="CS159" i="23"/>
  <c r="CS166" i="23"/>
  <c r="CS181" i="23"/>
  <c r="CS176" i="23"/>
  <c r="CS155" i="23"/>
  <c r="CS187" i="23"/>
  <c r="CS157" i="23"/>
  <c r="CS186" i="23"/>
  <c r="CS174" i="23"/>
  <c r="CS178" i="23"/>
  <c r="CS150" i="23"/>
  <c r="CS148" i="23"/>
  <c r="CS139" i="23"/>
  <c r="CS140" i="23"/>
  <c r="CS177" i="23"/>
  <c r="CS162" i="23"/>
  <c r="CS156" i="23"/>
  <c r="CS141" i="23"/>
  <c r="CS128" i="23"/>
  <c r="CS129" i="23"/>
  <c r="CS196" i="23"/>
  <c r="CS154" i="23"/>
  <c r="CS135" i="23"/>
  <c r="CS142" i="23"/>
  <c r="CS132" i="23"/>
  <c r="CS127" i="23"/>
  <c r="CS134" i="23"/>
  <c r="CS120" i="23"/>
  <c r="CS171" i="23"/>
  <c r="CS165" i="23"/>
  <c r="CS137" i="23"/>
  <c r="CS160" i="23"/>
  <c r="CS153" i="23"/>
  <c r="CS119" i="23"/>
  <c r="CS133" i="23"/>
  <c r="CS123" i="23"/>
  <c r="CS122" i="23"/>
  <c r="CS184" i="23"/>
  <c r="CS126" i="23"/>
  <c r="CS190" i="23"/>
  <c r="CS145" i="23"/>
  <c r="CS116" i="23"/>
  <c r="CS118" i="23"/>
  <c r="CS125" i="23"/>
  <c r="CS191" i="23"/>
  <c r="CS158" i="23"/>
  <c r="CS169" i="23"/>
  <c r="CS147" i="23"/>
  <c r="CS136" i="23"/>
  <c r="CS114" i="23"/>
  <c r="CS202" i="23"/>
  <c r="CS180" i="23"/>
  <c r="CS112" i="23"/>
  <c r="CS113" i="23"/>
  <c r="CS110" i="23"/>
  <c r="CS111" i="23"/>
  <c r="CS109" i="23"/>
  <c r="CS108" i="23"/>
  <c r="CS106" i="23"/>
  <c r="CS105" i="23"/>
  <c r="CS103" i="23"/>
  <c r="CS107" i="23"/>
  <c r="CS100" i="23"/>
  <c r="CS98" i="23"/>
  <c r="CS104" i="23"/>
  <c r="CS97" i="23"/>
  <c r="CS101" i="23"/>
  <c r="CS95" i="23"/>
  <c r="CS102" i="23"/>
  <c r="CS94" i="23"/>
  <c r="CS90" i="23"/>
  <c r="CS89" i="23"/>
  <c r="CS99" i="23"/>
  <c r="CS93" i="23"/>
  <c r="CS92" i="23"/>
  <c r="CS81" i="23"/>
  <c r="CS85" i="23"/>
  <c r="CS86" i="23"/>
  <c r="CS87" i="23"/>
  <c r="CS83" i="23"/>
  <c r="CS96" i="23"/>
  <c r="CS91" i="23"/>
  <c r="CS82" i="23"/>
  <c r="CS80" i="23"/>
  <c r="CS77" i="23"/>
  <c r="CS88" i="23"/>
  <c r="CS76" i="23"/>
  <c r="CS71" i="23"/>
  <c r="CS84" i="23"/>
  <c r="CS73" i="23"/>
  <c r="CS72" i="23"/>
  <c r="CS64" i="23"/>
  <c r="CS75" i="23"/>
  <c r="CS63" i="23"/>
  <c r="CS74" i="23"/>
  <c r="CS59" i="23"/>
  <c r="CS57" i="23"/>
  <c r="CS78" i="23"/>
  <c r="CS65" i="23"/>
  <c r="CS79" i="23"/>
  <c r="CS66" i="23"/>
  <c r="CS61" i="23"/>
  <c r="CS51" i="23"/>
  <c r="CS60" i="23"/>
  <c r="CS58" i="23"/>
  <c r="CS50" i="23"/>
  <c r="CS69" i="23"/>
  <c r="CS68" i="23"/>
  <c r="CS56" i="23"/>
  <c r="CS70" i="23"/>
  <c r="CS55" i="23"/>
  <c r="CS54" i="23"/>
  <c r="CS62" i="23"/>
  <c r="CS49" i="23"/>
  <c r="CS47" i="23"/>
  <c r="CS48" i="23"/>
  <c r="CS46" i="23"/>
  <c r="CS41" i="23"/>
  <c r="CS67" i="23"/>
  <c r="CS43" i="23"/>
  <c r="CS42" i="23"/>
  <c r="CS37" i="23"/>
  <c r="CS35" i="23"/>
  <c r="CS44" i="23"/>
  <c r="CS32" i="23"/>
  <c r="CS31" i="23"/>
  <c r="CS36" i="23"/>
  <c r="CS23" i="23"/>
  <c r="CS53" i="23"/>
  <c r="CS52" i="23"/>
  <c r="CS38" i="23"/>
  <c r="CS30" i="23"/>
  <c r="CS20" i="23"/>
  <c r="CS27" i="23"/>
  <c r="CS25" i="23"/>
  <c r="CS39" i="23"/>
  <c r="CS26" i="23"/>
  <c r="CS24" i="23"/>
  <c r="CS18" i="23"/>
  <c r="CS8" i="23"/>
  <c r="CT2" i="23"/>
  <c r="CS29" i="23"/>
  <c r="CS15" i="23"/>
  <c r="CS13" i="23"/>
  <c r="CS5" i="23"/>
  <c r="CS22" i="23"/>
  <c r="CS40" i="23"/>
  <c r="CS10" i="23"/>
  <c r="CS17" i="23"/>
  <c r="CS7" i="23"/>
  <c r="CS33" i="23"/>
  <c r="CS9" i="23"/>
  <c r="CS16" i="23"/>
  <c r="CS14" i="23"/>
  <c r="CS45" i="23"/>
  <c r="CS21" i="23"/>
  <c r="CS28" i="23"/>
  <c r="CS4" i="23"/>
  <c r="CS11" i="23"/>
  <c r="CS12" i="23"/>
  <c r="CS6" i="23"/>
  <c r="CS34" i="23"/>
  <c r="CS19" i="23"/>
  <c r="CT124" i="23" l="1"/>
  <c r="CT128" i="23"/>
  <c r="CT164" i="23"/>
  <c r="CT209" i="23"/>
  <c r="CT130" i="23"/>
  <c r="CT152" i="23"/>
  <c r="CT115" i="23"/>
  <c r="CT117" i="23"/>
  <c r="CT123" i="23"/>
  <c r="CT127" i="23"/>
  <c r="CT193" i="23"/>
  <c r="CT139" i="23"/>
  <c r="CT116" i="23"/>
  <c r="CT201" i="23"/>
  <c r="CT194" i="23"/>
  <c r="CT203" i="23"/>
  <c r="CT151" i="23"/>
  <c r="CT198" i="23"/>
  <c r="CT204" i="23"/>
  <c r="CT211" i="23"/>
  <c r="CT205" i="23"/>
  <c r="CT212" i="23"/>
  <c r="CT206" i="23"/>
  <c r="CT207" i="23"/>
  <c r="CT200" i="23"/>
  <c r="CT195" i="23"/>
  <c r="CT208" i="23"/>
  <c r="CT196" i="23"/>
  <c r="CT181" i="23"/>
  <c r="CT183" i="23"/>
  <c r="CT192" i="23"/>
  <c r="CT199" i="23"/>
  <c r="CT197" i="23"/>
  <c r="CT210" i="23"/>
  <c r="CT185" i="23"/>
  <c r="CT171" i="23"/>
  <c r="CT178" i="23"/>
  <c r="CT150" i="23"/>
  <c r="CT189" i="23"/>
  <c r="CT173" i="23"/>
  <c r="CT176" i="23"/>
  <c r="CT177" i="23"/>
  <c r="CT160" i="23"/>
  <c r="CT163" i="23"/>
  <c r="CT168" i="23"/>
  <c r="CT156" i="23"/>
  <c r="CT155" i="23"/>
  <c r="CT170" i="23"/>
  <c r="CT184" i="23"/>
  <c r="CT190" i="23"/>
  <c r="CT172" i="23"/>
  <c r="CT167" i="23"/>
  <c r="CT153" i="23"/>
  <c r="CT157" i="23"/>
  <c r="CT141" i="23"/>
  <c r="CT144" i="23"/>
  <c r="CT145" i="23"/>
  <c r="CT187" i="23"/>
  <c r="CT162" i="23"/>
  <c r="CT166" i="23"/>
  <c r="CT126" i="23"/>
  <c r="CT131" i="23"/>
  <c r="CT182" i="23"/>
  <c r="CT134" i="23"/>
  <c r="CT186" i="23"/>
  <c r="CT165" i="23"/>
  <c r="CT135" i="23"/>
  <c r="CT122" i="23"/>
  <c r="CT179" i="23"/>
  <c r="CT154" i="23"/>
  <c r="CT118" i="23"/>
  <c r="CT159" i="23"/>
  <c r="CT119" i="23"/>
  <c r="CT121" i="23"/>
  <c r="CT174" i="23"/>
  <c r="CT149" i="23"/>
  <c r="CT146" i="23"/>
  <c r="CT175" i="23"/>
  <c r="CT140" i="23"/>
  <c r="CT143" i="23"/>
  <c r="CT138" i="23"/>
  <c r="CT132" i="23"/>
  <c r="CT188" i="23"/>
  <c r="CT129" i="23"/>
  <c r="CT137" i="23"/>
  <c r="CT133" i="23"/>
  <c r="CT120" i="23"/>
  <c r="CT161" i="23"/>
  <c r="CT148" i="23"/>
  <c r="CT142" i="23"/>
  <c r="CT147" i="23"/>
  <c r="CT202" i="23"/>
  <c r="CT180" i="23"/>
  <c r="CT125" i="23"/>
  <c r="CT136" i="23"/>
  <c r="CT191" i="23"/>
  <c r="CT158" i="23"/>
  <c r="CT114" i="23"/>
  <c r="CT169" i="23"/>
  <c r="CT113" i="23"/>
  <c r="CT112" i="23"/>
  <c r="CT111" i="23"/>
  <c r="CT109" i="23"/>
  <c r="CT108" i="23"/>
  <c r="CT106" i="23"/>
  <c r="CT105" i="23"/>
  <c r="CT104" i="23"/>
  <c r="CT102" i="23"/>
  <c r="CT110" i="23"/>
  <c r="CT107" i="23"/>
  <c r="CT100" i="23"/>
  <c r="CT99" i="23"/>
  <c r="CT95" i="23"/>
  <c r="CT101" i="23"/>
  <c r="CT94" i="23"/>
  <c r="CT96" i="23"/>
  <c r="CT91" i="23"/>
  <c r="CT92" i="23"/>
  <c r="CT90" i="23"/>
  <c r="CT103" i="23"/>
  <c r="CT97" i="23"/>
  <c r="CT93" i="23"/>
  <c r="CT87" i="23"/>
  <c r="CT89" i="23"/>
  <c r="CT84" i="23"/>
  <c r="CT85" i="23"/>
  <c r="CT83" i="23"/>
  <c r="CT82" i="23"/>
  <c r="CT81" i="23"/>
  <c r="CT80" i="23"/>
  <c r="CT77" i="23"/>
  <c r="CT98" i="23"/>
  <c r="CT74" i="23"/>
  <c r="CT73" i="23"/>
  <c r="CT86" i="23"/>
  <c r="CT72" i="23"/>
  <c r="CT88" i="23"/>
  <c r="CT69" i="23"/>
  <c r="CT68" i="23"/>
  <c r="CT78" i="23"/>
  <c r="CT65" i="23"/>
  <c r="CT64" i="23"/>
  <c r="CT79" i="23"/>
  <c r="CT66" i="23"/>
  <c r="CT61" i="23"/>
  <c r="CT56" i="23"/>
  <c r="CT76" i="23"/>
  <c r="CT71" i="23"/>
  <c r="CT70" i="23"/>
  <c r="CT55" i="23"/>
  <c r="CT63" i="23"/>
  <c r="CT54" i="23"/>
  <c r="CT62" i="23"/>
  <c r="CT59" i="23"/>
  <c r="CT49" i="23"/>
  <c r="CT47" i="23"/>
  <c r="CT44" i="23"/>
  <c r="CT58" i="23"/>
  <c r="CT52" i="23"/>
  <c r="CT51" i="23"/>
  <c r="CT43" i="23"/>
  <c r="CT67" i="23"/>
  <c r="CT60" i="23"/>
  <c r="CT42" i="23"/>
  <c r="CT37" i="23"/>
  <c r="CT32" i="23"/>
  <c r="CT75" i="23"/>
  <c r="CT50" i="23"/>
  <c r="CT39" i="23"/>
  <c r="CT53" i="23"/>
  <c r="CT46" i="23"/>
  <c r="CT38" i="23"/>
  <c r="CT36" i="23"/>
  <c r="CT48" i="23"/>
  <c r="CT31" i="23"/>
  <c r="CT30" i="23"/>
  <c r="CT20" i="23"/>
  <c r="CT27" i="23"/>
  <c r="CT25" i="23"/>
  <c r="CT22" i="23"/>
  <c r="CT45" i="23"/>
  <c r="CT40" i="23"/>
  <c r="CT34" i="23"/>
  <c r="CT21" i="23"/>
  <c r="CT29" i="23"/>
  <c r="CT24" i="23"/>
  <c r="CT15" i="23"/>
  <c r="CT13" i="23"/>
  <c r="CT5" i="23"/>
  <c r="CT12" i="23"/>
  <c r="CT26" i="23"/>
  <c r="CT10" i="23"/>
  <c r="CT41" i="23"/>
  <c r="CT57" i="23"/>
  <c r="CT35" i="23"/>
  <c r="CT23" i="23"/>
  <c r="CT17" i="23"/>
  <c r="CT7" i="23"/>
  <c r="CT28" i="23"/>
  <c r="CT19" i="23"/>
  <c r="CT4" i="23"/>
  <c r="CT16" i="23"/>
  <c r="CT14" i="23"/>
  <c r="CT6" i="23"/>
  <c r="CT33" i="23"/>
  <c r="CT9" i="23"/>
  <c r="CT8" i="23"/>
  <c r="CU2" i="23"/>
  <c r="CT18" i="23"/>
  <c r="CT11" i="23"/>
  <c r="CU128" i="23" l="1"/>
  <c r="CU142" i="23"/>
  <c r="CU127" i="23"/>
  <c r="CU148" i="23"/>
  <c r="CU131" i="23"/>
  <c r="CU149" i="23"/>
  <c r="CU166" i="23"/>
  <c r="CU129" i="23"/>
  <c r="CU145" i="23"/>
  <c r="CU197" i="23"/>
  <c r="CU205" i="23"/>
  <c r="CU204" i="23"/>
  <c r="CU208" i="23"/>
  <c r="CU203" i="23"/>
  <c r="CU210" i="23"/>
  <c r="CU206" i="23"/>
  <c r="CU195" i="23"/>
  <c r="CU192" i="23"/>
  <c r="CU193" i="23"/>
  <c r="CU200" i="23"/>
  <c r="CU201" i="23"/>
  <c r="CU184" i="23"/>
  <c r="CU212" i="23"/>
  <c r="CU211" i="23"/>
  <c r="CU207" i="23"/>
  <c r="CU187" i="23"/>
  <c r="CU199" i="23"/>
  <c r="CU194" i="23"/>
  <c r="CU198" i="23"/>
  <c r="CU209" i="23"/>
  <c r="CU181" i="23"/>
  <c r="CU182" i="23"/>
  <c r="CU171" i="23"/>
  <c r="CU177" i="23"/>
  <c r="CU189" i="23"/>
  <c r="CU172" i="23"/>
  <c r="CU178" i="23"/>
  <c r="CU185" i="23"/>
  <c r="CU174" i="23"/>
  <c r="CU162" i="23"/>
  <c r="CU170" i="23"/>
  <c r="CU153" i="23"/>
  <c r="CU155" i="23"/>
  <c r="CU188" i="23"/>
  <c r="CU179" i="23"/>
  <c r="CU163" i="23"/>
  <c r="CU168" i="23"/>
  <c r="CU173" i="23"/>
  <c r="CU167" i="23"/>
  <c r="CU183" i="23"/>
  <c r="CU150" i="23"/>
  <c r="CU141" i="23"/>
  <c r="CU159" i="23"/>
  <c r="CU165" i="23"/>
  <c r="CU156" i="23"/>
  <c r="CU140" i="23"/>
  <c r="CU126" i="23"/>
  <c r="CU152" i="23"/>
  <c r="CU137" i="23"/>
  <c r="CU133" i="23"/>
  <c r="CU186" i="23"/>
  <c r="CU138" i="23"/>
  <c r="CU135" i="23"/>
  <c r="CU134" i="23"/>
  <c r="CU130" i="23"/>
  <c r="CU132" i="23"/>
  <c r="CU120" i="23"/>
  <c r="CU196" i="23"/>
  <c r="CU190" i="23"/>
  <c r="CU160" i="23"/>
  <c r="CU139" i="23"/>
  <c r="CU144" i="23"/>
  <c r="CU115" i="23"/>
  <c r="CU119" i="23"/>
  <c r="CU118" i="23"/>
  <c r="CU117" i="23"/>
  <c r="CU122" i="23"/>
  <c r="CU121" i="23"/>
  <c r="CU154" i="23"/>
  <c r="CU123" i="23"/>
  <c r="CU176" i="23"/>
  <c r="CU161" i="23"/>
  <c r="CU164" i="23"/>
  <c r="CU151" i="23"/>
  <c r="CU143" i="23"/>
  <c r="CU116" i="23"/>
  <c r="CU157" i="23"/>
  <c r="CU124" i="23"/>
  <c r="CU175" i="23"/>
  <c r="CU146" i="23"/>
  <c r="CU136" i="23"/>
  <c r="CU114" i="23"/>
  <c r="CU202" i="23"/>
  <c r="CU180" i="23"/>
  <c r="CU169" i="23"/>
  <c r="CU158" i="23"/>
  <c r="CU125" i="23"/>
  <c r="CU191" i="23"/>
  <c r="CU147" i="23"/>
  <c r="CU113" i="23"/>
  <c r="CU112" i="23"/>
  <c r="CU107" i="23"/>
  <c r="CU108" i="23"/>
  <c r="CU110" i="23"/>
  <c r="CU111" i="23"/>
  <c r="CU106" i="23"/>
  <c r="CU100" i="23"/>
  <c r="CU102" i="23"/>
  <c r="CU101" i="23"/>
  <c r="CU95" i="23"/>
  <c r="CU96" i="23"/>
  <c r="CU103" i="23"/>
  <c r="CU104" i="23"/>
  <c r="CU109" i="23"/>
  <c r="CU105" i="23"/>
  <c r="CU94" i="23"/>
  <c r="CU93" i="23"/>
  <c r="CU99" i="23"/>
  <c r="CU92" i="23"/>
  <c r="CU91" i="23"/>
  <c r="CU85" i="23"/>
  <c r="CU84" i="23"/>
  <c r="CU89" i="23"/>
  <c r="CU88" i="23"/>
  <c r="CU83" i="23"/>
  <c r="CU86" i="23"/>
  <c r="CU82" i="23"/>
  <c r="CU80" i="23"/>
  <c r="CU97" i="23"/>
  <c r="CU90" i="23"/>
  <c r="CU87" i="23"/>
  <c r="CU81" i="23"/>
  <c r="CU77" i="23"/>
  <c r="CU98" i="23"/>
  <c r="CU79" i="23"/>
  <c r="CU71" i="23"/>
  <c r="CU78" i="23"/>
  <c r="CU70" i="23"/>
  <c r="CU72" i="23"/>
  <c r="CU73" i="23"/>
  <c r="CU69" i="23"/>
  <c r="CU74" i="23"/>
  <c r="CU66" i="23"/>
  <c r="CU65" i="23"/>
  <c r="CU61" i="23"/>
  <c r="CU56" i="23"/>
  <c r="CU67" i="23"/>
  <c r="CU53" i="23"/>
  <c r="CU63" i="23"/>
  <c r="CU62" i="23"/>
  <c r="CU52" i="23"/>
  <c r="CU59" i="23"/>
  <c r="CU55" i="23"/>
  <c r="CU49" i="23"/>
  <c r="CU47" i="23"/>
  <c r="CU50" i="23"/>
  <c r="CU76" i="23"/>
  <c r="CU40" i="23"/>
  <c r="CU54" i="23"/>
  <c r="CU43" i="23"/>
  <c r="CU75" i="23"/>
  <c r="CU44" i="23"/>
  <c r="CU39" i="23"/>
  <c r="CU57" i="23"/>
  <c r="CU45" i="23"/>
  <c r="CU34" i="23"/>
  <c r="CU48" i="23"/>
  <c r="CU33" i="23"/>
  <c r="CU51" i="23"/>
  <c r="CU60" i="23"/>
  <c r="CU64" i="23"/>
  <c r="CU38" i="23"/>
  <c r="CU27" i="23"/>
  <c r="CU25" i="23"/>
  <c r="CU22" i="23"/>
  <c r="CU42" i="23"/>
  <c r="CU29" i="23"/>
  <c r="CU19" i="23"/>
  <c r="CU35" i="23"/>
  <c r="CU28" i="23"/>
  <c r="CU46" i="23"/>
  <c r="CU26" i="23"/>
  <c r="CU10" i="23"/>
  <c r="CU23" i="23"/>
  <c r="CU20" i="23"/>
  <c r="CU17" i="23"/>
  <c r="CU7" i="23"/>
  <c r="CU41" i="23"/>
  <c r="CU32" i="23"/>
  <c r="CU12" i="23"/>
  <c r="CU4" i="23"/>
  <c r="CU9" i="23"/>
  <c r="CU11" i="23"/>
  <c r="CU37" i="23"/>
  <c r="CU31" i="23"/>
  <c r="CU30" i="23"/>
  <c r="CU21" i="23"/>
  <c r="CU18" i="23"/>
  <c r="CU24" i="23"/>
  <c r="CU8" i="23"/>
  <c r="CV2" i="23"/>
  <c r="CU58" i="23"/>
  <c r="CU13" i="23"/>
  <c r="CU15" i="23"/>
  <c r="CU16" i="23"/>
  <c r="CU6" i="23"/>
  <c r="CU36" i="23"/>
  <c r="CU68" i="23"/>
  <c r="CU14" i="23"/>
  <c r="CU5" i="23"/>
  <c r="CV168" i="23" l="1"/>
  <c r="CV127" i="23"/>
  <c r="CV145" i="23"/>
  <c r="CV143" i="23"/>
  <c r="CV166" i="23"/>
  <c r="CV187" i="23"/>
  <c r="CV170" i="23"/>
  <c r="CV134" i="23"/>
  <c r="CV164" i="23"/>
  <c r="CV175" i="23"/>
  <c r="CV194" i="23"/>
  <c r="CV122" i="23"/>
  <c r="CV146" i="23"/>
  <c r="CV203" i="23"/>
  <c r="CV115" i="23"/>
  <c r="CV208" i="23"/>
  <c r="CV161" i="23"/>
  <c r="CV149" i="23"/>
  <c r="CV197" i="23"/>
  <c r="CV173" i="23"/>
  <c r="CV211" i="23"/>
  <c r="CV199" i="23"/>
  <c r="CV207" i="23"/>
  <c r="CV205" i="23"/>
  <c r="CV193" i="23"/>
  <c r="CV206" i="23"/>
  <c r="CV195" i="23"/>
  <c r="CV192" i="23"/>
  <c r="CV212" i="23"/>
  <c r="CV200" i="23"/>
  <c r="CV198" i="23"/>
  <c r="CV209" i="23"/>
  <c r="CV181" i="23"/>
  <c r="CV196" i="23"/>
  <c r="CV186" i="23"/>
  <c r="CV183" i="23"/>
  <c r="CV204" i="23"/>
  <c r="CV201" i="23"/>
  <c r="CV190" i="23"/>
  <c r="CV188" i="23"/>
  <c r="CV171" i="23"/>
  <c r="CV172" i="23"/>
  <c r="CV179" i="23"/>
  <c r="CV150" i="23"/>
  <c r="CV148" i="23"/>
  <c r="CV178" i="23"/>
  <c r="CV162" i="23"/>
  <c r="CV155" i="23"/>
  <c r="CV167" i="23"/>
  <c r="CV160" i="23"/>
  <c r="CV163" i="23"/>
  <c r="CV165" i="23"/>
  <c r="CV154" i="23"/>
  <c r="CV141" i="23"/>
  <c r="CV139" i="23"/>
  <c r="CV136" i="23"/>
  <c r="CV140" i="23"/>
  <c r="CV210" i="23"/>
  <c r="CV182" i="23"/>
  <c r="CV176" i="23"/>
  <c r="CV177" i="23"/>
  <c r="CV151" i="23"/>
  <c r="CV157" i="23"/>
  <c r="CV131" i="23"/>
  <c r="CV138" i="23"/>
  <c r="CV130" i="23"/>
  <c r="CV128" i="23"/>
  <c r="CV133" i="23"/>
  <c r="CV119" i="23"/>
  <c r="CV185" i="23"/>
  <c r="CV152" i="23"/>
  <c r="CV129" i="23"/>
  <c r="CV118" i="23"/>
  <c r="CV121" i="23"/>
  <c r="CV124" i="23"/>
  <c r="CV184" i="23"/>
  <c r="CV153" i="23"/>
  <c r="CV142" i="23"/>
  <c r="CV135" i="23"/>
  <c r="CV123" i="23"/>
  <c r="CV117" i="23"/>
  <c r="CV159" i="23"/>
  <c r="CV137" i="23"/>
  <c r="CV189" i="23"/>
  <c r="CV126" i="23"/>
  <c r="CV120" i="23"/>
  <c r="CV174" i="23"/>
  <c r="CV156" i="23"/>
  <c r="CV132" i="23"/>
  <c r="CV144" i="23"/>
  <c r="CV116" i="23"/>
  <c r="CV180" i="23"/>
  <c r="CV202" i="23"/>
  <c r="CV114" i="23"/>
  <c r="CV158" i="23"/>
  <c r="CV147" i="23"/>
  <c r="CV125" i="23"/>
  <c r="CV169" i="23"/>
  <c r="CV191" i="23"/>
  <c r="CV112" i="23"/>
  <c r="CV111" i="23"/>
  <c r="CV110" i="23"/>
  <c r="CV108" i="23"/>
  <c r="CV113" i="23"/>
  <c r="CV107" i="23"/>
  <c r="CV105" i="23"/>
  <c r="CV106" i="23"/>
  <c r="CV103" i="23"/>
  <c r="CV101" i="23"/>
  <c r="CV100" i="23"/>
  <c r="CV102" i="23"/>
  <c r="CV109" i="23"/>
  <c r="CV97" i="23"/>
  <c r="CV96" i="23"/>
  <c r="CV99" i="23"/>
  <c r="CV98" i="23"/>
  <c r="CV93" i="23"/>
  <c r="CV92" i="23"/>
  <c r="CV91" i="23"/>
  <c r="CV104" i="23"/>
  <c r="CV88" i="23"/>
  <c r="CV87" i="23"/>
  <c r="CV82" i="23"/>
  <c r="CV80" i="23"/>
  <c r="CV79" i="23"/>
  <c r="CV95" i="23"/>
  <c r="CV94" i="23"/>
  <c r="CV76" i="23"/>
  <c r="CV75" i="23"/>
  <c r="CV86" i="23"/>
  <c r="CV77" i="23"/>
  <c r="CV73" i="23"/>
  <c r="CV69" i="23"/>
  <c r="CV89" i="23"/>
  <c r="CV84" i="23"/>
  <c r="CV74" i="23"/>
  <c r="CV70" i="23"/>
  <c r="CV63" i="23"/>
  <c r="CV78" i="23"/>
  <c r="CV83" i="23"/>
  <c r="CV72" i="23"/>
  <c r="CV66" i="23"/>
  <c r="CV56" i="23"/>
  <c r="CV67" i="23"/>
  <c r="CV68" i="23"/>
  <c r="CV60" i="23"/>
  <c r="CV58" i="23"/>
  <c r="CV50" i="23"/>
  <c r="CV59" i="23"/>
  <c r="CV57" i="23"/>
  <c r="CV62" i="23"/>
  <c r="CV81" i="23"/>
  <c r="CV85" i="23"/>
  <c r="CV64" i="23"/>
  <c r="CV48" i="23"/>
  <c r="CV46" i="23"/>
  <c r="CV53" i="23"/>
  <c r="CV45" i="23"/>
  <c r="CV71" i="23"/>
  <c r="CV44" i="23"/>
  <c r="CV39" i="23"/>
  <c r="CV47" i="23"/>
  <c r="CV34" i="23"/>
  <c r="CV55" i="23"/>
  <c r="CV52" i="23"/>
  <c r="CV49" i="23"/>
  <c r="CV40" i="23"/>
  <c r="CV31" i="23"/>
  <c r="CV65" i="23"/>
  <c r="CV41" i="23"/>
  <c r="CV61" i="23"/>
  <c r="CV22" i="23"/>
  <c r="CV54" i="23"/>
  <c r="CV51" i="23"/>
  <c r="CV42" i="23"/>
  <c r="CV29" i="23"/>
  <c r="CV19" i="23"/>
  <c r="CV37" i="23"/>
  <c r="CV26" i="23"/>
  <c r="CV24" i="23"/>
  <c r="CV43" i="23"/>
  <c r="CV33" i="23"/>
  <c r="CV23" i="23"/>
  <c r="CV38" i="23"/>
  <c r="CV20" i="23"/>
  <c r="CV17" i="23"/>
  <c r="CV7" i="23"/>
  <c r="CV35" i="23"/>
  <c r="CV32" i="23"/>
  <c r="CV12" i="23"/>
  <c r="CV4" i="23"/>
  <c r="CV6" i="23"/>
  <c r="CV28" i="23"/>
  <c r="CV9" i="23"/>
  <c r="CV16" i="23"/>
  <c r="CV14" i="23"/>
  <c r="CV90" i="23"/>
  <c r="CV30" i="23"/>
  <c r="CV27" i="23"/>
  <c r="CV21" i="23"/>
  <c r="CV18" i="23"/>
  <c r="CV8" i="23"/>
  <c r="CW2" i="23"/>
  <c r="CV36" i="23"/>
  <c r="CV15" i="23"/>
  <c r="CV13" i="23"/>
  <c r="CV11" i="23"/>
  <c r="CV25" i="23"/>
  <c r="CV5" i="23"/>
  <c r="CV10" i="23"/>
  <c r="CW211" i="23" l="1"/>
  <c r="CW117" i="23"/>
  <c r="CW159" i="23"/>
  <c r="CW127" i="23"/>
  <c r="CW206" i="23"/>
  <c r="CW150" i="23"/>
  <c r="CW134" i="23"/>
  <c r="CW152" i="23"/>
  <c r="CW131" i="23"/>
  <c r="CW122" i="23"/>
  <c r="CW209" i="23"/>
  <c r="CW129" i="23"/>
  <c r="CW149" i="23"/>
  <c r="CW151" i="23"/>
  <c r="CW124" i="23"/>
  <c r="CW115" i="23"/>
  <c r="CW138" i="23"/>
  <c r="CW143" i="23"/>
  <c r="CW193" i="23"/>
  <c r="CW146" i="23"/>
  <c r="CW203" i="23"/>
  <c r="CW201" i="23"/>
  <c r="CW212" i="23"/>
  <c r="CW154" i="23"/>
  <c r="CW207" i="23"/>
  <c r="CW170" i="23"/>
  <c r="CW208" i="23"/>
  <c r="CW205" i="23"/>
  <c r="CW198" i="23"/>
  <c r="CW192" i="23"/>
  <c r="CW197" i="23"/>
  <c r="CW181" i="23"/>
  <c r="CW195" i="23"/>
  <c r="CW187" i="23"/>
  <c r="CW210" i="23"/>
  <c r="CW204" i="23"/>
  <c r="CW194" i="23"/>
  <c r="CW196" i="23"/>
  <c r="CW185" i="23"/>
  <c r="CW171" i="23"/>
  <c r="CW184" i="23"/>
  <c r="CW173" i="23"/>
  <c r="CW177" i="23"/>
  <c r="CW155" i="23"/>
  <c r="CW148" i="23"/>
  <c r="CW183" i="23"/>
  <c r="CW179" i="23"/>
  <c r="CW166" i="23"/>
  <c r="CW175" i="23"/>
  <c r="CW165" i="23"/>
  <c r="CW176" i="23"/>
  <c r="CW168" i="23"/>
  <c r="CW153" i="23"/>
  <c r="CW161" i="23"/>
  <c r="CW163" i="23"/>
  <c r="CW140" i="23"/>
  <c r="CW174" i="23"/>
  <c r="CW164" i="23"/>
  <c r="CW157" i="23"/>
  <c r="CW142" i="23"/>
  <c r="CW172" i="23"/>
  <c r="CW167" i="23"/>
  <c r="CW130" i="23"/>
  <c r="CW190" i="23"/>
  <c r="CW141" i="23"/>
  <c r="CW126" i="23"/>
  <c r="CW128" i="23"/>
  <c r="CW199" i="23"/>
  <c r="CW188" i="23"/>
  <c r="CW182" i="23"/>
  <c r="CW189" i="23"/>
  <c r="CW178" i="23"/>
  <c r="CW160" i="23"/>
  <c r="CW144" i="23"/>
  <c r="CW120" i="23"/>
  <c r="CW123" i="23"/>
  <c r="CW200" i="23"/>
  <c r="CW135" i="23"/>
  <c r="CW137" i="23"/>
  <c r="CW121" i="23"/>
  <c r="CW118" i="23"/>
  <c r="CW186" i="23"/>
  <c r="CW156" i="23"/>
  <c r="CW145" i="23"/>
  <c r="CW119" i="23"/>
  <c r="CW116" i="23"/>
  <c r="CW162" i="23"/>
  <c r="CW139" i="23"/>
  <c r="CW132" i="23"/>
  <c r="CW133" i="23"/>
  <c r="CW147" i="23"/>
  <c r="CW202" i="23"/>
  <c r="CW114" i="23"/>
  <c r="CW169" i="23"/>
  <c r="CW125" i="23"/>
  <c r="CW136" i="23"/>
  <c r="CW191" i="23"/>
  <c r="CW158" i="23"/>
  <c r="CW180" i="23"/>
  <c r="CW112" i="23"/>
  <c r="CW111" i="23"/>
  <c r="CW108" i="23"/>
  <c r="CW107" i="23"/>
  <c r="CW113" i="23"/>
  <c r="CW105" i="23"/>
  <c r="CW109" i="23"/>
  <c r="CW104" i="23"/>
  <c r="CW102" i="23"/>
  <c r="CW106" i="23"/>
  <c r="CW103" i="23"/>
  <c r="CW101" i="23"/>
  <c r="CW110" i="23"/>
  <c r="CW99" i="23"/>
  <c r="CW98" i="23"/>
  <c r="CW94" i="23"/>
  <c r="CW93" i="23"/>
  <c r="CW96" i="23"/>
  <c r="CW97" i="23"/>
  <c r="CW92" i="23"/>
  <c r="CW90" i="23"/>
  <c r="CW89" i="23"/>
  <c r="CW91" i="23"/>
  <c r="CW100" i="23"/>
  <c r="CW87" i="23"/>
  <c r="CW86" i="23"/>
  <c r="CW88" i="23"/>
  <c r="CW95" i="23"/>
  <c r="CW85" i="23"/>
  <c r="CW79" i="23"/>
  <c r="CW76" i="23"/>
  <c r="CW73" i="23"/>
  <c r="CW84" i="23"/>
  <c r="CW72" i="23"/>
  <c r="CW82" i="23"/>
  <c r="CW74" i="23"/>
  <c r="CW80" i="23"/>
  <c r="CW70" i="23"/>
  <c r="CW75" i="23"/>
  <c r="CW68" i="23"/>
  <c r="CW71" i="23"/>
  <c r="CW67" i="23"/>
  <c r="CW60" i="23"/>
  <c r="CW58" i="23"/>
  <c r="CW81" i="23"/>
  <c r="CW69" i="23"/>
  <c r="CW55" i="23"/>
  <c r="CW64" i="23"/>
  <c r="CW54" i="23"/>
  <c r="CW77" i="23"/>
  <c r="CW78" i="23"/>
  <c r="CW50" i="23"/>
  <c r="CW48" i="23"/>
  <c r="CW46" i="23"/>
  <c r="CW83" i="23"/>
  <c r="CW66" i="23"/>
  <c r="CW61" i="23"/>
  <c r="CW51" i="23"/>
  <c r="CW43" i="23"/>
  <c r="CW65" i="23"/>
  <c r="CW57" i="23"/>
  <c r="CW42" i="23"/>
  <c r="CW62" i="23"/>
  <c r="CW56" i="23"/>
  <c r="CW47" i="23"/>
  <c r="CW52" i="23"/>
  <c r="CW49" i="23"/>
  <c r="CW45" i="23"/>
  <c r="CW40" i="23"/>
  <c r="CW31" i="23"/>
  <c r="CW38" i="23"/>
  <c r="CW36" i="23"/>
  <c r="CW63" i="23"/>
  <c r="CW59" i="23"/>
  <c r="CW37" i="23"/>
  <c r="CW35" i="23"/>
  <c r="CW53" i="23"/>
  <c r="CW29" i="23"/>
  <c r="CW19" i="23"/>
  <c r="CW44" i="23"/>
  <c r="CW26" i="23"/>
  <c r="CW24" i="23"/>
  <c r="CW41" i="23"/>
  <c r="CW21" i="23"/>
  <c r="CW32" i="23"/>
  <c r="CW30" i="23"/>
  <c r="CW20" i="23"/>
  <c r="CW23" i="23"/>
  <c r="CW12" i="23"/>
  <c r="CW4" i="23"/>
  <c r="CW33" i="23"/>
  <c r="CW11" i="23"/>
  <c r="CW28" i="23"/>
  <c r="CW9" i="23"/>
  <c r="CW22" i="23"/>
  <c r="CW16" i="23"/>
  <c r="CW14" i="23"/>
  <c r="CW6" i="23"/>
  <c r="CW25" i="23"/>
  <c r="CW15" i="23"/>
  <c r="CW13" i="23"/>
  <c r="CW5" i="23"/>
  <c r="CW39" i="23"/>
  <c r="CW34" i="23"/>
  <c r="CW27" i="23"/>
  <c r="CW18" i="23"/>
  <c r="CW8" i="23"/>
  <c r="CW7" i="23"/>
  <c r="CX2" i="23"/>
  <c r="CW10" i="23"/>
  <c r="CW17" i="23"/>
  <c r="CX115" i="23" l="1"/>
  <c r="CX126" i="23"/>
  <c r="CX178" i="23"/>
  <c r="CX206" i="23"/>
  <c r="CX176" i="23"/>
  <c r="CX130" i="23"/>
  <c r="CX151" i="23"/>
  <c r="CX166" i="23"/>
  <c r="CX124" i="23"/>
  <c r="CX164" i="23"/>
  <c r="CX193" i="23"/>
  <c r="CX145" i="23"/>
  <c r="CX168" i="23"/>
  <c r="CX117" i="23"/>
  <c r="CX170" i="23"/>
  <c r="CX149" i="23"/>
  <c r="CX194" i="23"/>
  <c r="CX197" i="23"/>
  <c r="CX189" i="23"/>
  <c r="CX201" i="23"/>
  <c r="CX210" i="23"/>
  <c r="CX199" i="23"/>
  <c r="CX205" i="23"/>
  <c r="CX207" i="23"/>
  <c r="CX208" i="23"/>
  <c r="CX204" i="23"/>
  <c r="CX211" i="23"/>
  <c r="CX209" i="23"/>
  <c r="CX196" i="23"/>
  <c r="CX198" i="23"/>
  <c r="CX212" i="23"/>
  <c r="CX195" i="23"/>
  <c r="CX192" i="23"/>
  <c r="CX186" i="23"/>
  <c r="CX181" i="23"/>
  <c r="CX203" i="23"/>
  <c r="CX188" i="23"/>
  <c r="CX187" i="23"/>
  <c r="CX177" i="23"/>
  <c r="CX183" i="23"/>
  <c r="CX190" i="23"/>
  <c r="CX162" i="23"/>
  <c r="CX200" i="23"/>
  <c r="CX175" i="23"/>
  <c r="CX161" i="23"/>
  <c r="CX167" i="23"/>
  <c r="CX174" i="23"/>
  <c r="CX159" i="23"/>
  <c r="CX160" i="23"/>
  <c r="CX184" i="23"/>
  <c r="CX182" i="23"/>
  <c r="CX171" i="23"/>
  <c r="CX173" i="23"/>
  <c r="CX148" i="23"/>
  <c r="CX152" i="23"/>
  <c r="CX157" i="23"/>
  <c r="CX141" i="23"/>
  <c r="CX185" i="23"/>
  <c r="CX154" i="23"/>
  <c r="CX179" i="23"/>
  <c r="CX140" i="23"/>
  <c r="CX150" i="23"/>
  <c r="CX156" i="23"/>
  <c r="CX142" i="23"/>
  <c r="CX143" i="23"/>
  <c r="CX146" i="23"/>
  <c r="CX129" i="23"/>
  <c r="CX139" i="23"/>
  <c r="CX163" i="23"/>
  <c r="CX127" i="23"/>
  <c r="CX172" i="23"/>
  <c r="CX155" i="23"/>
  <c r="CX131" i="23"/>
  <c r="CX132" i="23"/>
  <c r="CX165" i="23"/>
  <c r="CX138" i="23"/>
  <c r="CX120" i="23"/>
  <c r="CX134" i="23"/>
  <c r="CX116" i="23"/>
  <c r="CX118" i="23"/>
  <c r="CX119" i="23"/>
  <c r="CX137" i="23"/>
  <c r="CX135" i="23"/>
  <c r="CX133" i="23"/>
  <c r="CX123" i="23"/>
  <c r="CX122" i="23"/>
  <c r="CX121" i="23"/>
  <c r="CX153" i="23"/>
  <c r="CX144" i="23"/>
  <c r="CX128" i="23"/>
  <c r="CX169" i="23"/>
  <c r="CX147" i="23"/>
  <c r="CX125" i="23"/>
  <c r="CX114" i="23"/>
  <c r="CX180" i="23"/>
  <c r="CX136" i="23"/>
  <c r="CX202" i="23"/>
  <c r="CX158" i="23"/>
  <c r="CX191" i="23"/>
  <c r="CX112" i="23"/>
  <c r="CX111" i="23"/>
  <c r="CX113" i="23"/>
  <c r="CX108" i="23"/>
  <c r="CX107" i="23"/>
  <c r="CX109" i="23"/>
  <c r="CX105" i="23"/>
  <c r="CX104" i="23"/>
  <c r="CX102" i="23"/>
  <c r="CX106" i="23"/>
  <c r="CX103" i="23"/>
  <c r="CX99" i="23"/>
  <c r="CX97" i="23"/>
  <c r="CX100" i="23"/>
  <c r="CX95" i="23"/>
  <c r="CX94" i="23"/>
  <c r="CX93" i="23"/>
  <c r="CX101" i="23"/>
  <c r="CX92" i="23"/>
  <c r="CX110" i="23"/>
  <c r="CX98" i="23"/>
  <c r="CX83" i="23"/>
  <c r="CX88" i="23"/>
  <c r="CX84" i="23"/>
  <c r="CX82" i="23"/>
  <c r="CX80" i="23"/>
  <c r="CX91" i="23"/>
  <c r="CX90" i="23"/>
  <c r="CX81" i="23"/>
  <c r="CX96" i="23"/>
  <c r="CX78" i="23"/>
  <c r="CX89" i="23"/>
  <c r="CX86" i="23"/>
  <c r="CX77" i="23"/>
  <c r="CX70" i="23"/>
  <c r="CX75" i="23"/>
  <c r="CX85" i="23"/>
  <c r="CX79" i="23"/>
  <c r="CX65" i="23"/>
  <c r="CX76" i="23"/>
  <c r="CX64" i="23"/>
  <c r="CX67" i="23"/>
  <c r="CX60" i="23"/>
  <c r="CX58" i="23"/>
  <c r="CX69" i="23"/>
  <c r="CX68" i="23"/>
  <c r="CX62" i="23"/>
  <c r="CX52" i="23"/>
  <c r="CX87" i="23"/>
  <c r="CX61" i="23"/>
  <c r="CX51" i="23"/>
  <c r="CX50" i="23"/>
  <c r="CX48" i="23"/>
  <c r="CX46" i="23"/>
  <c r="CX66" i="23"/>
  <c r="CX72" i="23"/>
  <c r="CX71" i="23"/>
  <c r="CX54" i="23"/>
  <c r="CX49" i="23"/>
  <c r="CX47" i="23"/>
  <c r="CX45" i="23"/>
  <c r="CX40" i="23"/>
  <c r="CX57" i="23"/>
  <c r="CX55" i="23"/>
  <c r="CX38" i="23"/>
  <c r="CX36" i="23"/>
  <c r="CX33" i="23"/>
  <c r="CX42" i="23"/>
  <c r="CX32" i="23"/>
  <c r="CX73" i="23"/>
  <c r="CX74" i="23"/>
  <c r="CX63" i="23"/>
  <c r="CX44" i="23"/>
  <c r="CX26" i="23"/>
  <c r="CX24" i="23"/>
  <c r="CX41" i="23"/>
  <c r="CX37" i="23"/>
  <c r="CX21" i="23"/>
  <c r="CX59" i="23"/>
  <c r="CX28" i="23"/>
  <c r="CX27" i="23"/>
  <c r="CX25" i="23"/>
  <c r="CX53" i="23"/>
  <c r="CX43" i="23"/>
  <c r="CX35" i="23"/>
  <c r="CX9" i="23"/>
  <c r="CY2" i="23"/>
  <c r="CX22" i="23"/>
  <c r="CX16" i="23"/>
  <c r="CX14" i="23"/>
  <c r="CX6" i="23"/>
  <c r="CX18" i="23"/>
  <c r="CX19" i="23"/>
  <c r="CX11" i="23"/>
  <c r="CX8" i="23"/>
  <c r="CX56" i="23"/>
  <c r="CX39" i="23"/>
  <c r="CX34" i="23"/>
  <c r="CX31" i="23"/>
  <c r="CX10" i="23"/>
  <c r="CX17" i="23"/>
  <c r="CX29" i="23"/>
  <c r="CX13" i="23"/>
  <c r="CX20" i="23"/>
  <c r="CX12" i="23"/>
  <c r="CX4" i="23"/>
  <c r="CX5" i="23"/>
  <c r="CX7" i="23"/>
  <c r="CX30" i="23"/>
  <c r="CX15" i="23"/>
  <c r="CX23" i="23"/>
  <c r="CY133" i="23" l="1"/>
  <c r="CY152" i="23"/>
  <c r="CY193" i="23"/>
  <c r="CY182" i="23"/>
  <c r="CY132" i="23"/>
  <c r="CY166" i="23"/>
  <c r="CY164" i="23"/>
  <c r="CY145" i="23"/>
  <c r="CY195" i="23"/>
  <c r="CY173" i="23"/>
  <c r="CY176" i="23"/>
  <c r="CY200" i="23"/>
  <c r="CY149" i="23"/>
  <c r="CY126" i="23"/>
  <c r="CY144" i="23"/>
  <c r="CY189" i="23"/>
  <c r="CY197" i="23"/>
  <c r="CY204" i="23"/>
  <c r="CY203" i="23"/>
  <c r="CY206" i="23"/>
  <c r="CY198" i="23"/>
  <c r="CY209" i="23"/>
  <c r="CY205" i="23"/>
  <c r="CY139" i="23"/>
  <c r="CY194" i="23"/>
  <c r="CY199" i="23"/>
  <c r="CY184" i="23"/>
  <c r="CY208" i="23"/>
  <c r="CY211" i="23"/>
  <c r="CY192" i="23"/>
  <c r="CY196" i="23"/>
  <c r="CY207" i="23"/>
  <c r="CY212" i="23"/>
  <c r="CY186" i="23"/>
  <c r="CY187" i="23"/>
  <c r="CY201" i="23"/>
  <c r="CY190" i="23"/>
  <c r="CY185" i="23"/>
  <c r="CY175" i="23"/>
  <c r="CY183" i="23"/>
  <c r="CY165" i="23"/>
  <c r="CY161" i="23"/>
  <c r="CY188" i="23"/>
  <c r="CY177" i="23"/>
  <c r="CY162" i="23"/>
  <c r="CY174" i="23"/>
  <c r="CY154" i="23"/>
  <c r="CY167" i="23"/>
  <c r="CY150" i="23"/>
  <c r="CY148" i="23"/>
  <c r="CY151" i="23"/>
  <c r="CY170" i="23"/>
  <c r="CY160" i="23"/>
  <c r="CY168" i="23"/>
  <c r="CY141" i="23"/>
  <c r="CY163" i="23"/>
  <c r="CY155" i="23"/>
  <c r="CY143" i="23"/>
  <c r="CY137" i="23"/>
  <c r="CY142" i="23"/>
  <c r="CY140" i="23"/>
  <c r="CY127" i="23"/>
  <c r="CY129" i="23"/>
  <c r="CY159" i="23"/>
  <c r="CY156" i="23"/>
  <c r="CY130" i="23"/>
  <c r="CY210" i="23"/>
  <c r="CY138" i="23"/>
  <c r="CY116" i="23"/>
  <c r="CY120" i="23"/>
  <c r="CY124" i="23"/>
  <c r="CY153" i="23"/>
  <c r="CY134" i="23"/>
  <c r="CY131" i="23"/>
  <c r="CY121" i="23"/>
  <c r="CY179" i="23"/>
  <c r="CY181" i="23"/>
  <c r="CY171" i="23"/>
  <c r="CY178" i="23"/>
  <c r="CY146" i="23"/>
  <c r="CY118" i="23"/>
  <c r="CY115" i="23"/>
  <c r="CY123" i="23"/>
  <c r="CY157" i="23"/>
  <c r="CY117" i="23"/>
  <c r="CY122" i="23"/>
  <c r="CY172" i="23"/>
  <c r="CY135" i="23"/>
  <c r="CY119" i="23"/>
  <c r="CY128" i="23"/>
  <c r="CY114" i="23"/>
  <c r="CY202" i="23"/>
  <c r="CY191" i="23"/>
  <c r="CY125" i="23"/>
  <c r="CY136" i="23"/>
  <c r="CY180" i="23"/>
  <c r="CY169" i="23"/>
  <c r="CY147" i="23"/>
  <c r="CY158" i="23"/>
  <c r="CY113" i="23"/>
  <c r="CY110" i="23"/>
  <c r="CY112" i="23"/>
  <c r="CY111" i="23"/>
  <c r="CY109" i="23"/>
  <c r="CY107" i="23"/>
  <c r="CY106" i="23"/>
  <c r="CY105" i="23"/>
  <c r="CY108" i="23"/>
  <c r="CY100" i="23"/>
  <c r="CY102" i="23"/>
  <c r="CY104" i="23"/>
  <c r="CY101" i="23"/>
  <c r="CY96" i="23"/>
  <c r="CY99" i="23"/>
  <c r="CY98" i="23"/>
  <c r="CY95" i="23"/>
  <c r="CY97" i="23"/>
  <c r="CY103" i="23"/>
  <c r="CY91" i="23"/>
  <c r="CY88" i="23"/>
  <c r="CY89" i="23"/>
  <c r="CY93" i="23"/>
  <c r="CY92" i="23"/>
  <c r="CY86" i="23"/>
  <c r="CY94" i="23"/>
  <c r="CY78" i="23"/>
  <c r="CY75" i="23"/>
  <c r="CY85" i="23"/>
  <c r="CY83" i="23"/>
  <c r="CY81" i="23"/>
  <c r="CY74" i="23"/>
  <c r="CY84" i="23"/>
  <c r="CY80" i="23"/>
  <c r="CY79" i="23"/>
  <c r="CY90" i="23"/>
  <c r="CY87" i="23"/>
  <c r="CY72" i="23"/>
  <c r="CY69" i="23"/>
  <c r="CY68" i="23"/>
  <c r="CY62" i="23"/>
  <c r="CY82" i="23"/>
  <c r="CY71" i="23"/>
  <c r="CY63" i="23"/>
  <c r="CY59" i="23"/>
  <c r="CY57" i="23"/>
  <c r="CY77" i="23"/>
  <c r="CY66" i="23"/>
  <c r="CY65" i="23"/>
  <c r="CY56" i="23"/>
  <c r="CY70" i="23"/>
  <c r="CY64" i="23"/>
  <c r="CY61" i="23"/>
  <c r="CY51" i="23"/>
  <c r="CY53" i="23"/>
  <c r="CY52" i="23"/>
  <c r="CY45" i="23"/>
  <c r="CY73" i="23"/>
  <c r="CY67" i="23"/>
  <c r="CY60" i="23"/>
  <c r="CY55" i="23"/>
  <c r="CY44" i="23"/>
  <c r="CY49" i="23"/>
  <c r="CY38" i="23"/>
  <c r="CY36" i="23"/>
  <c r="CY50" i="23"/>
  <c r="CY33" i="23"/>
  <c r="CY76" i="23"/>
  <c r="CY58" i="23"/>
  <c r="CY41" i="23"/>
  <c r="CY43" i="23"/>
  <c r="CY39" i="23"/>
  <c r="CY54" i="23"/>
  <c r="CY42" i="23"/>
  <c r="CY37" i="23"/>
  <c r="CY21" i="23"/>
  <c r="CY28" i="23"/>
  <c r="CY35" i="23"/>
  <c r="CY34" i="23"/>
  <c r="CY23" i="23"/>
  <c r="CY46" i="23"/>
  <c r="CY31" i="23"/>
  <c r="CY22" i="23"/>
  <c r="CY32" i="23"/>
  <c r="CY16" i="23"/>
  <c r="CY14" i="23"/>
  <c r="CY6" i="23"/>
  <c r="CY27" i="23"/>
  <c r="CY13" i="23"/>
  <c r="CY40" i="23"/>
  <c r="CY19" i="23"/>
  <c r="CY11" i="23"/>
  <c r="CY5" i="23"/>
  <c r="CY25" i="23"/>
  <c r="CY18" i="23"/>
  <c r="CY8" i="23"/>
  <c r="CZ2" i="23"/>
  <c r="CY30" i="23"/>
  <c r="CY15" i="23"/>
  <c r="CY17" i="23"/>
  <c r="CY7" i="23"/>
  <c r="CY29" i="23"/>
  <c r="CY24" i="23"/>
  <c r="CY20" i="23"/>
  <c r="CY12" i="23"/>
  <c r="CY4" i="23"/>
  <c r="CY9" i="23"/>
  <c r="CY26" i="23"/>
  <c r="CY47" i="23"/>
  <c r="CY10" i="23"/>
  <c r="CY48" i="23"/>
  <c r="CZ126" i="23" l="1"/>
  <c r="CZ173" i="23"/>
  <c r="CZ153" i="23"/>
  <c r="CZ189" i="23"/>
  <c r="CZ144" i="23"/>
  <c r="CZ200" i="23"/>
  <c r="CZ115" i="23"/>
  <c r="CZ185" i="23"/>
  <c r="CZ179" i="23"/>
  <c r="CZ164" i="23"/>
  <c r="CZ211" i="23"/>
  <c r="CZ206" i="23"/>
  <c r="CZ209" i="23"/>
  <c r="CZ208" i="23"/>
  <c r="CZ205" i="23"/>
  <c r="CZ192" i="23"/>
  <c r="CZ204" i="23"/>
  <c r="CZ212" i="23"/>
  <c r="CZ128" i="23"/>
  <c r="CZ210" i="23"/>
  <c r="CZ207" i="23"/>
  <c r="CZ166" i="23"/>
  <c r="CZ203" i="23"/>
  <c r="CZ196" i="23"/>
  <c r="CZ127" i="23"/>
  <c r="CZ182" i="23"/>
  <c r="CZ193" i="23"/>
  <c r="CZ194" i="23"/>
  <c r="CZ198" i="23"/>
  <c r="CZ181" i="23"/>
  <c r="CZ197" i="23"/>
  <c r="CZ199" i="23"/>
  <c r="CZ187" i="23"/>
  <c r="CZ121" i="23"/>
  <c r="CZ201" i="23"/>
  <c r="CZ186" i="23"/>
  <c r="CZ183" i="23"/>
  <c r="CZ171" i="23"/>
  <c r="CZ188" i="23"/>
  <c r="CZ170" i="23"/>
  <c r="CZ190" i="23"/>
  <c r="CZ175" i="23"/>
  <c r="CZ162" i="23"/>
  <c r="CZ161" i="23"/>
  <c r="CZ167" i="23"/>
  <c r="CZ159" i="23"/>
  <c r="CZ177" i="23"/>
  <c r="CZ163" i="23"/>
  <c r="CZ156" i="23"/>
  <c r="CZ195" i="23"/>
  <c r="CZ168" i="23"/>
  <c r="CZ172" i="23"/>
  <c r="CZ155" i="23"/>
  <c r="CZ152" i="23"/>
  <c r="CZ174" i="23"/>
  <c r="CZ160" i="23"/>
  <c r="CZ148" i="23"/>
  <c r="CZ142" i="23"/>
  <c r="CZ184" i="23"/>
  <c r="CZ141" i="23"/>
  <c r="CZ129" i="23"/>
  <c r="CZ140" i="23"/>
  <c r="CZ133" i="23"/>
  <c r="CZ178" i="23"/>
  <c r="CZ150" i="23"/>
  <c r="CZ176" i="23"/>
  <c r="CZ138" i="23"/>
  <c r="CZ116" i="23"/>
  <c r="CZ146" i="23"/>
  <c r="CZ119" i="23"/>
  <c r="CZ165" i="23"/>
  <c r="CZ143" i="23"/>
  <c r="CZ122" i="23"/>
  <c r="CZ124" i="23"/>
  <c r="CZ137" i="23"/>
  <c r="CZ130" i="23"/>
  <c r="CZ131" i="23"/>
  <c r="CZ120" i="23"/>
  <c r="CZ123" i="23"/>
  <c r="CZ145" i="23"/>
  <c r="CZ151" i="23"/>
  <c r="CZ118" i="23"/>
  <c r="CZ157" i="23"/>
  <c r="CZ132" i="23"/>
  <c r="CZ134" i="23"/>
  <c r="CZ139" i="23"/>
  <c r="CZ154" i="23"/>
  <c r="CZ117" i="23"/>
  <c r="CZ149" i="23"/>
  <c r="CZ135" i="23"/>
  <c r="CZ202" i="23"/>
  <c r="CZ180" i="23"/>
  <c r="CZ169" i="23"/>
  <c r="CZ114" i="23"/>
  <c r="CZ147" i="23"/>
  <c r="CZ125" i="23"/>
  <c r="CZ158" i="23"/>
  <c r="CZ136" i="23"/>
  <c r="CZ191" i="23"/>
  <c r="CZ110" i="23"/>
  <c r="CZ107" i="23"/>
  <c r="CZ113" i="23"/>
  <c r="CZ112" i="23"/>
  <c r="CZ108" i="23"/>
  <c r="CZ105" i="23"/>
  <c r="CZ103" i="23"/>
  <c r="CZ101" i="23"/>
  <c r="CZ111" i="23"/>
  <c r="CZ109" i="23"/>
  <c r="CZ106" i="23"/>
  <c r="CZ104" i="23"/>
  <c r="CZ100" i="23"/>
  <c r="CZ92" i="23"/>
  <c r="CZ99" i="23"/>
  <c r="CZ102" i="23"/>
  <c r="CZ89" i="23"/>
  <c r="CZ88" i="23"/>
  <c r="CZ98" i="23"/>
  <c r="CZ96" i="23"/>
  <c r="CZ86" i="23"/>
  <c r="CZ95" i="23"/>
  <c r="CZ94" i="23"/>
  <c r="CZ90" i="23"/>
  <c r="CZ85" i="23"/>
  <c r="CZ97" i="23"/>
  <c r="CZ87" i="23"/>
  <c r="CZ78" i="23"/>
  <c r="CZ91" i="23"/>
  <c r="CZ93" i="23"/>
  <c r="CZ72" i="23"/>
  <c r="CZ82" i="23"/>
  <c r="CZ80" i="23"/>
  <c r="CZ79" i="23"/>
  <c r="CZ71" i="23"/>
  <c r="CZ69" i="23"/>
  <c r="CZ75" i="23"/>
  <c r="CZ83" i="23"/>
  <c r="CZ81" i="23"/>
  <c r="CZ67" i="23"/>
  <c r="CZ77" i="23"/>
  <c r="CZ73" i="23"/>
  <c r="CZ66" i="23"/>
  <c r="CZ62" i="23"/>
  <c r="CZ63" i="23"/>
  <c r="CZ59" i="23"/>
  <c r="CZ57" i="23"/>
  <c r="CZ76" i="23"/>
  <c r="CZ54" i="23"/>
  <c r="CZ53" i="23"/>
  <c r="CZ64" i="23"/>
  <c r="CZ61" i="23"/>
  <c r="CZ51" i="23"/>
  <c r="CZ52" i="23"/>
  <c r="CZ84" i="23"/>
  <c r="CZ58" i="23"/>
  <c r="CZ42" i="23"/>
  <c r="CZ74" i="23"/>
  <c r="CZ56" i="23"/>
  <c r="CZ41" i="23"/>
  <c r="CZ55" i="23"/>
  <c r="CZ50" i="23"/>
  <c r="CZ46" i="23"/>
  <c r="CZ37" i="23"/>
  <c r="CZ35" i="23"/>
  <c r="CZ70" i="23"/>
  <c r="CZ44" i="23"/>
  <c r="CZ34" i="23"/>
  <c r="CZ65" i="23"/>
  <c r="CZ28" i="23"/>
  <c r="CZ23" i="23"/>
  <c r="CZ39" i="23"/>
  <c r="CZ30" i="23"/>
  <c r="CZ20" i="23"/>
  <c r="CZ36" i="23"/>
  <c r="CZ29" i="23"/>
  <c r="CZ19" i="23"/>
  <c r="CZ40" i="23"/>
  <c r="CZ22" i="23"/>
  <c r="CZ11" i="23"/>
  <c r="CZ49" i="23"/>
  <c r="CZ25" i="23"/>
  <c r="CZ18" i="23"/>
  <c r="CZ8" i="23"/>
  <c r="DA2" i="23"/>
  <c r="CZ10" i="23"/>
  <c r="CZ33" i="23"/>
  <c r="CZ27" i="23"/>
  <c r="CZ15" i="23"/>
  <c r="CZ13" i="23"/>
  <c r="CZ5" i="23"/>
  <c r="CZ48" i="23"/>
  <c r="CZ45" i="23"/>
  <c r="CZ24" i="23"/>
  <c r="CZ12" i="23"/>
  <c r="CZ4" i="23"/>
  <c r="CZ68" i="23"/>
  <c r="CZ60" i="23"/>
  <c r="CZ47" i="23"/>
  <c r="CZ26" i="23"/>
  <c r="CZ31" i="23"/>
  <c r="CZ16" i="23"/>
  <c r="CZ6" i="23"/>
  <c r="CZ7" i="23"/>
  <c r="CZ38" i="23"/>
  <c r="CZ32" i="23"/>
  <c r="CZ21" i="23"/>
  <c r="CZ9" i="23"/>
  <c r="CZ43" i="23"/>
  <c r="CZ14" i="23"/>
  <c r="CZ17" i="23"/>
  <c r="DA210" i="23" l="1"/>
  <c r="DA188" i="23"/>
  <c r="DA201" i="23"/>
  <c r="DA189" i="23"/>
  <c r="DA173" i="23"/>
  <c r="DA116" i="23"/>
  <c r="DA128" i="23"/>
  <c r="DA148" i="23"/>
  <c r="DA129" i="23"/>
  <c r="DA132" i="23"/>
  <c r="DA164" i="23"/>
  <c r="DA131" i="23"/>
  <c r="DA124" i="23"/>
  <c r="DA166" i="23"/>
  <c r="DA178" i="23"/>
  <c r="DA135" i="23"/>
  <c r="DA130" i="23"/>
  <c r="DA174" i="23"/>
  <c r="DA204" i="23"/>
  <c r="DA192" i="23"/>
  <c r="DA121" i="23"/>
  <c r="DA203" i="23"/>
  <c r="DA207" i="23"/>
  <c r="DA134" i="23"/>
  <c r="DA205" i="23"/>
  <c r="DA193" i="23"/>
  <c r="DA198" i="23"/>
  <c r="DA199" i="23"/>
  <c r="DA211" i="23"/>
  <c r="DA212" i="23"/>
  <c r="DA194" i="23"/>
  <c r="DA200" i="23"/>
  <c r="DA196" i="23"/>
  <c r="DA208" i="23"/>
  <c r="DA206" i="23"/>
  <c r="DA186" i="23"/>
  <c r="DA195" i="23"/>
  <c r="DA184" i="23"/>
  <c r="DA181" i="23"/>
  <c r="DA187" i="23"/>
  <c r="DA183" i="23"/>
  <c r="DA197" i="23"/>
  <c r="DA209" i="23"/>
  <c r="DA190" i="23"/>
  <c r="DA175" i="23"/>
  <c r="DA179" i="23"/>
  <c r="DA161" i="23"/>
  <c r="DA167" i="23"/>
  <c r="DA159" i="23"/>
  <c r="DA176" i="23"/>
  <c r="DA160" i="23"/>
  <c r="DA156" i="23"/>
  <c r="DA155" i="23"/>
  <c r="DA150" i="23"/>
  <c r="DA185" i="23"/>
  <c r="DA172" i="23"/>
  <c r="DA162" i="23"/>
  <c r="DA168" i="23"/>
  <c r="DA154" i="23"/>
  <c r="DA182" i="23"/>
  <c r="DA170" i="23"/>
  <c r="DA157" i="23"/>
  <c r="DA141" i="23"/>
  <c r="DA139" i="23"/>
  <c r="DA140" i="23"/>
  <c r="DA163" i="23"/>
  <c r="DA149" i="23"/>
  <c r="DA151" i="23"/>
  <c r="DA153" i="23"/>
  <c r="DA177" i="23"/>
  <c r="DA144" i="23"/>
  <c r="DA143" i="23"/>
  <c r="DA145" i="23"/>
  <c r="DA146" i="23"/>
  <c r="DA126" i="23"/>
  <c r="DA127" i="23"/>
  <c r="DA118" i="23"/>
  <c r="DA165" i="23"/>
  <c r="DA142" i="23"/>
  <c r="DA119" i="23"/>
  <c r="DA115" i="23"/>
  <c r="DA117" i="23"/>
  <c r="DA123" i="23"/>
  <c r="DA171" i="23"/>
  <c r="DA122" i="23"/>
  <c r="DA137" i="23"/>
  <c r="DA152" i="23"/>
  <c r="DA138" i="23"/>
  <c r="DA120" i="23"/>
  <c r="DA133" i="23"/>
  <c r="DA136" i="23"/>
  <c r="DA147" i="23"/>
  <c r="DA169" i="23"/>
  <c r="DA114" i="23"/>
  <c r="DA191" i="23"/>
  <c r="DA125" i="23"/>
  <c r="DA180" i="23"/>
  <c r="DA202" i="23"/>
  <c r="DA158" i="23"/>
  <c r="DA113" i="23"/>
  <c r="DA111" i="23"/>
  <c r="DA109" i="23"/>
  <c r="DA110" i="23"/>
  <c r="DA107" i="23"/>
  <c r="DA112" i="23"/>
  <c r="DA106" i="23"/>
  <c r="DA105" i="23"/>
  <c r="DA104" i="23"/>
  <c r="DA103" i="23"/>
  <c r="DA102" i="23"/>
  <c r="DA101" i="23"/>
  <c r="DA97" i="23"/>
  <c r="DA108" i="23"/>
  <c r="DA100" i="23"/>
  <c r="DA98" i="23"/>
  <c r="DA94" i="23"/>
  <c r="DA93" i="23"/>
  <c r="DA96" i="23"/>
  <c r="DA99" i="23"/>
  <c r="DA91" i="23"/>
  <c r="DA95" i="23"/>
  <c r="DA87" i="23"/>
  <c r="DA86" i="23"/>
  <c r="DA81" i="23"/>
  <c r="DA89" i="23"/>
  <c r="DA83" i="23"/>
  <c r="DA84" i="23"/>
  <c r="DA77" i="23"/>
  <c r="DA90" i="23"/>
  <c r="DA76" i="23"/>
  <c r="DA79" i="23"/>
  <c r="DA88" i="23"/>
  <c r="DA85" i="23"/>
  <c r="DA71" i="23"/>
  <c r="DA64" i="23"/>
  <c r="DA74" i="23"/>
  <c r="DA70" i="23"/>
  <c r="DA63" i="23"/>
  <c r="DA69" i="23"/>
  <c r="DA59" i="23"/>
  <c r="DA57" i="23"/>
  <c r="DA92" i="23"/>
  <c r="DA82" i="23"/>
  <c r="DA80" i="23"/>
  <c r="DA75" i="23"/>
  <c r="DA73" i="23"/>
  <c r="DA61" i="23"/>
  <c r="DA51" i="23"/>
  <c r="DA60" i="23"/>
  <c r="DA58" i="23"/>
  <c r="DA50" i="23"/>
  <c r="DA78" i="23"/>
  <c r="DA66" i="23"/>
  <c r="DA52" i="23"/>
  <c r="DA53" i="23"/>
  <c r="DA49" i="23"/>
  <c r="DA47" i="23"/>
  <c r="DA68" i="23"/>
  <c r="DA48" i="23"/>
  <c r="DA46" i="23"/>
  <c r="DA41" i="23"/>
  <c r="DA37" i="23"/>
  <c r="DA35" i="23"/>
  <c r="DA32" i="23"/>
  <c r="DA72" i="23"/>
  <c r="DA54" i="23"/>
  <c r="DA40" i="23"/>
  <c r="DA31" i="23"/>
  <c r="DA67" i="23"/>
  <c r="DA65" i="23"/>
  <c r="DA55" i="23"/>
  <c r="DA23" i="23"/>
  <c r="DA39" i="23"/>
  <c r="DA34" i="23"/>
  <c r="DA30" i="23"/>
  <c r="DA20" i="23"/>
  <c r="DA43" i="23"/>
  <c r="DA33" i="23"/>
  <c r="DA27" i="23"/>
  <c r="DA25" i="23"/>
  <c r="DA38" i="23"/>
  <c r="DA26" i="23"/>
  <c r="DA24" i="23"/>
  <c r="DA28" i="23"/>
  <c r="DA19" i="23"/>
  <c r="DA18" i="23"/>
  <c r="DA8" i="23"/>
  <c r="DB2" i="23"/>
  <c r="DA21" i="23"/>
  <c r="DA17" i="23"/>
  <c r="DA7" i="23"/>
  <c r="DA44" i="23"/>
  <c r="DA15" i="23"/>
  <c r="DA13" i="23"/>
  <c r="DA5" i="23"/>
  <c r="DA45" i="23"/>
  <c r="DA10" i="23"/>
  <c r="DA36" i="23"/>
  <c r="DA29" i="23"/>
  <c r="DA9" i="23"/>
  <c r="DA62" i="23"/>
  <c r="DA16" i="23"/>
  <c r="DA14" i="23"/>
  <c r="DA12" i="23"/>
  <c r="DA11" i="23"/>
  <c r="DA4" i="23"/>
  <c r="DA42" i="23"/>
  <c r="DA56" i="23"/>
  <c r="DA22" i="23"/>
  <c r="DA6" i="23"/>
  <c r="DB134" i="23" l="1"/>
  <c r="DB131" i="23"/>
  <c r="DB115" i="23"/>
  <c r="DB140" i="23"/>
  <c r="DB138" i="23"/>
  <c r="DB127" i="23"/>
  <c r="DB116" i="23"/>
  <c r="DB146" i="23"/>
  <c r="DB164" i="23"/>
  <c r="DB197" i="23"/>
  <c r="DB144" i="23"/>
  <c r="DB203" i="23"/>
  <c r="DB208" i="23"/>
  <c r="DB135" i="23"/>
  <c r="DB168" i="23"/>
  <c r="DB204" i="23"/>
  <c r="DB206" i="23"/>
  <c r="DB211" i="23"/>
  <c r="DB170" i="23"/>
  <c r="DB207" i="23"/>
  <c r="DB212" i="23"/>
  <c r="DB195" i="23"/>
  <c r="DB192" i="23"/>
  <c r="DB198" i="23"/>
  <c r="DB193" i="23"/>
  <c r="DB196" i="23"/>
  <c r="DB183" i="23"/>
  <c r="DB205" i="23"/>
  <c r="DB209" i="23"/>
  <c r="DB194" i="23"/>
  <c r="DB199" i="23"/>
  <c r="DB200" i="23"/>
  <c r="DB124" i="23"/>
  <c r="DB186" i="23"/>
  <c r="DB201" i="23"/>
  <c r="DB210" i="23"/>
  <c r="DB188" i="23"/>
  <c r="DB184" i="23"/>
  <c r="DB181" i="23"/>
  <c r="DB185" i="23"/>
  <c r="DB187" i="23"/>
  <c r="DB176" i="23"/>
  <c r="DB182" i="23"/>
  <c r="DB173" i="23"/>
  <c r="DB177" i="23"/>
  <c r="DB161" i="23"/>
  <c r="DB166" i="23"/>
  <c r="DB167" i="23"/>
  <c r="DB156" i="23"/>
  <c r="DB171" i="23"/>
  <c r="DB172" i="23"/>
  <c r="DB160" i="23"/>
  <c r="DB154" i="23"/>
  <c r="DB165" i="23"/>
  <c r="DB150" i="23"/>
  <c r="DB148" i="23"/>
  <c r="DB162" i="23"/>
  <c r="DB141" i="23"/>
  <c r="DB139" i="23"/>
  <c r="DB190" i="23"/>
  <c r="DB157" i="23"/>
  <c r="DB142" i="23"/>
  <c r="DB159" i="23"/>
  <c r="DB152" i="23"/>
  <c r="DB153" i="23"/>
  <c r="DB145" i="23"/>
  <c r="DB179" i="23"/>
  <c r="DB133" i="23"/>
  <c r="DB151" i="23"/>
  <c r="DB118" i="23"/>
  <c r="DB123" i="23"/>
  <c r="DB155" i="23"/>
  <c r="DB126" i="23"/>
  <c r="DB121" i="23"/>
  <c r="DB178" i="23"/>
  <c r="DB117" i="23"/>
  <c r="DB189" i="23"/>
  <c r="DB128" i="23"/>
  <c r="DB175" i="23"/>
  <c r="DB149" i="23"/>
  <c r="DB130" i="23"/>
  <c r="DB143" i="23"/>
  <c r="DB132" i="23"/>
  <c r="DB129" i="23"/>
  <c r="DB122" i="23"/>
  <c r="DB163" i="23"/>
  <c r="DB119" i="23"/>
  <c r="DB120" i="23"/>
  <c r="DB174" i="23"/>
  <c r="DB137" i="23"/>
  <c r="DB158" i="23"/>
  <c r="DB202" i="23"/>
  <c r="DB191" i="23"/>
  <c r="DB180" i="23"/>
  <c r="DB136" i="23"/>
  <c r="DB114" i="23"/>
  <c r="DB125" i="23"/>
  <c r="DB147" i="23"/>
  <c r="DB169" i="23"/>
  <c r="DB113" i="23"/>
  <c r="DB112" i="23"/>
  <c r="DB109" i="23"/>
  <c r="DB108" i="23"/>
  <c r="DB111" i="23"/>
  <c r="DB106" i="23"/>
  <c r="DB105" i="23"/>
  <c r="DB110" i="23"/>
  <c r="DB104" i="23"/>
  <c r="DB102" i="23"/>
  <c r="DB107" i="23"/>
  <c r="DB100" i="23"/>
  <c r="DB99" i="23"/>
  <c r="DB101" i="23"/>
  <c r="DB98" i="23"/>
  <c r="DB95" i="23"/>
  <c r="DB94" i="23"/>
  <c r="DB103" i="23"/>
  <c r="DB91" i="23"/>
  <c r="DB90" i="23"/>
  <c r="DB96" i="23"/>
  <c r="DB97" i="23"/>
  <c r="DB93" i="23"/>
  <c r="DB92" i="23"/>
  <c r="DB87" i="23"/>
  <c r="DB84" i="23"/>
  <c r="DB77" i="23"/>
  <c r="DB88" i="23"/>
  <c r="DB74" i="23"/>
  <c r="DB73" i="23"/>
  <c r="DB89" i="23"/>
  <c r="DB85" i="23"/>
  <c r="DB83" i="23"/>
  <c r="DB81" i="23"/>
  <c r="DB71" i="23"/>
  <c r="DB78" i="23"/>
  <c r="DB76" i="23"/>
  <c r="DB82" i="23"/>
  <c r="DB68" i="23"/>
  <c r="DB79" i="23"/>
  <c r="DB63" i="23"/>
  <c r="DB80" i="23"/>
  <c r="DB75" i="23"/>
  <c r="DB61" i="23"/>
  <c r="DB86" i="23"/>
  <c r="DB70" i="23"/>
  <c r="DB65" i="23"/>
  <c r="DB64" i="23"/>
  <c r="DB56" i="23"/>
  <c r="DB72" i="23"/>
  <c r="DB67" i="23"/>
  <c r="DB55" i="23"/>
  <c r="DB53" i="23"/>
  <c r="DB58" i="23"/>
  <c r="DB49" i="23"/>
  <c r="DB47" i="23"/>
  <c r="DB54" i="23"/>
  <c r="DB44" i="23"/>
  <c r="DB62" i="23"/>
  <c r="DB59" i="23"/>
  <c r="DB50" i="23"/>
  <c r="DB43" i="23"/>
  <c r="DB57" i="23"/>
  <c r="DB52" i="23"/>
  <c r="DB41" i="23"/>
  <c r="DB37" i="23"/>
  <c r="DB46" i="23"/>
  <c r="DB32" i="23"/>
  <c r="DB69" i="23"/>
  <c r="DB48" i="23"/>
  <c r="DB42" i="23"/>
  <c r="DB39" i="23"/>
  <c r="DB60" i="23"/>
  <c r="DB51" i="23"/>
  <c r="DB45" i="23"/>
  <c r="DB38" i="23"/>
  <c r="DB36" i="23"/>
  <c r="DB66" i="23"/>
  <c r="DB34" i="23"/>
  <c r="DB30" i="23"/>
  <c r="DB20" i="23"/>
  <c r="DB35" i="23"/>
  <c r="DB33" i="23"/>
  <c r="DB27" i="23"/>
  <c r="DB25" i="23"/>
  <c r="DB40" i="23"/>
  <c r="DB22" i="23"/>
  <c r="DB21" i="23"/>
  <c r="DB15" i="23"/>
  <c r="DB13" i="23"/>
  <c r="DB5" i="23"/>
  <c r="DB31" i="23"/>
  <c r="DB10" i="23"/>
  <c r="DB12" i="23"/>
  <c r="DB4" i="23"/>
  <c r="DB17" i="23"/>
  <c r="DB7" i="23"/>
  <c r="DB26" i="23"/>
  <c r="DB16" i="23"/>
  <c r="DB14" i="23"/>
  <c r="DB6" i="23"/>
  <c r="DB23" i="23"/>
  <c r="DB28" i="23"/>
  <c r="DB18" i="23"/>
  <c r="DB29" i="23"/>
  <c r="DB9" i="23"/>
  <c r="DB11" i="23"/>
  <c r="DB19" i="23"/>
  <c r="DB8" i="23"/>
  <c r="DC2" i="23"/>
  <c r="DB24" i="23"/>
  <c r="DC210" i="23" l="1"/>
  <c r="DC141" i="23"/>
  <c r="DC155" i="23"/>
  <c r="DC176" i="23"/>
  <c r="DC128" i="23"/>
  <c r="DC127" i="23"/>
  <c r="DC152" i="23"/>
  <c r="DC197" i="23"/>
  <c r="DC116" i="23"/>
  <c r="DC146" i="23"/>
  <c r="DC211" i="23"/>
  <c r="DC143" i="23"/>
  <c r="DC117" i="23"/>
  <c r="DC171" i="23"/>
  <c r="DC144" i="23"/>
  <c r="DC166" i="23"/>
  <c r="DC149" i="23"/>
  <c r="DC168" i="23"/>
  <c r="DC157" i="23"/>
  <c r="DC151" i="23"/>
  <c r="DC193" i="23"/>
  <c r="DC139" i="23"/>
  <c r="DC129" i="23"/>
  <c r="DC198" i="23"/>
  <c r="DC194" i="23"/>
  <c r="DC183" i="23"/>
  <c r="DC199" i="23"/>
  <c r="DC205" i="23"/>
  <c r="DC208" i="23"/>
  <c r="DC212" i="23"/>
  <c r="DC206" i="23"/>
  <c r="DC204" i="23"/>
  <c r="DC201" i="23"/>
  <c r="DC209" i="23"/>
  <c r="DC195" i="23"/>
  <c r="DC181" i="23"/>
  <c r="DC184" i="23"/>
  <c r="DC192" i="23"/>
  <c r="DC203" i="23"/>
  <c r="DC185" i="23"/>
  <c r="DC196" i="23"/>
  <c r="DC207" i="23"/>
  <c r="DC186" i="23"/>
  <c r="DC187" i="23"/>
  <c r="DC174" i="23"/>
  <c r="DC188" i="23"/>
  <c r="DC172" i="23"/>
  <c r="DC170" i="23"/>
  <c r="DC200" i="23"/>
  <c r="DC175" i="23"/>
  <c r="DC177" i="23"/>
  <c r="DC162" i="23"/>
  <c r="DC167" i="23"/>
  <c r="DC150" i="23"/>
  <c r="DC182" i="23"/>
  <c r="DC190" i="23"/>
  <c r="DC173" i="23"/>
  <c r="DC179" i="23"/>
  <c r="DC161" i="23"/>
  <c r="DC137" i="23"/>
  <c r="DC138" i="23"/>
  <c r="DC126" i="23"/>
  <c r="DC140" i="23"/>
  <c r="DC135" i="23"/>
  <c r="DC134" i="23"/>
  <c r="DC163" i="23"/>
  <c r="DC153" i="23"/>
  <c r="DC132" i="23"/>
  <c r="DC133" i="23"/>
  <c r="DC131" i="23"/>
  <c r="DC154" i="23"/>
  <c r="DC142" i="23"/>
  <c r="DC115" i="23"/>
  <c r="DC159" i="23"/>
  <c r="DC160" i="23"/>
  <c r="DC148" i="23"/>
  <c r="DC119" i="23"/>
  <c r="DC122" i="23"/>
  <c r="DC120" i="23"/>
  <c r="DC123" i="23"/>
  <c r="DC178" i="23"/>
  <c r="DC156" i="23"/>
  <c r="DC164" i="23"/>
  <c r="DC124" i="23"/>
  <c r="DC145" i="23"/>
  <c r="DC121" i="23"/>
  <c r="DC189" i="23"/>
  <c r="DC165" i="23"/>
  <c r="DC130" i="23"/>
  <c r="DC118" i="23"/>
  <c r="DC191" i="23"/>
  <c r="DC169" i="23"/>
  <c r="DC158" i="23"/>
  <c r="DC202" i="23"/>
  <c r="DC125" i="23"/>
  <c r="DC114" i="23"/>
  <c r="DC147" i="23"/>
  <c r="DC180" i="23"/>
  <c r="DC136" i="23"/>
  <c r="DC113" i="23"/>
  <c r="DC111" i="23"/>
  <c r="DC112" i="23"/>
  <c r="DC110" i="23"/>
  <c r="DC108" i="23"/>
  <c r="DC107" i="23"/>
  <c r="DC106" i="23"/>
  <c r="DC104" i="23"/>
  <c r="DC101" i="23"/>
  <c r="DC109" i="23"/>
  <c r="DC103" i="23"/>
  <c r="DC99" i="23"/>
  <c r="DC102" i="23"/>
  <c r="DC100" i="23"/>
  <c r="DC98" i="23"/>
  <c r="DC95" i="23"/>
  <c r="DC97" i="23"/>
  <c r="DC92" i="23"/>
  <c r="DC96" i="23"/>
  <c r="DC89" i="23"/>
  <c r="DC85" i="23"/>
  <c r="DC84" i="23"/>
  <c r="DC87" i="23"/>
  <c r="DC105" i="23"/>
  <c r="DC90" i="23"/>
  <c r="DC88" i="23"/>
  <c r="DC82" i="23"/>
  <c r="DC80" i="23"/>
  <c r="DC91" i="23"/>
  <c r="DC77" i="23"/>
  <c r="DC94" i="23"/>
  <c r="DC93" i="23"/>
  <c r="DC83" i="23"/>
  <c r="DC81" i="23"/>
  <c r="DC79" i="23"/>
  <c r="DC71" i="23"/>
  <c r="DC78" i="23"/>
  <c r="DC70" i="23"/>
  <c r="DC76" i="23"/>
  <c r="DC72" i="23"/>
  <c r="DC69" i="23"/>
  <c r="DC66" i="23"/>
  <c r="DC75" i="23"/>
  <c r="DC65" i="23"/>
  <c r="DC61" i="23"/>
  <c r="DC86" i="23"/>
  <c r="DC73" i="23"/>
  <c r="DC64" i="23"/>
  <c r="DC56" i="23"/>
  <c r="DC53" i="23"/>
  <c r="DC74" i="23"/>
  <c r="DC68" i="23"/>
  <c r="DC62" i="23"/>
  <c r="DC52" i="23"/>
  <c r="DC58" i="23"/>
  <c r="DC49" i="23"/>
  <c r="DC47" i="23"/>
  <c r="DC54" i="23"/>
  <c r="DC60" i="23"/>
  <c r="DC57" i="23"/>
  <c r="DC55" i="23"/>
  <c r="DC63" i="23"/>
  <c r="DC40" i="23"/>
  <c r="DC46" i="23"/>
  <c r="DC48" i="23"/>
  <c r="DC42" i="23"/>
  <c r="DC39" i="23"/>
  <c r="DC43" i="23"/>
  <c r="DC34" i="23"/>
  <c r="DC33" i="23"/>
  <c r="DC59" i="23"/>
  <c r="DC51" i="23"/>
  <c r="DC41" i="23"/>
  <c r="DC35" i="23"/>
  <c r="DC27" i="23"/>
  <c r="DC25" i="23"/>
  <c r="DC22" i="23"/>
  <c r="DC45" i="23"/>
  <c r="DC32" i="23"/>
  <c r="DC31" i="23"/>
  <c r="DC29" i="23"/>
  <c r="DC19" i="23"/>
  <c r="DC28" i="23"/>
  <c r="DC50" i="23"/>
  <c r="DC44" i="23"/>
  <c r="DC10" i="23"/>
  <c r="DC9" i="23"/>
  <c r="DC17" i="23"/>
  <c r="DC7" i="23"/>
  <c r="DC24" i="23"/>
  <c r="DC30" i="23"/>
  <c r="DC21" i="23"/>
  <c r="DC12" i="23"/>
  <c r="DC4" i="23"/>
  <c r="DC37" i="23"/>
  <c r="DC23" i="23"/>
  <c r="DC20" i="23"/>
  <c r="DC11" i="23"/>
  <c r="DC38" i="23"/>
  <c r="DC18" i="23"/>
  <c r="DC36" i="23"/>
  <c r="DC16" i="23"/>
  <c r="DC5" i="23"/>
  <c r="DC14" i="23"/>
  <c r="DC13" i="23"/>
  <c r="DC26" i="23"/>
  <c r="DC67" i="23"/>
  <c r="DC15" i="23"/>
  <c r="DC8" i="23"/>
  <c r="DD2" i="23"/>
  <c r="DC6" i="23"/>
  <c r="DD123" i="23" l="1"/>
  <c r="DD127" i="23"/>
  <c r="DD115" i="23"/>
  <c r="DD149" i="23"/>
  <c r="DD182" i="23"/>
  <c r="DD201" i="23"/>
  <c r="DD212" i="23"/>
  <c r="DD211" i="23"/>
  <c r="DD128" i="23"/>
  <c r="DD200" i="23"/>
  <c r="DD176" i="23"/>
  <c r="DD116" i="23"/>
  <c r="DD170" i="23"/>
  <c r="DD134" i="23"/>
  <c r="DD207" i="23"/>
  <c r="DD164" i="23"/>
  <c r="DD198" i="23"/>
  <c r="DD194" i="23"/>
  <c r="DD189" i="23"/>
  <c r="DD199" i="23"/>
  <c r="DD209" i="23"/>
  <c r="DD174" i="23"/>
  <c r="DD121" i="23"/>
  <c r="DD195" i="23"/>
  <c r="DD206" i="23"/>
  <c r="DD203" i="23"/>
  <c r="DD204" i="23"/>
  <c r="DD205" i="23"/>
  <c r="DD192" i="23"/>
  <c r="DD193" i="23"/>
  <c r="DD210" i="23"/>
  <c r="DD208" i="23"/>
  <c r="DD157" i="23"/>
  <c r="DD197" i="23"/>
  <c r="DD181" i="23"/>
  <c r="DD186" i="23"/>
  <c r="DD187" i="23"/>
  <c r="DD184" i="23"/>
  <c r="DD196" i="23"/>
  <c r="DD188" i="23"/>
  <c r="DD178" i="23"/>
  <c r="DD167" i="23"/>
  <c r="DD168" i="23"/>
  <c r="DD154" i="23"/>
  <c r="DD175" i="23"/>
  <c r="DD160" i="23"/>
  <c r="DD172" i="23"/>
  <c r="DD177" i="23"/>
  <c r="DD173" i="23"/>
  <c r="DD159" i="23"/>
  <c r="DD137" i="23"/>
  <c r="DD139" i="23"/>
  <c r="DD179" i="23"/>
  <c r="DD163" i="23"/>
  <c r="DD150" i="23"/>
  <c r="DD141" i="23"/>
  <c r="DD138" i="23"/>
  <c r="DD151" i="23"/>
  <c r="DD143" i="23"/>
  <c r="DD135" i="23"/>
  <c r="DD153" i="23"/>
  <c r="DD144" i="23"/>
  <c r="DD185" i="23"/>
  <c r="DD166" i="23"/>
  <c r="DD156" i="23"/>
  <c r="DD148" i="23"/>
  <c r="DD146" i="23"/>
  <c r="DD152" i="23"/>
  <c r="DD140" i="23"/>
  <c r="DD118" i="23"/>
  <c r="DD124" i="23"/>
  <c r="DD131" i="23"/>
  <c r="DD162" i="23"/>
  <c r="DD120" i="23"/>
  <c r="DD117" i="23"/>
  <c r="DD171" i="23"/>
  <c r="DD165" i="23"/>
  <c r="DD129" i="23"/>
  <c r="DD119" i="23"/>
  <c r="DD190" i="23"/>
  <c r="DD130" i="23"/>
  <c r="DD122" i="23"/>
  <c r="DD183" i="23"/>
  <c r="DD126" i="23"/>
  <c r="DD155" i="23"/>
  <c r="DD142" i="23"/>
  <c r="DD145" i="23"/>
  <c r="DD132" i="23"/>
  <c r="DD161" i="23"/>
  <c r="DD133" i="23"/>
  <c r="DD202" i="23"/>
  <c r="DD180" i="23"/>
  <c r="DD114" i="23"/>
  <c r="DD136" i="23"/>
  <c r="DD158" i="23"/>
  <c r="DD169" i="23"/>
  <c r="DD191" i="23"/>
  <c r="DD125" i="23"/>
  <c r="DD147" i="23"/>
  <c r="DD113" i="23"/>
  <c r="DD112" i="23"/>
  <c r="DD111" i="23"/>
  <c r="DD110" i="23"/>
  <c r="DD109" i="23"/>
  <c r="DD107" i="23"/>
  <c r="DD106" i="23"/>
  <c r="DD103" i="23"/>
  <c r="DD100" i="23"/>
  <c r="DD97" i="23"/>
  <c r="DD105" i="23"/>
  <c r="DD102" i="23"/>
  <c r="DD96" i="23"/>
  <c r="DD108" i="23"/>
  <c r="DD98" i="23"/>
  <c r="DD95" i="23"/>
  <c r="DD99" i="23"/>
  <c r="DD90" i="23"/>
  <c r="DD91" i="23"/>
  <c r="DD83" i="23"/>
  <c r="DD93" i="23"/>
  <c r="DD85" i="23"/>
  <c r="DD84" i="23"/>
  <c r="DD101" i="23"/>
  <c r="DD94" i="23"/>
  <c r="DD88" i="23"/>
  <c r="DD81" i="23"/>
  <c r="DD79" i="23"/>
  <c r="DD92" i="23"/>
  <c r="DD86" i="23"/>
  <c r="DD82" i="23"/>
  <c r="DD80" i="23"/>
  <c r="DD76" i="23"/>
  <c r="DD87" i="23"/>
  <c r="DD75" i="23"/>
  <c r="DD71" i="23"/>
  <c r="DD78" i="23"/>
  <c r="DD72" i="23"/>
  <c r="DD69" i="23"/>
  <c r="DD73" i="23"/>
  <c r="DD63" i="23"/>
  <c r="DD64" i="23"/>
  <c r="DD56" i="23"/>
  <c r="DD70" i="23"/>
  <c r="DD65" i="23"/>
  <c r="DD104" i="23"/>
  <c r="DD66" i="23"/>
  <c r="DD60" i="23"/>
  <c r="DD58" i="23"/>
  <c r="DD50" i="23"/>
  <c r="DD59" i="23"/>
  <c r="DD57" i="23"/>
  <c r="DD54" i="23"/>
  <c r="DD55" i="23"/>
  <c r="DD67" i="23"/>
  <c r="DD48" i="23"/>
  <c r="DD46" i="23"/>
  <c r="DD51" i="23"/>
  <c r="DD45" i="23"/>
  <c r="DD42" i="23"/>
  <c r="DD39" i="23"/>
  <c r="DD43" i="23"/>
  <c r="DD34" i="23"/>
  <c r="DD74" i="23"/>
  <c r="DD53" i="23"/>
  <c r="DD44" i="23"/>
  <c r="DD31" i="23"/>
  <c r="DD68" i="23"/>
  <c r="DD61" i="23"/>
  <c r="DD47" i="23"/>
  <c r="DD52" i="23"/>
  <c r="DD33" i="23"/>
  <c r="DD22" i="23"/>
  <c r="DD77" i="23"/>
  <c r="DD40" i="23"/>
  <c r="DD32" i="23"/>
  <c r="DD29" i="23"/>
  <c r="DD19" i="23"/>
  <c r="DD36" i="23"/>
  <c r="DD26" i="23"/>
  <c r="DD24" i="23"/>
  <c r="DD23" i="23"/>
  <c r="DD49" i="23"/>
  <c r="DD25" i="23"/>
  <c r="DD17" i="23"/>
  <c r="DD7" i="23"/>
  <c r="DD41" i="23"/>
  <c r="DD30" i="23"/>
  <c r="DD27" i="23"/>
  <c r="DD21" i="23"/>
  <c r="DD12" i="23"/>
  <c r="DD4" i="23"/>
  <c r="DD89" i="23"/>
  <c r="DD16" i="23"/>
  <c r="DD14" i="23"/>
  <c r="DD9" i="23"/>
  <c r="DD6" i="23"/>
  <c r="DD62" i="23"/>
  <c r="DD38" i="23"/>
  <c r="DD18" i="23"/>
  <c r="DD8" i="23"/>
  <c r="DE2" i="23"/>
  <c r="DD28" i="23"/>
  <c r="DD15" i="23"/>
  <c r="DD13" i="23"/>
  <c r="DD35" i="23"/>
  <c r="DD20" i="23"/>
  <c r="DD10" i="23"/>
  <c r="DD37" i="23"/>
  <c r="DD5" i="23"/>
  <c r="DD11" i="23"/>
  <c r="DE143" i="23" l="1"/>
  <c r="DE155" i="23"/>
  <c r="DE197" i="23"/>
  <c r="DE131" i="23"/>
  <c r="DE151" i="23"/>
  <c r="DE152" i="23"/>
  <c r="DE123" i="23"/>
  <c r="DE115" i="23"/>
  <c r="DE179" i="23"/>
  <c r="DE139" i="23"/>
  <c r="DE193" i="23"/>
  <c r="DE127" i="23"/>
  <c r="DE145" i="23"/>
  <c r="DE117" i="23"/>
  <c r="DE194" i="23"/>
  <c r="DE192" i="23"/>
  <c r="DE211" i="23"/>
  <c r="DE200" i="23"/>
  <c r="DE208" i="23"/>
  <c r="DE149" i="23"/>
  <c r="DE209" i="23"/>
  <c r="DE212" i="23"/>
  <c r="DE203" i="23"/>
  <c r="DE206" i="23"/>
  <c r="DE159" i="23"/>
  <c r="DE195" i="23"/>
  <c r="DE198" i="23"/>
  <c r="DE207" i="23"/>
  <c r="DE196" i="23"/>
  <c r="DE210" i="23"/>
  <c r="DE199" i="23"/>
  <c r="DE204" i="23"/>
  <c r="DE186" i="23"/>
  <c r="DE164" i="23"/>
  <c r="DE205" i="23"/>
  <c r="DE181" i="23"/>
  <c r="DE184" i="23"/>
  <c r="DE171" i="23"/>
  <c r="DE183" i="23"/>
  <c r="DE190" i="23"/>
  <c r="DE173" i="23"/>
  <c r="DE170" i="23"/>
  <c r="DE163" i="23"/>
  <c r="DE166" i="23"/>
  <c r="DE172" i="23"/>
  <c r="DE161" i="23"/>
  <c r="DE182" i="23"/>
  <c r="DE176" i="23"/>
  <c r="DE165" i="23"/>
  <c r="DE154" i="23"/>
  <c r="DE189" i="23"/>
  <c r="DE167" i="23"/>
  <c r="DE141" i="23"/>
  <c r="DE142" i="23"/>
  <c r="DE187" i="23"/>
  <c r="DE150" i="23"/>
  <c r="DE201" i="23"/>
  <c r="DE156" i="23"/>
  <c r="DE157" i="23"/>
  <c r="DE188" i="23"/>
  <c r="DE160" i="23"/>
  <c r="DE138" i="23"/>
  <c r="DE134" i="23"/>
  <c r="DE132" i="23"/>
  <c r="DE162" i="23"/>
  <c r="DE148" i="23"/>
  <c r="DE129" i="23"/>
  <c r="DE153" i="23"/>
  <c r="DE128" i="23"/>
  <c r="DE174" i="23"/>
  <c r="DE168" i="23"/>
  <c r="DE118" i="23"/>
  <c r="DE121" i="23"/>
  <c r="DE122" i="23"/>
  <c r="DE177" i="23"/>
  <c r="DE137" i="23"/>
  <c r="DE146" i="23"/>
  <c r="DE126" i="23"/>
  <c r="DE175" i="23"/>
  <c r="DE130" i="23"/>
  <c r="DE119" i="23"/>
  <c r="DE178" i="23"/>
  <c r="DE140" i="23"/>
  <c r="DE135" i="23"/>
  <c r="DE133" i="23"/>
  <c r="DE124" i="23"/>
  <c r="DE120" i="23"/>
  <c r="DE144" i="23"/>
  <c r="DE185" i="23"/>
  <c r="DE116" i="23"/>
  <c r="DE202" i="23"/>
  <c r="DE147" i="23"/>
  <c r="DE180" i="23"/>
  <c r="DE169" i="23"/>
  <c r="DE158" i="23"/>
  <c r="DE136" i="23"/>
  <c r="DE191" i="23"/>
  <c r="DE114" i="23"/>
  <c r="DE125" i="23"/>
  <c r="DE112" i="23"/>
  <c r="DE111" i="23"/>
  <c r="DE108" i="23"/>
  <c r="DE110" i="23"/>
  <c r="DE107" i="23"/>
  <c r="DE113" i="23"/>
  <c r="DE105" i="23"/>
  <c r="DE109" i="23"/>
  <c r="DE104" i="23"/>
  <c r="DE102" i="23"/>
  <c r="DE103" i="23"/>
  <c r="DE101" i="23"/>
  <c r="DE99" i="23"/>
  <c r="DE98" i="23"/>
  <c r="DE100" i="23"/>
  <c r="DE94" i="23"/>
  <c r="DE93" i="23"/>
  <c r="DE106" i="23"/>
  <c r="DE95" i="23"/>
  <c r="DE96" i="23"/>
  <c r="DE90" i="23"/>
  <c r="DE89" i="23"/>
  <c r="DE91" i="23"/>
  <c r="DE87" i="23"/>
  <c r="DE88" i="23"/>
  <c r="DE86" i="23"/>
  <c r="DE97" i="23"/>
  <c r="DE92" i="23"/>
  <c r="DE84" i="23"/>
  <c r="DE81" i="23"/>
  <c r="DE79" i="23"/>
  <c r="DE83" i="23"/>
  <c r="DE82" i="23"/>
  <c r="DE80" i="23"/>
  <c r="DE76" i="23"/>
  <c r="DE85" i="23"/>
  <c r="DE73" i="23"/>
  <c r="DE72" i="23"/>
  <c r="DE78" i="23"/>
  <c r="DE69" i="23"/>
  <c r="DE74" i="23"/>
  <c r="DE70" i="23"/>
  <c r="DE68" i="23"/>
  <c r="DE67" i="23"/>
  <c r="DE75" i="23"/>
  <c r="DE65" i="23"/>
  <c r="DE71" i="23"/>
  <c r="DE66" i="23"/>
  <c r="DE60" i="23"/>
  <c r="DE58" i="23"/>
  <c r="DE55" i="23"/>
  <c r="DE54" i="23"/>
  <c r="DE57" i="23"/>
  <c r="DE48" i="23"/>
  <c r="DE46" i="23"/>
  <c r="DE43" i="23"/>
  <c r="DE52" i="23"/>
  <c r="DE42" i="23"/>
  <c r="DE53" i="23"/>
  <c r="DE44" i="23"/>
  <c r="DE31" i="23"/>
  <c r="DE59" i="23"/>
  <c r="DE40" i="23"/>
  <c r="DE38" i="23"/>
  <c r="DE36" i="23"/>
  <c r="DE62" i="23"/>
  <c r="DE56" i="23"/>
  <c r="DE49" i="23"/>
  <c r="DE41" i="23"/>
  <c r="DE37" i="23"/>
  <c r="DE35" i="23"/>
  <c r="DE64" i="23"/>
  <c r="DE77" i="23"/>
  <c r="DE63" i="23"/>
  <c r="DE61" i="23"/>
  <c r="DE39" i="23"/>
  <c r="DE32" i="23"/>
  <c r="DE29" i="23"/>
  <c r="DE19" i="23"/>
  <c r="DE45" i="23"/>
  <c r="DE26" i="23"/>
  <c r="DE24" i="23"/>
  <c r="DE50" i="23"/>
  <c r="DE21" i="23"/>
  <c r="DE47" i="23"/>
  <c r="DE30" i="23"/>
  <c r="DE20" i="23"/>
  <c r="DE51" i="23"/>
  <c r="DE27" i="23"/>
  <c r="DE12" i="23"/>
  <c r="DE4" i="23"/>
  <c r="DE33" i="23"/>
  <c r="DE9" i="23"/>
  <c r="DE11" i="23"/>
  <c r="DE16" i="23"/>
  <c r="DE14" i="23"/>
  <c r="DE6" i="23"/>
  <c r="DE28" i="23"/>
  <c r="DE15" i="23"/>
  <c r="DE13" i="23"/>
  <c r="DE5" i="23"/>
  <c r="DE22" i="23"/>
  <c r="DE7" i="23"/>
  <c r="DE25" i="23"/>
  <c r="DE8" i="23"/>
  <c r="DF2" i="23"/>
  <c r="DE10" i="23"/>
  <c r="DE34" i="23"/>
  <c r="DE17" i="23"/>
  <c r="DE23" i="23"/>
  <c r="DE18" i="23"/>
  <c r="DF209" i="23" l="1"/>
  <c r="DF145" i="23"/>
  <c r="DF192" i="23"/>
  <c r="DF115" i="23"/>
  <c r="DF121" i="23"/>
  <c r="DF127" i="23"/>
  <c r="DF166" i="23"/>
  <c r="DF170" i="23"/>
  <c r="DF131" i="23"/>
  <c r="DF129" i="23"/>
  <c r="DF146" i="23"/>
  <c r="DF149" i="23"/>
  <c r="DF124" i="23"/>
  <c r="DF211" i="23"/>
  <c r="DF204" i="23"/>
  <c r="DF207" i="23"/>
  <c r="DF206" i="23"/>
  <c r="DF195" i="23"/>
  <c r="DF194" i="23"/>
  <c r="DF208" i="23"/>
  <c r="DF196" i="23"/>
  <c r="DF198" i="23"/>
  <c r="DF186" i="23"/>
  <c r="DF212" i="23"/>
  <c r="DF193" i="23"/>
  <c r="DF200" i="23"/>
  <c r="DF203" i="23"/>
  <c r="DF185" i="23"/>
  <c r="DF182" i="23"/>
  <c r="DF210" i="23"/>
  <c r="DF187" i="23"/>
  <c r="DF197" i="23"/>
  <c r="DF184" i="23"/>
  <c r="DF199" i="23"/>
  <c r="DF183" i="23"/>
  <c r="DF172" i="23"/>
  <c r="DF162" i="23"/>
  <c r="DF201" i="23"/>
  <c r="DF176" i="23"/>
  <c r="DF173" i="23"/>
  <c r="DF148" i="23"/>
  <c r="DF205" i="23"/>
  <c r="DF190" i="23"/>
  <c r="DF175" i="23"/>
  <c r="DF161" i="23"/>
  <c r="DF164" i="23"/>
  <c r="DF168" i="23"/>
  <c r="DF150" i="23"/>
  <c r="DF181" i="23"/>
  <c r="DF177" i="23"/>
  <c r="DF156" i="23"/>
  <c r="DF154" i="23"/>
  <c r="DF167" i="23"/>
  <c r="DF141" i="23"/>
  <c r="DF140" i="23"/>
  <c r="DF137" i="23"/>
  <c r="DF138" i="23"/>
  <c r="DF171" i="23"/>
  <c r="DF189" i="23"/>
  <c r="DF155" i="23"/>
  <c r="DF144" i="23"/>
  <c r="DF178" i="23"/>
  <c r="DF130" i="23"/>
  <c r="DF152" i="23"/>
  <c r="DF134" i="23"/>
  <c r="DF179" i="23"/>
  <c r="DF151" i="23"/>
  <c r="DF139" i="23"/>
  <c r="DF116" i="23"/>
  <c r="DF159" i="23"/>
  <c r="DF165" i="23"/>
  <c r="DF142" i="23"/>
  <c r="DF135" i="23"/>
  <c r="DF132" i="23"/>
  <c r="DF118" i="23"/>
  <c r="DF188" i="23"/>
  <c r="DF119" i="23"/>
  <c r="DF157" i="23"/>
  <c r="DF133" i="23"/>
  <c r="DF120" i="23"/>
  <c r="DF117" i="23"/>
  <c r="DF123" i="23"/>
  <c r="DF122" i="23"/>
  <c r="DF160" i="23"/>
  <c r="DF174" i="23"/>
  <c r="DF163" i="23"/>
  <c r="DF126" i="23"/>
  <c r="DF143" i="23"/>
  <c r="DF153" i="23"/>
  <c r="DF128" i="23"/>
  <c r="DF136" i="23"/>
  <c r="DF114" i="23"/>
  <c r="DF202" i="23"/>
  <c r="DF180" i="23"/>
  <c r="DF191" i="23"/>
  <c r="DF158" i="23"/>
  <c r="DF147" i="23"/>
  <c r="DF125" i="23"/>
  <c r="DF169" i="23"/>
  <c r="DF113" i="23"/>
  <c r="DF112" i="23"/>
  <c r="DF107" i="23"/>
  <c r="DF110" i="23"/>
  <c r="DF109" i="23"/>
  <c r="DF111" i="23"/>
  <c r="DF108" i="23"/>
  <c r="DF106" i="23"/>
  <c r="DF105" i="23"/>
  <c r="DF103" i="23"/>
  <c r="DF100" i="23"/>
  <c r="DF96" i="23"/>
  <c r="DF104" i="23"/>
  <c r="DF92" i="23"/>
  <c r="DF101" i="23"/>
  <c r="DF99" i="23"/>
  <c r="DF98" i="23"/>
  <c r="DF91" i="23"/>
  <c r="DF94" i="23"/>
  <c r="DF93" i="23"/>
  <c r="DF83" i="23"/>
  <c r="DF97" i="23"/>
  <c r="DF95" i="23"/>
  <c r="DF90" i="23"/>
  <c r="DF102" i="23"/>
  <c r="DF89" i="23"/>
  <c r="DF82" i="23"/>
  <c r="DF80" i="23"/>
  <c r="DF86" i="23"/>
  <c r="DF81" i="23"/>
  <c r="DF88" i="23"/>
  <c r="DF85" i="23"/>
  <c r="DF78" i="23"/>
  <c r="DF77" i="23"/>
  <c r="DF76" i="23"/>
  <c r="DF72" i="23"/>
  <c r="DF87" i="23"/>
  <c r="DF74" i="23"/>
  <c r="DF73" i="23"/>
  <c r="DF70" i="23"/>
  <c r="DF65" i="23"/>
  <c r="DF64" i="23"/>
  <c r="DF71" i="23"/>
  <c r="DF66" i="23"/>
  <c r="DF60" i="23"/>
  <c r="DF58" i="23"/>
  <c r="DF67" i="23"/>
  <c r="DF62" i="23"/>
  <c r="DF52" i="23"/>
  <c r="DF63" i="23"/>
  <c r="DF61" i="23"/>
  <c r="DF51" i="23"/>
  <c r="DF57" i="23"/>
  <c r="DF55" i="23"/>
  <c r="DF48" i="23"/>
  <c r="DF46" i="23"/>
  <c r="DF84" i="23"/>
  <c r="DF59" i="23"/>
  <c r="DF56" i="23"/>
  <c r="DF50" i="23"/>
  <c r="DF75" i="23"/>
  <c r="DF53" i="23"/>
  <c r="DF49" i="23"/>
  <c r="DF47" i="23"/>
  <c r="DF44" i="23"/>
  <c r="DF43" i="23"/>
  <c r="DF69" i="23"/>
  <c r="DF40" i="23"/>
  <c r="DF38" i="23"/>
  <c r="DF36" i="23"/>
  <c r="DF45" i="23"/>
  <c r="DF33" i="23"/>
  <c r="DF32" i="23"/>
  <c r="DF68" i="23"/>
  <c r="DF54" i="23"/>
  <c r="DF26" i="23"/>
  <c r="DF24" i="23"/>
  <c r="DF31" i="23"/>
  <c r="DF21" i="23"/>
  <c r="DF28" i="23"/>
  <c r="DF37" i="23"/>
  <c r="DF27" i="23"/>
  <c r="DF25" i="23"/>
  <c r="DF41" i="23"/>
  <c r="DF30" i="23"/>
  <c r="DF9" i="23"/>
  <c r="DF29" i="23"/>
  <c r="DF20" i="23"/>
  <c r="DF18" i="23"/>
  <c r="DF8" i="23"/>
  <c r="DF16" i="23"/>
  <c r="DF14" i="23"/>
  <c r="DF6" i="23"/>
  <c r="DF34" i="23"/>
  <c r="DF11" i="23"/>
  <c r="DF23" i="23"/>
  <c r="DG2" i="23"/>
  <c r="DF22" i="23"/>
  <c r="DF10" i="23"/>
  <c r="DF42" i="23"/>
  <c r="DF35" i="23"/>
  <c r="DF19" i="23"/>
  <c r="DF17" i="23"/>
  <c r="DF15" i="23"/>
  <c r="DF13" i="23"/>
  <c r="DF5" i="23"/>
  <c r="DF12" i="23"/>
  <c r="DF7" i="23"/>
  <c r="DF79" i="23"/>
  <c r="DF39" i="23"/>
  <c r="DF4" i="23"/>
  <c r="DG129" i="23" l="1"/>
  <c r="DG173" i="23"/>
  <c r="DG115" i="23"/>
  <c r="DG165" i="23"/>
  <c r="DG166" i="23"/>
  <c r="DG154" i="23"/>
  <c r="DG170" i="23"/>
  <c r="DG193" i="23"/>
  <c r="DG151" i="23"/>
  <c r="DG124" i="23"/>
  <c r="DG164" i="23"/>
  <c r="DG149" i="23"/>
  <c r="DG143" i="23"/>
  <c r="DG122" i="23"/>
  <c r="DG200" i="23"/>
  <c r="DG203" i="23"/>
  <c r="DG197" i="23"/>
  <c r="DG176" i="23"/>
  <c r="DG210" i="23"/>
  <c r="DG196" i="23"/>
  <c r="DG205" i="23"/>
  <c r="DG195" i="23"/>
  <c r="DG181" i="23"/>
  <c r="DG194" i="23"/>
  <c r="DG208" i="23"/>
  <c r="DG212" i="23"/>
  <c r="DG201" i="23"/>
  <c r="DG204" i="23"/>
  <c r="DG206" i="23"/>
  <c r="DG211" i="23"/>
  <c r="DG198" i="23"/>
  <c r="DG209" i="23"/>
  <c r="DG184" i="23"/>
  <c r="DG187" i="23"/>
  <c r="DG192" i="23"/>
  <c r="DG185" i="23"/>
  <c r="DG207" i="23"/>
  <c r="DG190" i="23"/>
  <c r="DG199" i="23"/>
  <c r="DG171" i="23"/>
  <c r="DG177" i="23"/>
  <c r="DG162" i="23"/>
  <c r="DG182" i="23"/>
  <c r="DG155" i="23"/>
  <c r="DG183" i="23"/>
  <c r="DG150" i="23"/>
  <c r="DG174" i="23"/>
  <c r="DG168" i="23"/>
  <c r="DG157" i="23"/>
  <c r="DG188" i="23"/>
  <c r="DG172" i="23"/>
  <c r="DG179" i="23"/>
  <c r="DG159" i="23"/>
  <c r="DG153" i="23"/>
  <c r="DG152" i="23"/>
  <c r="DG175" i="23"/>
  <c r="DG178" i="23"/>
  <c r="DG163" i="23"/>
  <c r="DG141" i="23"/>
  <c r="DG138" i="23"/>
  <c r="DG140" i="23"/>
  <c r="DG142" i="23"/>
  <c r="DG167" i="23"/>
  <c r="DG145" i="23"/>
  <c r="DG126" i="23"/>
  <c r="DG135" i="23"/>
  <c r="DG130" i="23"/>
  <c r="DG160" i="23"/>
  <c r="DG139" i="23"/>
  <c r="DG128" i="23"/>
  <c r="DG133" i="23"/>
  <c r="DG132" i="23"/>
  <c r="DG137" i="23"/>
  <c r="DG131" i="23"/>
  <c r="DG118" i="23"/>
  <c r="DG123" i="23"/>
  <c r="DG121" i="23"/>
  <c r="DG186" i="23"/>
  <c r="DG156" i="23"/>
  <c r="DG148" i="23"/>
  <c r="DG146" i="23"/>
  <c r="DG119" i="23"/>
  <c r="DG144" i="23"/>
  <c r="DG116" i="23"/>
  <c r="DG189" i="23"/>
  <c r="DG134" i="23"/>
  <c r="DG161" i="23"/>
  <c r="DG117" i="23"/>
  <c r="DG127" i="23"/>
  <c r="DG120" i="23"/>
  <c r="DG158" i="23"/>
  <c r="DG114" i="23"/>
  <c r="DG202" i="23"/>
  <c r="DG180" i="23"/>
  <c r="DG125" i="23"/>
  <c r="DG169" i="23"/>
  <c r="DG191" i="23"/>
  <c r="DG147" i="23"/>
  <c r="DG136" i="23"/>
  <c r="DG113" i="23"/>
  <c r="DG111" i="23"/>
  <c r="DG110" i="23"/>
  <c r="DG109" i="23"/>
  <c r="DG112" i="23"/>
  <c r="DG108" i="23"/>
  <c r="DG106" i="23"/>
  <c r="DG105" i="23"/>
  <c r="DG103" i="23"/>
  <c r="DG101" i="23"/>
  <c r="DG100" i="23"/>
  <c r="DG107" i="23"/>
  <c r="DG96" i="23"/>
  <c r="DG104" i="23"/>
  <c r="DG95" i="23"/>
  <c r="DG97" i="23"/>
  <c r="DG93" i="23"/>
  <c r="DG91" i="23"/>
  <c r="DG94" i="23"/>
  <c r="DG92" i="23"/>
  <c r="DG99" i="23"/>
  <c r="DG90" i="23"/>
  <c r="DG102" i="23"/>
  <c r="DG89" i="23"/>
  <c r="DG88" i="23"/>
  <c r="DG85" i="23"/>
  <c r="DG84" i="23"/>
  <c r="DG98" i="23"/>
  <c r="DG87" i="23"/>
  <c r="DG83" i="23"/>
  <c r="DG82" i="23"/>
  <c r="DG80" i="23"/>
  <c r="DG86" i="23"/>
  <c r="DG78" i="23"/>
  <c r="DG75" i="23"/>
  <c r="DG74" i="23"/>
  <c r="DG81" i="23"/>
  <c r="DG73" i="23"/>
  <c r="DG70" i="23"/>
  <c r="DG77" i="23"/>
  <c r="DG62" i="23"/>
  <c r="DG79" i="23"/>
  <c r="DG71" i="23"/>
  <c r="DG76" i="23"/>
  <c r="DG67" i="23"/>
  <c r="DG68" i="23"/>
  <c r="DG59" i="23"/>
  <c r="DG57" i="23"/>
  <c r="DG69" i="23"/>
  <c r="DG56" i="23"/>
  <c r="DG60" i="23"/>
  <c r="DG50" i="23"/>
  <c r="DG65" i="23"/>
  <c r="DG45" i="23"/>
  <c r="DG61" i="23"/>
  <c r="DG44" i="23"/>
  <c r="DG53" i="23"/>
  <c r="DG48" i="23"/>
  <c r="DG40" i="23"/>
  <c r="DG38" i="23"/>
  <c r="DG36" i="23"/>
  <c r="DG58" i="23"/>
  <c r="DG33" i="23"/>
  <c r="DG64" i="23"/>
  <c r="DG63" i="23"/>
  <c r="DG51" i="23"/>
  <c r="DG30" i="23"/>
  <c r="DG66" i="23"/>
  <c r="DG39" i="23"/>
  <c r="DG55" i="23"/>
  <c r="DG54" i="23"/>
  <c r="DG31" i="23"/>
  <c r="DG21" i="23"/>
  <c r="DG43" i="23"/>
  <c r="DG28" i="23"/>
  <c r="DG23" i="23"/>
  <c r="DG49" i="23"/>
  <c r="DG42" i="23"/>
  <c r="DG41" i="23"/>
  <c r="DG35" i="23"/>
  <c r="DG34" i="23"/>
  <c r="DG22" i="23"/>
  <c r="DG16" i="23"/>
  <c r="DG14" i="23"/>
  <c r="DG6" i="23"/>
  <c r="DG15" i="23"/>
  <c r="DG11" i="23"/>
  <c r="DG37" i="23"/>
  <c r="DG29" i="23"/>
  <c r="DG24" i="23"/>
  <c r="DG20" i="23"/>
  <c r="DG18" i="23"/>
  <c r="DG8" i="23"/>
  <c r="DH2" i="23"/>
  <c r="DG52" i="23"/>
  <c r="DG26" i="23"/>
  <c r="DG13" i="23"/>
  <c r="DG5" i="23"/>
  <c r="DG72" i="23"/>
  <c r="DG47" i="23"/>
  <c r="DG19" i="23"/>
  <c r="DG17" i="23"/>
  <c r="DG7" i="23"/>
  <c r="DG32" i="23"/>
  <c r="DG25" i="23"/>
  <c r="DG12" i="23"/>
  <c r="DG27" i="23"/>
  <c r="DG9" i="23"/>
  <c r="DG10" i="23"/>
  <c r="DG4" i="23"/>
  <c r="DG46" i="23"/>
  <c r="DH201" i="23" l="1"/>
  <c r="DH132" i="23"/>
  <c r="DH146" i="23"/>
  <c r="DH117" i="23"/>
  <c r="DH206" i="23"/>
  <c r="DH174" i="23"/>
  <c r="DH152" i="23"/>
  <c r="DH161" i="23"/>
  <c r="DH145" i="23"/>
  <c r="DH142" i="23"/>
  <c r="DH170" i="23"/>
  <c r="DH127" i="23"/>
  <c r="DH193" i="23"/>
  <c r="DH126" i="23"/>
  <c r="DH151" i="23"/>
  <c r="DH197" i="23"/>
  <c r="DH166" i="23"/>
  <c r="DH173" i="23"/>
  <c r="DH157" i="23"/>
  <c r="DH185" i="23"/>
  <c r="DH203" i="23"/>
  <c r="DH149" i="23"/>
  <c r="DH204" i="23"/>
  <c r="DH189" i="23"/>
  <c r="DH207" i="23"/>
  <c r="DH209" i="23"/>
  <c r="DH195" i="23"/>
  <c r="DH194" i="23"/>
  <c r="DH122" i="23"/>
  <c r="DH208" i="23"/>
  <c r="DH212" i="23"/>
  <c r="DH164" i="23"/>
  <c r="DH205" i="23"/>
  <c r="DH200" i="23"/>
  <c r="DH211" i="23"/>
  <c r="DH196" i="23"/>
  <c r="DH184" i="23"/>
  <c r="DH181" i="23"/>
  <c r="DH115" i="23"/>
  <c r="DH192" i="23"/>
  <c r="DH199" i="23"/>
  <c r="DH210" i="23"/>
  <c r="DH188" i="23"/>
  <c r="DH187" i="23"/>
  <c r="DH162" i="23"/>
  <c r="DH159" i="23"/>
  <c r="DH154" i="23"/>
  <c r="DH182" i="23"/>
  <c r="DH160" i="23"/>
  <c r="DH168" i="23"/>
  <c r="DH156" i="23"/>
  <c r="DH186" i="23"/>
  <c r="DH171" i="23"/>
  <c r="DH167" i="23"/>
  <c r="DH176" i="23"/>
  <c r="DH163" i="23"/>
  <c r="DH140" i="23"/>
  <c r="DH190" i="23"/>
  <c r="DH177" i="23"/>
  <c r="DH138" i="23"/>
  <c r="DH128" i="23"/>
  <c r="DH172" i="23"/>
  <c r="DH178" i="23"/>
  <c r="DH139" i="23"/>
  <c r="DH129" i="23"/>
  <c r="DH150" i="23"/>
  <c r="DH144" i="23"/>
  <c r="DH130" i="23"/>
  <c r="DH165" i="23"/>
  <c r="DH141" i="23"/>
  <c r="DH134" i="23"/>
  <c r="DH124" i="23"/>
  <c r="DH131" i="23"/>
  <c r="DH120" i="23"/>
  <c r="DH123" i="23"/>
  <c r="DH179" i="23"/>
  <c r="DH118" i="23"/>
  <c r="DH175" i="23"/>
  <c r="DH153" i="23"/>
  <c r="DH133" i="23"/>
  <c r="DH183" i="23"/>
  <c r="DH121" i="23"/>
  <c r="DH148" i="23"/>
  <c r="DH143" i="23"/>
  <c r="DH119" i="23"/>
  <c r="DH155" i="23"/>
  <c r="DH116" i="23"/>
  <c r="DH198" i="23"/>
  <c r="DH137" i="23"/>
  <c r="DH135" i="23"/>
  <c r="DH114" i="23"/>
  <c r="DH202" i="23"/>
  <c r="DH180" i="23"/>
  <c r="DH169" i="23"/>
  <c r="DH158" i="23"/>
  <c r="DH147" i="23"/>
  <c r="DH136" i="23"/>
  <c r="DH191" i="23"/>
  <c r="DH125" i="23"/>
  <c r="DH112" i="23"/>
  <c r="DH113" i="23"/>
  <c r="DH107" i="23"/>
  <c r="DH109" i="23"/>
  <c r="DH108" i="23"/>
  <c r="DH103" i="23"/>
  <c r="DH101" i="23"/>
  <c r="DH106" i="23"/>
  <c r="DH98" i="23"/>
  <c r="DH104" i="23"/>
  <c r="DH102" i="23"/>
  <c r="DH92" i="23"/>
  <c r="DH96" i="23"/>
  <c r="DH97" i="23"/>
  <c r="DH105" i="23"/>
  <c r="DH89" i="23"/>
  <c r="DH110" i="23"/>
  <c r="DH94" i="23"/>
  <c r="DH88" i="23"/>
  <c r="DH100" i="23"/>
  <c r="DH91" i="23"/>
  <c r="DH93" i="23"/>
  <c r="DH95" i="23"/>
  <c r="DH86" i="23"/>
  <c r="DH85" i="23"/>
  <c r="DH78" i="23"/>
  <c r="DH72" i="23"/>
  <c r="DH79" i="23"/>
  <c r="DH71" i="23"/>
  <c r="DH69" i="23"/>
  <c r="DH87" i="23"/>
  <c r="DH83" i="23"/>
  <c r="DH74" i="23"/>
  <c r="DH90" i="23"/>
  <c r="DH77" i="23"/>
  <c r="DH75" i="23"/>
  <c r="DH67" i="23"/>
  <c r="DH99" i="23"/>
  <c r="DH84" i="23"/>
  <c r="DH80" i="23"/>
  <c r="DH66" i="23"/>
  <c r="DH82" i="23"/>
  <c r="DH76" i="23"/>
  <c r="DH73" i="23"/>
  <c r="DH70" i="23"/>
  <c r="DH81" i="23"/>
  <c r="DH68" i="23"/>
  <c r="DH62" i="23"/>
  <c r="DH59" i="23"/>
  <c r="DH57" i="23"/>
  <c r="DH54" i="23"/>
  <c r="DH64" i="23"/>
  <c r="DH53" i="23"/>
  <c r="DH60" i="23"/>
  <c r="DH50" i="23"/>
  <c r="DH65" i="23"/>
  <c r="DH56" i="23"/>
  <c r="DH63" i="23"/>
  <c r="DH51" i="23"/>
  <c r="DH42" i="23"/>
  <c r="DH41" i="23"/>
  <c r="DH58" i="23"/>
  <c r="DH45" i="23"/>
  <c r="DH47" i="23"/>
  <c r="DH37" i="23"/>
  <c r="DH35" i="23"/>
  <c r="DH55" i="23"/>
  <c r="DH52" i="23"/>
  <c r="DH34" i="23"/>
  <c r="DH43" i="23"/>
  <c r="DH40" i="23"/>
  <c r="DH28" i="23"/>
  <c r="DH36" i="23"/>
  <c r="DH23" i="23"/>
  <c r="DH38" i="23"/>
  <c r="DH20" i="23"/>
  <c r="DH48" i="23"/>
  <c r="DH44" i="23"/>
  <c r="DH29" i="23"/>
  <c r="DH19" i="23"/>
  <c r="DH33" i="23"/>
  <c r="DH21" i="23"/>
  <c r="DH11" i="23"/>
  <c r="DH61" i="23"/>
  <c r="DH24" i="23"/>
  <c r="DH18" i="23"/>
  <c r="DH8" i="23"/>
  <c r="DI2" i="23"/>
  <c r="DH111" i="23"/>
  <c r="DH39" i="23"/>
  <c r="DH31" i="23"/>
  <c r="DH26" i="23"/>
  <c r="DH15" i="23"/>
  <c r="DH13" i="23"/>
  <c r="DH5" i="23"/>
  <c r="DH10" i="23"/>
  <c r="DH32" i="23"/>
  <c r="DH25" i="23"/>
  <c r="DH12" i="23"/>
  <c r="DH4" i="23"/>
  <c r="DH46" i="23"/>
  <c r="DH27" i="23"/>
  <c r="DH17" i="23"/>
  <c r="DH49" i="23"/>
  <c r="DH9" i="23"/>
  <c r="DH14" i="23"/>
  <c r="DH30" i="23"/>
  <c r="DH6" i="23"/>
  <c r="DH22" i="23"/>
  <c r="DH16" i="23"/>
  <c r="DH7" i="23"/>
  <c r="DI132" i="23" l="1"/>
  <c r="DI210" i="23"/>
  <c r="DI189" i="23"/>
  <c r="DI188" i="23"/>
  <c r="DI201" i="23"/>
  <c r="DI117" i="23"/>
  <c r="DI120" i="23"/>
  <c r="DI152" i="23"/>
  <c r="DI124" i="23"/>
  <c r="DI128" i="23"/>
  <c r="DI206" i="23"/>
  <c r="DI149" i="23"/>
  <c r="DI135" i="23"/>
  <c r="DI166" i="23"/>
  <c r="DI193" i="23"/>
  <c r="DI143" i="23"/>
  <c r="DI144" i="23"/>
  <c r="DI211" i="23"/>
  <c r="DI209" i="23"/>
  <c r="DI203" i="23"/>
  <c r="DI205" i="23"/>
  <c r="DI207" i="23"/>
  <c r="DI121" i="23"/>
  <c r="DI194" i="23"/>
  <c r="DI198" i="23"/>
  <c r="DI200" i="23"/>
  <c r="DI204" i="23"/>
  <c r="DI195" i="23"/>
  <c r="DI197" i="23"/>
  <c r="DI184" i="23"/>
  <c r="DI164" i="23"/>
  <c r="DI212" i="23"/>
  <c r="DI208" i="23"/>
  <c r="DI192" i="23"/>
  <c r="DI190" i="23"/>
  <c r="DI171" i="23"/>
  <c r="DI196" i="23"/>
  <c r="DI182" i="23"/>
  <c r="DI199" i="23"/>
  <c r="DI173" i="23"/>
  <c r="DI176" i="23"/>
  <c r="DI161" i="23"/>
  <c r="DI167" i="23"/>
  <c r="DI155" i="23"/>
  <c r="DI187" i="23"/>
  <c r="DI186" i="23"/>
  <c r="DI181" i="23"/>
  <c r="DI172" i="23"/>
  <c r="DI174" i="23"/>
  <c r="DI177" i="23"/>
  <c r="DI165" i="23"/>
  <c r="DI178" i="23"/>
  <c r="DI160" i="23"/>
  <c r="DI175" i="23"/>
  <c r="DI156" i="23"/>
  <c r="DI137" i="23"/>
  <c r="DI168" i="23"/>
  <c r="DI153" i="23"/>
  <c r="DI170" i="23"/>
  <c r="DI162" i="23"/>
  <c r="DI142" i="23"/>
  <c r="DI157" i="23"/>
  <c r="DI159" i="23"/>
  <c r="DI148" i="23"/>
  <c r="DI146" i="23"/>
  <c r="DI129" i="23"/>
  <c r="DI134" i="23"/>
  <c r="DI185" i="23"/>
  <c r="DI179" i="23"/>
  <c r="DI127" i="23"/>
  <c r="DI115" i="23"/>
  <c r="DI141" i="23"/>
  <c r="DI138" i="23"/>
  <c r="DI140" i="23"/>
  <c r="DI126" i="23"/>
  <c r="DI119" i="23"/>
  <c r="DI118" i="23"/>
  <c r="DI130" i="23"/>
  <c r="DI116" i="23"/>
  <c r="DI133" i="23"/>
  <c r="DI151" i="23"/>
  <c r="DI150" i="23"/>
  <c r="DI163" i="23"/>
  <c r="DI154" i="23"/>
  <c r="DI139" i="23"/>
  <c r="DI122" i="23"/>
  <c r="DI183" i="23"/>
  <c r="DI145" i="23"/>
  <c r="DI131" i="23"/>
  <c r="DI123" i="23"/>
  <c r="DI191" i="23"/>
  <c r="DI125" i="23"/>
  <c r="DI136" i="23"/>
  <c r="DI114" i="23"/>
  <c r="DI202" i="23"/>
  <c r="DI180" i="23"/>
  <c r="DI147" i="23"/>
  <c r="DI169" i="23"/>
  <c r="DI158" i="23"/>
  <c r="DI113" i="23"/>
  <c r="DI111" i="23"/>
  <c r="DI110" i="23"/>
  <c r="DI112" i="23"/>
  <c r="DI108" i="23"/>
  <c r="DI106" i="23"/>
  <c r="DI109" i="23"/>
  <c r="DI107" i="23"/>
  <c r="DI102" i="23"/>
  <c r="DI101" i="23"/>
  <c r="DI99" i="23"/>
  <c r="DI98" i="23"/>
  <c r="DI97" i="23"/>
  <c r="DI105" i="23"/>
  <c r="DI104" i="23"/>
  <c r="DI95" i="23"/>
  <c r="DI94" i="23"/>
  <c r="DI93" i="23"/>
  <c r="DI92" i="23"/>
  <c r="DI88" i="23"/>
  <c r="DI89" i="23"/>
  <c r="DI91" i="23"/>
  <c r="DI96" i="23"/>
  <c r="DI81" i="23"/>
  <c r="DI86" i="23"/>
  <c r="DI85" i="23"/>
  <c r="DI103" i="23"/>
  <c r="DI87" i="23"/>
  <c r="DI77" i="23"/>
  <c r="DI84" i="23"/>
  <c r="DI76" i="23"/>
  <c r="DI90" i="23"/>
  <c r="DI75" i="23"/>
  <c r="DI100" i="23"/>
  <c r="DI64" i="23"/>
  <c r="DI69" i="23"/>
  <c r="DI63" i="23"/>
  <c r="DI80" i="23"/>
  <c r="DI68" i="23"/>
  <c r="DI67" i="23"/>
  <c r="DI62" i="23"/>
  <c r="DI59" i="23"/>
  <c r="DI57" i="23"/>
  <c r="DI61" i="23"/>
  <c r="DI51" i="23"/>
  <c r="DI78" i="23"/>
  <c r="DI65" i="23"/>
  <c r="DI60" i="23"/>
  <c r="DI58" i="23"/>
  <c r="DI50" i="23"/>
  <c r="DI56" i="23"/>
  <c r="DI83" i="23"/>
  <c r="DI72" i="23"/>
  <c r="DI52" i="23"/>
  <c r="DI49" i="23"/>
  <c r="DI47" i="23"/>
  <c r="DI66" i="23"/>
  <c r="DI55" i="23"/>
  <c r="DI54" i="23"/>
  <c r="DI48" i="23"/>
  <c r="DI46" i="23"/>
  <c r="DI45" i="23"/>
  <c r="DI74" i="23"/>
  <c r="DI37" i="23"/>
  <c r="DI35" i="23"/>
  <c r="DI41" i="23"/>
  <c r="DI32" i="23"/>
  <c r="DI43" i="23"/>
  <c r="DI42" i="23"/>
  <c r="DI31" i="23"/>
  <c r="DI82" i="23"/>
  <c r="DI73" i="23"/>
  <c r="DI70" i="23"/>
  <c r="DI53" i="23"/>
  <c r="DI36" i="23"/>
  <c r="DI23" i="23"/>
  <c r="DI38" i="23"/>
  <c r="DI20" i="23"/>
  <c r="DI30" i="23"/>
  <c r="DI27" i="23"/>
  <c r="DI25" i="23"/>
  <c r="DI79" i="23"/>
  <c r="DI39" i="23"/>
  <c r="DI33" i="23"/>
  <c r="DI26" i="23"/>
  <c r="DI24" i="23"/>
  <c r="DI18" i="23"/>
  <c r="DI8" i="23"/>
  <c r="DJ2" i="23"/>
  <c r="DI29" i="23"/>
  <c r="DI15" i="23"/>
  <c r="DI13" i="23"/>
  <c r="DI5" i="23"/>
  <c r="DI17" i="23"/>
  <c r="DI34" i="23"/>
  <c r="DI10" i="23"/>
  <c r="DI22" i="23"/>
  <c r="DI7" i="23"/>
  <c r="DI71" i="23"/>
  <c r="DI9" i="23"/>
  <c r="DI16" i="23"/>
  <c r="DI14" i="23"/>
  <c r="DI19" i="23"/>
  <c r="DI6" i="23"/>
  <c r="DI21" i="23"/>
  <c r="DI4" i="23"/>
  <c r="DI40" i="23"/>
  <c r="DI11" i="23"/>
  <c r="DI12" i="23"/>
  <c r="DI44" i="23"/>
  <c r="DI28" i="23"/>
  <c r="DJ210" i="23" l="1"/>
  <c r="DJ134" i="23"/>
  <c r="DJ183" i="23"/>
  <c r="DJ124" i="23"/>
  <c r="DJ131" i="23"/>
  <c r="DJ164" i="23"/>
  <c r="DJ144" i="23"/>
  <c r="DJ197" i="23"/>
  <c r="DJ126" i="23"/>
  <c r="DJ196" i="23"/>
  <c r="DJ208" i="23"/>
  <c r="DJ166" i="23"/>
  <c r="DJ173" i="23"/>
  <c r="DJ204" i="23"/>
  <c r="DJ207" i="23"/>
  <c r="DJ128" i="23"/>
  <c r="DJ211" i="23"/>
  <c r="DJ194" i="23"/>
  <c r="DJ142" i="23"/>
  <c r="DJ206" i="23"/>
  <c r="DJ195" i="23"/>
  <c r="DJ193" i="23"/>
  <c r="DJ205" i="23"/>
  <c r="DJ209" i="23"/>
  <c r="DJ212" i="23"/>
  <c r="DJ201" i="23"/>
  <c r="DJ181" i="23"/>
  <c r="DJ203" i="23"/>
  <c r="DJ199" i="23"/>
  <c r="DJ198" i="23"/>
  <c r="DJ187" i="23"/>
  <c r="DJ188" i="23"/>
  <c r="DJ185" i="23"/>
  <c r="DJ170" i="23"/>
  <c r="DJ184" i="23"/>
  <c r="DJ190" i="23"/>
  <c r="DJ176" i="23"/>
  <c r="DJ156" i="23"/>
  <c r="DJ192" i="23"/>
  <c r="DJ182" i="23"/>
  <c r="DJ171" i="23"/>
  <c r="DJ163" i="23"/>
  <c r="DJ162" i="23"/>
  <c r="DJ161" i="23"/>
  <c r="DJ167" i="23"/>
  <c r="DJ189" i="23"/>
  <c r="DJ155" i="23"/>
  <c r="DJ186" i="23"/>
  <c r="DJ177" i="23"/>
  <c r="DJ149" i="23"/>
  <c r="DJ200" i="23"/>
  <c r="DJ174" i="23"/>
  <c r="DJ148" i="23"/>
  <c r="DJ151" i="23"/>
  <c r="DJ179" i="23"/>
  <c r="DJ168" i="23"/>
  <c r="DJ152" i="23"/>
  <c r="DJ154" i="23"/>
  <c r="DJ140" i="23"/>
  <c r="DJ175" i="23"/>
  <c r="DJ138" i="23"/>
  <c r="DJ136" i="23"/>
  <c r="DJ145" i="23"/>
  <c r="DJ127" i="23"/>
  <c r="DJ159" i="23"/>
  <c r="DJ129" i="23"/>
  <c r="DJ121" i="23"/>
  <c r="DJ122" i="23"/>
  <c r="DJ119" i="23"/>
  <c r="DJ120" i="23"/>
  <c r="DJ160" i="23"/>
  <c r="DJ141" i="23"/>
  <c r="DJ146" i="23"/>
  <c r="DJ116" i="23"/>
  <c r="DJ130" i="23"/>
  <c r="DJ123" i="23"/>
  <c r="DJ178" i="23"/>
  <c r="DJ165" i="23"/>
  <c r="DJ150" i="23"/>
  <c r="DJ153" i="23"/>
  <c r="DJ132" i="23"/>
  <c r="DJ115" i="23"/>
  <c r="DJ139" i="23"/>
  <c r="DJ117" i="23"/>
  <c r="DJ143" i="23"/>
  <c r="DJ118" i="23"/>
  <c r="DJ135" i="23"/>
  <c r="DJ133" i="23"/>
  <c r="DJ172" i="23"/>
  <c r="DJ157" i="23"/>
  <c r="DJ137" i="23"/>
  <c r="DJ169" i="23"/>
  <c r="DJ147" i="23"/>
  <c r="DJ125" i="23"/>
  <c r="DJ191" i="23"/>
  <c r="DJ158" i="23"/>
  <c r="DJ114" i="23"/>
  <c r="DJ202" i="23"/>
  <c r="DJ180" i="23"/>
  <c r="DJ113" i="23"/>
  <c r="DJ112" i="23"/>
  <c r="DJ110" i="23"/>
  <c r="DJ111" i="23"/>
  <c r="DJ109" i="23"/>
  <c r="DJ108" i="23"/>
  <c r="DJ107" i="23"/>
  <c r="DJ106" i="23"/>
  <c r="DJ105" i="23"/>
  <c r="DJ104" i="23"/>
  <c r="DJ102" i="23"/>
  <c r="DJ100" i="23"/>
  <c r="DJ99" i="23"/>
  <c r="DJ95" i="23"/>
  <c r="DJ94" i="23"/>
  <c r="DJ97" i="23"/>
  <c r="DJ93" i="23"/>
  <c r="DJ91" i="23"/>
  <c r="DJ98" i="23"/>
  <c r="DJ90" i="23"/>
  <c r="DJ92" i="23"/>
  <c r="DJ89" i="23"/>
  <c r="DJ87" i="23"/>
  <c r="DJ96" i="23"/>
  <c r="DJ88" i="23"/>
  <c r="DJ86" i="23"/>
  <c r="DJ101" i="23"/>
  <c r="DJ83" i="23"/>
  <c r="DJ103" i="23"/>
  <c r="DJ77" i="23"/>
  <c r="DJ74" i="23"/>
  <c r="DJ82" i="23"/>
  <c r="DJ81" i="23"/>
  <c r="DJ80" i="23"/>
  <c r="DJ73" i="23"/>
  <c r="DJ75" i="23"/>
  <c r="DJ76" i="23"/>
  <c r="DJ72" i="23"/>
  <c r="DJ70" i="23"/>
  <c r="DJ68" i="23"/>
  <c r="DJ61" i="23"/>
  <c r="DJ85" i="23"/>
  <c r="DJ84" i="23"/>
  <c r="DJ63" i="23"/>
  <c r="DJ56" i="23"/>
  <c r="DJ79" i="23"/>
  <c r="DJ66" i="23"/>
  <c r="DJ55" i="23"/>
  <c r="DJ65" i="23"/>
  <c r="DJ67" i="23"/>
  <c r="DJ59" i="23"/>
  <c r="DJ52" i="23"/>
  <c r="DJ51" i="23"/>
  <c r="DJ49" i="23"/>
  <c r="DJ47" i="23"/>
  <c r="DJ62" i="23"/>
  <c r="DJ53" i="23"/>
  <c r="DJ44" i="23"/>
  <c r="DJ69" i="23"/>
  <c r="DJ64" i="23"/>
  <c r="DJ58" i="23"/>
  <c r="DJ43" i="23"/>
  <c r="DJ37" i="23"/>
  <c r="DJ41" i="23"/>
  <c r="DJ32" i="23"/>
  <c r="DJ54" i="23"/>
  <c r="DJ39" i="23"/>
  <c r="DJ50" i="23"/>
  <c r="DJ46" i="23"/>
  <c r="DJ40" i="23"/>
  <c r="DJ38" i="23"/>
  <c r="DJ36" i="23"/>
  <c r="DJ60" i="23"/>
  <c r="DJ78" i="23"/>
  <c r="DJ45" i="23"/>
  <c r="DJ20" i="23"/>
  <c r="DJ30" i="23"/>
  <c r="DJ27" i="23"/>
  <c r="DJ25" i="23"/>
  <c r="DJ22" i="23"/>
  <c r="DJ71" i="23"/>
  <c r="DJ57" i="23"/>
  <c r="DJ21" i="23"/>
  <c r="DJ29" i="23"/>
  <c r="DJ24" i="23"/>
  <c r="DJ15" i="23"/>
  <c r="DJ13" i="23"/>
  <c r="DJ5" i="23"/>
  <c r="DJ28" i="23"/>
  <c r="DJ19" i="23"/>
  <c r="DJ12" i="23"/>
  <c r="DJ4" i="23"/>
  <c r="DJ34" i="23"/>
  <c r="DJ31" i="23"/>
  <c r="DJ26" i="23"/>
  <c r="DJ10" i="23"/>
  <c r="DJ48" i="23"/>
  <c r="DJ23" i="23"/>
  <c r="DJ17" i="23"/>
  <c r="DJ7" i="23"/>
  <c r="DJ42" i="23"/>
  <c r="DJ35" i="23"/>
  <c r="DJ16" i="23"/>
  <c r="DJ14" i="23"/>
  <c r="DJ6" i="23"/>
  <c r="DJ8" i="23"/>
  <c r="DK2" i="23"/>
  <c r="DJ11" i="23"/>
  <c r="DJ33" i="23"/>
  <c r="DJ18" i="23"/>
  <c r="DJ9" i="23"/>
  <c r="DK127" i="23" l="1"/>
  <c r="DK187" i="23"/>
  <c r="DK192" i="23"/>
  <c r="DK201" i="23"/>
  <c r="DK131" i="23"/>
  <c r="DK173" i="23"/>
  <c r="DK162" i="23"/>
  <c r="DK145" i="23"/>
  <c r="DK168" i="23"/>
  <c r="DK204" i="23"/>
  <c r="DK189" i="23"/>
  <c r="DK210" i="23"/>
  <c r="DK207" i="23"/>
  <c r="DK193" i="23"/>
  <c r="DK196" i="23"/>
  <c r="DK203" i="23"/>
  <c r="DK206" i="23"/>
  <c r="DK211" i="23"/>
  <c r="DK194" i="23"/>
  <c r="DK184" i="23"/>
  <c r="DK181" i="23"/>
  <c r="DK183" i="23"/>
  <c r="DK208" i="23"/>
  <c r="DK209" i="23"/>
  <c r="DK212" i="23"/>
  <c r="DK186" i="23"/>
  <c r="DK205" i="23"/>
  <c r="DK195" i="23"/>
  <c r="DK198" i="23"/>
  <c r="DK200" i="23"/>
  <c r="DK172" i="23"/>
  <c r="DK182" i="23"/>
  <c r="DK190" i="23"/>
  <c r="DK171" i="23"/>
  <c r="DK156" i="23"/>
  <c r="DK155" i="23"/>
  <c r="DK154" i="23"/>
  <c r="DK175" i="23"/>
  <c r="DK179" i="23"/>
  <c r="DK197" i="23"/>
  <c r="DK185" i="23"/>
  <c r="DK161" i="23"/>
  <c r="DK160" i="23"/>
  <c r="DK149" i="23"/>
  <c r="DK141" i="23"/>
  <c r="DK140" i="23"/>
  <c r="DK170" i="23"/>
  <c r="DK163" i="23"/>
  <c r="DK164" i="23"/>
  <c r="DK150" i="23"/>
  <c r="DK153" i="23"/>
  <c r="DK137" i="23"/>
  <c r="DK199" i="23"/>
  <c r="DK151" i="23"/>
  <c r="DK135" i="23"/>
  <c r="DK134" i="23"/>
  <c r="DK178" i="23"/>
  <c r="DK133" i="23"/>
  <c r="DK129" i="23"/>
  <c r="DK157" i="23"/>
  <c r="DK138" i="23"/>
  <c r="DK143" i="23"/>
  <c r="DK144" i="23"/>
  <c r="DK188" i="23"/>
  <c r="DK176" i="23"/>
  <c r="DK130" i="23"/>
  <c r="DK165" i="23"/>
  <c r="DK120" i="23"/>
  <c r="DK123" i="23"/>
  <c r="DK121" i="23"/>
  <c r="DK166" i="23"/>
  <c r="DK126" i="23"/>
  <c r="DK177" i="23"/>
  <c r="DK139" i="23"/>
  <c r="DK146" i="23"/>
  <c r="DK128" i="23"/>
  <c r="DK116" i="23"/>
  <c r="DK124" i="23"/>
  <c r="DK119" i="23"/>
  <c r="DK117" i="23"/>
  <c r="DK122" i="23"/>
  <c r="DK132" i="23"/>
  <c r="DK148" i="23"/>
  <c r="DK118" i="23"/>
  <c r="DK174" i="23"/>
  <c r="DK159" i="23"/>
  <c r="DK152" i="23"/>
  <c r="DK142" i="23"/>
  <c r="DK115" i="23"/>
  <c r="DK167" i="23"/>
  <c r="DK202" i="23"/>
  <c r="DK147" i="23"/>
  <c r="DK169" i="23"/>
  <c r="DK158" i="23"/>
  <c r="DK191" i="23"/>
  <c r="DK180" i="23"/>
  <c r="DK125" i="23"/>
  <c r="DK136" i="23"/>
  <c r="DK114" i="23"/>
  <c r="DK113" i="23"/>
  <c r="DK112" i="23"/>
  <c r="DK108" i="23"/>
  <c r="DK111" i="23"/>
  <c r="DK107" i="23"/>
  <c r="DK105" i="23"/>
  <c r="DK106" i="23"/>
  <c r="DK109" i="23"/>
  <c r="DK103" i="23"/>
  <c r="DK101" i="23"/>
  <c r="DK110" i="23"/>
  <c r="DK102" i="23"/>
  <c r="DK100" i="23"/>
  <c r="DK104" i="23"/>
  <c r="DK99" i="23"/>
  <c r="DK96" i="23"/>
  <c r="DK95" i="23"/>
  <c r="DK97" i="23"/>
  <c r="DK85" i="23"/>
  <c r="DK90" i="23"/>
  <c r="DK84" i="23"/>
  <c r="DK91" i="23"/>
  <c r="DK88" i="23"/>
  <c r="DK86" i="23"/>
  <c r="DK94" i="23"/>
  <c r="DK87" i="23"/>
  <c r="DK82" i="23"/>
  <c r="DK80" i="23"/>
  <c r="DK98" i="23"/>
  <c r="DK93" i="23"/>
  <c r="DK77" i="23"/>
  <c r="DK92" i="23"/>
  <c r="DK89" i="23"/>
  <c r="DK79" i="23"/>
  <c r="DK71" i="23"/>
  <c r="DK83" i="23"/>
  <c r="DK78" i="23"/>
  <c r="DK70" i="23"/>
  <c r="DK66" i="23"/>
  <c r="DK73" i="23"/>
  <c r="DK65" i="23"/>
  <c r="DK81" i="23"/>
  <c r="DK61" i="23"/>
  <c r="DK63" i="23"/>
  <c r="DK56" i="23"/>
  <c r="DK74" i="23"/>
  <c r="DK72" i="23"/>
  <c r="DK53" i="23"/>
  <c r="DK52" i="23"/>
  <c r="DK67" i="23"/>
  <c r="DK59" i="23"/>
  <c r="DK51" i="23"/>
  <c r="DK49" i="23"/>
  <c r="DK47" i="23"/>
  <c r="DK62" i="23"/>
  <c r="DK68" i="23"/>
  <c r="DK40" i="23"/>
  <c r="DK75" i="23"/>
  <c r="DK69" i="23"/>
  <c r="DK41" i="23"/>
  <c r="DK76" i="23"/>
  <c r="DK64" i="23"/>
  <c r="DK54" i="23"/>
  <c r="DK39" i="23"/>
  <c r="DK34" i="23"/>
  <c r="DK48" i="23"/>
  <c r="DK44" i="23"/>
  <c r="DK33" i="23"/>
  <c r="DK60" i="23"/>
  <c r="DK58" i="23"/>
  <c r="DK57" i="23"/>
  <c r="DK55" i="23"/>
  <c r="DK38" i="23"/>
  <c r="DK30" i="23"/>
  <c r="DK27" i="23"/>
  <c r="DK25" i="23"/>
  <c r="DK50" i="23"/>
  <c r="DK22" i="23"/>
  <c r="DK46" i="23"/>
  <c r="DK29" i="23"/>
  <c r="DK19" i="23"/>
  <c r="DK32" i="23"/>
  <c r="DK31" i="23"/>
  <c r="DK28" i="23"/>
  <c r="DK26" i="23"/>
  <c r="DK10" i="23"/>
  <c r="DK36" i="23"/>
  <c r="DK45" i="23"/>
  <c r="DK23" i="23"/>
  <c r="DK20" i="23"/>
  <c r="DK17" i="23"/>
  <c r="DK7" i="23"/>
  <c r="DK37" i="23"/>
  <c r="DK12" i="23"/>
  <c r="DK4" i="23"/>
  <c r="DK9" i="23"/>
  <c r="DK11" i="23"/>
  <c r="DK43" i="23"/>
  <c r="DK21" i="23"/>
  <c r="DK18" i="23"/>
  <c r="DK13" i="23"/>
  <c r="DK5" i="23"/>
  <c r="DK6" i="23"/>
  <c r="DL2" i="23"/>
  <c r="DK15" i="23"/>
  <c r="DK42" i="23"/>
  <c r="DK14" i="23"/>
  <c r="DK8" i="23"/>
  <c r="DK16" i="23"/>
  <c r="DK24" i="23"/>
  <c r="DK35" i="23"/>
  <c r="DL173" i="23" l="1"/>
  <c r="DL200" i="23"/>
  <c r="DL128" i="23"/>
  <c r="DL146" i="23"/>
  <c r="DL176" i="23"/>
  <c r="DL138" i="23"/>
  <c r="DL115" i="23"/>
  <c r="DL127" i="23"/>
  <c r="DL129" i="23"/>
  <c r="DL134" i="23"/>
  <c r="DL148" i="23"/>
  <c r="DL123" i="23"/>
  <c r="DL164" i="23"/>
  <c r="DL197" i="23"/>
  <c r="DL209" i="23"/>
  <c r="DL203" i="23"/>
  <c r="DL204" i="23"/>
  <c r="DL175" i="23"/>
  <c r="DL168" i="23"/>
  <c r="DL194" i="23"/>
  <c r="DL211" i="23"/>
  <c r="DL144" i="23"/>
  <c r="DL212" i="23"/>
  <c r="DL135" i="23"/>
  <c r="DL208" i="23"/>
  <c r="DL206" i="23"/>
  <c r="DL207" i="23"/>
  <c r="DL195" i="23"/>
  <c r="DL166" i="23"/>
  <c r="DL199" i="23"/>
  <c r="DL201" i="23"/>
  <c r="DL210" i="23"/>
  <c r="DL190" i="23"/>
  <c r="DL192" i="23"/>
  <c r="DL189" i="23"/>
  <c r="DL205" i="23"/>
  <c r="DL181" i="23"/>
  <c r="DL185" i="23"/>
  <c r="DL187" i="23"/>
  <c r="DL186" i="23"/>
  <c r="DL182" i="23"/>
  <c r="DL188" i="23"/>
  <c r="DL198" i="23"/>
  <c r="DL171" i="23"/>
  <c r="DL193" i="23"/>
  <c r="DL161" i="23"/>
  <c r="DL196" i="23"/>
  <c r="DL184" i="23"/>
  <c r="DL170" i="23"/>
  <c r="DL159" i="23"/>
  <c r="DL154" i="23"/>
  <c r="DL167" i="23"/>
  <c r="DL160" i="23"/>
  <c r="DL155" i="23"/>
  <c r="DL172" i="23"/>
  <c r="DL174" i="23"/>
  <c r="DL179" i="23"/>
  <c r="DL162" i="23"/>
  <c r="DL183" i="23"/>
  <c r="DL152" i="23"/>
  <c r="DL153" i="23"/>
  <c r="DL156" i="23"/>
  <c r="DL137" i="23"/>
  <c r="DL139" i="23"/>
  <c r="DL178" i="23"/>
  <c r="DL149" i="23"/>
  <c r="DL131" i="23"/>
  <c r="DL119" i="23"/>
  <c r="DL157" i="23"/>
  <c r="DL177" i="23"/>
  <c r="DL150" i="23"/>
  <c r="DL140" i="23"/>
  <c r="DL121" i="23"/>
  <c r="DL142" i="23"/>
  <c r="DL145" i="23"/>
  <c r="DL130" i="23"/>
  <c r="DL116" i="23"/>
  <c r="DL141" i="23"/>
  <c r="DL143" i="23"/>
  <c r="DL117" i="23"/>
  <c r="DL126" i="23"/>
  <c r="DL151" i="23"/>
  <c r="DL122" i="23"/>
  <c r="DL163" i="23"/>
  <c r="DL118" i="23"/>
  <c r="DL165" i="23"/>
  <c r="DL133" i="23"/>
  <c r="DL120" i="23"/>
  <c r="DL132" i="23"/>
  <c r="DL124" i="23"/>
  <c r="DL136" i="23"/>
  <c r="DL202" i="23"/>
  <c r="DL191" i="23"/>
  <c r="DL180" i="23"/>
  <c r="DL147" i="23"/>
  <c r="DL125" i="23"/>
  <c r="DL114" i="23"/>
  <c r="DL169" i="23"/>
  <c r="DL158" i="23"/>
  <c r="DL113" i="23"/>
  <c r="DL111" i="23"/>
  <c r="DL112" i="23"/>
  <c r="DL109" i="23"/>
  <c r="DL108" i="23"/>
  <c r="DL107" i="23"/>
  <c r="DL106" i="23"/>
  <c r="DL110" i="23"/>
  <c r="DL105" i="23"/>
  <c r="DL104" i="23"/>
  <c r="DL102" i="23"/>
  <c r="DL98" i="23"/>
  <c r="DL97" i="23"/>
  <c r="DL103" i="23"/>
  <c r="DL96" i="23"/>
  <c r="DL99" i="23"/>
  <c r="DL94" i="23"/>
  <c r="DL100" i="23"/>
  <c r="DL92" i="23"/>
  <c r="DL95" i="23"/>
  <c r="DL101" i="23"/>
  <c r="DL91" i="23"/>
  <c r="DL87" i="23"/>
  <c r="DL90" i="23"/>
  <c r="DL89" i="23"/>
  <c r="DL79" i="23"/>
  <c r="DL76" i="23"/>
  <c r="DL75" i="23"/>
  <c r="DL88" i="23"/>
  <c r="DL77" i="23"/>
  <c r="DL82" i="23"/>
  <c r="DL71" i="23"/>
  <c r="DL69" i="23"/>
  <c r="DL63" i="23"/>
  <c r="DL86" i="23"/>
  <c r="DL81" i="23"/>
  <c r="DL78" i="23"/>
  <c r="DL74" i="23"/>
  <c r="DL56" i="23"/>
  <c r="DL85" i="23"/>
  <c r="DL84" i="23"/>
  <c r="DL72" i="23"/>
  <c r="DL93" i="23"/>
  <c r="DL64" i="23"/>
  <c r="DL60" i="23"/>
  <c r="DL58" i="23"/>
  <c r="DL50" i="23"/>
  <c r="DL83" i="23"/>
  <c r="DL67" i="23"/>
  <c r="DL62" i="23"/>
  <c r="DL59" i="23"/>
  <c r="DL57" i="23"/>
  <c r="DL52" i="23"/>
  <c r="DL68" i="23"/>
  <c r="DL53" i="23"/>
  <c r="DL80" i="23"/>
  <c r="DL54" i="23"/>
  <c r="DL48" i="23"/>
  <c r="DL46" i="23"/>
  <c r="DL70" i="23"/>
  <c r="DL45" i="23"/>
  <c r="DL39" i="23"/>
  <c r="DL51" i="23"/>
  <c r="DL47" i="23"/>
  <c r="DL34" i="23"/>
  <c r="DL73" i="23"/>
  <c r="DL65" i="23"/>
  <c r="DL61" i="23"/>
  <c r="DL49" i="23"/>
  <c r="DL42" i="23"/>
  <c r="DL31" i="23"/>
  <c r="DL66" i="23"/>
  <c r="DL22" i="23"/>
  <c r="DL29" i="23"/>
  <c r="DL19" i="23"/>
  <c r="DL37" i="23"/>
  <c r="DL35" i="23"/>
  <c r="DL26" i="23"/>
  <c r="DL24" i="23"/>
  <c r="DL23" i="23"/>
  <c r="DL20" i="23"/>
  <c r="DL17" i="23"/>
  <c r="DL7" i="23"/>
  <c r="DL16" i="23"/>
  <c r="DL14" i="23"/>
  <c r="DL6" i="23"/>
  <c r="DL12" i="23"/>
  <c r="DL4" i="23"/>
  <c r="DL36" i="23"/>
  <c r="DL28" i="23"/>
  <c r="DL9" i="23"/>
  <c r="DL43" i="23"/>
  <c r="DL27" i="23"/>
  <c r="DL21" i="23"/>
  <c r="DL18" i="23"/>
  <c r="DL8" i="23"/>
  <c r="DM2" i="23"/>
  <c r="DL55" i="23"/>
  <c r="DL44" i="23"/>
  <c r="DL40" i="23"/>
  <c r="DL33" i="23"/>
  <c r="DL30" i="23"/>
  <c r="DL15" i="23"/>
  <c r="DL13" i="23"/>
  <c r="DL10" i="23"/>
  <c r="DL25" i="23"/>
  <c r="DL11" i="23"/>
  <c r="DL38" i="23"/>
  <c r="DL32" i="23"/>
  <c r="DL5" i="23"/>
  <c r="DL41" i="23"/>
  <c r="DM129" i="23" l="1"/>
  <c r="DM190" i="23"/>
  <c r="DM207" i="23"/>
  <c r="DM122" i="23"/>
  <c r="DM127" i="23"/>
  <c r="DM130" i="23"/>
  <c r="DM128" i="23"/>
  <c r="DM134" i="23"/>
  <c r="DM194" i="23"/>
  <c r="DM115" i="23"/>
  <c r="DM198" i="23"/>
  <c r="DM164" i="23"/>
  <c r="DM149" i="23"/>
  <c r="DM178" i="23"/>
  <c r="DM170" i="23"/>
  <c r="DM201" i="23"/>
  <c r="DM206" i="23"/>
  <c r="DM200" i="23"/>
  <c r="DM209" i="23"/>
  <c r="DM208" i="23"/>
  <c r="DM204" i="23"/>
  <c r="DM195" i="23"/>
  <c r="DM211" i="23"/>
  <c r="DM212" i="23"/>
  <c r="DM192" i="23"/>
  <c r="DM203" i="23"/>
  <c r="DM183" i="23"/>
  <c r="DM210" i="23"/>
  <c r="DM193" i="23"/>
  <c r="DM199" i="23"/>
  <c r="DM205" i="23"/>
  <c r="DM197" i="23"/>
  <c r="DM138" i="23"/>
  <c r="DM157" i="23"/>
  <c r="DM186" i="23"/>
  <c r="DM172" i="23"/>
  <c r="DM184" i="23"/>
  <c r="DM185" i="23"/>
  <c r="DM188" i="23"/>
  <c r="DM175" i="23"/>
  <c r="DM189" i="23"/>
  <c r="DM173" i="23"/>
  <c r="DM161" i="23"/>
  <c r="DM165" i="23"/>
  <c r="DM171" i="23"/>
  <c r="DM167" i="23"/>
  <c r="DM181" i="23"/>
  <c r="DM174" i="23"/>
  <c r="DM177" i="23"/>
  <c r="DM153" i="23"/>
  <c r="DM182" i="23"/>
  <c r="DM179" i="23"/>
  <c r="DM162" i="23"/>
  <c r="DM150" i="23"/>
  <c r="DM187" i="23"/>
  <c r="DM156" i="23"/>
  <c r="DM139" i="23"/>
  <c r="DM168" i="23"/>
  <c r="DM160" i="23"/>
  <c r="DM155" i="23"/>
  <c r="DM137" i="23"/>
  <c r="DM133" i="23"/>
  <c r="DM141" i="23"/>
  <c r="DM146" i="23"/>
  <c r="DM159" i="23"/>
  <c r="DM166" i="23"/>
  <c r="DM152" i="23"/>
  <c r="DM145" i="23"/>
  <c r="DM131" i="23"/>
  <c r="DM151" i="23"/>
  <c r="DM132" i="23"/>
  <c r="DM117" i="23"/>
  <c r="DM121" i="23"/>
  <c r="DM143" i="23"/>
  <c r="DM124" i="23"/>
  <c r="DM176" i="23"/>
  <c r="DM154" i="23"/>
  <c r="DM196" i="23"/>
  <c r="DM126" i="23"/>
  <c r="DM119" i="23"/>
  <c r="DM120" i="23"/>
  <c r="DM123" i="23"/>
  <c r="DM140" i="23"/>
  <c r="DM144" i="23"/>
  <c r="DM163" i="23"/>
  <c r="DM142" i="23"/>
  <c r="DM116" i="23"/>
  <c r="DM118" i="23"/>
  <c r="DM135" i="23"/>
  <c r="DM148" i="23"/>
  <c r="DM114" i="23"/>
  <c r="DM169" i="23"/>
  <c r="DM125" i="23"/>
  <c r="DM202" i="23"/>
  <c r="DM191" i="23"/>
  <c r="DM158" i="23"/>
  <c r="DM147" i="23"/>
  <c r="DM136" i="23"/>
  <c r="DM180" i="23"/>
  <c r="DM112" i="23"/>
  <c r="DM111" i="23"/>
  <c r="DM108" i="23"/>
  <c r="DM107" i="23"/>
  <c r="DM105" i="23"/>
  <c r="DM110" i="23"/>
  <c r="DM104" i="23"/>
  <c r="DM102" i="23"/>
  <c r="DM109" i="23"/>
  <c r="DM103" i="23"/>
  <c r="DM101" i="23"/>
  <c r="DM99" i="23"/>
  <c r="DM98" i="23"/>
  <c r="DM94" i="23"/>
  <c r="DM93" i="23"/>
  <c r="DM113" i="23"/>
  <c r="DM95" i="23"/>
  <c r="DM90" i="23"/>
  <c r="DM89" i="23"/>
  <c r="DM97" i="23"/>
  <c r="DM87" i="23"/>
  <c r="DM106" i="23"/>
  <c r="DM96" i="23"/>
  <c r="DM86" i="23"/>
  <c r="DM100" i="23"/>
  <c r="DM83" i="23"/>
  <c r="DM84" i="23"/>
  <c r="DM92" i="23"/>
  <c r="DM79" i="23"/>
  <c r="DM76" i="23"/>
  <c r="DM81" i="23"/>
  <c r="DM73" i="23"/>
  <c r="DM85" i="23"/>
  <c r="DM72" i="23"/>
  <c r="DM82" i="23"/>
  <c r="DM71" i="23"/>
  <c r="DM69" i="23"/>
  <c r="DM80" i="23"/>
  <c r="DM68" i="23"/>
  <c r="DM67" i="23"/>
  <c r="DM63" i="23"/>
  <c r="DM88" i="23"/>
  <c r="DM74" i="23"/>
  <c r="DM64" i="23"/>
  <c r="DM60" i="23"/>
  <c r="DM58" i="23"/>
  <c r="DM77" i="23"/>
  <c r="DM65" i="23"/>
  <c r="DM55" i="23"/>
  <c r="DM75" i="23"/>
  <c r="DM70" i="23"/>
  <c r="DM54" i="23"/>
  <c r="DM62" i="23"/>
  <c r="DM53" i="23"/>
  <c r="DM48" i="23"/>
  <c r="DM46" i="23"/>
  <c r="DM61" i="23"/>
  <c r="DM43" i="23"/>
  <c r="DM57" i="23"/>
  <c r="DM50" i="23"/>
  <c r="DM42" i="23"/>
  <c r="DM51" i="23"/>
  <c r="DM47" i="23"/>
  <c r="DM91" i="23"/>
  <c r="DM59" i="23"/>
  <c r="DM49" i="23"/>
  <c r="DM31" i="23"/>
  <c r="DM38" i="23"/>
  <c r="DM36" i="23"/>
  <c r="DM78" i="23"/>
  <c r="DM45" i="23"/>
  <c r="DM37" i="23"/>
  <c r="DM35" i="23"/>
  <c r="DM52" i="23"/>
  <c r="DM29" i="23"/>
  <c r="DM19" i="23"/>
  <c r="DM26" i="23"/>
  <c r="DM24" i="23"/>
  <c r="DM56" i="23"/>
  <c r="DM44" i="23"/>
  <c r="DM34" i="23"/>
  <c r="DM33" i="23"/>
  <c r="DM21" i="23"/>
  <c r="DM40" i="23"/>
  <c r="DM20" i="23"/>
  <c r="DM23" i="23"/>
  <c r="DM12" i="23"/>
  <c r="DM4" i="23"/>
  <c r="DM28" i="23"/>
  <c r="DM9" i="23"/>
  <c r="DM25" i="23"/>
  <c r="DM39" i="23"/>
  <c r="DM22" i="23"/>
  <c r="DM16" i="23"/>
  <c r="DM14" i="23"/>
  <c r="DM6" i="23"/>
  <c r="DM32" i="23"/>
  <c r="DM11" i="23"/>
  <c r="DM66" i="23"/>
  <c r="DM30" i="23"/>
  <c r="DM15" i="23"/>
  <c r="DM13" i="23"/>
  <c r="DM5" i="23"/>
  <c r="DM41" i="23"/>
  <c r="DM17" i="23"/>
  <c r="DM10" i="23"/>
  <c r="DM8" i="23"/>
  <c r="DN2" i="23"/>
  <c r="DM18" i="23"/>
  <c r="DM7" i="23"/>
  <c r="DM27" i="23"/>
  <c r="DN144" i="23" l="1"/>
  <c r="DN212" i="23"/>
  <c r="DN152" i="23"/>
  <c r="DN115" i="23"/>
  <c r="DN121" i="23"/>
  <c r="DN131" i="23"/>
  <c r="DN200" i="23"/>
  <c r="DN170" i="23"/>
  <c r="DN127" i="23"/>
  <c r="DN117" i="23"/>
  <c r="DN124" i="23"/>
  <c r="DN199" i="23"/>
  <c r="DN164" i="23"/>
  <c r="DN193" i="23"/>
  <c r="DN185" i="23"/>
  <c r="DN149" i="23"/>
  <c r="DN176" i="23"/>
  <c r="DN174" i="23"/>
  <c r="DN203" i="23"/>
  <c r="DN151" i="23"/>
  <c r="DN168" i="23"/>
  <c r="DN209" i="23"/>
  <c r="DN194" i="23"/>
  <c r="DN146" i="23"/>
  <c r="DN182" i="23"/>
  <c r="DN206" i="23"/>
  <c r="DN205" i="23"/>
  <c r="DN192" i="23"/>
  <c r="DN207" i="23"/>
  <c r="DN204" i="23"/>
  <c r="DN166" i="23"/>
  <c r="DN208" i="23"/>
  <c r="DN201" i="23"/>
  <c r="DN195" i="23"/>
  <c r="DN187" i="23"/>
  <c r="DN210" i="23"/>
  <c r="DN186" i="23"/>
  <c r="DN211" i="23"/>
  <c r="DN198" i="23"/>
  <c r="DN188" i="23"/>
  <c r="DN189" i="23"/>
  <c r="DN172" i="23"/>
  <c r="DN171" i="23"/>
  <c r="DN196" i="23"/>
  <c r="DN183" i="23"/>
  <c r="DN197" i="23"/>
  <c r="DN190" i="23"/>
  <c r="DN173" i="23"/>
  <c r="DN160" i="23"/>
  <c r="DN184" i="23"/>
  <c r="DN148" i="23"/>
  <c r="DN162" i="23"/>
  <c r="DN155" i="23"/>
  <c r="DN181" i="23"/>
  <c r="DN137" i="23"/>
  <c r="DN150" i="23"/>
  <c r="DN177" i="23"/>
  <c r="DN159" i="23"/>
  <c r="DN163" i="23"/>
  <c r="DN157" i="23"/>
  <c r="DN138" i="23"/>
  <c r="DN139" i="23"/>
  <c r="DN154" i="23"/>
  <c r="DN134" i="23"/>
  <c r="DN165" i="23"/>
  <c r="DN153" i="23"/>
  <c r="DN128" i="23"/>
  <c r="DN156" i="23"/>
  <c r="DN126" i="23"/>
  <c r="DN119" i="23"/>
  <c r="DN130" i="23"/>
  <c r="DN133" i="23"/>
  <c r="DN123" i="23"/>
  <c r="DN175" i="23"/>
  <c r="DN178" i="23"/>
  <c r="DN140" i="23"/>
  <c r="DN143" i="23"/>
  <c r="DN179" i="23"/>
  <c r="DN161" i="23"/>
  <c r="DN118" i="23"/>
  <c r="DN120" i="23"/>
  <c r="DN141" i="23"/>
  <c r="DN116" i="23"/>
  <c r="DN129" i="23"/>
  <c r="DN167" i="23"/>
  <c r="DN142" i="23"/>
  <c r="DN145" i="23"/>
  <c r="DN135" i="23"/>
  <c r="DN132" i="23"/>
  <c r="DN122" i="23"/>
  <c r="DN180" i="23"/>
  <c r="DN158" i="23"/>
  <c r="DN114" i="23"/>
  <c r="DN125" i="23"/>
  <c r="DN202" i="23"/>
  <c r="DN191" i="23"/>
  <c r="DN147" i="23"/>
  <c r="DN136" i="23"/>
  <c r="DN169" i="23"/>
  <c r="DN111" i="23"/>
  <c r="DN107" i="23"/>
  <c r="DN109" i="23"/>
  <c r="DN108" i="23"/>
  <c r="DN105" i="23"/>
  <c r="DN112" i="23"/>
  <c r="DN102" i="23"/>
  <c r="DN113" i="23"/>
  <c r="DN110" i="23"/>
  <c r="DN104" i="23"/>
  <c r="DN101" i="23"/>
  <c r="DN100" i="23"/>
  <c r="DN99" i="23"/>
  <c r="DN106" i="23"/>
  <c r="DN95" i="23"/>
  <c r="DN103" i="23"/>
  <c r="DN97" i="23"/>
  <c r="DN89" i="23"/>
  <c r="DN98" i="23"/>
  <c r="DN93" i="23"/>
  <c r="DN92" i="23"/>
  <c r="DN88" i="23"/>
  <c r="DN83" i="23"/>
  <c r="DN96" i="23"/>
  <c r="DN87" i="23"/>
  <c r="DN94" i="23"/>
  <c r="DN82" i="23"/>
  <c r="DN80" i="23"/>
  <c r="DN85" i="23"/>
  <c r="DN81" i="23"/>
  <c r="DN90" i="23"/>
  <c r="DN84" i="23"/>
  <c r="DN78" i="23"/>
  <c r="DN77" i="23"/>
  <c r="DN71" i="23"/>
  <c r="DN69" i="23"/>
  <c r="DN79" i="23"/>
  <c r="DN72" i="23"/>
  <c r="DN70" i="23"/>
  <c r="DN65" i="23"/>
  <c r="DN75" i="23"/>
  <c r="DN64" i="23"/>
  <c r="DN86" i="23"/>
  <c r="DN74" i="23"/>
  <c r="DN60" i="23"/>
  <c r="DN58" i="23"/>
  <c r="DN66" i="23"/>
  <c r="DN52" i="23"/>
  <c r="DN73" i="23"/>
  <c r="DN68" i="23"/>
  <c r="DN61" i="23"/>
  <c r="DN51" i="23"/>
  <c r="DN48" i="23"/>
  <c r="DN46" i="23"/>
  <c r="DN63" i="23"/>
  <c r="DN54" i="23"/>
  <c r="DN76" i="23"/>
  <c r="DN55" i="23"/>
  <c r="DN49" i="23"/>
  <c r="DN47" i="23"/>
  <c r="DN91" i="23"/>
  <c r="DN59" i="23"/>
  <c r="DN42" i="23"/>
  <c r="DN38" i="23"/>
  <c r="DN36" i="23"/>
  <c r="DN44" i="23"/>
  <c r="DN43" i="23"/>
  <c r="DN40" i="23"/>
  <c r="DN33" i="23"/>
  <c r="DN67" i="23"/>
  <c r="DN57" i="23"/>
  <c r="DN41" i="23"/>
  <c r="DN32" i="23"/>
  <c r="DN56" i="23"/>
  <c r="DN50" i="23"/>
  <c r="DN26" i="23"/>
  <c r="DN24" i="23"/>
  <c r="DN37" i="23"/>
  <c r="DN35" i="23"/>
  <c r="DN34" i="23"/>
  <c r="DN21" i="23"/>
  <c r="DN62" i="23"/>
  <c r="DN28" i="23"/>
  <c r="DN30" i="23"/>
  <c r="DN27" i="23"/>
  <c r="DN25" i="23"/>
  <c r="DN45" i="23"/>
  <c r="DN31" i="23"/>
  <c r="DN9" i="23"/>
  <c r="DN39" i="23"/>
  <c r="DN22" i="23"/>
  <c r="DN16" i="23"/>
  <c r="DN14" i="23"/>
  <c r="DN6" i="23"/>
  <c r="DO2" i="23"/>
  <c r="DN19" i="23"/>
  <c r="DN11" i="23"/>
  <c r="DN18" i="23"/>
  <c r="DN8" i="23"/>
  <c r="DN10" i="23"/>
  <c r="DN17" i="23"/>
  <c r="DN4" i="23"/>
  <c r="DN13" i="23"/>
  <c r="DN20" i="23"/>
  <c r="DN15" i="23"/>
  <c r="DN7" i="23"/>
  <c r="DN53" i="23"/>
  <c r="DN23" i="23"/>
  <c r="DN12" i="23"/>
  <c r="DN29" i="23"/>
  <c r="DN5" i="23"/>
  <c r="DO139" i="23" l="1"/>
  <c r="DO206" i="23"/>
  <c r="DO182" i="23"/>
  <c r="DO116" i="23"/>
  <c r="DO152" i="23"/>
  <c r="DO189" i="23"/>
  <c r="DO198" i="23"/>
  <c r="DO131" i="23"/>
  <c r="DO124" i="23"/>
  <c r="DO151" i="23"/>
  <c r="DO115" i="23"/>
  <c r="DO120" i="23"/>
  <c r="DO186" i="23"/>
  <c r="DO121" i="23"/>
  <c r="DO193" i="23"/>
  <c r="DO159" i="23"/>
  <c r="DO145" i="23"/>
  <c r="DO175" i="23"/>
  <c r="DO123" i="23"/>
  <c r="DO134" i="23"/>
  <c r="DO127" i="23"/>
  <c r="DO149" i="23"/>
  <c r="DO203" i="23"/>
  <c r="DO178" i="23"/>
  <c r="DO209" i="23"/>
  <c r="DO210" i="23"/>
  <c r="DO195" i="23"/>
  <c r="DO196" i="23"/>
  <c r="DO205" i="23"/>
  <c r="DO194" i="23"/>
  <c r="DO204" i="23"/>
  <c r="DO212" i="23"/>
  <c r="DO192" i="23"/>
  <c r="DO207" i="23"/>
  <c r="DO197" i="23"/>
  <c r="DO201" i="23"/>
  <c r="DO211" i="23"/>
  <c r="DO208" i="23"/>
  <c r="DO199" i="23"/>
  <c r="DO184" i="23"/>
  <c r="DO183" i="23"/>
  <c r="DO200" i="23"/>
  <c r="DO185" i="23"/>
  <c r="DO181" i="23"/>
  <c r="DO188" i="23"/>
  <c r="DO187" i="23"/>
  <c r="DO190" i="23"/>
  <c r="DO171" i="23"/>
  <c r="DO176" i="23"/>
  <c r="DO160" i="23"/>
  <c r="DO167" i="23"/>
  <c r="DO153" i="23"/>
  <c r="DO155" i="23"/>
  <c r="DO170" i="23"/>
  <c r="DO173" i="23"/>
  <c r="DO172" i="23"/>
  <c r="DO174" i="23"/>
  <c r="DO163" i="23"/>
  <c r="DO168" i="23"/>
  <c r="DO161" i="23"/>
  <c r="DO179" i="23"/>
  <c r="DO156" i="23"/>
  <c r="DO154" i="23"/>
  <c r="DO138" i="23"/>
  <c r="DO162" i="23"/>
  <c r="DO164" i="23"/>
  <c r="DO130" i="23"/>
  <c r="DO148" i="23"/>
  <c r="DO157" i="23"/>
  <c r="DO137" i="23"/>
  <c r="DO132" i="23"/>
  <c r="DO140" i="23"/>
  <c r="DO142" i="23"/>
  <c r="DO144" i="23"/>
  <c r="DO118" i="23"/>
  <c r="DO143" i="23"/>
  <c r="DO165" i="23"/>
  <c r="DO141" i="23"/>
  <c r="DO146" i="23"/>
  <c r="DO128" i="23"/>
  <c r="DO150" i="23"/>
  <c r="DO129" i="23"/>
  <c r="DO126" i="23"/>
  <c r="DO122" i="23"/>
  <c r="DO135" i="23"/>
  <c r="DO119" i="23"/>
  <c r="DO133" i="23"/>
  <c r="DO166" i="23"/>
  <c r="DO177" i="23"/>
  <c r="DO117" i="23"/>
  <c r="DO158" i="23"/>
  <c r="DO191" i="23"/>
  <c r="DO136" i="23"/>
  <c r="DO169" i="23"/>
  <c r="DO125" i="23"/>
  <c r="DO202" i="23"/>
  <c r="DO180" i="23"/>
  <c r="DO114" i="23"/>
  <c r="DO147" i="23"/>
  <c r="DO113" i="23"/>
  <c r="DO112" i="23"/>
  <c r="DO110" i="23"/>
  <c r="DO109" i="23"/>
  <c r="DO106" i="23"/>
  <c r="DO111" i="23"/>
  <c r="DO108" i="23"/>
  <c r="DO105" i="23"/>
  <c r="DO104" i="23"/>
  <c r="DO107" i="23"/>
  <c r="DO100" i="23"/>
  <c r="DO101" i="23"/>
  <c r="DO96" i="23"/>
  <c r="DO95" i="23"/>
  <c r="DO99" i="23"/>
  <c r="DO98" i="23"/>
  <c r="DO92" i="23"/>
  <c r="DO102" i="23"/>
  <c r="DO91" i="23"/>
  <c r="DO97" i="23"/>
  <c r="DO90" i="23"/>
  <c r="DO103" i="23"/>
  <c r="DO94" i="23"/>
  <c r="DO93" i="23"/>
  <c r="DO89" i="23"/>
  <c r="DO88" i="23"/>
  <c r="DO87" i="23"/>
  <c r="DO84" i="23"/>
  <c r="DO81" i="23"/>
  <c r="DO78" i="23"/>
  <c r="DO82" i="23"/>
  <c r="DO80" i="23"/>
  <c r="DO75" i="23"/>
  <c r="DO86" i="23"/>
  <c r="DO74" i="23"/>
  <c r="DO79" i="23"/>
  <c r="DO72" i="23"/>
  <c r="DO70" i="23"/>
  <c r="DO76" i="23"/>
  <c r="DO73" i="23"/>
  <c r="DO62" i="23"/>
  <c r="DO85" i="23"/>
  <c r="DO83" i="23"/>
  <c r="DO64" i="23"/>
  <c r="DO77" i="23"/>
  <c r="DO66" i="23"/>
  <c r="DO65" i="23"/>
  <c r="DO69" i="23"/>
  <c r="DO59" i="23"/>
  <c r="DO57" i="23"/>
  <c r="DO71" i="23"/>
  <c r="DO56" i="23"/>
  <c r="DO68" i="23"/>
  <c r="DO63" i="23"/>
  <c r="DO54" i="23"/>
  <c r="DO61" i="23"/>
  <c r="DO55" i="23"/>
  <c r="DO45" i="23"/>
  <c r="DO60" i="23"/>
  <c r="DO51" i="23"/>
  <c r="DO44" i="23"/>
  <c r="DO49" i="23"/>
  <c r="DO42" i="23"/>
  <c r="DO38" i="23"/>
  <c r="DO36" i="23"/>
  <c r="DO43" i="23"/>
  <c r="DO40" i="23"/>
  <c r="DO33" i="23"/>
  <c r="DO50" i="23"/>
  <c r="DO30" i="23"/>
  <c r="DO53" i="23"/>
  <c r="DO39" i="23"/>
  <c r="DO58" i="23"/>
  <c r="DO37" i="23"/>
  <c r="DO35" i="23"/>
  <c r="DO34" i="23"/>
  <c r="DO21" i="23"/>
  <c r="DO46" i="23"/>
  <c r="DO28" i="23"/>
  <c r="DO41" i="23"/>
  <c r="DO32" i="23"/>
  <c r="DO23" i="23"/>
  <c r="DO22" i="23"/>
  <c r="DO16" i="23"/>
  <c r="DO14" i="23"/>
  <c r="DO6" i="23"/>
  <c r="DO67" i="23"/>
  <c r="DO5" i="23"/>
  <c r="DO48" i="23"/>
  <c r="DO19" i="23"/>
  <c r="DO11" i="23"/>
  <c r="DO15" i="23"/>
  <c r="DO13" i="23"/>
  <c r="DO52" i="23"/>
  <c r="DO25" i="23"/>
  <c r="DO18" i="23"/>
  <c r="DO8" i="23"/>
  <c r="DP2" i="23"/>
  <c r="DO27" i="23"/>
  <c r="DO17" i="23"/>
  <c r="DO7" i="23"/>
  <c r="DO29" i="23"/>
  <c r="DO24" i="23"/>
  <c r="DO20" i="23"/>
  <c r="DO12" i="23"/>
  <c r="DO4" i="23"/>
  <c r="DO47" i="23"/>
  <c r="DO26" i="23"/>
  <c r="DO9" i="23"/>
  <c r="DO10" i="23"/>
  <c r="DO31" i="23"/>
  <c r="DP145" i="23" l="1"/>
  <c r="DP192" i="23"/>
  <c r="DP212" i="23"/>
  <c r="DP129" i="23"/>
  <c r="DP164" i="23"/>
  <c r="DP149" i="23"/>
  <c r="DP130" i="23"/>
  <c r="DP133" i="23"/>
  <c r="DP170" i="23"/>
  <c r="DP115" i="23"/>
  <c r="DP143" i="23"/>
  <c r="DP197" i="23"/>
  <c r="DP117" i="23"/>
  <c r="DP200" i="23"/>
  <c r="DP201" i="23"/>
  <c r="DP166" i="23"/>
  <c r="DP199" i="23"/>
  <c r="DP204" i="23"/>
  <c r="DP205" i="23"/>
  <c r="DP203" i="23"/>
  <c r="DP193" i="23"/>
  <c r="DP195" i="23"/>
  <c r="DP211" i="23"/>
  <c r="DP210" i="23"/>
  <c r="DP184" i="23"/>
  <c r="DP181" i="23"/>
  <c r="DP208" i="23"/>
  <c r="DP198" i="23"/>
  <c r="DP206" i="23"/>
  <c r="DP209" i="23"/>
  <c r="DP187" i="23"/>
  <c r="DP194" i="23"/>
  <c r="DP186" i="23"/>
  <c r="DP196" i="23"/>
  <c r="DP182" i="23"/>
  <c r="DP190" i="23"/>
  <c r="DP188" i="23"/>
  <c r="DP172" i="23"/>
  <c r="DP177" i="23"/>
  <c r="DP173" i="23"/>
  <c r="DP185" i="23"/>
  <c r="DP175" i="23"/>
  <c r="DP207" i="23"/>
  <c r="DP189" i="23"/>
  <c r="DP176" i="23"/>
  <c r="DP174" i="23"/>
  <c r="DP178" i="23"/>
  <c r="DP179" i="23"/>
  <c r="DP153" i="23"/>
  <c r="DP168" i="23"/>
  <c r="DP150" i="23"/>
  <c r="DP138" i="23"/>
  <c r="DP171" i="23"/>
  <c r="DP155" i="23"/>
  <c r="DP152" i="23"/>
  <c r="DP139" i="23"/>
  <c r="DP154" i="23"/>
  <c r="DP163" i="23"/>
  <c r="DP162" i="23"/>
  <c r="DP159" i="23"/>
  <c r="DP140" i="23"/>
  <c r="DP161" i="23"/>
  <c r="DP167" i="23"/>
  <c r="DP165" i="23"/>
  <c r="DP141" i="23"/>
  <c r="DP132" i="23"/>
  <c r="DP118" i="23"/>
  <c r="DP151" i="23"/>
  <c r="DP123" i="23"/>
  <c r="DP122" i="23"/>
  <c r="DP124" i="23"/>
  <c r="DP119" i="23"/>
  <c r="DP120" i="23"/>
  <c r="DP134" i="23"/>
  <c r="DP148" i="23"/>
  <c r="DP157" i="23"/>
  <c r="DP131" i="23"/>
  <c r="DP142" i="23"/>
  <c r="DP144" i="23"/>
  <c r="DP135" i="23"/>
  <c r="DP183" i="23"/>
  <c r="DP156" i="23"/>
  <c r="DP127" i="23"/>
  <c r="DP137" i="23"/>
  <c r="DP128" i="23"/>
  <c r="DP116" i="23"/>
  <c r="DP160" i="23"/>
  <c r="DP126" i="23"/>
  <c r="DP121" i="23"/>
  <c r="DP146" i="23"/>
  <c r="DP202" i="23"/>
  <c r="DP180" i="23"/>
  <c r="DP158" i="23"/>
  <c r="DP191" i="23"/>
  <c r="DP114" i="23"/>
  <c r="DP125" i="23"/>
  <c r="DP136" i="23"/>
  <c r="DP169" i="23"/>
  <c r="DP147" i="23"/>
  <c r="DP113" i="23"/>
  <c r="DP111" i="23"/>
  <c r="DP107" i="23"/>
  <c r="DP110" i="23"/>
  <c r="DP112" i="23"/>
  <c r="DP103" i="23"/>
  <c r="DP101" i="23"/>
  <c r="DP108" i="23"/>
  <c r="DP109" i="23"/>
  <c r="DP98" i="23"/>
  <c r="DP106" i="23"/>
  <c r="DP104" i="23"/>
  <c r="DP100" i="23"/>
  <c r="DP105" i="23"/>
  <c r="DP92" i="23"/>
  <c r="DP95" i="23"/>
  <c r="DP96" i="23"/>
  <c r="DP89" i="23"/>
  <c r="DP93" i="23"/>
  <c r="DP88" i="23"/>
  <c r="DP90" i="23"/>
  <c r="DP102" i="23"/>
  <c r="DP91" i="23"/>
  <c r="DP86" i="23"/>
  <c r="DP99" i="23"/>
  <c r="DP85" i="23"/>
  <c r="DP94" i="23"/>
  <c r="DP84" i="23"/>
  <c r="DP87" i="23"/>
  <c r="DP81" i="23"/>
  <c r="DP78" i="23"/>
  <c r="DP82" i="23"/>
  <c r="DP80" i="23"/>
  <c r="DP83" i="23"/>
  <c r="DP72" i="23"/>
  <c r="DP79" i="23"/>
  <c r="DP71" i="23"/>
  <c r="DP69" i="23"/>
  <c r="DP70" i="23"/>
  <c r="DP97" i="23"/>
  <c r="DP76" i="23"/>
  <c r="DP73" i="23"/>
  <c r="DP74" i="23"/>
  <c r="DP67" i="23"/>
  <c r="DP77" i="23"/>
  <c r="DP66" i="23"/>
  <c r="DP65" i="23"/>
  <c r="DP59" i="23"/>
  <c r="DP57" i="23"/>
  <c r="DP62" i="23"/>
  <c r="DP54" i="23"/>
  <c r="DP63" i="23"/>
  <c r="DP53" i="23"/>
  <c r="DP61" i="23"/>
  <c r="DP55" i="23"/>
  <c r="DP58" i="23"/>
  <c r="DP50" i="23"/>
  <c r="DP42" i="23"/>
  <c r="DP56" i="23"/>
  <c r="DP52" i="23"/>
  <c r="DP41" i="23"/>
  <c r="DP64" i="23"/>
  <c r="DP43" i="23"/>
  <c r="DP40" i="23"/>
  <c r="DP44" i="23"/>
  <c r="DP30" i="23"/>
  <c r="DP60" i="23"/>
  <c r="DP46" i="23"/>
  <c r="DP37" i="23"/>
  <c r="DP35" i="23"/>
  <c r="DP34" i="23"/>
  <c r="DP28" i="23"/>
  <c r="DP33" i="23"/>
  <c r="DP32" i="23"/>
  <c r="DP23" i="23"/>
  <c r="DP68" i="23"/>
  <c r="DP48" i="23"/>
  <c r="DP47" i="23"/>
  <c r="DP39" i="23"/>
  <c r="DP31" i="23"/>
  <c r="DP20" i="23"/>
  <c r="DP45" i="23"/>
  <c r="DP36" i="23"/>
  <c r="DP29" i="23"/>
  <c r="DP19" i="23"/>
  <c r="DP75" i="23"/>
  <c r="DP22" i="23"/>
  <c r="DP11" i="23"/>
  <c r="DP38" i="23"/>
  <c r="DP10" i="23"/>
  <c r="DP25" i="23"/>
  <c r="DP18" i="23"/>
  <c r="DP8" i="23"/>
  <c r="DQ2" i="23"/>
  <c r="DP27" i="23"/>
  <c r="DP15" i="23"/>
  <c r="DP13" i="23"/>
  <c r="DP5" i="23"/>
  <c r="DP24" i="23"/>
  <c r="DP12" i="23"/>
  <c r="DP4" i="23"/>
  <c r="DP49" i="23"/>
  <c r="DP26" i="23"/>
  <c r="DP21" i="23"/>
  <c r="DP7" i="23"/>
  <c r="DP16" i="23"/>
  <c r="DP14" i="23"/>
  <c r="DP9" i="23"/>
  <c r="DP17" i="23"/>
  <c r="DP6" i="23"/>
  <c r="DP51" i="23"/>
  <c r="DQ176" i="23" l="1"/>
  <c r="DQ165" i="23"/>
  <c r="DQ203" i="23"/>
  <c r="DQ121" i="23"/>
  <c r="DQ207" i="23"/>
  <c r="DQ161" i="23"/>
  <c r="DQ149" i="23"/>
  <c r="DQ181" i="23"/>
  <c r="DQ170" i="23"/>
  <c r="DQ166" i="23"/>
  <c r="DQ164" i="23"/>
  <c r="DQ129" i="23"/>
  <c r="DQ151" i="23"/>
  <c r="DQ115" i="23"/>
  <c r="DQ168" i="23"/>
  <c r="DQ205" i="23"/>
  <c r="DQ208" i="23"/>
  <c r="DQ206" i="23"/>
  <c r="DQ192" i="23"/>
  <c r="DQ193" i="23"/>
  <c r="DQ204" i="23"/>
  <c r="DQ194" i="23"/>
  <c r="DQ198" i="23"/>
  <c r="DQ146" i="23"/>
  <c r="DQ212" i="23"/>
  <c r="DQ182" i="23"/>
  <c r="DQ196" i="23"/>
  <c r="DQ195" i="23"/>
  <c r="DQ200" i="23"/>
  <c r="DQ184" i="23"/>
  <c r="DQ201" i="23"/>
  <c r="DQ211" i="23"/>
  <c r="DQ199" i="23"/>
  <c r="DQ210" i="23"/>
  <c r="DQ185" i="23"/>
  <c r="DQ189" i="23"/>
  <c r="DQ197" i="23"/>
  <c r="DQ175" i="23"/>
  <c r="DQ209" i="23"/>
  <c r="DQ187" i="23"/>
  <c r="DQ172" i="23"/>
  <c r="DQ173" i="23"/>
  <c r="DQ188" i="23"/>
  <c r="DQ162" i="23"/>
  <c r="DQ156" i="23"/>
  <c r="DQ183" i="23"/>
  <c r="DQ174" i="23"/>
  <c r="DQ163" i="23"/>
  <c r="DQ160" i="23"/>
  <c r="DQ167" i="23"/>
  <c r="DQ150" i="23"/>
  <c r="DQ159" i="23"/>
  <c r="DQ153" i="23"/>
  <c r="DQ141" i="23"/>
  <c r="DQ171" i="23"/>
  <c r="DQ154" i="23"/>
  <c r="DQ178" i="23"/>
  <c r="DQ139" i="23"/>
  <c r="DQ145" i="23"/>
  <c r="DQ144" i="23"/>
  <c r="DQ128" i="23"/>
  <c r="DQ186" i="23"/>
  <c r="DQ177" i="23"/>
  <c r="DQ148" i="23"/>
  <c r="DQ137" i="23"/>
  <c r="DQ130" i="23"/>
  <c r="DQ135" i="23"/>
  <c r="DQ152" i="23"/>
  <c r="DQ134" i="23"/>
  <c r="DQ124" i="23"/>
  <c r="DQ140" i="23"/>
  <c r="DQ116" i="23"/>
  <c r="DQ120" i="23"/>
  <c r="DQ119" i="23"/>
  <c r="DQ123" i="23"/>
  <c r="DQ138" i="23"/>
  <c r="DQ118" i="23"/>
  <c r="DQ133" i="23"/>
  <c r="DQ132" i="23"/>
  <c r="DQ131" i="23"/>
  <c r="DQ122" i="23"/>
  <c r="DQ179" i="23"/>
  <c r="DQ155" i="23"/>
  <c r="DQ143" i="23"/>
  <c r="DQ127" i="23"/>
  <c r="DQ157" i="23"/>
  <c r="DQ190" i="23"/>
  <c r="DQ117" i="23"/>
  <c r="DQ126" i="23"/>
  <c r="DQ142" i="23"/>
  <c r="DQ202" i="23"/>
  <c r="DQ180" i="23"/>
  <c r="DQ169" i="23"/>
  <c r="DQ191" i="23"/>
  <c r="DQ158" i="23"/>
  <c r="DQ114" i="23"/>
  <c r="DQ136" i="23"/>
  <c r="DQ147" i="23"/>
  <c r="DQ125" i="23"/>
  <c r="DQ113" i="23"/>
  <c r="DQ111" i="23"/>
  <c r="DQ112" i="23"/>
  <c r="DQ108" i="23"/>
  <c r="DQ107" i="23"/>
  <c r="DQ109" i="23"/>
  <c r="DQ105" i="23"/>
  <c r="DQ104" i="23"/>
  <c r="DQ101" i="23"/>
  <c r="DQ100" i="23"/>
  <c r="DQ110" i="23"/>
  <c r="DQ103" i="23"/>
  <c r="DQ102" i="23"/>
  <c r="DQ97" i="23"/>
  <c r="DQ98" i="23"/>
  <c r="DQ96" i="23"/>
  <c r="DQ91" i="23"/>
  <c r="DQ93" i="23"/>
  <c r="DQ92" i="23"/>
  <c r="DQ81" i="23"/>
  <c r="DQ87" i="23"/>
  <c r="DQ86" i="23"/>
  <c r="DQ89" i="23"/>
  <c r="DQ84" i="23"/>
  <c r="DQ82" i="23"/>
  <c r="DQ80" i="23"/>
  <c r="DQ95" i="23"/>
  <c r="DQ90" i="23"/>
  <c r="DQ83" i="23"/>
  <c r="DQ99" i="23"/>
  <c r="DQ77" i="23"/>
  <c r="DQ88" i="23"/>
  <c r="DQ76" i="23"/>
  <c r="DQ94" i="23"/>
  <c r="DQ79" i="23"/>
  <c r="DQ73" i="23"/>
  <c r="DQ72" i="23"/>
  <c r="DQ74" i="23"/>
  <c r="DQ64" i="23"/>
  <c r="DQ63" i="23"/>
  <c r="DQ85" i="23"/>
  <c r="DQ66" i="23"/>
  <c r="DQ59" i="23"/>
  <c r="DQ57" i="23"/>
  <c r="DQ69" i="23"/>
  <c r="DQ62" i="23"/>
  <c r="DQ78" i="23"/>
  <c r="DQ68" i="23"/>
  <c r="DQ67" i="23"/>
  <c r="DQ61" i="23"/>
  <c r="DQ51" i="23"/>
  <c r="DQ60" i="23"/>
  <c r="DQ58" i="23"/>
  <c r="DQ50" i="23"/>
  <c r="DQ75" i="23"/>
  <c r="DQ71" i="23"/>
  <c r="DQ49" i="23"/>
  <c r="DQ47" i="23"/>
  <c r="DQ53" i="23"/>
  <c r="DQ48" i="23"/>
  <c r="DQ46" i="23"/>
  <c r="DQ54" i="23"/>
  <c r="DQ44" i="23"/>
  <c r="DQ65" i="23"/>
  <c r="DQ37" i="23"/>
  <c r="DQ35" i="23"/>
  <c r="DQ56" i="23"/>
  <c r="DQ55" i="23"/>
  <c r="DQ52" i="23"/>
  <c r="DQ45" i="23"/>
  <c r="DQ32" i="23"/>
  <c r="DQ31" i="23"/>
  <c r="DQ33" i="23"/>
  <c r="DQ23" i="23"/>
  <c r="DQ41" i="23"/>
  <c r="DQ39" i="23"/>
  <c r="DQ20" i="23"/>
  <c r="DQ42" i="23"/>
  <c r="DQ27" i="23"/>
  <c r="DQ25" i="23"/>
  <c r="DQ43" i="23"/>
  <c r="DQ38" i="23"/>
  <c r="DQ26" i="23"/>
  <c r="DQ24" i="23"/>
  <c r="DQ34" i="23"/>
  <c r="DQ28" i="23"/>
  <c r="DQ19" i="23"/>
  <c r="DQ18" i="23"/>
  <c r="DQ8" i="23"/>
  <c r="DR2" i="23"/>
  <c r="DQ7" i="23"/>
  <c r="DQ36" i="23"/>
  <c r="DQ15" i="23"/>
  <c r="DQ13" i="23"/>
  <c r="DQ5" i="23"/>
  <c r="DQ10" i="23"/>
  <c r="DQ21" i="23"/>
  <c r="DQ17" i="23"/>
  <c r="DQ40" i="23"/>
  <c r="DQ29" i="23"/>
  <c r="DQ9" i="23"/>
  <c r="DQ70" i="23"/>
  <c r="DQ16" i="23"/>
  <c r="DQ14" i="23"/>
  <c r="DQ106" i="23"/>
  <c r="DQ6" i="23"/>
  <c r="DQ4" i="23"/>
  <c r="DQ12" i="23"/>
  <c r="DQ11" i="23"/>
  <c r="DQ30" i="23"/>
  <c r="DQ22" i="23"/>
  <c r="DR133" i="23" l="1"/>
  <c r="DR150" i="23"/>
  <c r="DR117" i="23"/>
  <c r="DR170" i="23"/>
  <c r="DR148" i="23"/>
  <c r="DR138" i="23"/>
  <c r="DR146" i="23"/>
  <c r="DR127" i="23"/>
  <c r="DR152" i="23"/>
  <c r="DR122" i="23"/>
  <c r="DR124" i="23"/>
  <c r="DR210" i="23"/>
  <c r="DR128" i="23"/>
  <c r="DR174" i="23"/>
  <c r="DR173" i="23"/>
  <c r="DR134" i="23"/>
  <c r="DR166" i="23"/>
  <c r="DR194" i="23"/>
  <c r="DR199" i="23"/>
  <c r="DR203" i="23"/>
  <c r="DR204" i="23"/>
  <c r="DR176" i="23"/>
  <c r="DR193" i="23"/>
  <c r="DR197" i="23"/>
  <c r="DR195" i="23"/>
  <c r="DR209" i="23"/>
  <c r="DR211" i="23"/>
  <c r="DR200" i="23"/>
  <c r="DR212" i="23"/>
  <c r="DR164" i="23"/>
  <c r="DR207" i="23"/>
  <c r="DR192" i="23"/>
  <c r="DR208" i="23"/>
  <c r="DR205" i="23"/>
  <c r="DR196" i="23"/>
  <c r="DR201" i="23"/>
  <c r="DR186" i="23"/>
  <c r="DR181" i="23"/>
  <c r="DR182" i="23"/>
  <c r="DR190" i="23"/>
  <c r="DR188" i="23"/>
  <c r="DR187" i="23"/>
  <c r="DR171" i="23"/>
  <c r="DR183" i="23"/>
  <c r="DR172" i="23"/>
  <c r="DR156" i="23"/>
  <c r="DR184" i="23"/>
  <c r="DR185" i="23"/>
  <c r="DR175" i="23"/>
  <c r="DR163" i="23"/>
  <c r="DR179" i="23"/>
  <c r="DR177" i="23"/>
  <c r="DR155" i="23"/>
  <c r="DR154" i="23"/>
  <c r="DR149" i="23"/>
  <c r="DR141" i="23"/>
  <c r="DR140" i="23"/>
  <c r="DR168" i="23"/>
  <c r="DR153" i="23"/>
  <c r="DR159" i="23"/>
  <c r="DR137" i="23"/>
  <c r="DR178" i="23"/>
  <c r="DR162" i="23"/>
  <c r="DR165" i="23"/>
  <c r="DR157" i="23"/>
  <c r="DR151" i="23"/>
  <c r="DR126" i="23"/>
  <c r="DR135" i="23"/>
  <c r="DR161" i="23"/>
  <c r="DR145" i="23"/>
  <c r="DR116" i="23"/>
  <c r="DR142" i="23"/>
  <c r="DR144" i="23"/>
  <c r="DR129" i="23"/>
  <c r="DR118" i="23"/>
  <c r="DR130" i="23"/>
  <c r="DR132" i="23"/>
  <c r="DR115" i="23"/>
  <c r="DR167" i="23"/>
  <c r="DR120" i="23"/>
  <c r="DR198" i="23"/>
  <c r="DR189" i="23"/>
  <c r="DR119" i="23"/>
  <c r="DR143" i="23"/>
  <c r="DR121" i="23"/>
  <c r="DR123" i="23"/>
  <c r="DR206" i="23"/>
  <c r="DR139" i="23"/>
  <c r="DR160" i="23"/>
  <c r="DR131" i="23"/>
  <c r="DR191" i="23"/>
  <c r="DR202" i="23"/>
  <c r="DR169" i="23"/>
  <c r="DR158" i="23"/>
  <c r="DR136" i="23"/>
  <c r="DR114" i="23"/>
  <c r="DR125" i="23"/>
  <c r="DR147" i="23"/>
  <c r="DR180" i="23"/>
  <c r="DR113" i="23"/>
  <c r="DR112" i="23"/>
  <c r="DR110" i="23"/>
  <c r="DR109" i="23"/>
  <c r="DR108" i="23"/>
  <c r="DR106" i="23"/>
  <c r="DR105" i="23"/>
  <c r="DR111" i="23"/>
  <c r="DR104" i="23"/>
  <c r="DR102" i="23"/>
  <c r="DR100" i="23"/>
  <c r="DR103" i="23"/>
  <c r="DR101" i="23"/>
  <c r="DR99" i="23"/>
  <c r="DR95" i="23"/>
  <c r="DR94" i="23"/>
  <c r="DR98" i="23"/>
  <c r="DR96" i="23"/>
  <c r="DR107" i="23"/>
  <c r="DR97" i="23"/>
  <c r="DR91" i="23"/>
  <c r="DR90" i="23"/>
  <c r="DR93" i="23"/>
  <c r="DR88" i="23"/>
  <c r="DR87" i="23"/>
  <c r="DR92" i="23"/>
  <c r="DR85" i="23"/>
  <c r="DR83" i="23"/>
  <c r="DR77" i="23"/>
  <c r="DR74" i="23"/>
  <c r="DR73" i="23"/>
  <c r="DR82" i="23"/>
  <c r="DR76" i="23"/>
  <c r="DR80" i="23"/>
  <c r="DR84" i="23"/>
  <c r="DR78" i="23"/>
  <c r="DR75" i="23"/>
  <c r="DR71" i="23"/>
  <c r="DR69" i="23"/>
  <c r="DR68" i="23"/>
  <c r="DR72" i="23"/>
  <c r="DR62" i="23"/>
  <c r="DR67" i="23"/>
  <c r="DR61" i="23"/>
  <c r="DR56" i="23"/>
  <c r="DR55" i="23"/>
  <c r="DR86" i="23"/>
  <c r="DR81" i="23"/>
  <c r="DR58" i="23"/>
  <c r="DR50" i="23"/>
  <c r="DR49" i="23"/>
  <c r="DR47" i="23"/>
  <c r="DR66" i="23"/>
  <c r="DR64" i="23"/>
  <c r="DR44" i="23"/>
  <c r="DR79" i="23"/>
  <c r="DR65" i="23"/>
  <c r="DR59" i="23"/>
  <c r="DR43" i="23"/>
  <c r="DR37" i="23"/>
  <c r="DR63" i="23"/>
  <c r="DR60" i="23"/>
  <c r="DR52" i="23"/>
  <c r="DR46" i="23"/>
  <c r="DR45" i="23"/>
  <c r="DR32" i="23"/>
  <c r="DR70" i="23"/>
  <c r="DR48" i="23"/>
  <c r="DR41" i="23"/>
  <c r="DR39" i="23"/>
  <c r="DR38" i="23"/>
  <c r="DR36" i="23"/>
  <c r="DR54" i="23"/>
  <c r="DR53" i="23"/>
  <c r="DR20" i="23"/>
  <c r="DR42" i="23"/>
  <c r="DR31" i="23"/>
  <c r="DR27" i="23"/>
  <c r="DR25" i="23"/>
  <c r="DR22" i="23"/>
  <c r="DR89" i="23"/>
  <c r="DR51" i="23"/>
  <c r="DR21" i="23"/>
  <c r="DR15" i="23"/>
  <c r="DR13" i="23"/>
  <c r="DR5" i="23"/>
  <c r="DR35" i="23"/>
  <c r="DR30" i="23"/>
  <c r="DR57" i="23"/>
  <c r="DR10" i="23"/>
  <c r="DR12" i="23"/>
  <c r="DR17" i="23"/>
  <c r="DR7" i="23"/>
  <c r="DR4" i="23"/>
  <c r="DR33" i="23"/>
  <c r="DR26" i="23"/>
  <c r="DR16" i="23"/>
  <c r="DR14" i="23"/>
  <c r="DR6" i="23"/>
  <c r="DR23" i="23"/>
  <c r="DR8" i="23"/>
  <c r="DS2" i="23"/>
  <c r="DR40" i="23"/>
  <c r="DR18" i="23"/>
  <c r="DR11" i="23"/>
  <c r="DR19" i="23"/>
  <c r="DR9" i="23"/>
  <c r="DR34" i="23"/>
  <c r="DR29" i="23"/>
  <c r="DR24" i="23"/>
  <c r="DR28" i="23"/>
  <c r="DS193" i="23" l="1"/>
  <c r="DS144" i="23"/>
  <c r="DS151" i="23"/>
  <c r="DS166" i="23"/>
  <c r="DS128" i="23"/>
  <c r="DS117" i="23"/>
  <c r="DS127" i="23"/>
  <c r="DS197" i="23"/>
  <c r="DS201" i="23"/>
  <c r="DS131" i="23"/>
  <c r="DS149" i="23"/>
  <c r="DS211" i="23"/>
  <c r="DS143" i="23"/>
  <c r="DS189" i="23"/>
  <c r="DS152" i="23"/>
  <c r="DS205" i="23"/>
  <c r="DS212" i="23"/>
  <c r="DS209" i="23"/>
  <c r="DS206" i="23"/>
  <c r="DS210" i="23"/>
  <c r="DS194" i="23"/>
  <c r="DS195" i="23"/>
  <c r="DS207" i="23"/>
  <c r="DS187" i="23"/>
  <c r="DS199" i="23"/>
  <c r="DS200" i="23"/>
  <c r="DS196" i="23"/>
  <c r="DS173" i="23"/>
  <c r="DS208" i="23"/>
  <c r="DS181" i="23"/>
  <c r="DS188" i="23"/>
  <c r="DS203" i="23"/>
  <c r="DS190" i="23"/>
  <c r="DS172" i="23"/>
  <c r="DS182" i="23"/>
  <c r="DS179" i="23"/>
  <c r="DS160" i="23"/>
  <c r="DS198" i="23"/>
  <c r="DS184" i="23"/>
  <c r="DS171" i="23"/>
  <c r="DS168" i="23"/>
  <c r="DS154" i="23"/>
  <c r="DS159" i="23"/>
  <c r="DS164" i="23"/>
  <c r="DS150" i="23"/>
  <c r="DS177" i="23"/>
  <c r="DS175" i="23"/>
  <c r="DS170" i="23"/>
  <c r="DS178" i="23"/>
  <c r="DS163" i="23"/>
  <c r="DS157" i="23"/>
  <c r="DS142" i="23"/>
  <c r="DS192" i="23"/>
  <c r="DS138" i="23"/>
  <c r="DS137" i="23"/>
  <c r="DS204" i="23"/>
  <c r="DS162" i="23"/>
  <c r="DS148" i="23"/>
  <c r="DS139" i="23"/>
  <c r="DS130" i="23"/>
  <c r="DS186" i="23"/>
  <c r="DS185" i="23"/>
  <c r="DS141" i="23"/>
  <c r="DS153" i="23"/>
  <c r="DS129" i="23"/>
  <c r="DS132" i="23"/>
  <c r="DS123" i="23"/>
  <c r="DS135" i="23"/>
  <c r="DS116" i="23"/>
  <c r="DS118" i="23"/>
  <c r="DS167" i="23"/>
  <c r="DS146" i="23"/>
  <c r="DS124" i="23"/>
  <c r="DS174" i="23"/>
  <c r="DS165" i="23"/>
  <c r="DS155" i="23"/>
  <c r="DS126" i="23"/>
  <c r="DS119" i="23"/>
  <c r="DS122" i="23"/>
  <c r="DS121" i="23"/>
  <c r="DS183" i="23"/>
  <c r="DS176" i="23"/>
  <c r="DS140" i="23"/>
  <c r="DS133" i="23"/>
  <c r="DS156" i="23"/>
  <c r="DS115" i="23"/>
  <c r="DS161" i="23"/>
  <c r="DS134" i="23"/>
  <c r="DS145" i="23"/>
  <c r="DS120" i="23"/>
  <c r="DS158" i="23"/>
  <c r="DS136" i="23"/>
  <c r="DS180" i="23"/>
  <c r="DS169" i="23"/>
  <c r="DS125" i="23"/>
  <c r="DS202" i="23"/>
  <c r="DS191" i="23"/>
  <c r="DS147" i="23"/>
  <c r="DS114" i="23"/>
  <c r="DS113" i="23"/>
  <c r="DS112" i="23"/>
  <c r="DS111" i="23"/>
  <c r="DS110" i="23"/>
  <c r="DS109" i="23"/>
  <c r="DS107" i="23"/>
  <c r="DS106" i="23"/>
  <c r="DS104" i="23"/>
  <c r="DS102" i="23"/>
  <c r="DS105" i="23"/>
  <c r="DS103" i="23"/>
  <c r="DS108" i="23"/>
  <c r="DS98" i="23"/>
  <c r="DS97" i="23"/>
  <c r="DS101" i="23"/>
  <c r="DS93" i="23"/>
  <c r="DS99" i="23"/>
  <c r="DS94" i="23"/>
  <c r="DS91" i="23"/>
  <c r="DS92" i="23"/>
  <c r="DS85" i="23"/>
  <c r="DS100" i="23"/>
  <c r="DS84" i="23"/>
  <c r="DS90" i="23"/>
  <c r="DS89" i="23"/>
  <c r="DS83" i="23"/>
  <c r="DS82" i="23"/>
  <c r="DS80" i="23"/>
  <c r="DS96" i="23"/>
  <c r="DS95" i="23"/>
  <c r="DS77" i="23"/>
  <c r="DS79" i="23"/>
  <c r="DS71" i="23"/>
  <c r="DS78" i="23"/>
  <c r="DS70" i="23"/>
  <c r="DS74" i="23"/>
  <c r="DS75" i="23"/>
  <c r="DS86" i="23"/>
  <c r="DS66" i="23"/>
  <c r="DS65" i="23"/>
  <c r="DS88" i="23"/>
  <c r="DS69" i="23"/>
  <c r="DS67" i="23"/>
  <c r="DS61" i="23"/>
  <c r="DS68" i="23"/>
  <c r="DS56" i="23"/>
  <c r="DS53" i="23"/>
  <c r="DS76" i="23"/>
  <c r="DS64" i="23"/>
  <c r="DS52" i="23"/>
  <c r="DS58" i="23"/>
  <c r="DS50" i="23"/>
  <c r="DS49" i="23"/>
  <c r="DS47" i="23"/>
  <c r="DS72" i="23"/>
  <c r="DS73" i="23"/>
  <c r="DS60" i="23"/>
  <c r="DS57" i="23"/>
  <c r="DS51" i="23"/>
  <c r="DS54" i="23"/>
  <c r="DS40" i="23"/>
  <c r="DS63" i="23"/>
  <c r="DS46" i="23"/>
  <c r="DS45" i="23"/>
  <c r="DS87" i="23"/>
  <c r="DS55" i="23"/>
  <c r="DS48" i="23"/>
  <c r="DS41" i="23"/>
  <c r="DS39" i="23"/>
  <c r="DS34" i="23"/>
  <c r="DS42" i="23"/>
  <c r="DS33" i="23"/>
  <c r="DS59" i="23"/>
  <c r="DS81" i="23"/>
  <c r="DS32" i="23"/>
  <c r="DS31" i="23"/>
  <c r="DS27" i="23"/>
  <c r="DS25" i="23"/>
  <c r="DS62" i="23"/>
  <c r="DS44" i="23"/>
  <c r="DS22" i="23"/>
  <c r="DS30" i="23"/>
  <c r="DS29" i="23"/>
  <c r="DS19" i="23"/>
  <c r="DS28" i="23"/>
  <c r="DS36" i="23"/>
  <c r="DS10" i="23"/>
  <c r="DS24" i="23"/>
  <c r="DS37" i="23"/>
  <c r="DS17" i="23"/>
  <c r="DS7" i="23"/>
  <c r="DS9" i="23"/>
  <c r="DS38" i="23"/>
  <c r="DS35" i="23"/>
  <c r="DS21" i="23"/>
  <c r="DS12" i="23"/>
  <c r="DS4" i="23"/>
  <c r="DS23" i="23"/>
  <c r="DS20" i="23"/>
  <c r="DS11" i="23"/>
  <c r="DS18" i="23"/>
  <c r="DS14" i="23"/>
  <c r="DS6" i="23"/>
  <c r="DS16" i="23"/>
  <c r="DT2" i="23"/>
  <c r="DS26" i="23"/>
  <c r="DS15" i="23"/>
  <c r="DS43" i="23"/>
  <c r="DS5" i="23"/>
  <c r="DS13" i="23"/>
  <c r="DS8" i="23"/>
  <c r="DT210" i="23" l="1"/>
  <c r="DT192" i="23"/>
  <c r="DT189" i="23"/>
  <c r="DT164" i="23"/>
  <c r="DT198" i="23"/>
  <c r="DT120" i="23"/>
  <c r="DT159" i="23"/>
  <c r="DT167" i="23"/>
  <c r="DT140" i="23"/>
  <c r="DT197" i="23"/>
  <c r="DT144" i="23"/>
  <c r="DT204" i="23"/>
  <c r="DT208" i="23"/>
  <c r="DT145" i="23"/>
  <c r="DT206" i="23"/>
  <c r="DT211" i="23"/>
  <c r="DT194" i="23"/>
  <c r="DT200" i="23"/>
  <c r="DT203" i="23"/>
  <c r="DT195" i="23"/>
  <c r="DT182" i="23"/>
  <c r="DT205" i="23"/>
  <c r="DT207" i="23"/>
  <c r="DT196" i="23"/>
  <c r="DT184" i="23"/>
  <c r="DT212" i="23"/>
  <c r="DT209" i="23"/>
  <c r="DT193" i="23"/>
  <c r="DT199" i="23"/>
  <c r="DT186" i="23"/>
  <c r="DT181" i="23"/>
  <c r="DT187" i="23"/>
  <c r="DT170" i="23"/>
  <c r="DT174" i="23"/>
  <c r="DT175" i="23"/>
  <c r="DT150" i="23"/>
  <c r="DT190" i="23"/>
  <c r="DT176" i="23"/>
  <c r="DT162" i="23"/>
  <c r="DT188" i="23"/>
  <c r="DT156" i="23"/>
  <c r="DT183" i="23"/>
  <c r="DT177" i="23"/>
  <c r="DT179" i="23"/>
  <c r="DT148" i="23"/>
  <c r="DT149" i="23"/>
  <c r="DT141" i="23"/>
  <c r="DT153" i="23"/>
  <c r="DT152" i="23"/>
  <c r="DT137" i="23"/>
  <c r="DT142" i="23"/>
  <c r="DT172" i="23"/>
  <c r="DT178" i="23"/>
  <c r="DT166" i="23"/>
  <c r="DT155" i="23"/>
  <c r="DT154" i="23"/>
  <c r="DT151" i="23"/>
  <c r="DT173" i="23"/>
  <c r="DT165" i="23"/>
  <c r="DT138" i="23"/>
  <c r="DT139" i="23"/>
  <c r="DT132" i="23"/>
  <c r="DT133" i="23"/>
  <c r="DT134" i="23"/>
  <c r="DT201" i="23"/>
  <c r="DT161" i="23"/>
  <c r="DT168" i="23"/>
  <c r="DT143" i="23"/>
  <c r="DT119" i="23"/>
  <c r="DT121" i="23"/>
  <c r="DT123" i="23"/>
  <c r="DT122" i="23"/>
  <c r="DT115" i="23"/>
  <c r="DT116" i="23"/>
  <c r="DT160" i="23"/>
  <c r="DT146" i="23"/>
  <c r="DT163" i="23"/>
  <c r="DT126" i="23"/>
  <c r="DT127" i="23"/>
  <c r="DT135" i="23"/>
  <c r="DT130" i="23"/>
  <c r="DT117" i="23"/>
  <c r="DT129" i="23"/>
  <c r="DT124" i="23"/>
  <c r="DT118" i="23"/>
  <c r="DT128" i="23"/>
  <c r="DT185" i="23"/>
  <c r="DT157" i="23"/>
  <c r="DT171" i="23"/>
  <c r="DT131" i="23"/>
  <c r="DT202" i="23"/>
  <c r="DT114" i="23"/>
  <c r="DT191" i="23"/>
  <c r="DT169" i="23"/>
  <c r="DT158" i="23"/>
  <c r="DT180" i="23"/>
  <c r="DT125" i="23"/>
  <c r="DT147" i="23"/>
  <c r="DT136" i="23"/>
  <c r="DT111" i="23"/>
  <c r="DT110" i="23"/>
  <c r="DT112" i="23"/>
  <c r="DT107" i="23"/>
  <c r="DT113" i="23"/>
  <c r="DT109" i="23"/>
  <c r="DT105" i="23"/>
  <c r="DT103" i="23"/>
  <c r="DT97" i="23"/>
  <c r="DT99" i="23"/>
  <c r="DT96" i="23"/>
  <c r="DT101" i="23"/>
  <c r="DT100" i="23"/>
  <c r="DT106" i="23"/>
  <c r="DT95" i="23"/>
  <c r="DT102" i="23"/>
  <c r="DT93" i="23"/>
  <c r="DT92" i="23"/>
  <c r="DT94" i="23"/>
  <c r="DT89" i="23"/>
  <c r="DT108" i="23"/>
  <c r="DT90" i="23"/>
  <c r="DT104" i="23"/>
  <c r="DT88" i="23"/>
  <c r="DT86" i="23"/>
  <c r="DT91" i="23"/>
  <c r="DT79" i="23"/>
  <c r="DT85" i="23"/>
  <c r="DT76" i="23"/>
  <c r="DT81" i="23"/>
  <c r="DT75" i="23"/>
  <c r="DT80" i="23"/>
  <c r="DT84" i="23"/>
  <c r="DT78" i="23"/>
  <c r="DT98" i="23"/>
  <c r="DT63" i="23"/>
  <c r="DT72" i="23"/>
  <c r="DT70" i="23"/>
  <c r="DT77" i="23"/>
  <c r="DT68" i="23"/>
  <c r="DT56" i="23"/>
  <c r="DT60" i="23"/>
  <c r="DT58" i="23"/>
  <c r="DT50" i="23"/>
  <c r="DT65" i="23"/>
  <c r="DT59" i="23"/>
  <c r="DT57" i="23"/>
  <c r="DT83" i="23"/>
  <c r="DT73" i="23"/>
  <c r="DT71" i="23"/>
  <c r="DT66" i="23"/>
  <c r="DT64" i="23"/>
  <c r="DT51" i="23"/>
  <c r="DT74" i="23"/>
  <c r="DT52" i="23"/>
  <c r="DT48" i="23"/>
  <c r="DT46" i="23"/>
  <c r="DT82" i="23"/>
  <c r="DT67" i="23"/>
  <c r="DT62" i="23"/>
  <c r="DT55" i="23"/>
  <c r="DT45" i="23"/>
  <c r="DT87" i="23"/>
  <c r="DT41" i="23"/>
  <c r="DT39" i="23"/>
  <c r="DT61" i="23"/>
  <c r="DT34" i="23"/>
  <c r="DT31" i="23"/>
  <c r="DT47" i="23"/>
  <c r="DT43" i="23"/>
  <c r="DT40" i="23"/>
  <c r="DT69" i="23"/>
  <c r="DT53" i="23"/>
  <c r="DT44" i="23"/>
  <c r="DT42" i="23"/>
  <c r="DT22" i="23"/>
  <c r="DT30" i="23"/>
  <c r="DT29" i="23"/>
  <c r="DT19" i="23"/>
  <c r="DT49" i="23"/>
  <c r="DT36" i="23"/>
  <c r="DT26" i="23"/>
  <c r="DT24" i="23"/>
  <c r="DT35" i="23"/>
  <c r="DT23" i="23"/>
  <c r="DT37" i="23"/>
  <c r="DT25" i="23"/>
  <c r="DT17" i="23"/>
  <c r="DT7" i="23"/>
  <c r="DT38" i="23"/>
  <c r="DT27" i="23"/>
  <c r="DT21" i="23"/>
  <c r="DT12" i="23"/>
  <c r="DT4" i="23"/>
  <c r="DT32" i="23"/>
  <c r="DT9" i="23"/>
  <c r="DT16" i="23"/>
  <c r="DT14" i="23"/>
  <c r="DT6" i="23"/>
  <c r="DT18" i="23"/>
  <c r="DT8" i="23"/>
  <c r="DU2" i="23"/>
  <c r="DT28" i="23"/>
  <c r="DT15" i="23"/>
  <c r="DT13" i="23"/>
  <c r="DT11" i="23"/>
  <c r="DT5" i="23"/>
  <c r="DT20" i="23"/>
  <c r="DT33" i="23"/>
  <c r="DT10" i="23"/>
  <c r="DT54" i="23"/>
  <c r="DU205" i="23" l="1"/>
  <c r="DU206" i="23"/>
  <c r="DU134" i="23"/>
  <c r="DU149" i="23"/>
  <c r="DU116" i="23"/>
  <c r="DU124" i="23"/>
  <c r="DU131" i="23"/>
  <c r="DU127" i="23"/>
  <c r="DU130" i="23"/>
  <c r="DU145" i="23"/>
  <c r="DU128" i="23"/>
  <c r="DU126" i="23"/>
  <c r="DU194" i="23"/>
  <c r="DU139" i="23"/>
  <c r="DU211" i="23"/>
  <c r="DU173" i="23"/>
  <c r="DU203" i="23"/>
  <c r="DU207" i="23"/>
  <c r="DU210" i="23"/>
  <c r="DU201" i="23"/>
  <c r="DU212" i="23"/>
  <c r="DU195" i="23"/>
  <c r="DU164" i="23"/>
  <c r="DU200" i="23"/>
  <c r="DU204" i="23"/>
  <c r="DU208" i="23"/>
  <c r="DU192" i="23"/>
  <c r="DU187" i="23"/>
  <c r="DU186" i="23"/>
  <c r="DU177" i="23"/>
  <c r="DU190" i="23"/>
  <c r="DU188" i="23"/>
  <c r="DU171" i="23"/>
  <c r="DU199" i="23"/>
  <c r="DU181" i="23"/>
  <c r="DU185" i="23"/>
  <c r="DU184" i="23"/>
  <c r="DU172" i="23"/>
  <c r="DU189" i="23"/>
  <c r="DU176" i="23"/>
  <c r="DU161" i="23"/>
  <c r="DU209" i="23"/>
  <c r="DU193" i="23"/>
  <c r="DU197" i="23"/>
  <c r="DU178" i="23"/>
  <c r="DU160" i="23"/>
  <c r="DU174" i="23"/>
  <c r="DU163" i="23"/>
  <c r="DU153" i="23"/>
  <c r="DU198" i="23"/>
  <c r="DU182" i="23"/>
  <c r="DU168" i="23"/>
  <c r="DU155" i="23"/>
  <c r="DU151" i="23"/>
  <c r="DU179" i="23"/>
  <c r="DU150" i="23"/>
  <c r="DU152" i="23"/>
  <c r="DU170" i="23"/>
  <c r="DU166" i="23"/>
  <c r="DU157" i="23"/>
  <c r="DU138" i="23"/>
  <c r="DU165" i="23"/>
  <c r="DU129" i="23"/>
  <c r="DU159" i="23"/>
  <c r="DU132" i="23"/>
  <c r="DU121" i="23"/>
  <c r="DU162" i="23"/>
  <c r="DU115" i="23"/>
  <c r="DU156" i="23"/>
  <c r="DU120" i="23"/>
  <c r="DU123" i="23"/>
  <c r="DU122" i="23"/>
  <c r="DU183" i="23"/>
  <c r="DU143" i="23"/>
  <c r="DU140" i="23"/>
  <c r="DU142" i="23"/>
  <c r="DU133" i="23"/>
  <c r="DU135" i="23"/>
  <c r="DU118" i="23"/>
  <c r="DU154" i="23"/>
  <c r="DU175" i="23"/>
  <c r="DU117" i="23"/>
  <c r="DU146" i="23"/>
  <c r="DU119" i="23"/>
  <c r="DU148" i="23"/>
  <c r="DU167" i="23"/>
  <c r="DU137" i="23"/>
  <c r="DU144" i="23"/>
  <c r="DU141" i="23"/>
  <c r="DU196" i="23"/>
  <c r="DU202" i="23"/>
  <c r="DU169" i="23"/>
  <c r="DU158" i="23"/>
  <c r="DU136" i="23"/>
  <c r="DU114" i="23"/>
  <c r="DU147" i="23"/>
  <c r="DU180" i="23"/>
  <c r="DU125" i="23"/>
  <c r="DU191" i="23"/>
  <c r="DU112" i="23"/>
  <c r="DU111" i="23"/>
  <c r="DU108" i="23"/>
  <c r="DU107" i="23"/>
  <c r="DU110" i="23"/>
  <c r="DU105" i="23"/>
  <c r="DU109" i="23"/>
  <c r="DU104" i="23"/>
  <c r="DU102" i="23"/>
  <c r="DU113" i="23"/>
  <c r="DU103" i="23"/>
  <c r="DU101" i="23"/>
  <c r="DU106" i="23"/>
  <c r="DU99" i="23"/>
  <c r="DU98" i="23"/>
  <c r="DU94" i="23"/>
  <c r="DU100" i="23"/>
  <c r="DU93" i="23"/>
  <c r="DU97" i="23"/>
  <c r="DU90" i="23"/>
  <c r="DU92" i="23"/>
  <c r="DU89" i="23"/>
  <c r="DU96" i="23"/>
  <c r="DU87" i="23"/>
  <c r="DU95" i="23"/>
  <c r="DU86" i="23"/>
  <c r="DU88" i="23"/>
  <c r="DU79" i="23"/>
  <c r="DU85" i="23"/>
  <c r="DU76" i="23"/>
  <c r="DU73" i="23"/>
  <c r="DU91" i="23"/>
  <c r="DU84" i="23"/>
  <c r="DU82" i="23"/>
  <c r="DU80" i="23"/>
  <c r="DU72" i="23"/>
  <c r="DU78" i="23"/>
  <c r="DU75" i="23"/>
  <c r="DU81" i="23"/>
  <c r="DU69" i="23"/>
  <c r="DU68" i="23"/>
  <c r="DU67" i="23"/>
  <c r="DU60" i="23"/>
  <c r="DU58" i="23"/>
  <c r="DU71" i="23"/>
  <c r="DU70" i="23"/>
  <c r="DU63" i="23"/>
  <c r="DU55" i="23"/>
  <c r="DU66" i="23"/>
  <c r="DU62" i="23"/>
  <c r="DU54" i="23"/>
  <c r="DU64" i="23"/>
  <c r="DU51" i="23"/>
  <c r="DU74" i="23"/>
  <c r="DU57" i="23"/>
  <c r="DU52" i="23"/>
  <c r="DU48" i="23"/>
  <c r="DU46" i="23"/>
  <c r="DU53" i="23"/>
  <c r="DU43" i="23"/>
  <c r="DU77" i="23"/>
  <c r="DU42" i="23"/>
  <c r="DU65" i="23"/>
  <c r="DU61" i="23"/>
  <c r="DU56" i="23"/>
  <c r="DU50" i="23"/>
  <c r="DU31" i="23"/>
  <c r="DU83" i="23"/>
  <c r="DU38" i="23"/>
  <c r="DU36" i="23"/>
  <c r="DU49" i="23"/>
  <c r="DU44" i="23"/>
  <c r="DU37" i="23"/>
  <c r="DU35" i="23"/>
  <c r="DU41" i="23"/>
  <c r="DU39" i="23"/>
  <c r="DU30" i="23"/>
  <c r="DU29" i="23"/>
  <c r="DU19" i="23"/>
  <c r="DU59" i="23"/>
  <c r="DU47" i="23"/>
  <c r="DU26" i="23"/>
  <c r="DU24" i="23"/>
  <c r="DU40" i="23"/>
  <c r="DU21" i="23"/>
  <c r="DU34" i="23"/>
  <c r="DU33" i="23"/>
  <c r="DU20" i="23"/>
  <c r="DU27" i="23"/>
  <c r="DU12" i="23"/>
  <c r="DU4" i="23"/>
  <c r="DU11" i="23"/>
  <c r="DU32" i="23"/>
  <c r="DU9" i="23"/>
  <c r="DU16" i="23"/>
  <c r="DU14" i="23"/>
  <c r="DU6" i="23"/>
  <c r="DU28" i="23"/>
  <c r="DU15" i="23"/>
  <c r="DU13" i="23"/>
  <c r="DU5" i="23"/>
  <c r="DU22" i="23"/>
  <c r="DU18" i="23"/>
  <c r="DU10" i="23"/>
  <c r="DU17" i="23"/>
  <c r="DU45" i="23"/>
  <c r="DU25" i="23"/>
  <c r="DU7" i="23"/>
  <c r="DU23" i="23"/>
  <c r="DU8" i="23"/>
  <c r="DV2" i="23"/>
  <c r="DV115" i="23" l="1"/>
  <c r="DV206" i="23"/>
  <c r="DV174" i="23"/>
  <c r="DV201" i="23"/>
  <c r="DV176" i="23"/>
  <c r="DV127" i="23"/>
  <c r="DV211" i="23"/>
  <c r="DV130" i="23"/>
  <c r="DV197" i="23"/>
  <c r="DV138" i="23"/>
  <c r="DV129" i="23"/>
  <c r="DV183" i="23"/>
  <c r="DV166" i="23"/>
  <c r="DV116" i="23"/>
  <c r="DV124" i="23"/>
  <c r="DV164" i="23"/>
  <c r="DV204" i="23"/>
  <c r="DV200" i="23"/>
  <c r="DV212" i="23"/>
  <c r="DV208" i="23"/>
  <c r="DV210" i="23"/>
  <c r="DV205" i="23"/>
  <c r="DV189" i="23"/>
  <c r="DV194" i="23"/>
  <c r="DV195" i="23"/>
  <c r="DV209" i="23"/>
  <c r="DV199" i="23"/>
  <c r="DV192" i="23"/>
  <c r="DV121" i="23"/>
  <c r="DV182" i="23"/>
  <c r="DV203" i="23"/>
  <c r="DV207" i="23"/>
  <c r="DV198" i="23"/>
  <c r="DV181" i="23"/>
  <c r="DV186" i="23"/>
  <c r="DV187" i="23"/>
  <c r="DV193" i="23"/>
  <c r="DV190" i="23"/>
  <c r="DV184" i="23"/>
  <c r="DV171" i="23"/>
  <c r="DV196" i="23"/>
  <c r="DV175" i="23"/>
  <c r="DV165" i="23"/>
  <c r="DV178" i="23"/>
  <c r="DV179" i="23"/>
  <c r="DV159" i="23"/>
  <c r="DV154" i="23"/>
  <c r="DV188" i="23"/>
  <c r="DV162" i="23"/>
  <c r="DV152" i="23"/>
  <c r="DV160" i="23"/>
  <c r="DV163" i="23"/>
  <c r="DV137" i="23"/>
  <c r="DV139" i="23"/>
  <c r="DV167" i="23"/>
  <c r="DV148" i="23"/>
  <c r="DV157" i="23"/>
  <c r="DV149" i="23"/>
  <c r="DV146" i="23"/>
  <c r="DV134" i="23"/>
  <c r="DV151" i="23"/>
  <c r="DV128" i="23"/>
  <c r="DV177" i="23"/>
  <c r="DV156" i="23"/>
  <c r="DV153" i="23"/>
  <c r="DV161" i="23"/>
  <c r="DV168" i="23"/>
  <c r="DV155" i="23"/>
  <c r="DV144" i="23"/>
  <c r="DV132" i="23"/>
  <c r="DV119" i="23"/>
  <c r="DV118" i="23"/>
  <c r="DV117" i="23"/>
  <c r="DV185" i="23"/>
  <c r="DV172" i="23"/>
  <c r="DV150" i="23"/>
  <c r="DV143" i="23"/>
  <c r="DV131" i="23"/>
  <c r="DV173" i="23"/>
  <c r="DV142" i="23"/>
  <c r="DV133" i="23"/>
  <c r="DV123" i="23"/>
  <c r="DV141" i="23"/>
  <c r="DV135" i="23"/>
  <c r="DV145" i="23"/>
  <c r="DV120" i="23"/>
  <c r="DV122" i="23"/>
  <c r="DV140" i="23"/>
  <c r="DV126" i="23"/>
  <c r="DV170" i="23"/>
  <c r="DV202" i="23"/>
  <c r="DV114" i="23"/>
  <c r="DV136" i="23"/>
  <c r="DV147" i="23"/>
  <c r="DV125" i="23"/>
  <c r="DV191" i="23"/>
  <c r="DV169" i="23"/>
  <c r="DV158" i="23"/>
  <c r="DV180" i="23"/>
  <c r="DV111" i="23"/>
  <c r="DV113" i="23"/>
  <c r="DV112" i="23"/>
  <c r="DV109" i="23"/>
  <c r="DV108" i="23"/>
  <c r="DV110" i="23"/>
  <c r="DV106" i="23"/>
  <c r="DV105" i="23"/>
  <c r="DV103" i="23"/>
  <c r="DV101" i="23"/>
  <c r="DV107" i="23"/>
  <c r="DV100" i="23"/>
  <c r="DV102" i="23"/>
  <c r="DV96" i="23"/>
  <c r="DV93" i="23"/>
  <c r="DV92" i="23"/>
  <c r="DV94" i="23"/>
  <c r="DV104" i="23"/>
  <c r="DV91" i="23"/>
  <c r="DV90" i="23"/>
  <c r="DV83" i="23"/>
  <c r="DV88" i="23"/>
  <c r="DV89" i="23"/>
  <c r="DV86" i="23"/>
  <c r="DV98" i="23"/>
  <c r="DV87" i="23"/>
  <c r="DV82" i="23"/>
  <c r="DV80" i="23"/>
  <c r="DV99" i="23"/>
  <c r="DV95" i="23"/>
  <c r="DV84" i="23"/>
  <c r="DV81" i="23"/>
  <c r="DV85" i="23"/>
  <c r="DV78" i="23"/>
  <c r="DV77" i="23"/>
  <c r="DV97" i="23"/>
  <c r="DV69" i="23"/>
  <c r="DV71" i="23"/>
  <c r="DV65" i="23"/>
  <c r="DV74" i="23"/>
  <c r="DV73" i="23"/>
  <c r="DV64" i="23"/>
  <c r="DV60" i="23"/>
  <c r="DV58" i="23"/>
  <c r="DV70" i="23"/>
  <c r="DV63" i="23"/>
  <c r="DV75" i="23"/>
  <c r="DV52" i="23"/>
  <c r="DV61" i="23"/>
  <c r="DV51" i="23"/>
  <c r="DV72" i="23"/>
  <c r="DV66" i="23"/>
  <c r="DV57" i="23"/>
  <c r="DV48" i="23"/>
  <c r="DV46" i="23"/>
  <c r="DV76" i="23"/>
  <c r="DV53" i="23"/>
  <c r="DV59" i="23"/>
  <c r="DV56" i="23"/>
  <c r="DV49" i="23"/>
  <c r="DV47" i="23"/>
  <c r="DV55" i="23"/>
  <c r="DV50" i="23"/>
  <c r="DV38" i="23"/>
  <c r="DV36" i="23"/>
  <c r="DV79" i="23"/>
  <c r="DV68" i="23"/>
  <c r="DV62" i="23"/>
  <c r="DV33" i="23"/>
  <c r="DV54" i="23"/>
  <c r="DV32" i="23"/>
  <c r="DV26" i="23"/>
  <c r="DV24" i="23"/>
  <c r="DV40" i="23"/>
  <c r="DV21" i="23"/>
  <c r="DV28" i="23"/>
  <c r="DV67" i="23"/>
  <c r="DV37" i="23"/>
  <c r="DV27" i="23"/>
  <c r="DV25" i="23"/>
  <c r="DV39" i="23"/>
  <c r="DV9" i="23"/>
  <c r="DV23" i="23"/>
  <c r="DW2" i="23"/>
  <c r="DV35" i="23"/>
  <c r="DV16" i="23"/>
  <c r="DV14" i="23"/>
  <c r="DV6" i="23"/>
  <c r="DV43" i="23"/>
  <c r="DV29" i="23"/>
  <c r="DV20" i="23"/>
  <c r="DV18" i="23"/>
  <c r="DV30" i="23"/>
  <c r="DV11" i="23"/>
  <c r="DV42" i="23"/>
  <c r="DV8" i="23"/>
  <c r="DV44" i="23"/>
  <c r="DV41" i="23"/>
  <c r="DV22" i="23"/>
  <c r="DV10" i="23"/>
  <c r="DV45" i="23"/>
  <c r="DV34" i="23"/>
  <c r="DV31" i="23"/>
  <c r="DV19" i="23"/>
  <c r="DV17" i="23"/>
  <c r="DV15" i="23"/>
  <c r="DV4" i="23"/>
  <c r="DV12" i="23"/>
  <c r="DV7" i="23"/>
  <c r="DV5" i="23"/>
  <c r="DV13" i="23"/>
  <c r="DW131" i="23" l="1"/>
  <c r="DW166" i="23"/>
  <c r="DW124" i="23"/>
  <c r="DW210" i="23"/>
  <c r="DW178" i="23"/>
  <c r="DW174" i="23"/>
  <c r="DW128" i="23"/>
  <c r="DW135" i="23"/>
  <c r="DW123" i="23"/>
  <c r="DW170" i="23"/>
  <c r="DW197" i="23"/>
  <c r="DW132" i="23"/>
  <c r="DW149" i="23"/>
  <c r="DW164" i="23"/>
  <c r="DW115" i="23"/>
  <c r="DW121" i="23"/>
  <c r="DW200" i="23"/>
  <c r="DW208" i="23"/>
  <c r="DW144" i="23"/>
  <c r="DW209" i="23"/>
  <c r="DW203" i="23"/>
  <c r="DW127" i="23"/>
  <c r="DW212" i="23"/>
  <c r="DW206" i="23"/>
  <c r="DW189" i="23"/>
  <c r="DW194" i="23"/>
  <c r="DW211" i="23"/>
  <c r="DW207" i="23"/>
  <c r="DW193" i="23"/>
  <c r="DW204" i="23"/>
  <c r="DW205" i="23"/>
  <c r="DW195" i="23"/>
  <c r="DW187" i="23"/>
  <c r="DW199" i="23"/>
  <c r="DW184" i="23"/>
  <c r="DW186" i="23"/>
  <c r="DW181" i="23"/>
  <c r="DW183" i="23"/>
  <c r="DW188" i="23"/>
  <c r="DW182" i="23"/>
  <c r="DW175" i="23"/>
  <c r="DW196" i="23"/>
  <c r="DW201" i="23"/>
  <c r="DW173" i="23"/>
  <c r="DW150" i="23"/>
  <c r="DW185" i="23"/>
  <c r="DW171" i="23"/>
  <c r="DW176" i="23"/>
  <c r="DW179" i="23"/>
  <c r="DW163" i="23"/>
  <c r="DW159" i="23"/>
  <c r="DW167" i="23"/>
  <c r="DW148" i="23"/>
  <c r="DW190" i="23"/>
  <c r="DW151" i="23"/>
  <c r="DW138" i="23"/>
  <c r="DW157" i="23"/>
  <c r="DW140" i="23"/>
  <c r="DW142" i="23"/>
  <c r="DW162" i="23"/>
  <c r="DW143" i="23"/>
  <c r="DW145" i="23"/>
  <c r="DW153" i="23"/>
  <c r="DW133" i="23"/>
  <c r="DW154" i="23"/>
  <c r="DW165" i="23"/>
  <c r="DW155" i="23"/>
  <c r="DW152" i="23"/>
  <c r="DW126" i="23"/>
  <c r="DW119" i="23"/>
  <c r="DW198" i="23"/>
  <c r="DW146" i="23"/>
  <c r="DW130" i="23"/>
  <c r="DW134" i="23"/>
  <c r="DW172" i="23"/>
  <c r="DW161" i="23"/>
  <c r="DW120" i="23"/>
  <c r="DW156" i="23"/>
  <c r="DW192" i="23"/>
  <c r="DW139" i="23"/>
  <c r="DW141" i="23"/>
  <c r="DW116" i="23"/>
  <c r="DW117" i="23"/>
  <c r="DW129" i="23"/>
  <c r="DW160" i="23"/>
  <c r="DW168" i="23"/>
  <c r="DW118" i="23"/>
  <c r="DW122" i="23"/>
  <c r="DW177" i="23"/>
  <c r="DW137" i="23"/>
  <c r="DW158" i="23"/>
  <c r="DW136" i="23"/>
  <c r="DW202" i="23"/>
  <c r="DW191" i="23"/>
  <c r="DW180" i="23"/>
  <c r="DW169" i="23"/>
  <c r="DW125" i="23"/>
  <c r="DW147" i="23"/>
  <c r="DW114" i="23"/>
  <c r="DW113" i="23"/>
  <c r="DW110" i="23"/>
  <c r="DW111" i="23"/>
  <c r="DW109" i="23"/>
  <c r="DW106" i="23"/>
  <c r="DW108" i="23"/>
  <c r="DW107" i="23"/>
  <c r="DW104" i="23"/>
  <c r="DW102" i="23"/>
  <c r="DW100" i="23"/>
  <c r="DW112" i="23"/>
  <c r="DW105" i="23"/>
  <c r="DW98" i="23"/>
  <c r="DW96" i="23"/>
  <c r="DW101" i="23"/>
  <c r="DW95" i="23"/>
  <c r="DW94" i="23"/>
  <c r="DW91" i="23"/>
  <c r="DW99" i="23"/>
  <c r="DW97" i="23"/>
  <c r="DW88" i="23"/>
  <c r="DW93" i="23"/>
  <c r="DW92" i="23"/>
  <c r="DW90" i="23"/>
  <c r="DW89" i="23"/>
  <c r="DW87" i="23"/>
  <c r="DW83" i="23"/>
  <c r="DW103" i="23"/>
  <c r="DW78" i="23"/>
  <c r="DW86" i="23"/>
  <c r="DW75" i="23"/>
  <c r="DW74" i="23"/>
  <c r="DW84" i="23"/>
  <c r="DW69" i="23"/>
  <c r="DW81" i="23"/>
  <c r="DW71" i="23"/>
  <c r="DW77" i="23"/>
  <c r="DW70" i="23"/>
  <c r="DW62" i="23"/>
  <c r="DW79" i="23"/>
  <c r="DW76" i="23"/>
  <c r="DW63" i="23"/>
  <c r="DW73" i="23"/>
  <c r="DW64" i="23"/>
  <c r="DW59" i="23"/>
  <c r="DW57" i="23"/>
  <c r="DW82" i="23"/>
  <c r="DW72" i="23"/>
  <c r="DW67" i="23"/>
  <c r="DW56" i="23"/>
  <c r="DW53" i="23"/>
  <c r="DW52" i="23"/>
  <c r="DW85" i="23"/>
  <c r="DW80" i="23"/>
  <c r="DW60" i="23"/>
  <c r="DW54" i="23"/>
  <c r="DW45" i="23"/>
  <c r="DW68" i="23"/>
  <c r="DW61" i="23"/>
  <c r="DW50" i="23"/>
  <c r="DW44" i="23"/>
  <c r="DW48" i="23"/>
  <c r="DW38" i="23"/>
  <c r="DW36" i="23"/>
  <c r="DW33" i="23"/>
  <c r="DW66" i="23"/>
  <c r="DW42" i="23"/>
  <c r="DW40" i="23"/>
  <c r="DW30" i="23"/>
  <c r="DW58" i="23"/>
  <c r="DW51" i="23"/>
  <c r="DW41" i="23"/>
  <c r="DW39" i="23"/>
  <c r="DW47" i="23"/>
  <c r="DW46" i="23"/>
  <c r="DW21" i="23"/>
  <c r="DW49" i="23"/>
  <c r="DW28" i="23"/>
  <c r="DW43" i="23"/>
  <c r="DW23" i="23"/>
  <c r="DW32" i="23"/>
  <c r="DW22" i="23"/>
  <c r="DW35" i="23"/>
  <c r="DW16" i="23"/>
  <c r="DW14" i="23"/>
  <c r="DW6" i="23"/>
  <c r="DW13" i="23"/>
  <c r="DW11" i="23"/>
  <c r="DW26" i="23"/>
  <c r="DW5" i="23"/>
  <c r="DW29" i="23"/>
  <c r="DW24" i="23"/>
  <c r="DW20" i="23"/>
  <c r="DW18" i="23"/>
  <c r="DW8" i="23"/>
  <c r="DX2" i="23"/>
  <c r="DW15" i="23"/>
  <c r="DW55" i="23"/>
  <c r="DW34" i="23"/>
  <c r="DW31" i="23"/>
  <c r="DW19" i="23"/>
  <c r="DW17" i="23"/>
  <c r="DW7" i="23"/>
  <c r="DW65" i="23"/>
  <c r="DW25" i="23"/>
  <c r="DW12" i="23"/>
  <c r="DW37" i="23"/>
  <c r="DW10" i="23"/>
  <c r="DW4" i="23"/>
  <c r="DW9" i="23"/>
  <c r="DW27" i="23"/>
  <c r="DX139" i="23" l="1"/>
  <c r="DX173" i="23"/>
  <c r="DX127" i="23"/>
  <c r="DX143" i="23"/>
  <c r="DX152" i="23"/>
  <c r="DX122" i="23"/>
  <c r="DX115" i="23"/>
  <c r="DX131" i="23"/>
  <c r="DX190" i="23"/>
  <c r="DX170" i="23"/>
  <c r="DX129" i="23"/>
  <c r="DX166" i="23"/>
  <c r="DX146" i="23"/>
  <c r="DX151" i="23"/>
  <c r="DX193" i="23"/>
  <c r="DX168" i="23"/>
  <c r="DX200" i="23"/>
  <c r="DX123" i="23"/>
  <c r="DX198" i="23"/>
  <c r="DX208" i="23"/>
  <c r="DX203" i="23"/>
  <c r="DX178" i="23"/>
  <c r="DX196" i="23"/>
  <c r="DX144" i="23"/>
  <c r="DX211" i="23"/>
  <c r="DX195" i="23"/>
  <c r="DX192" i="23"/>
  <c r="DX157" i="23"/>
  <c r="DX149" i="23"/>
  <c r="DX212" i="23"/>
  <c r="DX205" i="23"/>
  <c r="DX206" i="23"/>
  <c r="DX210" i="23"/>
  <c r="DX201" i="23"/>
  <c r="DX204" i="23"/>
  <c r="DX209" i="23"/>
  <c r="DX181" i="23"/>
  <c r="DX199" i="23"/>
  <c r="DX186" i="23"/>
  <c r="DX194" i="23"/>
  <c r="DX188" i="23"/>
  <c r="DX189" i="23"/>
  <c r="DX207" i="23"/>
  <c r="DX197" i="23"/>
  <c r="DX187" i="23"/>
  <c r="DX182" i="23"/>
  <c r="DX175" i="23"/>
  <c r="DX172" i="23"/>
  <c r="DX174" i="23"/>
  <c r="DX171" i="23"/>
  <c r="DX161" i="23"/>
  <c r="DX167" i="23"/>
  <c r="DX156" i="23"/>
  <c r="DX154" i="23"/>
  <c r="DX185" i="23"/>
  <c r="DX163" i="23"/>
  <c r="DX160" i="23"/>
  <c r="DX165" i="23"/>
  <c r="DX150" i="23"/>
  <c r="DX177" i="23"/>
  <c r="DX183" i="23"/>
  <c r="DX159" i="23"/>
  <c r="DX140" i="23"/>
  <c r="DX133" i="23"/>
  <c r="DX164" i="23"/>
  <c r="DX137" i="23"/>
  <c r="DX142" i="23"/>
  <c r="DX162" i="23"/>
  <c r="DX134" i="23"/>
  <c r="DX145" i="23"/>
  <c r="DX124" i="23"/>
  <c r="DX130" i="23"/>
  <c r="DX120" i="23"/>
  <c r="DX148" i="23"/>
  <c r="DX153" i="23"/>
  <c r="DX138" i="23"/>
  <c r="DX184" i="23"/>
  <c r="DX155" i="23"/>
  <c r="DX135" i="23"/>
  <c r="DX128" i="23"/>
  <c r="DX121" i="23"/>
  <c r="DX132" i="23"/>
  <c r="DX179" i="23"/>
  <c r="DX126" i="23"/>
  <c r="DX117" i="23"/>
  <c r="DX141" i="23"/>
  <c r="DX118" i="23"/>
  <c r="DX116" i="23"/>
  <c r="DX176" i="23"/>
  <c r="DX119" i="23"/>
  <c r="DX136" i="23"/>
  <c r="DX169" i="23"/>
  <c r="DX191" i="23"/>
  <c r="DX114" i="23"/>
  <c r="DX202" i="23"/>
  <c r="DX125" i="23"/>
  <c r="DX147" i="23"/>
  <c r="DX180" i="23"/>
  <c r="DX158" i="23"/>
  <c r="DX113" i="23"/>
  <c r="DX112" i="23"/>
  <c r="DX107" i="23"/>
  <c r="DX111" i="23"/>
  <c r="DX110" i="23"/>
  <c r="DX108" i="23"/>
  <c r="DX103" i="23"/>
  <c r="DX101" i="23"/>
  <c r="DX106" i="23"/>
  <c r="DX98" i="23"/>
  <c r="DX102" i="23"/>
  <c r="DX99" i="23"/>
  <c r="DX104" i="23"/>
  <c r="DX92" i="23"/>
  <c r="DX105" i="23"/>
  <c r="DX100" i="23"/>
  <c r="DX95" i="23"/>
  <c r="DX89" i="23"/>
  <c r="DX97" i="23"/>
  <c r="DX88" i="23"/>
  <c r="DX94" i="23"/>
  <c r="DX96" i="23"/>
  <c r="DX86" i="23"/>
  <c r="DX85" i="23"/>
  <c r="DX87" i="23"/>
  <c r="DX109" i="23"/>
  <c r="DX90" i="23"/>
  <c r="DX78" i="23"/>
  <c r="DX81" i="23"/>
  <c r="DX72" i="23"/>
  <c r="DX83" i="23"/>
  <c r="DX79" i="23"/>
  <c r="DX71" i="23"/>
  <c r="DX69" i="23"/>
  <c r="DX77" i="23"/>
  <c r="DX70" i="23"/>
  <c r="DX67" i="23"/>
  <c r="DX91" i="23"/>
  <c r="DX82" i="23"/>
  <c r="DX66" i="23"/>
  <c r="DX84" i="23"/>
  <c r="DX93" i="23"/>
  <c r="DX75" i="23"/>
  <c r="DX73" i="23"/>
  <c r="DX64" i="23"/>
  <c r="DX59" i="23"/>
  <c r="DX57" i="23"/>
  <c r="DX65" i="23"/>
  <c r="DX54" i="23"/>
  <c r="DX80" i="23"/>
  <c r="DX74" i="23"/>
  <c r="DX68" i="23"/>
  <c r="DX53" i="23"/>
  <c r="DX76" i="23"/>
  <c r="DX60" i="23"/>
  <c r="DX56" i="23"/>
  <c r="DX55" i="23"/>
  <c r="DX42" i="23"/>
  <c r="DX63" i="23"/>
  <c r="DX41" i="23"/>
  <c r="DX52" i="23"/>
  <c r="DX62" i="23"/>
  <c r="DX40" i="23"/>
  <c r="DX30" i="23"/>
  <c r="DX47" i="23"/>
  <c r="DX43" i="23"/>
  <c r="DX37" i="23"/>
  <c r="DX35" i="23"/>
  <c r="DX45" i="23"/>
  <c r="DX34" i="23"/>
  <c r="DX49" i="23"/>
  <c r="DX28" i="23"/>
  <c r="DX48" i="23"/>
  <c r="DX36" i="23"/>
  <c r="DX23" i="23"/>
  <c r="DX38" i="23"/>
  <c r="DX20" i="23"/>
  <c r="DX58" i="23"/>
  <c r="DX31" i="23"/>
  <c r="DX29" i="23"/>
  <c r="DX19" i="23"/>
  <c r="DX61" i="23"/>
  <c r="DX32" i="23"/>
  <c r="DX21" i="23"/>
  <c r="DX11" i="23"/>
  <c r="DX24" i="23"/>
  <c r="DX18" i="23"/>
  <c r="DX8" i="23"/>
  <c r="DY2" i="23"/>
  <c r="DX10" i="23"/>
  <c r="DX26" i="23"/>
  <c r="DX15" i="23"/>
  <c r="DX13" i="23"/>
  <c r="DX5" i="23"/>
  <c r="DX33" i="23"/>
  <c r="DX46" i="23"/>
  <c r="DX25" i="23"/>
  <c r="DX12" i="23"/>
  <c r="DX4" i="23"/>
  <c r="DX51" i="23"/>
  <c r="DX27" i="23"/>
  <c r="DX50" i="23"/>
  <c r="DX17" i="23"/>
  <c r="DX7" i="23"/>
  <c r="DX14" i="23"/>
  <c r="DX9" i="23"/>
  <c r="DX6" i="23"/>
  <c r="DX16" i="23"/>
  <c r="DX39" i="23"/>
  <c r="DX22" i="23"/>
  <c r="DX44" i="23"/>
  <c r="DY199" i="23" l="1"/>
  <c r="DY117" i="23"/>
  <c r="DY201" i="23"/>
  <c r="DY151" i="23"/>
  <c r="DY143" i="23"/>
  <c r="DY146" i="23"/>
  <c r="DY115" i="23"/>
  <c r="DY139" i="23"/>
  <c r="DY210" i="23"/>
  <c r="DY118" i="23"/>
  <c r="DY164" i="23"/>
  <c r="DY134" i="23"/>
  <c r="DY135" i="23"/>
  <c r="DY116" i="23"/>
  <c r="DY149" i="23"/>
  <c r="DY189" i="23"/>
  <c r="DY198" i="23"/>
  <c r="DY171" i="23"/>
  <c r="DY145" i="23"/>
  <c r="DY209" i="23"/>
  <c r="DY173" i="23"/>
  <c r="DY132" i="23"/>
  <c r="DY204" i="23"/>
  <c r="DY205" i="23"/>
  <c r="DY203" i="23"/>
  <c r="DY206" i="23"/>
  <c r="DY212" i="23"/>
  <c r="DY193" i="23"/>
  <c r="DY208" i="23"/>
  <c r="DY156" i="23"/>
  <c r="DY195" i="23"/>
  <c r="DY200" i="23"/>
  <c r="DY154" i="23"/>
  <c r="DY197" i="23"/>
  <c r="DY207" i="23"/>
  <c r="DY192" i="23"/>
  <c r="DY194" i="23"/>
  <c r="DY184" i="23"/>
  <c r="DY196" i="23"/>
  <c r="DY190" i="23"/>
  <c r="DY182" i="23"/>
  <c r="DY174" i="23"/>
  <c r="DY162" i="23"/>
  <c r="DY167" i="23"/>
  <c r="DY166" i="23"/>
  <c r="DY188" i="23"/>
  <c r="DY177" i="23"/>
  <c r="DY175" i="23"/>
  <c r="DY176" i="23"/>
  <c r="DY172" i="23"/>
  <c r="DY178" i="23"/>
  <c r="DY186" i="23"/>
  <c r="DY183" i="23"/>
  <c r="DY170" i="23"/>
  <c r="DY155" i="23"/>
  <c r="DY141" i="23"/>
  <c r="DY138" i="23"/>
  <c r="DY181" i="23"/>
  <c r="DY179" i="23"/>
  <c r="DY168" i="23"/>
  <c r="DY142" i="23"/>
  <c r="DY185" i="23"/>
  <c r="DY148" i="23"/>
  <c r="DY159" i="23"/>
  <c r="DY163" i="23"/>
  <c r="DY152" i="23"/>
  <c r="DY140" i="23"/>
  <c r="DY144" i="23"/>
  <c r="DY127" i="23"/>
  <c r="DY119" i="23"/>
  <c r="DY211" i="23"/>
  <c r="DY150" i="23"/>
  <c r="DY137" i="23"/>
  <c r="DY130" i="23"/>
  <c r="DY133" i="23"/>
  <c r="DY120" i="23"/>
  <c r="DY124" i="23"/>
  <c r="DY165" i="23"/>
  <c r="DY153" i="23"/>
  <c r="DY122" i="23"/>
  <c r="DY157" i="23"/>
  <c r="DY126" i="23"/>
  <c r="DY131" i="23"/>
  <c r="DY123" i="23"/>
  <c r="DY121" i="23"/>
  <c r="DY129" i="23"/>
  <c r="DY160" i="23"/>
  <c r="DY128" i="23"/>
  <c r="DY161" i="23"/>
  <c r="DY187" i="23"/>
  <c r="DY136" i="23"/>
  <c r="DY202" i="23"/>
  <c r="DY180" i="23"/>
  <c r="DY169" i="23"/>
  <c r="DY114" i="23"/>
  <c r="DY191" i="23"/>
  <c r="DY125" i="23"/>
  <c r="DY147" i="23"/>
  <c r="DY158" i="23"/>
  <c r="DY111" i="23"/>
  <c r="DY112" i="23"/>
  <c r="DY113" i="23"/>
  <c r="DY110" i="23"/>
  <c r="DY108" i="23"/>
  <c r="DY107" i="23"/>
  <c r="DY106" i="23"/>
  <c r="DY104" i="23"/>
  <c r="DY105" i="23"/>
  <c r="DY102" i="23"/>
  <c r="DY99" i="23"/>
  <c r="DY100" i="23"/>
  <c r="DY97" i="23"/>
  <c r="DY101" i="23"/>
  <c r="DY95" i="23"/>
  <c r="DY109" i="23"/>
  <c r="DY103" i="23"/>
  <c r="DY92" i="23"/>
  <c r="DY98" i="23"/>
  <c r="DY93" i="23"/>
  <c r="DY96" i="23"/>
  <c r="DY90" i="23"/>
  <c r="DY89" i="23"/>
  <c r="DY91" i="23"/>
  <c r="DY84" i="23"/>
  <c r="DY81" i="23"/>
  <c r="DY85" i="23"/>
  <c r="DY86" i="23"/>
  <c r="DY82" i="23"/>
  <c r="DY80" i="23"/>
  <c r="DY77" i="23"/>
  <c r="DY87" i="23"/>
  <c r="DY76" i="23"/>
  <c r="DY71" i="23"/>
  <c r="DY70" i="23"/>
  <c r="DY83" i="23"/>
  <c r="DY73" i="23"/>
  <c r="DY72" i="23"/>
  <c r="DY64" i="23"/>
  <c r="DY88" i="23"/>
  <c r="DY75" i="23"/>
  <c r="DY63" i="23"/>
  <c r="DY59" i="23"/>
  <c r="DY57" i="23"/>
  <c r="DY78" i="23"/>
  <c r="DY65" i="23"/>
  <c r="DY79" i="23"/>
  <c r="DY66" i="23"/>
  <c r="DY62" i="23"/>
  <c r="DY61" i="23"/>
  <c r="DY51" i="23"/>
  <c r="DY60" i="23"/>
  <c r="DY58" i="23"/>
  <c r="DY50" i="23"/>
  <c r="DY74" i="23"/>
  <c r="DY56" i="23"/>
  <c r="DY55" i="23"/>
  <c r="DY54" i="23"/>
  <c r="DY69" i="23"/>
  <c r="DY49" i="23"/>
  <c r="DY47" i="23"/>
  <c r="DY48" i="23"/>
  <c r="DY46" i="23"/>
  <c r="DY40" i="23"/>
  <c r="DY68" i="23"/>
  <c r="DY43" i="23"/>
  <c r="DY42" i="23"/>
  <c r="DY37" i="23"/>
  <c r="DY35" i="23"/>
  <c r="DY67" i="23"/>
  <c r="DY53" i="23"/>
  <c r="DY44" i="23"/>
  <c r="DY32" i="23"/>
  <c r="DY31" i="23"/>
  <c r="DY94" i="23"/>
  <c r="DY52" i="23"/>
  <c r="DY36" i="23"/>
  <c r="DY23" i="23"/>
  <c r="DY38" i="23"/>
  <c r="DY20" i="23"/>
  <c r="DY45" i="23"/>
  <c r="DY34" i="23"/>
  <c r="DY27" i="23"/>
  <c r="DY25" i="23"/>
  <c r="DY39" i="23"/>
  <c r="DY26" i="23"/>
  <c r="DY24" i="23"/>
  <c r="DY18" i="23"/>
  <c r="DY8" i="23"/>
  <c r="DZ2" i="23"/>
  <c r="DY22" i="23"/>
  <c r="DY17" i="23"/>
  <c r="DY30" i="23"/>
  <c r="DY29" i="23"/>
  <c r="DY15" i="23"/>
  <c r="DY13" i="23"/>
  <c r="DY5" i="23"/>
  <c r="DY33" i="23"/>
  <c r="DY10" i="23"/>
  <c r="DY7" i="23"/>
  <c r="DY9" i="23"/>
  <c r="DY16" i="23"/>
  <c r="DY14" i="23"/>
  <c r="DY41" i="23"/>
  <c r="DY11" i="23"/>
  <c r="DY19" i="23"/>
  <c r="DY12" i="23"/>
  <c r="DY28" i="23"/>
  <c r="DY6" i="23"/>
  <c r="DY4" i="23"/>
  <c r="DY21" i="23"/>
  <c r="DZ157" i="23" l="1"/>
  <c r="DZ152" i="23"/>
  <c r="DZ176" i="23"/>
  <c r="DZ115" i="23"/>
  <c r="DZ124" i="23"/>
  <c r="DZ116" i="23"/>
  <c r="DZ117" i="23"/>
  <c r="DZ201" i="23"/>
  <c r="DZ166" i="23"/>
  <c r="DZ170" i="23"/>
  <c r="DZ164" i="23"/>
  <c r="DZ183" i="23"/>
  <c r="DZ168" i="23"/>
  <c r="DZ175" i="23"/>
  <c r="DZ194" i="23"/>
  <c r="DZ208" i="23"/>
  <c r="DZ209" i="23"/>
  <c r="DZ205" i="23"/>
  <c r="DZ206" i="23"/>
  <c r="DZ211" i="23"/>
  <c r="DZ197" i="23"/>
  <c r="DZ199" i="23"/>
  <c r="DZ203" i="23"/>
  <c r="DZ212" i="23"/>
  <c r="DZ207" i="23"/>
  <c r="DZ186" i="23"/>
  <c r="DZ204" i="23"/>
  <c r="DZ193" i="23"/>
  <c r="DZ181" i="23"/>
  <c r="DZ210" i="23"/>
  <c r="DZ192" i="23"/>
  <c r="DZ198" i="23"/>
  <c r="DZ200" i="23"/>
  <c r="DZ196" i="23"/>
  <c r="DZ189" i="23"/>
  <c r="DZ188" i="23"/>
  <c r="DZ182" i="23"/>
  <c r="DZ178" i="23"/>
  <c r="DZ173" i="23"/>
  <c r="DZ190" i="23"/>
  <c r="DZ153" i="23"/>
  <c r="DZ155" i="23"/>
  <c r="DZ148" i="23"/>
  <c r="DZ195" i="23"/>
  <c r="DZ159" i="23"/>
  <c r="DZ161" i="23"/>
  <c r="DZ167" i="23"/>
  <c r="DZ185" i="23"/>
  <c r="DZ163" i="23"/>
  <c r="DZ165" i="23"/>
  <c r="DZ150" i="23"/>
  <c r="DZ172" i="23"/>
  <c r="DZ179" i="23"/>
  <c r="DZ162" i="23"/>
  <c r="DZ139" i="23"/>
  <c r="DZ184" i="23"/>
  <c r="DZ177" i="23"/>
  <c r="DZ149" i="23"/>
  <c r="DZ146" i="23"/>
  <c r="DZ135" i="23"/>
  <c r="DZ137" i="23"/>
  <c r="DZ187" i="23"/>
  <c r="DZ174" i="23"/>
  <c r="DZ154" i="23"/>
  <c r="DZ128" i="23"/>
  <c r="DZ143" i="23"/>
  <c r="DZ133" i="23"/>
  <c r="DZ141" i="23"/>
  <c r="DZ140" i="23"/>
  <c r="DZ145" i="23"/>
  <c r="DZ132" i="23"/>
  <c r="DZ118" i="23"/>
  <c r="DZ119" i="23"/>
  <c r="DZ160" i="23"/>
  <c r="DZ151" i="23"/>
  <c r="DZ134" i="23"/>
  <c r="DZ129" i="23"/>
  <c r="DZ156" i="23"/>
  <c r="DZ142" i="23"/>
  <c r="DZ171" i="23"/>
  <c r="DZ144" i="23"/>
  <c r="DZ123" i="23"/>
  <c r="DZ127" i="23"/>
  <c r="DZ121" i="23"/>
  <c r="DZ126" i="23"/>
  <c r="DZ120" i="23"/>
  <c r="DZ131" i="23"/>
  <c r="DZ138" i="23"/>
  <c r="DZ130" i="23"/>
  <c r="DZ122" i="23"/>
  <c r="DZ169" i="23"/>
  <c r="DZ125" i="23"/>
  <c r="DZ114" i="23"/>
  <c r="DZ136" i="23"/>
  <c r="DZ191" i="23"/>
  <c r="DZ180" i="23"/>
  <c r="DZ202" i="23"/>
  <c r="DZ147" i="23"/>
  <c r="DZ158" i="23"/>
  <c r="DZ113" i="23"/>
  <c r="DZ112" i="23"/>
  <c r="DZ110" i="23"/>
  <c r="DZ109" i="23"/>
  <c r="DZ108" i="23"/>
  <c r="DZ106" i="23"/>
  <c r="DZ105" i="23"/>
  <c r="DZ107" i="23"/>
  <c r="DZ104" i="23"/>
  <c r="DZ102" i="23"/>
  <c r="DZ100" i="23"/>
  <c r="DZ99" i="23"/>
  <c r="DZ95" i="23"/>
  <c r="DZ103" i="23"/>
  <c r="DZ94" i="23"/>
  <c r="DZ96" i="23"/>
  <c r="DZ91" i="23"/>
  <c r="DZ90" i="23"/>
  <c r="DZ98" i="23"/>
  <c r="DZ93" i="23"/>
  <c r="DZ87" i="23"/>
  <c r="DZ97" i="23"/>
  <c r="DZ86" i="23"/>
  <c r="DZ82" i="23"/>
  <c r="DZ81" i="23"/>
  <c r="DZ80" i="23"/>
  <c r="DZ77" i="23"/>
  <c r="DZ88" i="23"/>
  <c r="DZ84" i="23"/>
  <c r="DZ74" i="23"/>
  <c r="DZ73" i="23"/>
  <c r="DZ83" i="23"/>
  <c r="DZ72" i="23"/>
  <c r="DZ85" i="23"/>
  <c r="DZ89" i="23"/>
  <c r="DZ68" i="23"/>
  <c r="DZ92" i="23"/>
  <c r="DZ78" i="23"/>
  <c r="DZ75" i="23"/>
  <c r="DZ70" i="23"/>
  <c r="DZ65" i="23"/>
  <c r="DZ64" i="23"/>
  <c r="DZ79" i="23"/>
  <c r="DZ71" i="23"/>
  <c r="DZ66" i="23"/>
  <c r="DZ62" i="23"/>
  <c r="DZ61" i="23"/>
  <c r="DZ101" i="23"/>
  <c r="DZ76" i="23"/>
  <c r="DZ56" i="23"/>
  <c r="DZ69" i="23"/>
  <c r="DZ55" i="23"/>
  <c r="DZ54" i="23"/>
  <c r="DZ59" i="23"/>
  <c r="DZ49" i="23"/>
  <c r="DZ47" i="23"/>
  <c r="DZ67" i="23"/>
  <c r="DZ44" i="23"/>
  <c r="DZ58" i="23"/>
  <c r="DZ52" i="23"/>
  <c r="DZ51" i="23"/>
  <c r="DZ43" i="23"/>
  <c r="DZ60" i="23"/>
  <c r="DZ42" i="23"/>
  <c r="DZ37" i="23"/>
  <c r="DZ53" i="23"/>
  <c r="DZ32" i="23"/>
  <c r="DZ39" i="23"/>
  <c r="DZ46" i="23"/>
  <c r="DZ38" i="23"/>
  <c r="DZ36" i="23"/>
  <c r="DZ63" i="23"/>
  <c r="DZ57" i="23"/>
  <c r="DZ111" i="23"/>
  <c r="DZ48" i="23"/>
  <c r="DZ40" i="23"/>
  <c r="DZ20" i="23"/>
  <c r="DZ45" i="23"/>
  <c r="DZ34" i="23"/>
  <c r="DZ27" i="23"/>
  <c r="DZ25" i="23"/>
  <c r="DZ35" i="23"/>
  <c r="DZ33" i="23"/>
  <c r="DZ22" i="23"/>
  <c r="DZ41" i="23"/>
  <c r="DZ30" i="23"/>
  <c r="DZ21" i="23"/>
  <c r="DZ29" i="23"/>
  <c r="DZ24" i="23"/>
  <c r="DZ15" i="23"/>
  <c r="DZ13" i="23"/>
  <c r="DZ5" i="23"/>
  <c r="DZ12" i="23"/>
  <c r="DZ26" i="23"/>
  <c r="DZ10" i="23"/>
  <c r="DZ28" i="23"/>
  <c r="DZ19" i="23"/>
  <c r="DZ4" i="23"/>
  <c r="DZ23" i="23"/>
  <c r="DZ17" i="23"/>
  <c r="DZ7" i="23"/>
  <c r="DZ16" i="23"/>
  <c r="DZ14" i="23"/>
  <c r="DZ6" i="23"/>
  <c r="DZ50" i="23"/>
  <c r="DZ9" i="23"/>
  <c r="DZ18" i="23"/>
  <c r="DZ8" i="23"/>
  <c r="EA2" i="23"/>
  <c r="DZ31" i="23"/>
  <c r="DZ11" i="23"/>
  <c r="EA128" i="23" l="1"/>
  <c r="EA199" i="23"/>
  <c r="EA121" i="23"/>
  <c r="EA146" i="23"/>
  <c r="EA127" i="23"/>
  <c r="EA133" i="23"/>
  <c r="EA166" i="23"/>
  <c r="EA196" i="23"/>
  <c r="EA203" i="23"/>
  <c r="EA145" i="23"/>
  <c r="EA197" i="23"/>
  <c r="EA182" i="23"/>
  <c r="EA176" i="23"/>
  <c r="EA200" i="23"/>
  <c r="EA206" i="23"/>
  <c r="EA129" i="23"/>
  <c r="EA193" i="23"/>
  <c r="EA212" i="23"/>
  <c r="EA209" i="23"/>
  <c r="EA211" i="23"/>
  <c r="EA192" i="23"/>
  <c r="EA207" i="23"/>
  <c r="EA204" i="23"/>
  <c r="EA208" i="23"/>
  <c r="EA198" i="23"/>
  <c r="EA186" i="23"/>
  <c r="EA187" i="23"/>
  <c r="EA195" i="23"/>
  <c r="EA194" i="23"/>
  <c r="EA210" i="23"/>
  <c r="EA201" i="23"/>
  <c r="EA205" i="23"/>
  <c r="EA149" i="23"/>
  <c r="EA184" i="23"/>
  <c r="EA185" i="23"/>
  <c r="EA181" i="23"/>
  <c r="EA183" i="23"/>
  <c r="EA172" i="23"/>
  <c r="EA188" i="23"/>
  <c r="EA163" i="23"/>
  <c r="EA167" i="23"/>
  <c r="EA190" i="23"/>
  <c r="EA189" i="23"/>
  <c r="EA178" i="23"/>
  <c r="EA155" i="23"/>
  <c r="EA171" i="23"/>
  <c r="EA175" i="23"/>
  <c r="EA170" i="23"/>
  <c r="EA161" i="23"/>
  <c r="EA179" i="23"/>
  <c r="EA164" i="23"/>
  <c r="EA142" i="23"/>
  <c r="EA173" i="23"/>
  <c r="EA154" i="23"/>
  <c r="EA157" i="23"/>
  <c r="EA137" i="23"/>
  <c r="EA139" i="23"/>
  <c r="EA138" i="23"/>
  <c r="EA162" i="23"/>
  <c r="EA165" i="23"/>
  <c r="EA148" i="23"/>
  <c r="EA140" i="23"/>
  <c r="EA151" i="23"/>
  <c r="EA153" i="23"/>
  <c r="EA144" i="23"/>
  <c r="EA130" i="23"/>
  <c r="EA159" i="23"/>
  <c r="EA141" i="23"/>
  <c r="EA123" i="23"/>
  <c r="EA122" i="23"/>
  <c r="EA152" i="23"/>
  <c r="EA135" i="23"/>
  <c r="EA116" i="23"/>
  <c r="EA120" i="23"/>
  <c r="EA124" i="23"/>
  <c r="EA174" i="23"/>
  <c r="EA168" i="23"/>
  <c r="EA156" i="23"/>
  <c r="EA143" i="23"/>
  <c r="EA119" i="23"/>
  <c r="EA160" i="23"/>
  <c r="EA150" i="23"/>
  <c r="EA131" i="23"/>
  <c r="EA132" i="23"/>
  <c r="EA126" i="23"/>
  <c r="EA117" i="23"/>
  <c r="EA118" i="23"/>
  <c r="EA134" i="23"/>
  <c r="EA177" i="23"/>
  <c r="EA115" i="23"/>
  <c r="EA114" i="23"/>
  <c r="EA191" i="23"/>
  <c r="EA136" i="23"/>
  <c r="EA202" i="23"/>
  <c r="EA125" i="23"/>
  <c r="EA158" i="23"/>
  <c r="EA147" i="23"/>
  <c r="EA180" i="23"/>
  <c r="EA169" i="23"/>
  <c r="EA113" i="23"/>
  <c r="EA112" i="23"/>
  <c r="EA110" i="23"/>
  <c r="EA107" i="23"/>
  <c r="EA109" i="23"/>
  <c r="EA105" i="23"/>
  <c r="EA111" i="23"/>
  <c r="EA108" i="23"/>
  <c r="EA102" i="23"/>
  <c r="EA100" i="23"/>
  <c r="EA106" i="23"/>
  <c r="EA101" i="23"/>
  <c r="EA95" i="23"/>
  <c r="EA103" i="23"/>
  <c r="EA96" i="23"/>
  <c r="EA99" i="23"/>
  <c r="EA104" i="23"/>
  <c r="EA98" i="23"/>
  <c r="EA90" i="23"/>
  <c r="EA91" i="23"/>
  <c r="EA88" i="23"/>
  <c r="EA85" i="23"/>
  <c r="EA92" i="23"/>
  <c r="EA84" i="23"/>
  <c r="EA94" i="23"/>
  <c r="EA86" i="23"/>
  <c r="EA82" i="23"/>
  <c r="EA80" i="23"/>
  <c r="EA81" i="23"/>
  <c r="EA77" i="23"/>
  <c r="EA83" i="23"/>
  <c r="EA79" i="23"/>
  <c r="EA71" i="23"/>
  <c r="EA97" i="23"/>
  <c r="EA93" i="23"/>
  <c r="EA89" i="23"/>
  <c r="EA78" i="23"/>
  <c r="EA70" i="23"/>
  <c r="EA72" i="23"/>
  <c r="EA73" i="23"/>
  <c r="EA76" i="23"/>
  <c r="EA74" i="23"/>
  <c r="EA66" i="23"/>
  <c r="EA87" i="23"/>
  <c r="EA69" i="23"/>
  <c r="EA65" i="23"/>
  <c r="EA62" i="23"/>
  <c r="EA61" i="23"/>
  <c r="EA56" i="23"/>
  <c r="EA67" i="23"/>
  <c r="EA53" i="23"/>
  <c r="EA63" i="23"/>
  <c r="EA52" i="23"/>
  <c r="EA59" i="23"/>
  <c r="EA55" i="23"/>
  <c r="EA49" i="23"/>
  <c r="EA47" i="23"/>
  <c r="EA75" i="23"/>
  <c r="EA50" i="23"/>
  <c r="EA40" i="23"/>
  <c r="EA68" i="23"/>
  <c r="EA43" i="23"/>
  <c r="EA44" i="23"/>
  <c r="EA39" i="23"/>
  <c r="EA57" i="23"/>
  <c r="EA45" i="23"/>
  <c r="EA41" i="23"/>
  <c r="EA34" i="23"/>
  <c r="EA48" i="23"/>
  <c r="EA33" i="23"/>
  <c r="EA64" i="23"/>
  <c r="EA38" i="23"/>
  <c r="EA27" i="23"/>
  <c r="EA25" i="23"/>
  <c r="EA35" i="23"/>
  <c r="EA22" i="23"/>
  <c r="EA29" i="23"/>
  <c r="EA19" i="23"/>
  <c r="EA60" i="23"/>
  <c r="EA28" i="23"/>
  <c r="EA30" i="23"/>
  <c r="EA26" i="23"/>
  <c r="EA10" i="23"/>
  <c r="EA58" i="23"/>
  <c r="EA9" i="23"/>
  <c r="EA23" i="23"/>
  <c r="EA20" i="23"/>
  <c r="EA17" i="23"/>
  <c r="EA7" i="23"/>
  <c r="EA42" i="23"/>
  <c r="EA12" i="23"/>
  <c r="EA4" i="23"/>
  <c r="EA31" i="23"/>
  <c r="EA51" i="23"/>
  <c r="EA11" i="23"/>
  <c r="EA54" i="23"/>
  <c r="EA37" i="23"/>
  <c r="EA21" i="23"/>
  <c r="EA18" i="23"/>
  <c r="EA32" i="23"/>
  <c r="EA5" i="23"/>
  <c r="EA24" i="23"/>
  <c r="EA8" i="23"/>
  <c r="EA16" i="23"/>
  <c r="EA15" i="23"/>
  <c r="EA36" i="23"/>
  <c r="EA13" i="23"/>
  <c r="EB2" i="23"/>
  <c r="EA6" i="23"/>
  <c r="EA46" i="23"/>
  <c r="EA14" i="23"/>
  <c r="EB164" i="23" l="1"/>
  <c r="EB149" i="23"/>
  <c r="EB211" i="23"/>
  <c r="EB122" i="23"/>
  <c r="EB129" i="23"/>
  <c r="EB166" i="23"/>
  <c r="EB115" i="23"/>
  <c r="EB170" i="23"/>
  <c r="EB121" i="23"/>
  <c r="EB128" i="23"/>
  <c r="EB146" i="23"/>
  <c r="EB127" i="23"/>
  <c r="EB134" i="23"/>
  <c r="EB209" i="23"/>
  <c r="EB117" i="23"/>
  <c r="EB192" i="23"/>
  <c r="EB203" i="23"/>
  <c r="EB197" i="23"/>
  <c r="EB188" i="23"/>
  <c r="EB207" i="23"/>
  <c r="EB210" i="23"/>
  <c r="EB205" i="23"/>
  <c r="EB204" i="23"/>
  <c r="EB206" i="23"/>
  <c r="EB198" i="23"/>
  <c r="EB182" i="23"/>
  <c r="EB201" i="23"/>
  <c r="EB196" i="23"/>
  <c r="EB200" i="23"/>
  <c r="EB195" i="23"/>
  <c r="EB208" i="23"/>
  <c r="EB212" i="23"/>
  <c r="EB183" i="23"/>
  <c r="EB194" i="23"/>
  <c r="EB187" i="23"/>
  <c r="EB199" i="23"/>
  <c r="EB171" i="23"/>
  <c r="EB181" i="23"/>
  <c r="EB185" i="23"/>
  <c r="EB189" i="23"/>
  <c r="EB184" i="23"/>
  <c r="EB193" i="23"/>
  <c r="EB177" i="23"/>
  <c r="EB175" i="23"/>
  <c r="EB173" i="23"/>
  <c r="EB163" i="23"/>
  <c r="EB165" i="23"/>
  <c r="EB154" i="23"/>
  <c r="EB190" i="23"/>
  <c r="EB155" i="23"/>
  <c r="EB186" i="23"/>
  <c r="EB152" i="23"/>
  <c r="EB141" i="23"/>
  <c r="EB178" i="23"/>
  <c r="EB151" i="23"/>
  <c r="EB157" i="23"/>
  <c r="EB174" i="23"/>
  <c r="EB172" i="23"/>
  <c r="EB137" i="23"/>
  <c r="EB140" i="23"/>
  <c r="EB160" i="23"/>
  <c r="EB156" i="23"/>
  <c r="EB153" i="23"/>
  <c r="EB139" i="23"/>
  <c r="EB162" i="23"/>
  <c r="EB138" i="23"/>
  <c r="EB135" i="23"/>
  <c r="EB126" i="23"/>
  <c r="EB168" i="23"/>
  <c r="EB142" i="23"/>
  <c r="EB143" i="23"/>
  <c r="EB132" i="23"/>
  <c r="EB120" i="23"/>
  <c r="EB123" i="23"/>
  <c r="EB159" i="23"/>
  <c r="EB150" i="23"/>
  <c r="EB116" i="23"/>
  <c r="EB144" i="23"/>
  <c r="EB179" i="23"/>
  <c r="EB167" i="23"/>
  <c r="EB148" i="23"/>
  <c r="EB145" i="23"/>
  <c r="EB119" i="23"/>
  <c r="EB133" i="23"/>
  <c r="EB124" i="23"/>
  <c r="EB131" i="23"/>
  <c r="EB161" i="23"/>
  <c r="EB130" i="23"/>
  <c r="EB118" i="23"/>
  <c r="EB176" i="23"/>
  <c r="EB180" i="23"/>
  <c r="EB169" i="23"/>
  <c r="EB191" i="23"/>
  <c r="EB136" i="23"/>
  <c r="EB125" i="23"/>
  <c r="EB158" i="23"/>
  <c r="EB202" i="23"/>
  <c r="EB147" i="23"/>
  <c r="EB114" i="23"/>
  <c r="EB113" i="23"/>
  <c r="EB111" i="23"/>
  <c r="EB110" i="23"/>
  <c r="EB108" i="23"/>
  <c r="EB107" i="23"/>
  <c r="EB112" i="23"/>
  <c r="EB105" i="23"/>
  <c r="EB109" i="23"/>
  <c r="EB103" i="23"/>
  <c r="EB101" i="23"/>
  <c r="EB100" i="23"/>
  <c r="EB106" i="23"/>
  <c r="EB97" i="23"/>
  <c r="EB96" i="23"/>
  <c r="EB102" i="23"/>
  <c r="EB99" i="23"/>
  <c r="EB98" i="23"/>
  <c r="EB93" i="23"/>
  <c r="EB104" i="23"/>
  <c r="EB91" i="23"/>
  <c r="EB94" i="23"/>
  <c r="EB89" i="23"/>
  <c r="EB88" i="23"/>
  <c r="EB87" i="23"/>
  <c r="EB83" i="23"/>
  <c r="EB82" i="23"/>
  <c r="EB80" i="23"/>
  <c r="EB84" i="23"/>
  <c r="EB79" i="23"/>
  <c r="EB76" i="23"/>
  <c r="EB85" i="23"/>
  <c r="EB75" i="23"/>
  <c r="EB81" i="23"/>
  <c r="EB77" i="23"/>
  <c r="EB73" i="23"/>
  <c r="EB86" i="23"/>
  <c r="EB74" i="23"/>
  <c r="EB63" i="23"/>
  <c r="EB92" i="23"/>
  <c r="EB78" i="23"/>
  <c r="EB71" i="23"/>
  <c r="EB66" i="23"/>
  <c r="EB56" i="23"/>
  <c r="EB95" i="23"/>
  <c r="EB67" i="23"/>
  <c r="EB68" i="23"/>
  <c r="EB60" i="23"/>
  <c r="EB58" i="23"/>
  <c r="EB50" i="23"/>
  <c r="EB90" i="23"/>
  <c r="EB59" i="23"/>
  <c r="EB57" i="23"/>
  <c r="EB69" i="23"/>
  <c r="EB70" i="23"/>
  <c r="EB65" i="23"/>
  <c r="EB62" i="23"/>
  <c r="EB48" i="23"/>
  <c r="EB46" i="23"/>
  <c r="EB53" i="23"/>
  <c r="EB45" i="23"/>
  <c r="EB44" i="23"/>
  <c r="EB39" i="23"/>
  <c r="EB47" i="23"/>
  <c r="EB41" i="23"/>
  <c r="EB34" i="23"/>
  <c r="EB51" i="23"/>
  <c r="EB49" i="23"/>
  <c r="EB31" i="23"/>
  <c r="EB52" i="23"/>
  <c r="EB35" i="23"/>
  <c r="EB22" i="23"/>
  <c r="EB43" i="23"/>
  <c r="EB33" i="23"/>
  <c r="EB29" i="23"/>
  <c r="EB19" i="23"/>
  <c r="EB72" i="23"/>
  <c r="EB37" i="23"/>
  <c r="EB32" i="23"/>
  <c r="EB26" i="23"/>
  <c r="EB24" i="23"/>
  <c r="EB61" i="23"/>
  <c r="EB55" i="23"/>
  <c r="EB54" i="23"/>
  <c r="EB42" i="23"/>
  <c r="EB23" i="23"/>
  <c r="EB38" i="23"/>
  <c r="EB20" i="23"/>
  <c r="EB17" i="23"/>
  <c r="EB7" i="23"/>
  <c r="EB16" i="23"/>
  <c r="EB6" i="23"/>
  <c r="EB12" i="23"/>
  <c r="EB4" i="23"/>
  <c r="EB40" i="23"/>
  <c r="EB14" i="23"/>
  <c r="EB28" i="23"/>
  <c r="EB9" i="23"/>
  <c r="EB27" i="23"/>
  <c r="EB21" i="23"/>
  <c r="EB18" i="23"/>
  <c r="EB8" i="23"/>
  <c r="EC2" i="23"/>
  <c r="EB36" i="23"/>
  <c r="EB15" i="23"/>
  <c r="EB13" i="23"/>
  <c r="EB30" i="23"/>
  <c r="EB25" i="23"/>
  <c r="EB5" i="23"/>
  <c r="EB64" i="23"/>
  <c r="EB10" i="23"/>
  <c r="EB11" i="23"/>
  <c r="EC134" i="23" l="1"/>
  <c r="EC127" i="23"/>
  <c r="EC173" i="23"/>
  <c r="EC211" i="23"/>
  <c r="EC124" i="23"/>
  <c r="EC117" i="23"/>
  <c r="EC151" i="23"/>
  <c r="EC152" i="23"/>
  <c r="EC164" i="23"/>
  <c r="EC201" i="23"/>
  <c r="EC168" i="23"/>
  <c r="EC197" i="23"/>
  <c r="EC204" i="23"/>
  <c r="EC185" i="23"/>
  <c r="EC126" i="23"/>
  <c r="EC193" i="23"/>
  <c r="EC131" i="23"/>
  <c r="EC209" i="23"/>
  <c r="EC157" i="23"/>
  <c r="EC212" i="23"/>
  <c r="EC205" i="23"/>
  <c r="EC208" i="23"/>
  <c r="EC206" i="23"/>
  <c r="EC195" i="23"/>
  <c r="EC198" i="23"/>
  <c r="EC199" i="23"/>
  <c r="EC210" i="23"/>
  <c r="EC207" i="23"/>
  <c r="EC203" i="23"/>
  <c r="EC196" i="23"/>
  <c r="EC186" i="23"/>
  <c r="EC187" i="23"/>
  <c r="EC188" i="23"/>
  <c r="EC182" i="23"/>
  <c r="EC181" i="23"/>
  <c r="EC190" i="23"/>
  <c r="EC172" i="23"/>
  <c r="EC192" i="23"/>
  <c r="EC171" i="23"/>
  <c r="EC176" i="23"/>
  <c r="EC178" i="23"/>
  <c r="EC179" i="23"/>
  <c r="EC159" i="23"/>
  <c r="EC165" i="23"/>
  <c r="EC174" i="23"/>
  <c r="EC153" i="23"/>
  <c r="EC137" i="23"/>
  <c r="EC189" i="23"/>
  <c r="EC177" i="23"/>
  <c r="EC154" i="23"/>
  <c r="EC138" i="23"/>
  <c r="EC183" i="23"/>
  <c r="EC175" i="23"/>
  <c r="EC162" i="23"/>
  <c r="EC167" i="23"/>
  <c r="EC160" i="23"/>
  <c r="EC166" i="23"/>
  <c r="EC148" i="23"/>
  <c r="EC139" i="23"/>
  <c r="EC161" i="23"/>
  <c r="EC149" i="23"/>
  <c r="EC141" i="23"/>
  <c r="EC130" i="23"/>
  <c r="EC200" i="23"/>
  <c r="EC145" i="23"/>
  <c r="EC144" i="23"/>
  <c r="EC133" i="23"/>
  <c r="EC119" i="23"/>
  <c r="EC118" i="23"/>
  <c r="EC155" i="23"/>
  <c r="EC116" i="23"/>
  <c r="EC115" i="23"/>
  <c r="EC129" i="23"/>
  <c r="EC120" i="23"/>
  <c r="EC140" i="23"/>
  <c r="EC142" i="23"/>
  <c r="EC184" i="23"/>
  <c r="EC170" i="23"/>
  <c r="EC156" i="23"/>
  <c r="EC143" i="23"/>
  <c r="EC146" i="23"/>
  <c r="EC123" i="23"/>
  <c r="EC150" i="23"/>
  <c r="EC128" i="23"/>
  <c r="EC135" i="23"/>
  <c r="EC122" i="23"/>
  <c r="EC163" i="23"/>
  <c r="EC194" i="23"/>
  <c r="EC132" i="23"/>
  <c r="EC121" i="23"/>
  <c r="EC202" i="23"/>
  <c r="EC158" i="23"/>
  <c r="EC114" i="23"/>
  <c r="EC136" i="23"/>
  <c r="EC191" i="23"/>
  <c r="EC169" i="23"/>
  <c r="EC125" i="23"/>
  <c r="EC147" i="23"/>
  <c r="EC180" i="23"/>
  <c r="EC112" i="23"/>
  <c r="EC111" i="23"/>
  <c r="EC113" i="23"/>
  <c r="EC108" i="23"/>
  <c r="EC107" i="23"/>
  <c r="EC105" i="23"/>
  <c r="EC109" i="23"/>
  <c r="EC104" i="23"/>
  <c r="EC102" i="23"/>
  <c r="EC106" i="23"/>
  <c r="EC103" i="23"/>
  <c r="EC101" i="23"/>
  <c r="EC110" i="23"/>
  <c r="EC99" i="23"/>
  <c r="EC98" i="23"/>
  <c r="EC94" i="23"/>
  <c r="EC93" i="23"/>
  <c r="EC96" i="23"/>
  <c r="EC97" i="23"/>
  <c r="EC90" i="23"/>
  <c r="EC89" i="23"/>
  <c r="EC91" i="23"/>
  <c r="EC95" i="23"/>
  <c r="EC87" i="23"/>
  <c r="EC86" i="23"/>
  <c r="EC100" i="23"/>
  <c r="EC85" i="23"/>
  <c r="EC92" i="23"/>
  <c r="EC84" i="23"/>
  <c r="EC79" i="23"/>
  <c r="EC88" i="23"/>
  <c r="EC83" i="23"/>
  <c r="EC76" i="23"/>
  <c r="EC73" i="23"/>
  <c r="EC72" i="23"/>
  <c r="EC74" i="23"/>
  <c r="EC75" i="23"/>
  <c r="EC68" i="23"/>
  <c r="EC80" i="23"/>
  <c r="EC71" i="23"/>
  <c r="EC70" i="23"/>
  <c r="EC67" i="23"/>
  <c r="EC60" i="23"/>
  <c r="EC58" i="23"/>
  <c r="EC55" i="23"/>
  <c r="EC81" i="23"/>
  <c r="EC64" i="23"/>
  <c r="EC54" i="23"/>
  <c r="EC69" i="23"/>
  <c r="EC65" i="23"/>
  <c r="EC62" i="23"/>
  <c r="EC50" i="23"/>
  <c r="EC48" i="23"/>
  <c r="EC46" i="23"/>
  <c r="EC61" i="23"/>
  <c r="EC51" i="23"/>
  <c r="EC43" i="23"/>
  <c r="EC78" i="23"/>
  <c r="EC57" i="23"/>
  <c r="EC42" i="23"/>
  <c r="EC56" i="23"/>
  <c r="EC53" i="23"/>
  <c r="EC47" i="23"/>
  <c r="EC41" i="23"/>
  <c r="EC66" i="23"/>
  <c r="EC49" i="23"/>
  <c r="EC45" i="23"/>
  <c r="EC31" i="23"/>
  <c r="EC38" i="23"/>
  <c r="EC36" i="23"/>
  <c r="EC77" i="23"/>
  <c r="EC59" i="23"/>
  <c r="EC52" i="23"/>
  <c r="EC40" i="23"/>
  <c r="EC37" i="23"/>
  <c r="EC35" i="23"/>
  <c r="EC63" i="23"/>
  <c r="EC82" i="23"/>
  <c r="EC34" i="23"/>
  <c r="EC33" i="23"/>
  <c r="EC29" i="23"/>
  <c r="EC19" i="23"/>
  <c r="EC32" i="23"/>
  <c r="EC26" i="23"/>
  <c r="EC24" i="23"/>
  <c r="EC30" i="23"/>
  <c r="EC21" i="23"/>
  <c r="EC44" i="23"/>
  <c r="EC20" i="23"/>
  <c r="EC23" i="23"/>
  <c r="EC12" i="23"/>
  <c r="EC4" i="23"/>
  <c r="EC25" i="23"/>
  <c r="EC28" i="23"/>
  <c r="EC9" i="23"/>
  <c r="EC11" i="23"/>
  <c r="EC22" i="23"/>
  <c r="EC16" i="23"/>
  <c r="EC14" i="23"/>
  <c r="EC6" i="23"/>
  <c r="EC15" i="23"/>
  <c r="EC13" i="23"/>
  <c r="EC5" i="23"/>
  <c r="EC39" i="23"/>
  <c r="EC7" i="23"/>
  <c r="EC18" i="23"/>
  <c r="EC10" i="23"/>
  <c r="EC8" i="23"/>
  <c r="ED2" i="23"/>
  <c r="EC17" i="23"/>
  <c r="EC27" i="23"/>
  <c r="ED175" i="23" l="1"/>
  <c r="ED140" i="23"/>
  <c r="ED145" i="23"/>
  <c r="ED149" i="23"/>
  <c r="ED179" i="23"/>
  <c r="ED152" i="23"/>
  <c r="ED185" i="23"/>
  <c r="ED189" i="23"/>
  <c r="ED165" i="23"/>
  <c r="ED164" i="23"/>
  <c r="ED170" i="23"/>
  <c r="ED126" i="23"/>
  <c r="ED151" i="23"/>
  <c r="ED194" i="23"/>
  <c r="ED197" i="23"/>
  <c r="ED208" i="23"/>
  <c r="ED209" i="23"/>
  <c r="ED131" i="23"/>
  <c r="ED204" i="23"/>
  <c r="ED144" i="23"/>
  <c r="ED199" i="23"/>
  <c r="ED203" i="23"/>
  <c r="ED192" i="23"/>
  <c r="ED200" i="23"/>
  <c r="ED205" i="23"/>
  <c r="ED206" i="23"/>
  <c r="ED210" i="23"/>
  <c r="ED195" i="23"/>
  <c r="ED207" i="23"/>
  <c r="ED193" i="23"/>
  <c r="ED196" i="23"/>
  <c r="ED211" i="23"/>
  <c r="ED212" i="23"/>
  <c r="ED182" i="23"/>
  <c r="ED188" i="23"/>
  <c r="ED171" i="23"/>
  <c r="ED186" i="23"/>
  <c r="ED181" i="23"/>
  <c r="ED190" i="23"/>
  <c r="ED176" i="23"/>
  <c r="ED162" i="23"/>
  <c r="ED168" i="23"/>
  <c r="ED160" i="23"/>
  <c r="ED159" i="23"/>
  <c r="ED201" i="23"/>
  <c r="ED177" i="23"/>
  <c r="ED163" i="23"/>
  <c r="ED150" i="23"/>
  <c r="ED198" i="23"/>
  <c r="ED153" i="23"/>
  <c r="ED174" i="23"/>
  <c r="ED166" i="23"/>
  <c r="ED141" i="23"/>
  <c r="ED187" i="23"/>
  <c r="ED138" i="23"/>
  <c r="ED154" i="23"/>
  <c r="ED142" i="23"/>
  <c r="ED146" i="23"/>
  <c r="ED132" i="23"/>
  <c r="ED128" i="23"/>
  <c r="ED172" i="23"/>
  <c r="ED135" i="23"/>
  <c r="ED178" i="23"/>
  <c r="ED117" i="23"/>
  <c r="ED173" i="23"/>
  <c r="ED148" i="23"/>
  <c r="ED139" i="23"/>
  <c r="ED133" i="23"/>
  <c r="ED118" i="23"/>
  <c r="ED123" i="23"/>
  <c r="ED124" i="23"/>
  <c r="ED143" i="23"/>
  <c r="ED161" i="23"/>
  <c r="ED134" i="23"/>
  <c r="ED122" i="23"/>
  <c r="ED184" i="23"/>
  <c r="ED130" i="23"/>
  <c r="ED121" i="23"/>
  <c r="ED167" i="23"/>
  <c r="ED157" i="23"/>
  <c r="ED115" i="23"/>
  <c r="ED116" i="23"/>
  <c r="ED156" i="23"/>
  <c r="ED119" i="23"/>
  <c r="ED120" i="23"/>
  <c r="ED137" i="23"/>
  <c r="ED183" i="23"/>
  <c r="ED155" i="23"/>
  <c r="ED127" i="23"/>
  <c r="ED129" i="23"/>
  <c r="ED136" i="23"/>
  <c r="ED114" i="23"/>
  <c r="ED202" i="23"/>
  <c r="ED158" i="23"/>
  <c r="ED147" i="23"/>
  <c r="ED169" i="23"/>
  <c r="ED180" i="23"/>
  <c r="ED191" i="23"/>
  <c r="ED125" i="23"/>
  <c r="ED112" i="23"/>
  <c r="ED110" i="23"/>
  <c r="ED111" i="23"/>
  <c r="ED105" i="23"/>
  <c r="ED107" i="23"/>
  <c r="ED113" i="23"/>
  <c r="ED106" i="23"/>
  <c r="ED104" i="23"/>
  <c r="ED102" i="23"/>
  <c r="ED101" i="23"/>
  <c r="ED109" i="23"/>
  <c r="ED98" i="23"/>
  <c r="ED103" i="23"/>
  <c r="ED99" i="23"/>
  <c r="ED97" i="23"/>
  <c r="ED95" i="23"/>
  <c r="ED94" i="23"/>
  <c r="ED92" i="23"/>
  <c r="ED83" i="23"/>
  <c r="ED100" i="23"/>
  <c r="ED91" i="23"/>
  <c r="ED82" i="23"/>
  <c r="ED80" i="23"/>
  <c r="ED93" i="23"/>
  <c r="ED90" i="23"/>
  <c r="ED81" i="23"/>
  <c r="ED88" i="23"/>
  <c r="ED78" i="23"/>
  <c r="ED77" i="23"/>
  <c r="ED96" i="23"/>
  <c r="ED86" i="23"/>
  <c r="ED85" i="23"/>
  <c r="ED76" i="23"/>
  <c r="ED75" i="23"/>
  <c r="ED79" i="23"/>
  <c r="ED69" i="23"/>
  <c r="ED65" i="23"/>
  <c r="ED64" i="23"/>
  <c r="ED73" i="23"/>
  <c r="ED67" i="23"/>
  <c r="ED60" i="23"/>
  <c r="ED58" i="23"/>
  <c r="ED108" i="23"/>
  <c r="ED68" i="23"/>
  <c r="ED89" i="23"/>
  <c r="ED87" i="23"/>
  <c r="ED52" i="23"/>
  <c r="ED62" i="23"/>
  <c r="ED61" i="23"/>
  <c r="ED51" i="23"/>
  <c r="ED84" i="23"/>
  <c r="ED71" i="23"/>
  <c r="ED50" i="23"/>
  <c r="ED48" i="23"/>
  <c r="ED46" i="23"/>
  <c r="ED70" i="23"/>
  <c r="ED63" i="23"/>
  <c r="ED66" i="23"/>
  <c r="ED54" i="23"/>
  <c r="ED49" i="23"/>
  <c r="ED47" i="23"/>
  <c r="ED74" i="23"/>
  <c r="ED45" i="23"/>
  <c r="ED57" i="23"/>
  <c r="ED38" i="23"/>
  <c r="ED36" i="23"/>
  <c r="ED72" i="23"/>
  <c r="ED33" i="23"/>
  <c r="ED55" i="23"/>
  <c r="ED42" i="23"/>
  <c r="ED32" i="23"/>
  <c r="ED59" i="23"/>
  <c r="ED43" i="23"/>
  <c r="ED26" i="23"/>
  <c r="ED24" i="23"/>
  <c r="ED56" i="23"/>
  <c r="ED37" i="23"/>
  <c r="ED30" i="23"/>
  <c r="ED21" i="23"/>
  <c r="ED31" i="23"/>
  <c r="ED28" i="23"/>
  <c r="ED53" i="23"/>
  <c r="ED27" i="23"/>
  <c r="ED25" i="23"/>
  <c r="ED9" i="23"/>
  <c r="ED22" i="23"/>
  <c r="ED16" i="23"/>
  <c r="ED14" i="23"/>
  <c r="ED6" i="23"/>
  <c r="ED41" i="23"/>
  <c r="ED40" i="23"/>
  <c r="ED19" i="23"/>
  <c r="ED11" i="23"/>
  <c r="ED44" i="23"/>
  <c r="ED18" i="23"/>
  <c r="ED8" i="23"/>
  <c r="EE2" i="23"/>
  <c r="ED39" i="23"/>
  <c r="ED10" i="23"/>
  <c r="ED17" i="23"/>
  <c r="ED20" i="23"/>
  <c r="ED5" i="23"/>
  <c r="ED34" i="23"/>
  <c r="ED29" i="23"/>
  <c r="ED12" i="23"/>
  <c r="ED23" i="23"/>
  <c r="ED13" i="23"/>
  <c r="ED4" i="23"/>
  <c r="ED35" i="23"/>
  <c r="ED15" i="23"/>
  <c r="ED7" i="23"/>
  <c r="EE145" i="23" l="1"/>
  <c r="EE124" i="23"/>
  <c r="EE195" i="23"/>
  <c r="EE194" i="23"/>
  <c r="EE127" i="23"/>
  <c r="EE173" i="23"/>
  <c r="EE166" i="23"/>
  <c r="EE179" i="23"/>
  <c r="EE120" i="23"/>
  <c r="EE149" i="23"/>
  <c r="EE193" i="23"/>
  <c r="EE123" i="23"/>
  <c r="EE181" i="23"/>
  <c r="EE128" i="23"/>
  <c r="EE161" i="23"/>
  <c r="EE142" i="23"/>
  <c r="EE159" i="23"/>
  <c r="EE189" i="23"/>
  <c r="EE205" i="23"/>
  <c r="EE199" i="23"/>
  <c r="EE203" i="23"/>
  <c r="EE207" i="23"/>
  <c r="EE200" i="23"/>
  <c r="EE192" i="23"/>
  <c r="EE144" i="23"/>
  <c r="EE206" i="23"/>
  <c r="EE164" i="23"/>
  <c r="EE210" i="23"/>
  <c r="EE201" i="23"/>
  <c r="EE184" i="23"/>
  <c r="EE182" i="23"/>
  <c r="EE212" i="23"/>
  <c r="EE211" i="23"/>
  <c r="EE208" i="23"/>
  <c r="EE209" i="23"/>
  <c r="EE204" i="23"/>
  <c r="EE187" i="23"/>
  <c r="EE185" i="23"/>
  <c r="EE196" i="23"/>
  <c r="EE197" i="23"/>
  <c r="EE172" i="23"/>
  <c r="EE198" i="23"/>
  <c r="EE188" i="23"/>
  <c r="EE170" i="23"/>
  <c r="EE174" i="23"/>
  <c r="EE150" i="23"/>
  <c r="EE156" i="23"/>
  <c r="EE183" i="23"/>
  <c r="EE171" i="23"/>
  <c r="EE176" i="23"/>
  <c r="EE168" i="23"/>
  <c r="EE167" i="23"/>
  <c r="EE175" i="23"/>
  <c r="EE190" i="23"/>
  <c r="EE163" i="23"/>
  <c r="EE153" i="23"/>
  <c r="EE178" i="23"/>
  <c r="EE162" i="23"/>
  <c r="EE160" i="23"/>
  <c r="EE157" i="23"/>
  <c r="EE141" i="23"/>
  <c r="EE139" i="23"/>
  <c r="EE152" i="23"/>
  <c r="EE186" i="23"/>
  <c r="EE137" i="23"/>
  <c r="EE154" i="23"/>
  <c r="EE151" i="23"/>
  <c r="EE143" i="23"/>
  <c r="EE146" i="23"/>
  <c r="EE130" i="23"/>
  <c r="EE134" i="23"/>
  <c r="EE131" i="23"/>
  <c r="EE132" i="23"/>
  <c r="EE115" i="23"/>
  <c r="EE122" i="23"/>
  <c r="EE119" i="23"/>
  <c r="EE117" i="23"/>
  <c r="EE135" i="23"/>
  <c r="EE118" i="23"/>
  <c r="EE165" i="23"/>
  <c r="EE148" i="23"/>
  <c r="EE155" i="23"/>
  <c r="EE177" i="23"/>
  <c r="EE138" i="23"/>
  <c r="EE133" i="23"/>
  <c r="EE116" i="23"/>
  <c r="EE126" i="23"/>
  <c r="EE121" i="23"/>
  <c r="EE129" i="23"/>
  <c r="EE140" i="23"/>
  <c r="EE125" i="23"/>
  <c r="EE191" i="23"/>
  <c r="EE147" i="23"/>
  <c r="EE180" i="23"/>
  <c r="EE169" i="23"/>
  <c r="EE202" i="23"/>
  <c r="EE158" i="23"/>
  <c r="EE114" i="23"/>
  <c r="EE136" i="23"/>
  <c r="EE113" i="23"/>
  <c r="EE111" i="23"/>
  <c r="EE110" i="23"/>
  <c r="EE109" i="23"/>
  <c r="EE107" i="23"/>
  <c r="EE112" i="23"/>
  <c r="EE106" i="23"/>
  <c r="EE108" i="23"/>
  <c r="EE100" i="23"/>
  <c r="EE101" i="23"/>
  <c r="EE104" i="23"/>
  <c r="EE103" i="23"/>
  <c r="EE96" i="23"/>
  <c r="EE99" i="23"/>
  <c r="EE95" i="23"/>
  <c r="EE102" i="23"/>
  <c r="EE97" i="23"/>
  <c r="EE98" i="23"/>
  <c r="EE91" i="23"/>
  <c r="EE93" i="23"/>
  <c r="EE92" i="23"/>
  <c r="EE89" i="23"/>
  <c r="EE105" i="23"/>
  <c r="EE88" i="23"/>
  <c r="EE86" i="23"/>
  <c r="EE84" i="23"/>
  <c r="EE83" i="23"/>
  <c r="EE78" i="23"/>
  <c r="EE87" i="23"/>
  <c r="EE75" i="23"/>
  <c r="EE94" i="23"/>
  <c r="EE81" i="23"/>
  <c r="EE74" i="23"/>
  <c r="EE85" i="23"/>
  <c r="EE76" i="23"/>
  <c r="EE79" i="23"/>
  <c r="EE69" i="23"/>
  <c r="EE62" i="23"/>
  <c r="EE72" i="23"/>
  <c r="EE68" i="23"/>
  <c r="EE63" i="23"/>
  <c r="EE59" i="23"/>
  <c r="EE57" i="23"/>
  <c r="EE77" i="23"/>
  <c r="EE70" i="23"/>
  <c r="EE66" i="23"/>
  <c r="EE65" i="23"/>
  <c r="EE56" i="23"/>
  <c r="EE80" i="23"/>
  <c r="EE73" i="23"/>
  <c r="EE67" i="23"/>
  <c r="EE61" i="23"/>
  <c r="EE51" i="23"/>
  <c r="EE53" i="23"/>
  <c r="EE52" i="23"/>
  <c r="EE45" i="23"/>
  <c r="EE64" i="23"/>
  <c r="EE60" i="23"/>
  <c r="EE55" i="23"/>
  <c r="EE44" i="23"/>
  <c r="EE49" i="23"/>
  <c r="EE38" i="23"/>
  <c r="EE36" i="23"/>
  <c r="EE33" i="23"/>
  <c r="EE82" i="23"/>
  <c r="EE58" i="23"/>
  <c r="EE54" i="23"/>
  <c r="EE30" i="23"/>
  <c r="EE71" i="23"/>
  <c r="EE50" i="23"/>
  <c r="EE43" i="23"/>
  <c r="EE39" i="23"/>
  <c r="EE37" i="23"/>
  <c r="EE32" i="23"/>
  <c r="EE21" i="23"/>
  <c r="EE31" i="23"/>
  <c r="EE28" i="23"/>
  <c r="EE23" i="23"/>
  <c r="EE46" i="23"/>
  <c r="EE40" i="23"/>
  <c r="EE22" i="23"/>
  <c r="EE48" i="23"/>
  <c r="EE16" i="23"/>
  <c r="EE14" i="23"/>
  <c r="EE6" i="23"/>
  <c r="EE47" i="23"/>
  <c r="EE15" i="23"/>
  <c r="EE42" i="23"/>
  <c r="EE19" i="23"/>
  <c r="EE11" i="23"/>
  <c r="EE27" i="23"/>
  <c r="EE41" i="23"/>
  <c r="EE25" i="23"/>
  <c r="EE18" i="23"/>
  <c r="EE8" i="23"/>
  <c r="EF2" i="23"/>
  <c r="EE34" i="23"/>
  <c r="EE13" i="23"/>
  <c r="EE5" i="23"/>
  <c r="EE17" i="23"/>
  <c r="EE7" i="23"/>
  <c r="EE35" i="23"/>
  <c r="EE29" i="23"/>
  <c r="EE24" i="23"/>
  <c r="EE20" i="23"/>
  <c r="EE12" i="23"/>
  <c r="EE90" i="23"/>
  <c r="EE26" i="23"/>
  <c r="EE10" i="23"/>
  <c r="EE4" i="23"/>
  <c r="EE9" i="23"/>
  <c r="EF163" i="23" l="1"/>
  <c r="EF128" i="23"/>
  <c r="EF168" i="23"/>
  <c r="EF162" i="23"/>
  <c r="EF131" i="23"/>
  <c r="EF126" i="23"/>
  <c r="EF115" i="23"/>
  <c r="EF166" i="23"/>
  <c r="EF200" i="23"/>
  <c r="EF182" i="23"/>
  <c r="EF197" i="23"/>
  <c r="EF192" i="23"/>
  <c r="EF189" i="23"/>
  <c r="EF194" i="23"/>
  <c r="EF207" i="23"/>
  <c r="EF205" i="23"/>
  <c r="EF176" i="23"/>
  <c r="EF209" i="23"/>
  <c r="EF134" i="23"/>
  <c r="EF210" i="23"/>
  <c r="EF206" i="23"/>
  <c r="EF195" i="23"/>
  <c r="EF127" i="23"/>
  <c r="EF211" i="23"/>
  <c r="EF212" i="23"/>
  <c r="EF164" i="23"/>
  <c r="EF196" i="23"/>
  <c r="EF184" i="23"/>
  <c r="EF208" i="23"/>
  <c r="EF199" i="23"/>
  <c r="EF198" i="23"/>
  <c r="EF186" i="23"/>
  <c r="EF203" i="23"/>
  <c r="EF201" i="23"/>
  <c r="EF187" i="23"/>
  <c r="EF190" i="23"/>
  <c r="EF193" i="23"/>
  <c r="EF181" i="23"/>
  <c r="EF185" i="23"/>
  <c r="EF172" i="23"/>
  <c r="EF171" i="23"/>
  <c r="EF153" i="23"/>
  <c r="EF183" i="23"/>
  <c r="EF188" i="23"/>
  <c r="EF179" i="23"/>
  <c r="EF178" i="23"/>
  <c r="EF149" i="23"/>
  <c r="EF157" i="23"/>
  <c r="EF177" i="23"/>
  <c r="EF159" i="23"/>
  <c r="EF155" i="23"/>
  <c r="EF148" i="23"/>
  <c r="EF152" i="23"/>
  <c r="EF137" i="23"/>
  <c r="EF173" i="23"/>
  <c r="EF160" i="23"/>
  <c r="EF165" i="23"/>
  <c r="EF156" i="23"/>
  <c r="EF141" i="23"/>
  <c r="EF174" i="23"/>
  <c r="EF170" i="23"/>
  <c r="EF138" i="23"/>
  <c r="EF151" i="23"/>
  <c r="EF129" i="23"/>
  <c r="EF161" i="23"/>
  <c r="EF150" i="23"/>
  <c r="EF143" i="23"/>
  <c r="EF120" i="23"/>
  <c r="EF121" i="23"/>
  <c r="EF204" i="23"/>
  <c r="EF144" i="23"/>
  <c r="EF123" i="23"/>
  <c r="EF154" i="23"/>
  <c r="EF135" i="23"/>
  <c r="EF175" i="23"/>
  <c r="EF132" i="23"/>
  <c r="EF167" i="23"/>
  <c r="EF140" i="23"/>
  <c r="EF146" i="23"/>
  <c r="EF116" i="23"/>
  <c r="EF133" i="23"/>
  <c r="EF118" i="23"/>
  <c r="EF119" i="23"/>
  <c r="EF142" i="23"/>
  <c r="EF145" i="23"/>
  <c r="EF130" i="23"/>
  <c r="EF124" i="23"/>
  <c r="EF139" i="23"/>
  <c r="EF117" i="23"/>
  <c r="EF122" i="23"/>
  <c r="EF125" i="23"/>
  <c r="EF114" i="23"/>
  <c r="EF202" i="23"/>
  <c r="EF136" i="23"/>
  <c r="EF169" i="23"/>
  <c r="EF191" i="23"/>
  <c r="EF180" i="23"/>
  <c r="EF147" i="23"/>
  <c r="EF158" i="23"/>
  <c r="EF107" i="23"/>
  <c r="EF113" i="23"/>
  <c r="EF108" i="23"/>
  <c r="EF111" i="23"/>
  <c r="EF109" i="23"/>
  <c r="EF105" i="23"/>
  <c r="EF103" i="23"/>
  <c r="EF101" i="23"/>
  <c r="EF110" i="23"/>
  <c r="EF98" i="23"/>
  <c r="EF106" i="23"/>
  <c r="EF104" i="23"/>
  <c r="EF102" i="23"/>
  <c r="EF100" i="23"/>
  <c r="EF92" i="23"/>
  <c r="EF89" i="23"/>
  <c r="EF88" i="23"/>
  <c r="EF99" i="23"/>
  <c r="EF95" i="23"/>
  <c r="EF93" i="23"/>
  <c r="EF97" i="23"/>
  <c r="EF86" i="23"/>
  <c r="EF90" i="23"/>
  <c r="EF85" i="23"/>
  <c r="EF91" i="23"/>
  <c r="EF87" i="23"/>
  <c r="EF83" i="23"/>
  <c r="EF96" i="23"/>
  <c r="EF78" i="23"/>
  <c r="EF72" i="23"/>
  <c r="EF82" i="23"/>
  <c r="EF80" i="23"/>
  <c r="EF79" i="23"/>
  <c r="EF71" i="23"/>
  <c r="EF69" i="23"/>
  <c r="EF75" i="23"/>
  <c r="EF70" i="23"/>
  <c r="EF67" i="23"/>
  <c r="EF84" i="23"/>
  <c r="EF77" i="23"/>
  <c r="EF73" i="23"/>
  <c r="EF66" i="23"/>
  <c r="EF76" i="23"/>
  <c r="EF63" i="23"/>
  <c r="EF59" i="23"/>
  <c r="EF57" i="23"/>
  <c r="EF94" i="23"/>
  <c r="EF74" i="23"/>
  <c r="EF54" i="23"/>
  <c r="EF53" i="23"/>
  <c r="EF65" i="23"/>
  <c r="EF62" i="23"/>
  <c r="EF61" i="23"/>
  <c r="EF51" i="23"/>
  <c r="EF52" i="23"/>
  <c r="EF68" i="23"/>
  <c r="EF58" i="23"/>
  <c r="EF42" i="23"/>
  <c r="EF56" i="23"/>
  <c r="EF41" i="23"/>
  <c r="EF30" i="23"/>
  <c r="EF46" i="23"/>
  <c r="EF40" i="23"/>
  <c r="EF37" i="23"/>
  <c r="EF35" i="23"/>
  <c r="EF64" i="23"/>
  <c r="EF44" i="23"/>
  <c r="EF34" i="23"/>
  <c r="EF50" i="23"/>
  <c r="EF81" i="23"/>
  <c r="EF55" i="23"/>
  <c r="EF45" i="23"/>
  <c r="EF31" i="23"/>
  <c r="EF28" i="23"/>
  <c r="EF23" i="23"/>
  <c r="EF39" i="23"/>
  <c r="EF20" i="23"/>
  <c r="EF36" i="23"/>
  <c r="EF29" i="23"/>
  <c r="EF19" i="23"/>
  <c r="EF22" i="23"/>
  <c r="EF11" i="23"/>
  <c r="EF33" i="23"/>
  <c r="EF25" i="23"/>
  <c r="EF18" i="23"/>
  <c r="EF8" i="23"/>
  <c r="EG2" i="23"/>
  <c r="EF47" i="23"/>
  <c r="EF43" i="23"/>
  <c r="EF27" i="23"/>
  <c r="EF15" i="23"/>
  <c r="EF13" i="23"/>
  <c r="EF5" i="23"/>
  <c r="EF10" i="23"/>
  <c r="EF60" i="23"/>
  <c r="EF49" i="23"/>
  <c r="EF24" i="23"/>
  <c r="EF12" i="23"/>
  <c r="EF4" i="23"/>
  <c r="EF112" i="23"/>
  <c r="EF32" i="23"/>
  <c r="EF26" i="23"/>
  <c r="EF38" i="23"/>
  <c r="EF16" i="23"/>
  <c r="EF48" i="23"/>
  <c r="EF6" i="23"/>
  <c r="EF14" i="23"/>
  <c r="EF7" i="23"/>
  <c r="EF21" i="23"/>
  <c r="EF17" i="23"/>
  <c r="EF9" i="23"/>
  <c r="EG189" i="23" l="1"/>
  <c r="EG124" i="23"/>
  <c r="EG121" i="23"/>
  <c r="EG129" i="23"/>
  <c r="EG131" i="23"/>
  <c r="EG115" i="23"/>
  <c r="EG211" i="23"/>
  <c r="EG206" i="23"/>
  <c r="EG148" i="23"/>
  <c r="EG170" i="23"/>
  <c r="EG200" i="23"/>
  <c r="EG123" i="23"/>
  <c r="EG174" i="23"/>
  <c r="EG144" i="23"/>
  <c r="EG134" i="23"/>
  <c r="EG188" i="23"/>
  <c r="EG149" i="23"/>
  <c r="EG195" i="23"/>
  <c r="EG208" i="23"/>
  <c r="EG205" i="23"/>
  <c r="EG203" i="23"/>
  <c r="EG196" i="23"/>
  <c r="EG197" i="23"/>
  <c r="EG199" i="23"/>
  <c r="EG184" i="23"/>
  <c r="EG186" i="23"/>
  <c r="EG207" i="23"/>
  <c r="EG204" i="23"/>
  <c r="EG193" i="23"/>
  <c r="EG209" i="23"/>
  <c r="EG201" i="23"/>
  <c r="EG166" i="23"/>
  <c r="EG210" i="23"/>
  <c r="EG194" i="23"/>
  <c r="EG181" i="23"/>
  <c r="EG187" i="23"/>
  <c r="EG182" i="23"/>
  <c r="EG172" i="23"/>
  <c r="EG198" i="23"/>
  <c r="EG185" i="23"/>
  <c r="EG212" i="23"/>
  <c r="EG161" i="23"/>
  <c r="EG154" i="23"/>
  <c r="EG175" i="23"/>
  <c r="EG156" i="23"/>
  <c r="EG173" i="23"/>
  <c r="EG177" i="23"/>
  <c r="EG160" i="23"/>
  <c r="EG168" i="23"/>
  <c r="EG192" i="23"/>
  <c r="EG179" i="23"/>
  <c r="EG162" i="23"/>
  <c r="EG163" i="23"/>
  <c r="EG159" i="23"/>
  <c r="EG155" i="23"/>
  <c r="EG151" i="23"/>
  <c r="EG137" i="23"/>
  <c r="EG142" i="23"/>
  <c r="EG178" i="23"/>
  <c r="EG132" i="23"/>
  <c r="EG171" i="23"/>
  <c r="EG140" i="23"/>
  <c r="EG145" i="23"/>
  <c r="EG127" i="23"/>
  <c r="EG164" i="23"/>
  <c r="EG130" i="23"/>
  <c r="EG167" i="23"/>
  <c r="EG190" i="23"/>
  <c r="EG165" i="23"/>
  <c r="EG152" i="23"/>
  <c r="EG138" i="23"/>
  <c r="EG133" i="23"/>
  <c r="EG153" i="23"/>
  <c r="EG141" i="23"/>
  <c r="EG143" i="23"/>
  <c r="EG126" i="23"/>
  <c r="EG135" i="23"/>
  <c r="EG120" i="23"/>
  <c r="EG122" i="23"/>
  <c r="EG157" i="23"/>
  <c r="EG139" i="23"/>
  <c r="EG116" i="23"/>
  <c r="EG150" i="23"/>
  <c r="EG128" i="23"/>
  <c r="EG117" i="23"/>
  <c r="EG183" i="23"/>
  <c r="EG118" i="23"/>
  <c r="EG146" i="23"/>
  <c r="EG176" i="23"/>
  <c r="EG119" i="23"/>
  <c r="EG202" i="23"/>
  <c r="EG191" i="23"/>
  <c r="EG180" i="23"/>
  <c r="EG169" i="23"/>
  <c r="EG125" i="23"/>
  <c r="EG114" i="23"/>
  <c r="EG147" i="23"/>
  <c r="EG136" i="23"/>
  <c r="EG158" i="23"/>
  <c r="EG111" i="23"/>
  <c r="EG113" i="23"/>
  <c r="EG112" i="23"/>
  <c r="EG110" i="23"/>
  <c r="EG109" i="23"/>
  <c r="EG106" i="23"/>
  <c r="EG107" i="23"/>
  <c r="EG104" i="23"/>
  <c r="EG103" i="23"/>
  <c r="EG102" i="23"/>
  <c r="EG101" i="23"/>
  <c r="EG108" i="23"/>
  <c r="EG105" i="23"/>
  <c r="EG97" i="23"/>
  <c r="EG98" i="23"/>
  <c r="EG94" i="23"/>
  <c r="EG100" i="23"/>
  <c r="EG96" i="23"/>
  <c r="EG99" i="23"/>
  <c r="EG95" i="23"/>
  <c r="EG93" i="23"/>
  <c r="EG92" i="23"/>
  <c r="EG91" i="23"/>
  <c r="EG88" i="23"/>
  <c r="EG87" i="23"/>
  <c r="EG86" i="23"/>
  <c r="EG81" i="23"/>
  <c r="EG85" i="23"/>
  <c r="EG77" i="23"/>
  <c r="EG90" i="23"/>
  <c r="EG84" i="23"/>
  <c r="EG76" i="23"/>
  <c r="EG83" i="23"/>
  <c r="EG79" i="23"/>
  <c r="EG69" i="23"/>
  <c r="EG70" i="23"/>
  <c r="EG82" i="23"/>
  <c r="EG71" i="23"/>
  <c r="EG64" i="23"/>
  <c r="EG74" i="23"/>
  <c r="EG63" i="23"/>
  <c r="EG59" i="23"/>
  <c r="EG57" i="23"/>
  <c r="EG89" i="23"/>
  <c r="EG72" i="23"/>
  <c r="EG61" i="23"/>
  <c r="EG51" i="23"/>
  <c r="EG60" i="23"/>
  <c r="EG58" i="23"/>
  <c r="EG50" i="23"/>
  <c r="EG75" i="23"/>
  <c r="EG67" i="23"/>
  <c r="EG52" i="23"/>
  <c r="EG68" i="23"/>
  <c r="EG53" i="23"/>
  <c r="EG49" i="23"/>
  <c r="EG47" i="23"/>
  <c r="EG48" i="23"/>
  <c r="EG46" i="23"/>
  <c r="EG66" i="23"/>
  <c r="EG62" i="23"/>
  <c r="EG73" i="23"/>
  <c r="EG54" i="23"/>
  <c r="EG40" i="23"/>
  <c r="EG37" i="23"/>
  <c r="EG35" i="23"/>
  <c r="EG32" i="23"/>
  <c r="EG41" i="23"/>
  <c r="EG31" i="23"/>
  <c r="EG78" i="23"/>
  <c r="EG56" i="23"/>
  <c r="EG30" i="23"/>
  <c r="EG23" i="23"/>
  <c r="EG39" i="23"/>
  <c r="EG20" i="23"/>
  <c r="EG27" i="23"/>
  <c r="EG25" i="23"/>
  <c r="EG38" i="23"/>
  <c r="EG34" i="23"/>
  <c r="EG26" i="23"/>
  <c r="EG24" i="23"/>
  <c r="EG42" i="23"/>
  <c r="EG33" i="23"/>
  <c r="EG28" i="23"/>
  <c r="EG19" i="23"/>
  <c r="EG18" i="23"/>
  <c r="EG8" i="23"/>
  <c r="EH2" i="23"/>
  <c r="EG7" i="23"/>
  <c r="EG43" i="23"/>
  <c r="EG15" i="23"/>
  <c r="EG13" i="23"/>
  <c r="EG5" i="23"/>
  <c r="EG21" i="23"/>
  <c r="EG17" i="23"/>
  <c r="EG44" i="23"/>
  <c r="EG10" i="23"/>
  <c r="EG65" i="23"/>
  <c r="EG45" i="23"/>
  <c r="EG36" i="23"/>
  <c r="EG29" i="23"/>
  <c r="EG9" i="23"/>
  <c r="EG16" i="23"/>
  <c r="EG14" i="23"/>
  <c r="EG80" i="23"/>
  <c r="EG12" i="23"/>
  <c r="EG22" i="23"/>
  <c r="EG11" i="23"/>
  <c r="EG6" i="23"/>
  <c r="EG4" i="23"/>
  <c r="EG55" i="23"/>
  <c r="EH210" i="23" l="1"/>
  <c r="EH183" i="23"/>
  <c r="EH146" i="23"/>
  <c r="EH115" i="23"/>
  <c r="EH127" i="23"/>
  <c r="EH170" i="23"/>
  <c r="EH124" i="23"/>
  <c r="EH138" i="23"/>
  <c r="EH151" i="23"/>
  <c r="EH133" i="23"/>
  <c r="EH166" i="23"/>
  <c r="EH207" i="23"/>
  <c r="EH164" i="23"/>
  <c r="EH193" i="23"/>
  <c r="EH196" i="23"/>
  <c r="EH204" i="23"/>
  <c r="EH212" i="23"/>
  <c r="EH209" i="23"/>
  <c r="EH173" i="23"/>
  <c r="EH203" i="23"/>
  <c r="EH198" i="23"/>
  <c r="EH201" i="23"/>
  <c r="EH192" i="23"/>
  <c r="EH205" i="23"/>
  <c r="EH206" i="23"/>
  <c r="EH208" i="23"/>
  <c r="EH194" i="23"/>
  <c r="EH199" i="23"/>
  <c r="EH181" i="23"/>
  <c r="EH211" i="23"/>
  <c r="EH195" i="23"/>
  <c r="EH122" i="23"/>
  <c r="EH200" i="23"/>
  <c r="EH187" i="23"/>
  <c r="EH188" i="23"/>
  <c r="EH185" i="23"/>
  <c r="EH172" i="23"/>
  <c r="EH174" i="23"/>
  <c r="EH186" i="23"/>
  <c r="EH184" i="23"/>
  <c r="EH189" i="23"/>
  <c r="EH190" i="23"/>
  <c r="EH182" i="23"/>
  <c r="EH171" i="23"/>
  <c r="EH197" i="23"/>
  <c r="EH163" i="23"/>
  <c r="EH154" i="23"/>
  <c r="EH175" i="23"/>
  <c r="EH179" i="23"/>
  <c r="EH162" i="23"/>
  <c r="EH150" i="23"/>
  <c r="EH153" i="23"/>
  <c r="EH155" i="23"/>
  <c r="EH140" i="23"/>
  <c r="EH157" i="23"/>
  <c r="EH142" i="23"/>
  <c r="EH177" i="23"/>
  <c r="EH159" i="23"/>
  <c r="EH156" i="23"/>
  <c r="EH161" i="23"/>
  <c r="EH165" i="23"/>
  <c r="EH148" i="23"/>
  <c r="EH141" i="23"/>
  <c r="EH143" i="23"/>
  <c r="EH139" i="23"/>
  <c r="EH144" i="23"/>
  <c r="EH178" i="23"/>
  <c r="EH168" i="23"/>
  <c r="EH137" i="23"/>
  <c r="EH126" i="23"/>
  <c r="EH176" i="23"/>
  <c r="EH160" i="23"/>
  <c r="EH128" i="23"/>
  <c r="EH132" i="23"/>
  <c r="EH134" i="23"/>
  <c r="EH119" i="23"/>
  <c r="EH152" i="23"/>
  <c r="EH145" i="23"/>
  <c r="EH123" i="23"/>
  <c r="EH118" i="23"/>
  <c r="EH135" i="23"/>
  <c r="EH129" i="23"/>
  <c r="EH120" i="23"/>
  <c r="EH167" i="23"/>
  <c r="EH130" i="23"/>
  <c r="EH116" i="23"/>
  <c r="EH121" i="23"/>
  <c r="EH117" i="23"/>
  <c r="EH149" i="23"/>
  <c r="EH131" i="23"/>
  <c r="EH202" i="23"/>
  <c r="EH180" i="23"/>
  <c r="EH125" i="23"/>
  <c r="EH147" i="23"/>
  <c r="EH114" i="23"/>
  <c r="EH191" i="23"/>
  <c r="EH158" i="23"/>
  <c r="EH169" i="23"/>
  <c r="EH136" i="23"/>
  <c r="EH113" i="23"/>
  <c r="EH112" i="23"/>
  <c r="EH111" i="23"/>
  <c r="EH110" i="23"/>
  <c r="EH109" i="23"/>
  <c r="EH108" i="23"/>
  <c r="EH106" i="23"/>
  <c r="EH105" i="23"/>
  <c r="EH107" i="23"/>
  <c r="EH104" i="23"/>
  <c r="EH102" i="23"/>
  <c r="EH100" i="23"/>
  <c r="EH99" i="23"/>
  <c r="EH103" i="23"/>
  <c r="EH98" i="23"/>
  <c r="EH95" i="23"/>
  <c r="EH94" i="23"/>
  <c r="EH92" i="23"/>
  <c r="EH91" i="23"/>
  <c r="EH93" i="23"/>
  <c r="EH90" i="23"/>
  <c r="EH97" i="23"/>
  <c r="EH96" i="23"/>
  <c r="EH87" i="23"/>
  <c r="EH88" i="23"/>
  <c r="EH89" i="23"/>
  <c r="EH84" i="23"/>
  <c r="EH85" i="23"/>
  <c r="EH77" i="23"/>
  <c r="EH74" i="23"/>
  <c r="EH86" i="23"/>
  <c r="EH73" i="23"/>
  <c r="EH70" i="23"/>
  <c r="EH82" i="23"/>
  <c r="EH71" i="23"/>
  <c r="EH80" i="23"/>
  <c r="EH78" i="23"/>
  <c r="EH81" i="23"/>
  <c r="EH68" i="23"/>
  <c r="EH79" i="23"/>
  <c r="EH76" i="23"/>
  <c r="EH63" i="23"/>
  <c r="EH101" i="23"/>
  <c r="EH72" i="23"/>
  <c r="EH61" i="23"/>
  <c r="EH83" i="23"/>
  <c r="EH69" i="23"/>
  <c r="EH65" i="23"/>
  <c r="EH64" i="23"/>
  <c r="EH62" i="23"/>
  <c r="EH56" i="23"/>
  <c r="EH75" i="23"/>
  <c r="EH67" i="23"/>
  <c r="EH55" i="23"/>
  <c r="EH53" i="23"/>
  <c r="EH58" i="23"/>
  <c r="EH49" i="23"/>
  <c r="EH47" i="23"/>
  <c r="EH54" i="23"/>
  <c r="EH44" i="23"/>
  <c r="EH59" i="23"/>
  <c r="EH50" i="23"/>
  <c r="EH43" i="23"/>
  <c r="EH57" i="23"/>
  <c r="EH40" i="23"/>
  <c r="EH37" i="23"/>
  <c r="EH51" i="23"/>
  <c r="EH46" i="23"/>
  <c r="EH32" i="23"/>
  <c r="EH48" i="23"/>
  <c r="EH42" i="23"/>
  <c r="EH39" i="23"/>
  <c r="EH60" i="23"/>
  <c r="EH45" i="23"/>
  <c r="EH38" i="23"/>
  <c r="EH36" i="23"/>
  <c r="EH20" i="23"/>
  <c r="EH27" i="23"/>
  <c r="EH25" i="23"/>
  <c r="EH41" i="23"/>
  <c r="EH22" i="23"/>
  <c r="EH52" i="23"/>
  <c r="EH35" i="23"/>
  <c r="EH33" i="23"/>
  <c r="EH21" i="23"/>
  <c r="EH15" i="23"/>
  <c r="EH13" i="23"/>
  <c r="EH5" i="23"/>
  <c r="EH10" i="23"/>
  <c r="EH12" i="23"/>
  <c r="EH34" i="23"/>
  <c r="EH31" i="23"/>
  <c r="EH17" i="23"/>
  <c r="EH7" i="23"/>
  <c r="EH4" i="23"/>
  <c r="EH26" i="23"/>
  <c r="EH16" i="23"/>
  <c r="EH14" i="23"/>
  <c r="EH6" i="23"/>
  <c r="EH30" i="23"/>
  <c r="EH23" i="23"/>
  <c r="EH66" i="23"/>
  <c r="EH18" i="23"/>
  <c r="EI2" i="23"/>
  <c r="EH19" i="23"/>
  <c r="EH29" i="23"/>
  <c r="EH24" i="23"/>
  <c r="EH11" i="23"/>
  <c r="EH8" i="23"/>
  <c r="EH28" i="23"/>
  <c r="EH9" i="23"/>
  <c r="EI146" i="23" l="1"/>
  <c r="EI206" i="23"/>
  <c r="EI176" i="23"/>
  <c r="EI173" i="23"/>
  <c r="EI210" i="23"/>
  <c r="EI200" i="23"/>
  <c r="EI194" i="23"/>
  <c r="EI187" i="23"/>
  <c r="EI117" i="23"/>
  <c r="EI149" i="23"/>
  <c r="EI193" i="23"/>
  <c r="EI139" i="23"/>
  <c r="EI122" i="23"/>
  <c r="EI178" i="23"/>
  <c r="EI183" i="23"/>
  <c r="EI138" i="23"/>
  <c r="EI143" i="23"/>
  <c r="EI121" i="23"/>
  <c r="EI129" i="23"/>
  <c r="EI159" i="23"/>
  <c r="EI151" i="23"/>
  <c r="EI157" i="23"/>
  <c r="EI197" i="23"/>
  <c r="EI132" i="23"/>
  <c r="EI167" i="23"/>
  <c r="EI201" i="23"/>
  <c r="EI209" i="23"/>
  <c r="EI204" i="23"/>
  <c r="EI190" i="23"/>
  <c r="EI205" i="23"/>
  <c r="EI203" i="23"/>
  <c r="EI208" i="23"/>
  <c r="EI211" i="23"/>
  <c r="EI181" i="23"/>
  <c r="EI185" i="23"/>
  <c r="EI207" i="23"/>
  <c r="EI199" i="23"/>
  <c r="EI144" i="23"/>
  <c r="EI152" i="23"/>
  <c r="EI212" i="23"/>
  <c r="EI196" i="23"/>
  <c r="EI182" i="23"/>
  <c r="EI189" i="23"/>
  <c r="EI172" i="23"/>
  <c r="EI188" i="23"/>
  <c r="EI171" i="23"/>
  <c r="EI175" i="23"/>
  <c r="EI161" i="23"/>
  <c r="EI156" i="23"/>
  <c r="EI148" i="23"/>
  <c r="EI198" i="23"/>
  <c r="EI184" i="23"/>
  <c r="EI165" i="23"/>
  <c r="EI164" i="23"/>
  <c r="EI166" i="23"/>
  <c r="EI155" i="23"/>
  <c r="EI195" i="23"/>
  <c r="EI160" i="23"/>
  <c r="EI168" i="23"/>
  <c r="EI150" i="23"/>
  <c r="EI179" i="23"/>
  <c r="EI142" i="23"/>
  <c r="EI192" i="23"/>
  <c r="EI174" i="23"/>
  <c r="EI154" i="23"/>
  <c r="EI141" i="23"/>
  <c r="EI140" i="23"/>
  <c r="EI186" i="23"/>
  <c r="EI170" i="23"/>
  <c r="EI163" i="23"/>
  <c r="EI177" i="23"/>
  <c r="EI162" i="23"/>
  <c r="EI133" i="23"/>
  <c r="EI135" i="23"/>
  <c r="EI116" i="23"/>
  <c r="EI118" i="23"/>
  <c r="EI120" i="23"/>
  <c r="EI119" i="23"/>
  <c r="EI145" i="23"/>
  <c r="EI124" i="23"/>
  <c r="EI130" i="23"/>
  <c r="EI153" i="23"/>
  <c r="EI126" i="23"/>
  <c r="EI127" i="23"/>
  <c r="EI115" i="23"/>
  <c r="EI137" i="23"/>
  <c r="EI134" i="23"/>
  <c r="EI128" i="23"/>
  <c r="EI131" i="23"/>
  <c r="EI123" i="23"/>
  <c r="EI169" i="23"/>
  <c r="EI191" i="23"/>
  <c r="EI125" i="23"/>
  <c r="EI180" i="23"/>
  <c r="EI136" i="23"/>
  <c r="EI202" i="23"/>
  <c r="EI147" i="23"/>
  <c r="EI158" i="23"/>
  <c r="EI114" i="23"/>
  <c r="EI113" i="23"/>
  <c r="EI111" i="23"/>
  <c r="EI110" i="23"/>
  <c r="EI109" i="23"/>
  <c r="EI112" i="23"/>
  <c r="EI108" i="23"/>
  <c r="EI105" i="23"/>
  <c r="EI104" i="23"/>
  <c r="EI103" i="23"/>
  <c r="EI99" i="23"/>
  <c r="EI107" i="23"/>
  <c r="EI95" i="23"/>
  <c r="EI101" i="23"/>
  <c r="EI97" i="23"/>
  <c r="EI102" i="23"/>
  <c r="EI98" i="23"/>
  <c r="EI92" i="23"/>
  <c r="EI100" i="23"/>
  <c r="EI94" i="23"/>
  <c r="EI89" i="23"/>
  <c r="EI85" i="23"/>
  <c r="EI84" i="23"/>
  <c r="EI88" i="23"/>
  <c r="EI87" i="23"/>
  <c r="EI90" i="23"/>
  <c r="EI82" i="23"/>
  <c r="EI80" i="23"/>
  <c r="EI77" i="23"/>
  <c r="EI81" i="23"/>
  <c r="EI79" i="23"/>
  <c r="EI71" i="23"/>
  <c r="EI106" i="23"/>
  <c r="EI83" i="23"/>
  <c r="EI78" i="23"/>
  <c r="EI70" i="23"/>
  <c r="EI72" i="23"/>
  <c r="EI66" i="23"/>
  <c r="EI93" i="23"/>
  <c r="EI76" i="23"/>
  <c r="EI75" i="23"/>
  <c r="EI65" i="23"/>
  <c r="EI61" i="23"/>
  <c r="EI96" i="23"/>
  <c r="EI74" i="23"/>
  <c r="EI69" i="23"/>
  <c r="EI64" i="23"/>
  <c r="EI62" i="23"/>
  <c r="EI56" i="23"/>
  <c r="EI53" i="23"/>
  <c r="EI91" i="23"/>
  <c r="EI73" i="23"/>
  <c r="EI68" i="23"/>
  <c r="EI52" i="23"/>
  <c r="EI58" i="23"/>
  <c r="EI49" i="23"/>
  <c r="EI47" i="23"/>
  <c r="EI63" i="23"/>
  <c r="EI54" i="23"/>
  <c r="EI60" i="23"/>
  <c r="EI57" i="23"/>
  <c r="EI55" i="23"/>
  <c r="EI40" i="23"/>
  <c r="EI51" i="23"/>
  <c r="EI46" i="23"/>
  <c r="EI67" i="23"/>
  <c r="EI48" i="23"/>
  <c r="EI42" i="23"/>
  <c r="EI39" i="23"/>
  <c r="EI43" i="23"/>
  <c r="EI34" i="23"/>
  <c r="EI33" i="23"/>
  <c r="EI86" i="23"/>
  <c r="EI27" i="23"/>
  <c r="EI25" i="23"/>
  <c r="EI41" i="23"/>
  <c r="EI22" i="23"/>
  <c r="EI44" i="23"/>
  <c r="EI29" i="23"/>
  <c r="EI19" i="23"/>
  <c r="EI50" i="23"/>
  <c r="EI28" i="23"/>
  <c r="EI10" i="23"/>
  <c r="EI31" i="23"/>
  <c r="EI17" i="23"/>
  <c r="EI7" i="23"/>
  <c r="EI21" i="23"/>
  <c r="EI12" i="23"/>
  <c r="EI4" i="23"/>
  <c r="EI24" i="23"/>
  <c r="EI9" i="23"/>
  <c r="EI37" i="23"/>
  <c r="EI35" i="23"/>
  <c r="EI32" i="23"/>
  <c r="EI30" i="23"/>
  <c r="EI23" i="23"/>
  <c r="EI20" i="23"/>
  <c r="EI11" i="23"/>
  <c r="EI38" i="23"/>
  <c r="EI18" i="23"/>
  <c r="EI45" i="23"/>
  <c r="EI36" i="23"/>
  <c r="EI8" i="23"/>
  <c r="EJ2" i="23"/>
  <c r="EI13" i="23"/>
  <c r="EI6" i="23"/>
  <c r="EI14" i="23"/>
  <c r="EI15" i="23"/>
  <c r="EI59" i="23"/>
  <c r="EI26" i="23"/>
  <c r="EI16" i="23"/>
  <c r="EI5" i="23"/>
  <c r="EJ185" i="23" l="1"/>
  <c r="EJ176" i="23"/>
  <c r="EJ189" i="23"/>
  <c r="EJ201" i="23"/>
  <c r="EJ132" i="23"/>
  <c r="EJ117" i="23"/>
  <c r="EJ115" i="23"/>
  <c r="EJ127" i="23"/>
  <c r="EJ116" i="23"/>
  <c r="EJ166" i="23"/>
  <c r="EJ164" i="23"/>
  <c r="EJ135" i="23"/>
  <c r="EJ145" i="23"/>
  <c r="EJ161" i="23"/>
  <c r="EJ121" i="23"/>
  <c r="EJ200" i="23"/>
  <c r="EJ128" i="23"/>
  <c r="EJ149" i="23"/>
  <c r="EJ209" i="23"/>
  <c r="EJ208" i="23"/>
  <c r="EJ212" i="23"/>
  <c r="EJ207" i="23"/>
  <c r="EJ211" i="23"/>
  <c r="EJ192" i="23"/>
  <c r="EJ210" i="23"/>
  <c r="EJ204" i="23"/>
  <c r="EJ193" i="23"/>
  <c r="EJ194" i="23"/>
  <c r="EJ205" i="23"/>
  <c r="EJ198" i="23"/>
  <c r="EJ196" i="23"/>
  <c r="EJ186" i="23"/>
  <c r="EJ203" i="23"/>
  <c r="EJ182" i="23"/>
  <c r="EJ195" i="23"/>
  <c r="EJ188" i="23"/>
  <c r="EJ183" i="23"/>
  <c r="EJ190" i="23"/>
  <c r="EJ172" i="23"/>
  <c r="EJ174" i="23"/>
  <c r="EJ187" i="23"/>
  <c r="EJ177" i="23"/>
  <c r="EJ168" i="23"/>
  <c r="EJ171" i="23"/>
  <c r="EJ167" i="23"/>
  <c r="EJ156" i="23"/>
  <c r="EJ154" i="23"/>
  <c r="EJ199" i="23"/>
  <c r="EJ184" i="23"/>
  <c r="EJ170" i="23"/>
  <c r="EJ179" i="23"/>
  <c r="EJ159" i="23"/>
  <c r="EJ175" i="23"/>
  <c r="EJ178" i="23"/>
  <c r="EJ160" i="23"/>
  <c r="EJ151" i="23"/>
  <c r="EJ137" i="23"/>
  <c r="EJ181" i="23"/>
  <c r="EJ197" i="23"/>
  <c r="EJ163" i="23"/>
  <c r="EJ142" i="23"/>
  <c r="EJ165" i="23"/>
  <c r="EJ173" i="23"/>
  <c r="EJ146" i="23"/>
  <c r="EJ126" i="23"/>
  <c r="EJ130" i="23"/>
  <c r="EJ206" i="23"/>
  <c r="EJ150" i="23"/>
  <c r="EJ152" i="23"/>
  <c r="EJ157" i="23"/>
  <c r="EJ134" i="23"/>
  <c r="EJ141" i="23"/>
  <c r="EJ139" i="23"/>
  <c r="EJ140" i="23"/>
  <c r="EJ133" i="23"/>
  <c r="EJ155" i="23"/>
  <c r="EJ143" i="23"/>
  <c r="EJ119" i="23"/>
  <c r="EJ162" i="23"/>
  <c r="EJ118" i="23"/>
  <c r="EJ120" i="23"/>
  <c r="EJ124" i="23"/>
  <c r="EJ144" i="23"/>
  <c r="EJ122" i="23"/>
  <c r="EJ131" i="23"/>
  <c r="EJ138" i="23"/>
  <c r="EJ153" i="23"/>
  <c r="EJ148" i="23"/>
  <c r="EJ129" i="23"/>
  <c r="EJ123" i="23"/>
  <c r="EJ169" i="23"/>
  <c r="EJ114" i="23"/>
  <c r="EJ202" i="23"/>
  <c r="EJ147" i="23"/>
  <c r="EJ125" i="23"/>
  <c r="EJ158" i="23"/>
  <c r="EJ136" i="23"/>
  <c r="EJ191" i="23"/>
  <c r="EJ180" i="23"/>
  <c r="EJ112" i="23"/>
  <c r="EJ113" i="23"/>
  <c r="EJ109" i="23"/>
  <c r="EJ108" i="23"/>
  <c r="EJ110" i="23"/>
  <c r="EJ104" i="23"/>
  <c r="EJ106" i="23"/>
  <c r="EJ99" i="23"/>
  <c r="EJ100" i="23"/>
  <c r="EJ97" i="23"/>
  <c r="EJ111" i="23"/>
  <c r="EJ101" i="23"/>
  <c r="EJ96" i="23"/>
  <c r="EJ107" i="23"/>
  <c r="EJ95" i="23"/>
  <c r="EJ94" i="23"/>
  <c r="EJ90" i="23"/>
  <c r="EJ88" i="23"/>
  <c r="EJ105" i="23"/>
  <c r="EJ102" i="23"/>
  <c r="EJ98" i="23"/>
  <c r="EJ89" i="23"/>
  <c r="EJ85" i="23"/>
  <c r="EJ103" i="23"/>
  <c r="EJ87" i="23"/>
  <c r="EJ81" i="23"/>
  <c r="EJ79" i="23"/>
  <c r="EJ91" i="23"/>
  <c r="EJ82" i="23"/>
  <c r="EJ80" i="23"/>
  <c r="EJ76" i="23"/>
  <c r="EJ92" i="23"/>
  <c r="EJ75" i="23"/>
  <c r="EJ71" i="23"/>
  <c r="EJ78" i="23"/>
  <c r="EJ72" i="23"/>
  <c r="EJ73" i="23"/>
  <c r="EJ63" i="23"/>
  <c r="EJ69" i="23"/>
  <c r="EJ93" i="23"/>
  <c r="EJ74" i="23"/>
  <c r="EJ64" i="23"/>
  <c r="EJ62" i="23"/>
  <c r="EJ56" i="23"/>
  <c r="EJ83" i="23"/>
  <c r="EJ65" i="23"/>
  <c r="EJ66" i="23"/>
  <c r="EJ60" i="23"/>
  <c r="EJ58" i="23"/>
  <c r="EJ50" i="23"/>
  <c r="EJ86" i="23"/>
  <c r="EJ59" i="23"/>
  <c r="EJ57" i="23"/>
  <c r="EJ70" i="23"/>
  <c r="EJ68" i="23"/>
  <c r="EJ54" i="23"/>
  <c r="EJ55" i="23"/>
  <c r="EJ48" i="23"/>
  <c r="EJ46" i="23"/>
  <c r="EJ51" i="23"/>
  <c r="EJ45" i="23"/>
  <c r="EJ67" i="23"/>
  <c r="EJ42" i="23"/>
  <c r="EJ39" i="23"/>
  <c r="EJ43" i="23"/>
  <c r="EJ34" i="23"/>
  <c r="EJ44" i="23"/>
  <c r="EJ41" i="23"/>
  <c r="EJ31" i="23"/>
  <c r="EJ61" i="23"/>
  <c r="EJ47" i="23"/>
  <c r="EJ30" i="23"/>
  <c r="EJ84" i="23"/>
  <c r="EJ77" i="23"/>
  <c r="EJ22" i="23"/>
  <c r="EJ29" i="23"/>
  <c r="EJ19" i="23"/>
  <c r="EJ36" i="23"/>
  <c r="EJ26" i="23"/>
  <c r="EJ24" i="23"/>
  <c r="EJ32" i="23"/>
  <c r="EJ23" i="23"/>
  <c r="EJ25" i="23"/>
  <c r="EJ17" i="23"/>
  <c r="EJ7" i="23"/>
  <c r="EJ14" i="23"/>
  <c r="EJ52" i="23"/>
  <c r="EJ40" i="23"/>
  <c r="EJ27" i="23"/>
  <c r="EJ21" i="23"/>
  <c r="EJ12" i="23"/>
  <c r="EJ4" i="23"/>
  <c r="EJ16" i="23"/>
  <c r="EJ9" i="23"/>
  <c r="EJ6" i="23"/>
  <c r="EJ38" i="23"/>
  <c r="EJ18" i="23"/>
  <c r="EJ8" i="23"/>
  <c r="EK2" i="23"/>
  <c r="EJ53" i="23"/>
  <c r="EJ28" i="23"/>
  <c r="EJ15" i="23"/>
  <c r="EJ13" i="23"/>
  <c r="EJ49" i="23"/>
  <c r="EJ37" i="23"/>
  <c r="EJ33" i="23"/>
  <c r="EJ11" i="23"/>
  <c r="EJ10" i="23"/>
  <c r="EJ35" i="23"/>
  <c r="EJ5" i="23"/>
  <c r="EJ20" i="23"/>
  <c r="EK197" i="23" l="1"/>
  <c r="EK173" i="23"/>
  <c r="EK143" i="23"/>
  <c r="EK129" i="23"/>
  <c r="EK152" i="23"/>
  <c r="EK115" i="23"/>
  <c r="EK127" i="23"/>
  <c r="EK200" i="23"/>
  <c r="EK124" i="23"/>
  <c r="EK170" i="23"/>
  <c r="EK211" i="23"/>
  <c r="EK209" i="23"/>
  <c r="EK204" i="23"/>
  <c r="EK206" i="23"/>
  <c r="EK205" i="23"/>
  <c r="EK192" i="23"/>
  <c r="EK212" i="23"/>
  <c r="EK195" i="23"/>
  <c r="EK210" i="23"/>
  <c r="EK194" i="23"/>
  <c r="EK199" i="23"/>
  <c r="EK208" i="23"/>
  <c r="EK146" i="23"/>
  <c r="EK203" i="23"/>
  <c r="EK149" i="23"/>
  <c r="EK196" i="23"/>
  <c r="EK181" i="23"/>
  <c r="EK187" i="23"/>
  <c r="EK193" i="23"/>
  <c r="EK198" i="23"/>
  <c r="EK201" i="23"/>
  <c r="EK164" i="23"/>
  <c r="EK189" i="23"/>
  <c r="EK172" i="23"/>
  <c r="EK185" i="23"/>
  <c r="EK182" i="23"/>
  <c r="EK174" i="23"/>
  <c r="EK207" i="23"/>
  <c r="EK178" i="23"/>
  <c r="EK186" i="23"/>
  <c r="EK177" i="23"/>
  <c r="EK160" i="23"/>
  <c r="EK165" i="23"/>
  <c r="EK184" i="23"/>
  <c r="EK148" i="23"/>
  <c r="EK183" i="23"/>
  <c r="EK171" i="23"/>
  <c r="EK163" i="23"/>
  <c r="EK153" i="23"/>
  <c r="EK166" i="23"/>
  <c r="EK157" i="23"/>
  <c r="EK139" i="23"/>
  <c r="EK140" i="23"/>
  <c r="EK175" i="23"/>
  <c r="EK176" i="23"/>
  <c r="EK156" i="23"/>
  <c r="EK150" i="23"/>
  <c r="EK154" i="23"/>
  <c r="EK188" i="23"/>
  <c r="EK159" i="23"/>
  <c r="EK168" i="23"/>
  <c r="EK151" i="23"/>
  <c r="EK133" i="23"/>
  <c r="EK144" i="23"/>
  <c r="EK161" i="23"/>
  <c r="EK162" i="23"/>
  <c r="EK167" i="23"/>
  <c r="EK128" i="23"/>
  <c r="EK131" i="23"/>
  <c r="EK119" i="23"/>
  <c r="EK130" i="23"/>
  <c r="EK134" i="23"/>
  <c r="EK179" i="23"/>
  <c r="EK142" i="23"/>
  <c r="EK135" i="23"/>
  <c r="EK123" i="23"/>
  <c r="EK138" i="23"/>
  <c r="EK137" i="23"/>
  <c r="EK145" i="23"/>
  <c r="EK116" i="23"/>
  <c r="EK190" i="23"/>
  <c r="EK155" i="23"/>
  <c r="EK126" i="23"/>
  <c r="EK122" i="23"/>
  <c r="EK132" i="23"/>
  <c r="EK121" i="23"/>
  <c r="EK120" i="23"/>
  <c r="EK117" i="23"/>
  <c r="EK141" i="23"/>
  <c r="EK118" i="23"/>
  <c r="EK191" i="23"/>
  <c r="EK125" i="23"/>
  <c r="EK169" i="23"/>
  <c r="EK158" i="23"/>
  <c r="EK136" i="23"/>
  <c r="EK114" i="23"/>
  <c r="EK147" i="23"/>
  <c r="EK180" i="23"/>
  <c r="EK202" i="23"/>
  <c r="EK112" i="23"/>
  <c r="EK111" i="23"/>
  <c r="EK113" i="23"/>
  <c r="EK108" i="23"/>
  <c r="EK110" i="23"/>
  <c r="EK107" i="23"/>
  <c r="EK105" i="23"/>
  <c r="EK104" i="23"/>
  <c r="EK102" i="23"/>
  <c r="EK103" i="23"/>
  <c r="EK101" i="23"/>
  <c r="EK106" i="23"/>
  <c r="EK99" i="23"/>
  <c r="EK98" i="23"/>
  <c r="EK100" i="23"/>
  <c r="EK94" i="23"/>
  <c r="EK93" i="23"/>
  <c r="EK95" i="23"/>
  <c r="EK109" i="23"/>
  <c r="EK96" i="23"/>
  <c r="EK90" i="23"/>
  <c r="EK89" i="23"/>
  <c r="EK97" i="23"/>
  <c r="EK91" i="23"/>
  <c r="EK87" i="23"/>
  <c r="EK86" i="23"/>
  <c r="EK83" i="23"/>
  <c r="EK85" i="23"/>
  <c r="EK81" i="23"/>
  <c r="EK79" i="23"/>
  <c r="EK82" i="23"/>
  <c r="EK80" i="23"/>
  <c r="EK76" i="23"/>
  <c r="EK73" i="23"/>
  <c r="EK72" i="23"/>
  <c r="EK78" i="23"/>
  <c r="EK74" i="23"/>
  <c r="EK68" i="23"/>
  <c r="EK67" i="23"/>
  <c r="EK69" i="23"/>
  <c r="EK65" i="23"/>
  <c r="EK66" i="23"/>
  <c r="EK60" i="23"/>
  <c r="EK58" i="23"/>
  <c r="EK55" i="23"/>
  <c r="EK84" i="23"/>
  <c r="EK71" i="23"/>
  <c r="EK54" i="23"/>
  <c r="EK63" i="23"/>
  <c r="EK57" i="23"/>
  <c r="EK48" i="23"/>
  <c r="EK46" i="23"/>
  <c r="EK77" i="23"/>
  <c r="EK43" i="23"/>
  <c r="EK52" i="23"/>
  <c r="EK42" i="23"/>
  <c r="EK70" i="23"/>
  <c r="EK44" i="23"/>
  <c r="EK41" i="23"/>
  <c r="EK31" i="23"/>
  <c r="EK59" i="23"/>
  <c r="EK50" i="23"/>
  <c r="EK38" i="23"/>
  <c r="EK36" i="23"/>
  <c r="EK56" i="23"/>
  <c r="EK53" i="23"/>
  <c r="EK49" i="23"/>
  <c r="EK37" i="23"/>
  <c r="EK35" i="23"/>
  <c r="EK51" i="23"/>
  <c r="EK88" i="23"/>
  <c r="EK75" i="23"/>
  <c r="EK62" i="23"/>
  <c r="EK61" i="23"/>
  <c r="EK92" i="23"/>
  <c r="EK39" i="23"/>
  <c r="EK29" i="23"/>
  <c r="EK19" i="23"/>
  <c r="EK26" i="23"/>
  <c r="EK24" i="23"/>
  <c r="EK21" i="23"/>
  <c r="EK47" i="23"/>
  <c r="EK45" i="23"/>
  <c r="EK30" i="23"/>
  <c r="EK20" i="23"/>
  <c r="EK40" i="23"/>
  <c r="EK27" i="23"/>
  <c r="EK12" i="23"/>
  <c r="EK4" i="23"/>
  <c r="EK11" i="23"/>
  <c r="EK34" i="23"/>
  <c r="EK9" i="23"/>
  <c r="EK16" i="23"/>
  <c r="EK14" i="23"/>
  <c r="EK6" i="23"/>
  <c r="EK28" i="23"/>
  <c r="EK15" i="23"/>
  <c r="EK13" i="23"/>
  <c r="EK5" i="23"/>
  <c r="EK64" i="23"/>
  <c r="EK33" i="23"/>
  <c r="EK22" i="23"/>
  <c r="EK25" i="23"/>
  <c r="EK8" i="23"/>
  <c r="EL2" i="23"/>
  <c r="EK7" i="23"/>
  <c r="EK23" i="23"/>
  <c r="EK18" i="23"/>
  <c r="EK17" i="23"/>
  <c r="EK10" i="23"/>
  <c r="EK32" i="23"/>
  <c r="EL128" i="23" l="1"/>
  <c r="EL197" i="23"/>
  <c r="EL127" i="23"/>
  <c r="EL142" i="23"/>
  <c r="EL150" i="23"/>
  <c r="EL117" i="23"/>
  <c r="EL129" i="23"/>
  <c r="EL193" i="23"/>
  <c r="EL145" i="23"/>
  <c r="EL146" i="23"/>
  <c r="EL164" i="23"/>
  <c r="EL201" i="23"/>
  <c r="EL209" i="23"/>
  <c r="EL206" i="23"/>
  <c r="EL203" i="23"/>
  <c r="EL204" i="23"/>
  <c r="EL195" i="23"/>
  <c r="EL192" i="23"/>
  <c r="EL130" i="23"/>
  <c r="EL131" i="23"/>
  <c r="EL194" i="23"/>
  <c r="EL208" i="23"/>
  <c r="EL212" i="23"/>
  <c r="EL198" i="23"/>
  <c r="EL168" i="23"/>
  <c r="EL196" i="23"/>
  <c r="EL186" i="23"/>
  <c r="EL181" i="23"/>
  <c r="EL210" i="23"/>
  <c r="EL138" i="23"/>
  <c r="EL166" i="23"/>
  <c r="EL205" i="23"/>
  <c r="EL211" i="23"/>
  <c r="EL200" i="23"/>
  <c r="EL182" i="23"/>
  <c r="EL188" i="23"/>
  <c r="EL190" i="23"/>
  <c r="EL189" i="23"/>
  <c r="EL207" i="23"/>
  <c r="EL199" i="23"/>
  <c r="EL185" i="23"/>
  <c r="EL178" i="23"/>
  <c r="EL148" i="23"/>
  <c r="EL174" i="23"/>
  <c r="EL165" i="23"/>
  <c r="EL167" i="23"/>
  <c r="EL154" i="23"/>
  <c r="EL183" i="23"/>
  <c r="EL170" i="23"/>
  <c r="EL187" i="23"/>
  <c r="EL172" i="23"/>
  <c r="EL177" i="23"/>
  <c r="EL162" i="23"/>
  <c r="EL163" i="23"/>
  <c r="EL151" i="23"/>
  <c r="EL175" i="23"/>
  <c r="EL159" i="23"/>
  <c r="EL179" i="23"/>
  <c r="EL161" i="23"/>
  <c r="EL149" i="23"/>
  <c r="EL153" i="23"/>
  <c r="EL141" i="23"/>
  <c r="EL135" i="23"/>
  <c r="EL176" i="23"/>
  <c r="EL173" i="23"/>
  <c r="EL157" i="23"/>
  <c r="EL137" i="23"/>
  <c r="EL139" i="23"/>
  <c r="EL133" i="23"/>
  <c r="EL115" i="23"/>
  <c r="EL123" i="23"/>
  <c r="EL160" i="23"/>
  <c r="EL155" i="23"/>
  <c r="EL143" i="23"/>
  <c r="EL152" i="23"/>
  <c r="EL144" i="23"/>
  <c r="EL134" i="23"/>
  <c r="EL116" i="23"/>
  <c r="EL122" i="23"/>
  <c r="EL156" i="23"/>
  <c r="EL140" i="23"/>
  <c r="EL120" i="23"/>
  <c r="EL121" i="23"/>
  <c r="EL124" i="23"/>
  <c r="EL132" i="23"/>
  <c r="EL184" i="23"/>
  <c r="EL119" i="23"/>
  <c r="EL171" i="23"/>
  <c r="EL118" i="23"/>
  <c r="EL126" i="23"/>
  <c r="EL136" i="23"/>
  <c r="EL191" i="23"/>
  <c r="EL158" i="23"/>
  <c r="EL125" i="23"/>
  <c r="EL114" i="23"/>
  <c r="EL169" i="23"/>
  <c r="EL202" i="23"/>
  <c r="EL180" i="23"/>
  <c r="EL147" i="23"/>
  <c r="EL113" i="23"/>
  <c r="EL112" i="23"/>
  <c r="EL107" i="23"/>
  <c r="EL108" i="23"/>
  <c r="EL110" i="23"/>
  <c r="EL106" i="23"/>
  <c r="EL109" i="23"/>
  <c r="EL100" i="23"/>
  <c r="EL102" i="23"/>
  <c r="EL96" i="23"/>
  <c r="EL111" i="23"/>
  <c r="EL93" i="23"/>
  <c r="EL105" i="23"/>
  <c r="EL99" i="23"/>
  <c r="EL98" i="23"/>
  <c r="EL104" i="23"/>
  <c r="EL94" i="23"/>
  <c r="EL91" i="23"/>
  <c r="EL90" i="23"/>
  <c r="EL103" i="23"/>
  <c r="EL101" i="23"/>
  <c r="EL92" i="23"/>
  <c r="EL83" i="23"/>
  <c r="EL89" i="23"/>
  <c r="EL82" i="23"/>
  <c r="EL80" i="23"/>
  <c r="EL86" i="23"/>
  <c r="EL81" i="23"/>
  <c r="EL79" i="23"/>
  <c r="EL87" i="23"/>
  <c r="EL84" i="23"/>
  <c r="EL78" i="23"/>
  <c r="EL70" i="23"/>
  <c r="EL77" i="23"/>
  <c r="EL72" i="23"/>
  <c r="EL74" i="23"/>
  <c r="EL73" i="23"/>
  <c r="EL65" i="23"/>
  <c r="EL95" i="23"/>
  <c r="EL64" i="23"/>
  <c r="EL66" i="23"/>
  <c r="EL60" i="23"/>
  <c r="EL58" i="23"/>
  <c r="EL67" i="23"/>
  <c r="EL52" i="23"/>
  <c r="EL63" i="23"/>
  <c r="EL61" i="23"/>
  <c r="EL51" i="23"/>
  <c r="EL85" i="23"/>
  <c r="EL57" i="23"/>
  <c r="EL55" i="23"/>
  <c r="EL48" i="23"/>
  <c r="EL46" i="23"/>
  <c r="EL97" i="23"/>
  <c r="EL59" i="23"/>
  <c r="EL56" i="23"/>
  <c r="EL50" i="23"/>
  <c r="EL62" i="23"/>
  <c r="EL53" i="23"/>
  <c r="EL49" i="23"/>
  <c r="EL47" i="23"/>
  <c r="EL76" i="23"/>
  <c r="EL54" i="23"/>
  <c r="EL44" i="23"/>
  <c r="EL43" i="23"/>
  <c r="EL41" i="23"/>
  <c r="EL38" i="23"/>
  <c r="EL36" i="23"/>
  <c r="EL45" i="23"/>
  <c r="EL33" i="23"/>
  <c r="EL75" i="23"/>
  <c r="EL40" i="23"/>
  <c r="EL32" i="23"/>
  <c r="EL68" i="23"/>
  <c r="EL88" i="23"/>
  <c r="EL26" i="23"/>
  <c r="EL24" i="23"/>
  <c r="EL21" i="23"/>
  <c r="EL42" i="23"/>
  <c r="EL35" i="23"/>
  <c r="EL34" i="23"/>
  <c r="EL28" i="23"/>
  <c r="EL37" i="23"/>
  <c r="EL31" i="23"/>
  <c r="EL27" i="23"/>
  <c r="EL25" i="23"/>
  <c r="EL9" i="23"/>
  <c r="EL8" i="23"/>
  <c r="EL16" i="23"/>
  <c r="EL14" i="23"/>
  <c r="EL6" i="23"/>
  <c r="EL18" i="23"/>
  <c r="EM2" i="23"/>
  <c r="EL11" i="23"/>
  <c r="EL29" i="23"/>
  <c r="EL23" i="23"/>
  <c r="EL20" i="23"/>
  <c r="EL22" i="23"/>
  <c r="EL10" i="23"/>
  <c r="EL69" i="23"/>
  <c r="EL19" i="23"/>
  <c r="EL17" i="23"/>
  <c r="EL39" i="23"/>
  <c r="EL12" i="23"/>
  <c r="EL13" i="23"/>
  <c r="EL7" i="23"/>
  <c r="EL15" i="23"/>
  <c r="EL30" i="23"/>
  <c r="EL4" i="23"/>
  <c r="EL71" i="23"/>
  <c r="EL5" i="23"/>
  <c r="EM200" i="23" l="1"/>
  <c r="EM205" i="23"/>
  <c r="EM115" i="23"/>
  <c r="EM206" i="23"/>
  <c r="EM152" i="23"/>
  <c r="EM197" i="23"/>
  <c r="EM131" i="23"/>
  <c r="EM134" i="23"/>
  <c r="EM164" i="23"/>
  <c r="EM149" i="23"/>
  <c r="EM170" i="23"/>
  <c r="EM151" i="23"/>
  <c r="EM174" i="23"/>
  <c r="EM124" i="23"/>
  <c r="EM209" i="23"/>
  <c r="EM210" i="23"/>
  <c r="EM211" i="23"/>
  <c r="EM207" i="23"/>
  <c r="EM203" i="23"/>
  <c r="EM208" i="23"/>
  <c r="EM192" i="23"/>
  <c r="EM148" i="23"/>
  <c r="EM204" i="23"/>
  <c r="EM212" i="23"/>
  <c r="EM199" i="23"/>
  <c r="EM178" i="23"/>
  <c r="EM193" i="23"/>
  <c r="EM196" i="23"/>
  <c r="EM184" i="23"/>
  <c r="EM194" i="23"/>
  <c r="EM187" i="23"/>
  <c r="EM185" i="23"/>
  <c r="EM186" i="23"/>
  <c r="EM183" i="23"/>
  <c r="EM201" i="23"/>
  <c r="EM190" i="23"/>
  <c r="EM172" i="23"/>
  <c r="EM181" i="23"/>
  <c r="EM127" i="23"/>
  <c r="EM198" i="23"/>
  <c r="EM182" i="23"/>
  <c r="EM189" i="23"/>
  <c r="EM159" i="23"/>
  <c r="EM161" i="23"/>
  <c r="EM168" i="23"/>
  <c r="EM173" i="23"/>
  <c r="EM163" i="23"/>
  <c r="EM167" i="23"/>
  <c r="EM179" i="23"/>
  <c r="EM166" i="23"/>
  <c r="EM156" i="23"/>
  <c r="EM154" i="23"/>
  <c r="EM142" i="23"/>
  <c r="EM175" i="23"/>
  <c r="EM137" i="23"/>
  <c r="EM139" i="23"/>
  <c r="EM177" i="23"/>
  <c r="EM155" i="23"/>
  <c r="EM157" i="23"/>
  <c r="EM141" i="23"/>
  <c r="EM144" i="23"/>
  <c r="EM171" i="23"/>
  <c r="EM165" i="23"/>
  <c r="EM153" i="23"/>
  <c r="EM195" i="23"/>
  <c r="EM162" i="23"/>
  <c r="EM146" i="23"/>
  <c r="EM188" i="23"/>
  <c r="EM133" i="23"/>
  <c r="EM116" i="23"/>
  <c r="EM143" i="23"/>
  <c r="EM150" i="23"/>
  <c r="EM117" i="23"/>
  <c r="EM140" i="23"/>
  <c r="EM126" i="23"/>
  <c r="EM129" i="23"/>
  <c r="EM132" i="23"/>
  <c r="EM122" i="23"/>
  <c r="EM119" i="23"/>
  <c r="EM123" i="23"/>
  <c r="EM121" i="23"/>
  <c r="EM138" i="23"/>
  <c r="EM145" i="23"/>
  <c r="EM130" i="23"/>
  <c r="EM118" i="23"/>
  <c r="EM135" i="23"/>
  <c r="EM128" i="23"/>
  <c r="EM176" i="23"/>
  <c r="EM120" i="23"/>
  <c r="EM160" i="23"/>
  <c r="EM158" i="23"/>
  <c r="EM125" i="23"/>
  <c r="EM147" i="23"/>
  <c r="EM191" i="23"/>
  <c r="EM114" i="23"/>
  <c r="EM202" i="23"/>
  <c r="EM136" i="23"/>
  <c r="EM180" i="23"/>
  <c r="EM169" i="23"/>
  <c r="EM113" i="23"/>
  <c r="EM110" i="23"/>
  <c r="EM112" i="23"/>
  <c r="EM109" i="23"/>
  <c r="EM111" i="23"/>
  <c r="EM108" i="23"/>
  <c r="EM106" i="23"/>
  <c r="EM107" i="23"/>
  <c r="EM105" i="23"/>
  <c r="EM103" i="23"/>
  <c r="EM101" i="23"/>
  <c r="EM100" i="23"/>
  <c r="EM102" i="23"/>
  <c r="EM96" i="23"/>
  <c r="EM95" i="23"/>
  <c r="EM104" i="23"/>
  <c r="EM97" i="23"/>
  <c r="EM92" i="23"/>
  <c r="EM91" i="23"/>
  <c r="EM93" i="23"/>
  <c r="EM98" i="23"/>
  <c r="EM90" i="23"/>
  <c r="EM94" i="23"/>
  <c r="EM85" i="23"/>
  <c r="EM88" i="23"/>
  <c r="EM87" i="23"/>
  <c r="EM82" i="23"/>
  <c r="EM80" i="23"/>
  <c r="EM99" i="23"/>
  <c r="EM84" i="23"/>
  <c r="EM78" i="23"/>
  <c r="EM89" i="23"/>
  <c r="EM86" i="23"/>
  <c r="EM75" i="23"/>
  <c r="EM74" i="23"/>
  <c r="EM73" i="23"/>
  <c r="EM77" i="23"/>
  <c r="EM69" i="23"/>
  <c r="EM62" i="23"/>
  <c r="EM83" i="23"/>
  <c r="EM71" i="23"/>
  <c r="EM70" i="23"/>
  <c r="EM72" i="23"/>
  <c r="EM67" i="23"/>
  <c r="EM68" i="23"/>
  <c r="EM59" i="23"/>
  <c r="EM57" i="23"/>
  <c r="EM56" i="23"/>
  <c r="EM60" i="23"/>
  <c r="EM50" i="23"/>
  <c r="EM66" i="23"/>
  <c r="EM64" i="23"/>
  <c r="EM45" i="23"/>
  <c r="EM81" i="23"/>
  <c r="EM61" i="23"/>
  <c r="EM44" i="23"/>
  <c r="EM48" i="23"/>
  <c r="EM38" i="23"/>
  <c r="EM36" i="23"/>
  <c r="EM79" i="23"/>
  <c r="EM58" i="23"/>
  <c r="EM33" i="23"/>
  <c r="EM55" i="23"/>
  <c r="EM52" i="23"/>
  <c r="EM30" i="23"/>
  <c r="EM65" i="23"/>
  <c r="EM63" i="23"/>
  <c r="EM39" i="23"/>
  <c r="EM41" i="23"/>
  <c r="EM21" i="23"/>
  <c r="EM42" i="23"/>
  <c r="EM35" i="23"/>
  <c r="EM34" i="23"/>
  <c r="EM28" i="23"/>
  <c r="EM76" i="23"/>
  <c r="EM51" i="23"/>
  <c r="EM40" i="23"/>
  <c r="EM23" i="23"/>
  <c r="EM49" i="23"/>
  <c r="EM43" i="23"/>
  <c r="EM22" i="23"/>
  <c r="EM31" i="23"/>
  <c r="EM16" i="23"/>
  <c r="EM14" i="23"/>
  <c r="EM6" i="23"/>
  <c r="EM26" i="23"/>
  <c r="EM5" i="23"/>
  <c r="EM47" i="23"/>
  <c r="EM11" i="23"/>
  <c r="EM32" i="23"/>
  <c r="EM15" i="23"/>
  <c r="EM13" i="23"/>
  <c r="EM29" i="23"/>
  <c r="EM24" i="23"/>
  <c r="EM20" i="23"/>
  <c r="EM18" i="23"/>
  <c r="EM8" i="23"/>
  <c r="EN2" i="23"/>
  <c r="EM46" i="23"/>
  <c r="EM37" i="23"/>
  <c r="EM54" i="23"/>
  <c r="EM53" i="23"/>
  <c r="EM19" i="23"/>
  <c r="EM17" i="23"/>
  <c r="EM7" i="23"/>
  <c r="EM25" i="23"/>
  <c r="EM12" i="23"/>
  <c r="EM4" i="23"/>
  <c r="EM27" i="23"/>
  <c r="EM9" i="23"/>
  <c r="EM10" i="23"/>
  <c r="EN164" i="23" l="1"/>
  <c r="EN201" i="23"/>
  <c r="EN170" i="23"/>
  <c r="EN210" i="23"/>
  <c r="EN145" i="23"/>
  <c r="EN152" i="23"/>
  <c r="EN117" i="23"/>
  <c r="EN199" i="23"/>
  <c r="EN123" i="23"/>
  <c r="EN149" i="23"/>
  <c r="EN193" i="23"/>
  <c r="EN144" i="23"/>
  <c r="EN168" i="23"/>
  <c r="EN194" i="23"/>
  <c r="EN151" i="23"/>
  <c r="EN174" i="23"/>
  <c r="EN211" i="23"/>
  <c r="EN208" i="23"/>
  <c r="EN203" i="23"/>
  <c r="EN197" i="23"/>
  <c r="EN189" i="23"/>
  <c r="EN204" i="23"/>
  <c r="EN166" i="23"/>
  <c r="EN206" i="23"/>
  <c r="EN207" i="23"/>
  <c r="EN209" i="23"/>
  <c r="EN192" i="23"/>
  <c r="EN205" i="23"/>
  <c r="EN196" i="23"/>
  <c r="EN200" i="23"/>
  <c r="EN212" i="23"/>
  <c r="EN198" i="23"/>
  <c r="EN186" i="23"/>
  <c r="EN184" i="23"/>
  <c r="EN171" i="23"/>
  <c r="EN181" i="23"/>
  <c r="EN190" i="23"/>
  <c r="EN187" i="23"/>
  <c r="EN178" i="23"/>
  <c r="EN161" i="23"/>
  <c r="EN160" i="23"/>
  <c r="EN163" i="23"/>
  <c r="EN173" i="23"/>
  <c r="EN165" i="23"/>
  <c r="EN150" i="23"/>
  <c r="EN195" i="23"/>
  <c r="EN185" i="23"/>
  <c r="EN172" i="23"/>
  <c r="EN177" i="23"/>
  <c r="EN154" i="23"/>
  <c r="EN159" i="23"/>
  <c r="EN183" i="23"/>
  <c r="EN153" i="23"/>
  <c r="EN141" i="23"/>
  <c r="EN137" i="23"/>
  <c r="EN162" i="23"/>
  <c r="EN157" i="23"/>
  <c r="EN139" i="23"/>
  <c r="EN140" i="23"/>
  <c r="EN134" i="23"/>
  <c r="EN138" i="23"/>
  <c r="EN135" i="23"/>
  <c r="EN182" i="23"/>
  <c r="EN176" i="23"/>
  <c r="EN167" i="23"/>
  <c r="EN148" i="23"/>
  <c r="EN118" i="23"/>
  <c r="EN130" i="23"/>
  <c r="EN133" i="23"/>
  <c r="EN175" i="23"/>
  <c r="EN121" i="23"/>
  <c r="EN131" i="23"/>
  <c r="EN116" i="23"/>
  <c r="EN188" i="23"/>
  <c r="EN156" i="23"/>
  <c r="EN155" i="23"/>
  <c r="EN126" i="23"/>
  <c r="EN127" i="23"/>
  <c r="EN128" i="23"/>
  <c r="EN143" i="23"/>
  <c r="EN146" i="23"/>
  <c r="EN115" i="23"/>
  <c r="EN132" i="23"/>
  <c r="EN122" i="23"/>
  <c r="EN179" i="23"/>
  <c r="EN129" i="23"/>
  <c r="EN124" i="23"/>
  <c r="EN142" i="23"/>
  <c r="EN119" i="23"/>
  <c r="EN120" i="23"/>
  <c r="EN114" i="23"/>
  <c r="EN202" i="23"/>
  <c r="EN191" i="23"/>
  <c r="EN158" i="23"/>
  <c r="EN180" i="23"/>
  <c r="EN169" i="23"/>
  <c r="EN136" i="23"/>
  <c r="EN125" i="23"/>
  <c r="EN147" i="23"/>
  <c r="EN112" i="23"/>
  <c r="EN111" i="23"/>
  <c r="EN113" i="23"/>
  <c r="EN107" i="23"/>
  <c r="EN109" i="23"/>
  <c r="EN108" i="23"/>
  <c r="EN103" i="23"/>
  <c r="EN101" i="23"/>
  <c r="EN106" i="23"/>
  <c r="EN105" i="23"/>
  <c r="EN98" i="23"/>
  <c r="EN104" i="23"/>
  <c r="EN102" i="23"/>
  <c r="EN110" i="23"/>
  <c r="EN92" i="23"/>
  <c r="EN96" i="23"/>
  <c r="EN97" i="23"/>
  <c r="EN89" i="23"/>
  <c r="EN94" i="23"/>
  <c r="EN88" i="23"/>
  <c r="EN91" i="23"/>
  <c r="EN100" i="23"/>
  <c r="EN86" i="23"/>
  <c r="EN85" i="23"/>
  <c r="EN90" i="23"/>
  <c r="EN95" i="23"/>
  <c r="EN93" i="23"/>
  <c r="EN84" i="23"/>
  <c r="EN99" i="23"/>
  <c r="EN78" i="23"/>
  <c r="EN75" i="23"/>
  <c r="EN83" i="23"/>
  <c r="EN72" i="23"/>
  <c r="EN71" i="23"/>
  <c r="EN69" i="23"/>
  <c r="EN82" i="23"/>
  <c r="EN74" i="23"/>
  <c r="EN80" i="23"/>
  <c r="EN77" i="23"/>
  <c r="EN76" i="23"/>
  <c r="EN67" i="23"/>
  <c r="EN79" i="23"/>
  <c r="EN66" i="23"/>
  <c r="EN87" i="23"/>
  <c r="EN68" i="23"/>
  <c r="EN59" i="23"/>
  <c r="EN57" i="23"/>
  <c r="EN81" i="23"/>
  <c r="EN70" i="23"/>
  <c r="EN54" i="23"/>
  <c r="EN64" i="23"/>
  <c r="EN62" i="23"/>
  <c r="EN53" i="23"/>
  <c r="EN60" i="23"/>
  <c r="EN50" i="23"/>
  <c r="EN56" i="23"/>
  <c r="EN51" i="23"/>
  <c r="EN42" i="23"/>
  <c r="EN65" i="23"/>
  <c r="EN41" i="23"/>
  <c r="EN73" i="23"/>
  <c r="EN58" i="23"/>
  <c r="EN55" i="23"/>
  <c r="EN52" i="23"/>
  <c r="EN45" i="23"/>
  <c r="EN30" i="23"/>
  <c r="EN47" i="23"/>
  <c r="EN37" i="23"/>
  <c r="EN35" i="23"/>
  <c r="EN34" i="23"/>
  <c r="EN28" i="23"/>
  <c r="EN44" i="23"/>
  <c r="EN40" i="23"/>
  <c r="EN36" i="23"/>
  <c r="EN23" i="23"/>
  <c r="EN38" i="23"/>
  <c r="EN33" i="23"/>
  <c r="EN32" i="23"/>
  <c r="EN20" i="23"/>
  <c r="EN48" i="23"/>
  <c r="EN29" i="23"/>
  <c r="EN19" i="23"/>
  <c r="EN43" i="23"/>
  <c r="EN21" i="23"/>
  <c r="EN11" i="23"/>
  <c r="EN49" i="23"/>
  <c r="EN10" i="23"/>
  <c r="EN63" i="23"/>
  <c r="EN24" i="23"/>
  <c r="EN18" i="23"/>
  <c r="EN8" i="23"/>
  <c r="EO2" i="23"/>
  <c r="EN46" i="23"/>
  <c r="EN26" i="23"/>
  <c r="EN15" i="23"/>
  <c r="EN13" i="23"/>
  <c r="EN5" i="23"/>
  <c r="EN39" i="23"/>
  <c r="EN25" i="23"/>
  <c r="EN12" i="23"/>
  <c r="EN4" i="23"/>
  <c r="EN27" i="23"/>
  <c r="EN14" i="23"/>
  <c r="EN9" i="23"/>
  <c r="EN6" i="23"/>
  <c r="EN17" i="23"/>
  <c r="EN22" i="23"/>
  <c r="EN7" i="23"/>
  <c r="EN61" i="23"/>
  <c r="EN31" i="23"/>
  <c r="EN16" i="23"/>
  <c r="EO145" i="23" l="1"/>
  <c r="EO164" i="23"/>
  <c r="EO126" i="23"/>
  <c r="EO192" i="23"/>
  <c r="EO144" i="23"/>
  <c r="EO128" i="23"/>
  <c r="EO131" i="23"/>
  <c r="EO212" i="23"/>
  <c r="EO121" i="23"/>
  <c r="EO124" i="23"/>
  <c r="EO182" i="23"/>
  <c r="EO205" i="23"/>
  <c r="EO149" i="23"/>
  <c r="EO139" i="23"/>
  <c r="EO198" i="23"/>
  <c r="EO166" i="23"/>
  <c r="EO200" i="23"/>
  <c r="EO211" i="23"/>
  <c r="EO209" i="23"/>
  <c r="EO210" i="23"/>
  <c r="EO193" i="23"/>
  <c r="EO189" i="23"/>
  <c r="EO207" i="23"/>
  <c r="EO208" i="23"/>
  <c r="EO195" i="23"/>
  <c r="EO196" i="23"/>
  <c r="EO201" i="23"/>
  <c r="EO186" i="23"/>
  <c r="EO203" i="23"/>
  <c r="EO206" i="23"/>
  <c r="EO204" i="23"/>
  <c r="EO187" i="23"/>
  <c r="EO181" i="23"/>
  <c r="EO199" i="23"/>
  <c r="EO183" i="23"/>
  <c r="EO197" i="23"/>
  <c r="EO185" i="23"/>
  <c r="EO190" i="23"/>
  <c r="EO184" i="23"/>
  <c r="EO174" i="23"/>
  <c r="EO171" i="23"/>
  <c r="EO175" i="23"/>
  <c r="EO194" i="23"/>
  <c r="EO188" i="23"/>
  <c r="EO170" i="23"/>
  <c r="EO178" i="23"/>
  <c r="EO167" i="23"/>
  <c r="EO179" i="23"/>
  <c r="EO173" i="23"/>
  <c r="EO160" i="23"/>
  <c r="EO165" i="23"/>
  <c r="EO156" i="23"/>
  <c r="EO162" i="23"/>
  <c r="EO137" i="23"/>
  <c r="EO172" i="23"/>
  <c r="EO138" i="23"/>
  <c r="EO177" i="23"/>
  <c r="EO159" i="23"/>
  <c r="EO141" i="23"/>
  <c r="EO140" i="23"/>
  <c r="EO127" i="23"/>
  <c r="EO130" i="23"/>
  <c r="EO129" i="23"/>
  <c r="EO152" i="23"/>
  <c r="EO153" i="23"/>
  <c r="EO176" i="23"/>
  <c r="EO142" i="23"/>
  <c r="EO132" i="23"/>
  <c r="EO134" i="23"/>
  <c r="EO133" i="23"/>
  <c r="EO161" i="23"/>
  <c r="EO163" i="23"/>
  <c r="EO168" i="23"/>
  <c r="EO151" i="23"/>
  <c r="EO120" i="23"/>
  <c r="EO122" i="23"/>
  <c r="EO154" i="23"/>
  <c r="EO157" i="23"/>
  <c r="EO150" i="23"/>
  <c r="EO155" i="23"/>
  <c r="EO148" i="23"/>
  <c r="EO146" i="23"/>
  <c r="EO118" i="23"/>
  <c r="EO115" i="23"/>
  <c r="EO123" i="23"/>
  <c r="EO135" i="23"/>
  <c r="EO116" i="23"/>
  <c r="EO117" i="23"/>
  <c r="EO143" i="23"/>
  <c r="EO119" i="23"/>
  <c r="EO191" i="23"/>
  <c r="EO169" i="23"/>
  <c r="EO114" i="23"/>
  <c r="EO202" i="23"/>
  <c r="EO125" i="23"/>
  <c r="EO180" i="23"/>
  <c r="EO136" i="23"/>
  <c r="EO147" i="23"/>
  <c r="EO158" i="23"/>
  <c r="EO113" i="23"/>
  <c r="EO112" i="23"/>
  <c r="EO110" i="23"/>
  <c r="EO111" i="23"/>
  <c r="EO107" i="23"/>
  <c r="EO109" i="23"/>
  <c r="EO108" i="23"/>
  <c r="EO105" i="23"/>
  <c r="EO102" i="23"/>
  <c r="EO104" i="23"/>
  <c r="EO103" i="23"/>
  <c r="EO99" i="23"/>
  <c r="EO98" i="23"/>
  <c r="EO97" i="23"/>
  <c r="EO100" i="23"/>
  <c r="EO95" i="23"/>
  <c r="EO101" i="23"/>
  <c r="EO106" i="23"/>
  <c r="EO94" i="23"/>
  <c r="EO93" i="23"/>
  <c r="EO92" i="23"/>
  <c r="EO83" i="23"/>
  <c r="EO81" i="23"/>
  <c r="EO91" i="23"/>
  <c r="EO84" i="23"/>
  <c r="EO89" i="23"/>
  <c r="EO86" i="23"/>
  <c r="EO77" i="23"/>
  <c r="EO96" i="23"/>
  <c r="EO88" i="23"/>
  <c r="EO79" i="23"/>
  <c r="EO76" i="23"/>
  <c r="EO80" i="23"/>
  <c r="EO69" i="23"/>
  <c r="EO87" i="23"/>
  <c r="EO75" i="23"/>
  <c r="EO64" i="23"/>
  <c r="EO90" i="23"/>
  <c r="EO63" i="23"/>
  <c r="EO68" i="23"/>
  <c r="EO67" i="23"/>
  <c r="EO59" i="23"/>
  <c r="EO57" i="23"/>
  <c r="EO70" i="23"/>
  <c r="EO82" i="23"/>
  <c r="EO61" i="23"/>
  <c r="EO51" i="23"/>
  <c r="EO85" i="23"/>
  <c r="EO78" i="23"/>
  <c r="EO65" i="23"/>
  <c r="EO60" i="23"/>
  <c r="EO58" i="23"/>
  <c r="EO50" i="23"/>
  <c r="EO56" i="23"/>
  <c r="EO66" i="23"/>
  <c r="EO52" i="23"/>
  <c r="EO49" i="23"/>
  <c r="EO47" i="23"/>
  <c r="EO73" i="23"/>
  <c r="EO72" i="23"/>
  <c r="EO71" i="23"/>
  <c r="EO55" i="23"/>
  <c r="EO54" i="23"/>
  <c r="EO48" i="23"/>
  <c r="EO46" i="23"/>
  <c r="EO45" i="23"/>
  <c r="EO37" i="23"/>
  <c r="EO35" i="23"/>
  <c r="EO40" i="23"/>
  <c r="EO32" i="23"/>
  <c r="EO43" i="23"/>
  <c r="EO42" i="23"/>
  <c r="EO31" i="23"/>
  <c r="EO62" i="23"/>
  <c r="EO44" i="23"/>
  <c r="EO36" i="23"/>
  <c r="EO34" i="23"/>
  <c r="EO23" i="23"/>
  <c r="EO38" i="23"/>
  <c r="EO33" i="23"/>
  <c r="EO20" i="23"/>
  <c r="EO53" i="23"/>
  <c r="EO27" i="23"/>
  <c r="EO25" i="23"/>
  <c r="EO39" i="23"/>
  <c r="EO26" i="23"/>
  <c r="EO24" i="23"/>
  <c r="EO18" i="23"/>
  <c r="EO8" i="23"/>
  <c r="EP2" i="23"/>
  <c r="EO74" i="23"/>
  <c r="EO41" i="23"/>
  <c r="EO29" i="23"/>
  <c r="EO15" i="23"/>
  <c r="EO13" i="23"/>
  <c r="EO5" i="23"/>
  <c r="EO30" i="23"/>
  <c r="EO22" i="23"/>
  <c r="EO7" i="23"/>
  <c r="EO10" i="23"/>
  <c r="EO17" i="23"/>
  <c r="EO9" i="23"/>
  <c r="EO16" i="23"/>
  <c r="EO14" i="23"/>
  <c r="EO19" i="23"/>
  <c r="EO6" i="23"/>
  <c r="EO4" i="23"/>
  <c r="EO11" i="23"/>
  <c r="EO28" i="23"/>
  <c r="EO21" i="23"/>
  <c r="EO12" i="23"/>
  <c r="EP115" i="23" l="1"/>
  <c r="EP134" i="23"/>
  <c r="EP131" i="23"/>
  <c r="EP192" i="23"/>
  <c r="EP128" i="23"/>
  <c r="EP127" i="23"/>
  <c r="EP166" i="23"/>
  <c r="EP194" i="23"/>
  <c r="EP199" i="23"/>
  <c r="EP209" i="23"/>
  <c r="EP210" i="23"/>
  <c r="EP204" i="23"/>
  <c r="EP173" i="23"/>
  <c r="EP207" i="23"/>
  <c r="EP193" i="23"/>
  <c r="EP196" i="23"/>
  <c r="EP197" i="23"/>
  <c r="EP212" i="23"/>
  <c r="EP206" i="23"/>
  <c r="EP201" i="23"/>
  <c r="EP203" i="23"/>
  <c r="EP211" i="23"/>
  <c r="EP186" i="23"/>
  <c r="EP187" i="23"/>
  <c r="EP205" i="23"/>
  <c r="EP200" i="23"/>
  <c r="EP208" i="23"/>
  <c r="EP198" i="23"/>
  <c r="EP181" i="23"/>
  <c r="EP184" i="23"/>
  <c r="EP189" i="23"/>
  <c r="EP190" i="23"/>
  <c r="EP182" i="23"/>
  <c r="EP174" i="23"/>
  <c r="EP172" i="23"/>
  <c r="EP178" i="23"/>
  <c r="EP179" i="23"/>
  <c r="EP188" i="23"/>
  <c r="EP171" i="23"/>
  <c r="EP185" i="23"/>
  <c r="EP176" i="23"/>
  <c r="EP150" i="23"/>
  <c r="EP177" i="23"/>
  <c r="EP161" i="23"/>
  <c r="EP155" i="23"/>
  <c r="EP154" i="23"/>
  <c r="EP148" i="23"/>
  <c r="EP175" i="23"/>
  <c r="EP163" i="23"/>
  <c r="EP142" i="23"/>
  <c r="EP159" i="23"/>
  <c r="EP168" i="23"/>
  <c r="EP152" i="23"/>
  <c r="EP153" i="23"/>
  <c r="EP139" i="23"/>
  <c r="EP141" i="23"/>
  <c r="EP138" i="23"/>
  <c r="EP195" i="23"/>
  <c r="EP167" i="23"/>
  <c r="EP156" i="23"/>
  <c r="EP149" i="23"/>
  <c r="EP133" i="23"/>
  <c r="EP170" i="23"/>
  <c r="EP146" i="23"/>
  <c r="EP143" i="23"/>
  <c r="EP130" i="23"/>
  <c r="EP183" i="23"/>
  <c r="EP140" i="23"/>
  <c r="EP162" i="23"/>
  <c r="EP137" i="23"/>
  <c r="EP123" i="23"/>
  <c r="EP151" i="23"/>
  <c r="EP117" i="23"/>
  <c r="EP120" i="23"/>
  <c r="EP165" i="23"/>
  <c r="EP144" i="23"/>
  <c r="EP135" i="23"/>
  <c r="EP116" i="23"/>
  <c r="EP124" i="23"/>
  <c r="EP122" i="23"/>
  <c r="EP145" i="23"/>
  <c r="EP119" i="23"/>
  <c r="EP129" i="23"/>
  <c r="EP121" i="23"/>
  <c r="EP160" i="23"/>
  <c r="EP164" i="23"/>
  <c r="EP118" i="23"/>
  <c r="EP157" i="23"/>
  <c r="EP126" i="23"/>
  <c r="EP132" i="23"/>
  <c r="EP180" i="23"/>
  <c r="EP125" i="23"/>
  <c r="EP202" i="23"/>
  <c r="EP158" i="23"/>
  <c r="EP114" i="23"/>
  <c r="EP136" i="23"/>
  <c r="EP191" i="23"/>
  <c r="EP147" i="23"/>
  <c r="EP169" i="23"/>
  <c r="EP113" i="23"/>
  <c r="EP112" i="23"/>
  <c r="EP110" i="23"/>
  <c r="EP109" i="23"/>
  <c r="EP108" i="23"/>
  <c r="EP111" i="23"/>
  <c r="EP107" i="23"/>
  <c r="EP106" i="23"/>
  <c r="EP105" i="23"/>
  <c r="EP104" i="23"/>
  <c r="EP102" i="23"/>
  <c r="EP100" i="23"/>
  <c r="EP99" i="23"/>
  <c r="EP101" i="23"/>
  <c r="EP95" i="23"/>
  <c r="EP94" i="23"/>
  <c r="EP97" i="23"/>
  <c r="EP91" i="23"/>
  <c r="EP103" i="23"/>
  <c r="EP90" i="23"/>
  <c r="EP96" i="23"/>
  <c r="EP93" i="23"/>
  <c r="EP98" i="23"/>
  <c r="EP89" i="23"/>
  <c r="EP88" i="23"/>
  <c r="EP87" i="23"/>
  <c r="EP92" i="23"/>
  <c r="EP86" i="23"/>
  <c r="EP83" i="23"/>
  <c r="EP77" i="23"/>
  <c r="EP74" i="23"/>
  <c r="EP85" i="23"/>
  <c r="EP82" i="23"/>
  <c r="EP81" i="23"/>
  <c r="EP80" i="23"/>
  <c r="EP73" i="23"/>
  <c r="EP69" i="23"/>
  <c r="EP76" i="23"/>
  <c r="EP75" i="23"/>
  <c r="EP84" i="23"/>
  <c r="EP70" i="23"/>
  <c r="EP72" i="23"/>
  <c r="EP68" i="23"/>
  <c r="EP61" i="23"/>
  <c r="EP71" i="23"/>
  <c r="EP63" i="23"/>
  <c r="EP56" i="23"/>
  <c r="EP66" i="23"/>
  <c r="EP55" i="23"/>
  <c r="EP64" i="23"/>
  <c r="EP59" i="23"/>
  <c r="EP52" i="23"/>
  <c r="EP51" i="23"/>
  <c r="EP49" i="23"/>
  <c r="EP47" i="23"/>
  <c r="EP79" i="23"/>
  <c r="EP53" i="23"/>
  <c r="EP44" i="23"/>
  <c r="EP67" i="23"/>
  <c r="EP58" i="23"/>
  <c r="EP43" i="23"/>
  <c r="EP37" i="23"/>
  <c r="EP50" i="23"/>
  <c r="EP40" i="23"/>
  <c r="EP32" i="23"/>
  <c r="EP39" i="23"/>
  <c r="EP62" i="23"/>
  <c r="EP46" i="23"/>
  <c r="EP41" i="23"/>
  <c r="EP38" i="23"/>
  <c r="EP36" i="23"/>
  <c r="EP78" i="23"/>
  <c r="EP57" i="23"/>
  <c r="EP54" i="23"/>
  <c r="EP42" i="23"/>
  <c r="EP35" i="23"/>
  <c r="EP33" i="23"/>
  <c r="EP20" i="23"/>
  <c r="EP27" i="23"/>
  <c r="EP25" i="23"/>
  <c r="EP31" i="23"/>
  <c r="EP30" i="23"/>
  <c r="EP22" i="23"/>
  <c r="EP65" i="23"/>
  <c r="EP21" i="23"/>
  <c r="EP34" i="23"/>
  <c r="EP29" i="23"/>
  <c r="EP24" i="23"/>
  <c r="EP15" i="23"/>
  <c r="EP13" i="23"/>
  <c r="EP5" i="23"/>
  <c r="EP19" i="23"/>
  <c r="EP12" i="23"/>
  <c r="EP4" i="23"/>
  <c r="EP26" i="23"/>
  <c r="EP10" i="23"/>
  <c r="EP23" i="23"/>
  <c r="EP17" i="23"/>
  <c r="EP7" i="23"/>
  <c r="EP45" i="23"/>
  <c r="EP28" i="23"/>
  <c r="EP16" i="23"/>
  <c r="EP14" i="23"/>
  <c r="EP6" i="23"/>
  <c r="EP48" i="23"/>
  <c r="EP11" i="23"/>
  <c r="EP60" i="23"/>
  <c r="EP9" i="23"/>
  <c r="EP8" i="23"/>
  <c r="EP18" i="23"/>
  <c r="EQ2" i="23"/>
  <c r="EQ201" i="23" l="1"/>
  <c r="EQ130" i="23"/>
  <c r="EQ185" i="23"/>
  <c r="EQ182" i="23"/>
  <c r="EQ210" i="23"/>
  <c r="EQ207" i="23"/>
  <c r="EQ176" i="23"/>
  <c r="EQ116" i="23"/>
  <c r="EQ121" i="23"/>
  <c r="EQ143" i="23"/>
  <c r="EQ127" i="23"/>
  <c r="EQ153" i="23"/>
  <c r="EQ166" i="23"/>
  <c r="EQ211" i="23"/>
  <c r="EQ208" i="23"/>
  <c r="EQ205" i="23"/>
  <c r="EQ173" i="23"/>
  <c r="EQ188" i="23"/>
  <c r="EQ189" i="23"/>
  <c r="EQ204" i="23"/>
  <c r="EQ192" i="23"/>
  <c r="EQ209" i="23"/>
  <c r="EQ212" i="23"/>
  <c r="EQ194" i="23"/>
  <c r="EQ200" i="23"/>
  <c r="EQ186" i="23"/>
  <c r="EQ206" i="23"/>
  <c r="EQ195" i="23"/>
  <c r="EQ203" i="23"/>
  <c r="EQ187" i="23"/>
  <c r="EQ196" i="23"/>
  <c r="EQ198" i="23"/>
  <c r="EQ197" i="23"/>
  <c r="EQ193" i="23"/>
  <c r="EQ199" i="23"/>
  <c r="EQ184" i="23"/>
  <c r="EQ171" i="23"/>
  <c r="EQ170" i="23"/>
  <c r="EQ190" i="23"/>
  <c r="EQ177" i="23"/>
  <c r="EQ160" i="23"/>
  <c r="EQ164" i="23"/>
  <c r="EQ165" i="23"/>
  <c r="EQ163" i="23"/>
  <c r="EQ183" i="23"/>
  <c r="EQ174" i="23"/>
  <c r="EQ172" i="23"/>
  <c r="EQ178" i="23"/>
  <c r="EQ156" i="23"/>
  <c r="EQ155" i="23"/>
  <c r="EQ150" i="23"/>
  <c r="EQ149" i="23"/>
  <c r="EQ157" i="23"/>
  <c r="EQ151" i="23"/>
  <c r="EQ144" i="23"/>
  <c r="EQ175" i="23"/>
  <c r="EQ148" i="23"/>
  <c r="EQ139" i="23"/>
  <c r="EQ137" i="23"/>
  <c r="EQ117" i="23"/>
  <c r="EQ124" i="23"/>
  <c r="EQ141" i="23"/>
  <c r="EQ142" i="23"/>
  <c r="EQ159" i="23"/>
  <c r="EQ132" i="23"/>
  <c r="EQ115" i="23"/>
  <c r="EQ179" i="23"/>
  <c r="EQ167" i="23"/>
  <c r="EQ152" i="23"/>
  <c r="EQ154" i="23"/>
  <c r="EQ140" i="23"/>
  <c r="EQ134" i="23"/>
  <c r="EQ118" i="23"/>
  <c r="EQ120" i="23"/>
  <c r="EQ162" i="23"/>
  <c r="EQ133" i="23"/>
  <c r="EQ129" i="23"/>
  <c r="EQ161" i="23"/>
  <c r="EQ168" i="23"/>
  <c r="EQ138" i="23"/>
  <c r="EQ145" i="23"/>
  <c r="EQ181" i="23"/>
  <c r="EQ123" i="23"/>
  <c r="EQ122" i="23"/>
  <c r="EQ135" i="23"/>
  <c r="EQ146" i="23"/>
  <c r="EQ131" i="23"/>
  <c r="EQ119" i="23"/>
  <c r="EQ126" i="23"/>
  <c r="EQ128" i="23"/>
  <c r="EQ114" i="23"/>
  <c r="EQ147" i="23"/>
  <c r="EQ125" i="23"/>
  <c r="EQ191" i="23"/>
  <c r="EQ202" i="23"/>
  <c r="EQ158" i="23"/>
  <c r="EQ136" i="23"/>
  <c r="EQ169" i="23"/>
  <c r="EQ180" i="23"/>
  <c r="EQ113" i="23"/>
  <c r="EQ111" i="23"/>
  <c r="EQ112" i="23"/>
  <c r="EQ108" i="23"/>
  <c r="EQ110" i="23"/>
  <c r="EQ107" i="23"/>
  <c r="EQ105" i="23"/>
  <c r="EQ109" i="23"/>
  <c r="EQ103" i="23"/>
  <c r="EQ101" i="23"/>
  <c r="EQ106" i="23"/>
  <c r="EQ100" i="23"/>
  <c r="EQ104" i="23"/>
  <c r="EQ99" i="23"/>
  <c r="EQ98" i="23"/>
  <c r="EQ92" i="23"/>
  <c r="EQ102" i="23"/>
  <c r="EQ96" i="23"/>
  <c r="EQ93" i="23"/>
  <c r="EQ85" i="23"/>
  <c r="EQ95" i="23"/>
  <c r="EQ94" i="23"/>
  <c r="EQ90" i="23"/>
  <c r="EQ84" i="23"/>
  <c r="EQ86" i="23"/>
  <c r="EQ97" i="23"/>
  <c r="EQ87" i="23"/>
  <c r="EQ89" i="23"/>
  <c r="EQ82" i="23"/>
  <c r="EQ80" i="23"/>
  <c r="EQ83" i="23"/>
  <c r="EQ77" i="23"/>
  <c r="EQ91" i="23"/>
  <c r="EQ71" i="23"/>
  <c r="EQ78" i="23"/>
  <c r="EQ70" i="23"/>
  <c r="EQ76" i="23"/>
  <c r="EQ75" i="23"/>
  <c r="EQ88" i="23"/>
  <c r="EQ81" i="23"/>
  <c r="EQ66" i="23"/>
  <c r="EQ73" i="23"/>
  <c r="EQ65" i="23"/>
  <c r="EQ61" i="23"/>
  <c r="EQ63" i="23"/>
  <c r="EQ56" i="23"/>
  <c r="EQ62" i="23"/>
  <c r="EQ53" i="23"/>
  <c r="EQ79" i="23"/>
  <c r="EQ52" i="23"/>
  <c r="EQ64" i="23"/>
  <c r="EQ59" i="23"/>
  <c r="EQ51" i="23"/>
  <c r="EQ49" i="23"/>
  <c r="EQ47" i="23"/>
  <c r="EQ74" i="23"/>
  <c r="EQ40" i="23"/>
  <c r="EQ55" i="23"/>
  <c r="EQ50" i="23"/>
  <c r="EQ72" i="23"/>
  <c r="EQ39" i="23"/>
  <c r="EQ34" i="23"/>
  <c r="EQ69" i="23"/>
  <c r="EQ54" i="23"/>
  <c r="EQ48" i="23"/>
  <c r="EQ44" i="23"/>
  <c r="EQ33" i="23"/>
  <c r="EQ68" i="23"/>
  <c r="EQ38" i="23"/>
  <c r="EQ27" i="23"/>
  <c r="EQ25" i="23"/>
  <c r="EQ32" i="23"/>
  <c r="EQ31" i="23"/>
  <c r="EQ30" i="23"/>
  <c r="EQ22" i="23"/>
  <c r="EQ60" i="23"/>
  <c r="EQ46" i="23"/>
  <c r="EQ29" i="23"/>
  <c r="EQ19" i="23"/>
  <c r="EQ28" i="23"/>
  <c r="EQ57" i="23"/>
  <c r="EQ41" i="23"/>
  <c r="EQ26" i="23"/>
  <c r="EQ10" i="23"/>
  <c r="EQ9" i="23"/>
  <c r="EQ23" i="23"/>
  <c r="EQ20" i="23"/>
  <c r="EQ17" i="23"/>
  <c r="EQ7" i="23"/>
  <c r="EQ67" i="23"/>
  <c r="EQ58" i="23"/>
  <c r="EQ45" i="23"/>
  <c r="EQ37" i="23"/>
  <c r="EQ12" i="23"/>
  <c r="EQ4" i="23"/>
  <c r="EQ36" i="23"/>
  <c r="EQ35" i="23"/>
  <c r="EQ11" i="23"/>
  <c r="EQ21" i="23"/>
  <c r="EQ18" i="23"/>
  <c r="EQ13" i="23"/>
  <c r="EQ42" i="23"/>
  <c r="EQ43" i="23"/>
  <c r="EQ24" i="23"/>
  <c r="EQ14" i="23"/>
  <c r="EQ15" i="23"/>
  <c r="EQ5" i="23"/>
  <c r="EQ6" i="23"/>
  <c r="EQ16" i="23"/>
  <c r="EQ8" i="23"/>
  <c r="ER2" i="23"/>
  <c r="ER138" i="23" l="1"/>
  <c r="ER134" i="23"/>
  <c r="ER129" i="23"/>
  <c r="ER116" i="23"/>
  <c r="ER170" i="23"/>
  <c r="ER115" i="23"/>
  <c r="ER141" i="23"/>
  <c r="ER189" i="23"/>
  <c r="ER198" i="23"/>
  <c r="ER144" i="23"/>
  <c r="ER149" i="23"/>
  <c r="ER168" i="23"/>
  <c r="ER197" i="23"/>
  <c r="ER203" i="23"/>
  <c r="ER205" i="23"/>
  <c r="ER208" i="23"/>
  <c r="ER209" i="23"/>
  <c r="ER166" i="23"/>
  <c r="ER211" i="23"/>
  <c r="ER143" i="23"/>
  <c r="ER194" i="23"/>
  <c r="ER164" i="23"/>
  <c r="ER201" i="23"/>
  <c r="ER188" i="23"/>
  <c r="ER196" i="23"/>
  <c r="ER195" i="23"/>
  <c r="ER192" i="23"/>
  <c r="ER146" i="23"/>
  <c r="ER210" i="23"/>
  <c r="ER212" i="23"/>
  <c r="ER200" i="23"/>
  <c r="ER204" i="23"/>
  <c r="ER186" i="23"/>
  <c r="ER187" i="23"/>
  <c r="ER185" i="23"/>
  <c r="ER193" i="23"/>
  <c r="ER207" i="23"/>
  <c r="ER171" i="23"/>
  <c r="ER183" i="23"/>
  <c r="ER175" i="23"/>
  <c r="ER160" i="23"/>
  <c r="ER156" i="23"/>
  <c r="ER155" i="23"/>
  <c r="ER159" i="23"/>
  <c r="ER199" i="23"/>
  <c r="ER178" i="23"/>
  <c r="ER165" i="23"/>
  <c r="ER153" i="23"/>
  <c r="ER190" i="23"/>
  <c r="ER157" i="23"/>
  <c r="ER177" i="23"/>
  <c r="ER206" i="23"/>
  <c r="ER172" i="23"/>
  <c r="ER137" i="23"/>
  <c r="ER126" i="23"/>
  <c r="ER130" i="23"/>
  <c r="ER173" i="23"/>
  <c r="ER162" i="23"/>
  <c r="ER163" i="23"/>
  <c r="ER154" i="23"/>
  <c r="ER148" i="23"/>
  <c r="ER152" i="23"/>
  <c r="ER184" i="23"/>
  <c r="ER145" i="23"/>
  <c r="ER127" i="23"/>
  <c r="ER181" i="23"/>
  <c r="ER150" i="23"/>
  <c r="ER140" i="23"/>
  <c r="ER132" i="23"/>
  <c r="ER128" i="23"/>
  <c r="ER161" i="23"/>
  <c r="ER167" i="23"/>
  <c r="ER142" i="23"/>
  <c r="ER120" i="23"/>
  <c r="ER118" i="23"/>
  <c r="ER124" i="23"/>
  <c r="ER174" i="23"/>
  <c r="ER179" i="23"/>
  <c r="ER123" i="23"/>
  <c r="ER131" i="23"/>
  <c r="ER122" i="23"/>
  <c r="ER182" i="23"/>
  <c r="ER135" i="23"/>
  <c r="ER133" i="23"/>
  <c r="ER151" i="23"/>
  <c r="ER119" i="23"/>
  <c r="ER121" i="23"/>
  <c r="ER176" i="23"/>
  <c r="ER117" i="23"/>
  <c r="ER139" i="23"/>
  <c r="ER136" i="23"/>
  <c r="ER114" i="23"/>
  <c r="ER147" i="23"/>
  <c r="ER158" i="23"/>
  <c r="ER202" i="23"/>
  <c r="ER180" i="23"/>
  <c r="ER125" i="23"/>
  <c r="ER169" i="23"/>
  <c r="ER191" i="23"/>
  <c r="ER113" i="23"/>
  <c r="ER112" i="23"/>
  <c r="ER109" i="23"/>
  <c r="ER111" i="23"/>
  <c r="ER110" i="23"/>
  <c r="ER106" i="23"/>
  <c r="ER108" i="23"/>
  <c r="ER105" i="23"/>
  <c r="ER104" i="23"/>
  <c r="ER102" i="23"/>
  <c r="ER107" i="23"/>
  <c r="ER101" i="23"/>
  <c r="ER98" i="23"/>
  <c r="ER97" i="23"/>
  <c r="ER96" i="23"/>
  <c r="ER100" i="23"/>
  <c r="ER99" i="23"/>
  <c r="ER94" i="23"/>
  <c r="ER103" i="23"/>
  <c r="ER93" i="23"/>
  <c r="ER92" i="23"/>
  <c r="ER91" i="23"/>
  <c r="ER95" i="23"/>
  <c r="ER87" i="23"/>
  <c r="ER88" i="23"/>
  <c r="ER84" i="23"/>
  <c r="ER89" i="23"/>
  <c r="ER86" i="23"/>
  <c r="ER79" i="23"/>
  <c r="ER76" i="23"/>
  <c r="ER75" i="23"/>
  <c r="ER77" i="23"/>
  <c r="ER81" i="23"/>
  <c r="ER70" i="23"/>
  <c r="ER71" i="23"/>
  <c r="ER63" i="23"/>
  <c r="ER85" i="23"/>
  <c r="ER78" i="23"/>
  <c r="ER74" i="23"/>
  <c r="ER83" i="23"/>
  <c r="ER56" i="23"/>
  <c r="ER82" i="23"/>
  <c r="ER62" i="23"/>
  <c r="ER80" i="23"/>
  <c r="ER73" i="23"/>
  <c r="ER64" i="23"/>
  <c r="ER60" i="23"/>
  <c r="ER58" i="23"/>
  <c r="ER50" i="23"/>
  <c r="ER72" i="23"/>
  <c r="ER69" i="23"/>
  <c r="ER67" i="23"/>
  <c r="ER59" i="23"/>
  <c r="ER57" i="23"/>
  <c r="ER66" i="23"/>
  <c r="ER52" i="23"/>
  <c r="ER53" i="23"/>
  <c r="ER54" i="23"/>
  <c r="ER48" i="23"/>
  <c r="ER46" i="23"/>
  <c r="ER90" i="23"/>
  <c r="ER68" i="23"/>
  <c r="ER45" i="23"/>
  <c r="ER40" i="23"/>
  <c r="ER39" i="23"/>
  <c r="ER47" i="23"/>
  <c r="ER34" i="23"/>
  <c r="ER61" i="23"/>
  <c r="ER49" i="23"/>
  <c r="ER42" i="23"/>
  <c r="ER31" i="23"/>
  <c r="ER51" i="23"/>
  <c r="ER30" i="23"/>
  <c r="ER55" i="23"/>
  <c r="ER32" i="23"/>
  <c r="ER22" i="23"/>
  <c r="ER29" i="23"/>
  <c r="ER19" i="23"/>
  <c r="ER43" i="23"/>
  <c r="ER37" i="23"/>
  <c r="ER26" i="23"/>
  <c r="ER24" i="23"/>
  <c r="ER41" i="23"/>
  <c r="ER23" i="23"/>
  <c r="ER20" i="23"/>
  <c r="ER17" i="23"/>
  <c r="ER7" i="23"/>
  <c r="ER16" i="23"/>
  <c r="ER6" i="23"/>
  <c r="ER44" i="23"/>
  <c r="ER12" i="23"/>
  <c r="ER4" i="23"/>
  <c r="ER14" i="23"/>
  <c r="ER36" i="23"/>
  <c r="ER35" i="23"/>
  <c r="ER28" i="23"/>
  <c r="ER9" i="23"/>
  <c r="ER33" i="23"/>
  <c r="ER27" i="23"/>
  <c r="ER21" i="23"/>
  <c r="ER18" i="23"/>
  <c r="ER8" i="23"/>
  <c r="ES2" i="23"/>
  <c r="ER15" i="23"/>
  <c r="ER13" i="23"/>
  <c r="ER5" i="23"/>
  <c r="ER65" i="23"/>
  <c r="ER10" i="23"/>
  <c r="ER11" i="23"/>
  <c r="ER38" i="23"/>
  <c r="ER25" i="23"/>
  <c r="ES123" i="23" l="1"/>
  <c r="ES149" i="23"/>
  <c r="ES206" i="23"/>
  <c r="ES122" i="23"/>
  <c r="ES176" i="23"/>
  <c r="ES127" i="23"/>
  <c r="ES198" i="23"/>
  <c r="ES117" i="23"/>
  <c r="ES116" i="23"/>
  <c r="ES151" i="23"/>
  <c r="ES146" i="23"/>
  <c r="ES164" i="23"/>
  <c r="ES115" i="23"/>
  <c r="ES124" i="23"/>
  <c r="ES170" i="23"/>
  <c r="ES129" i="23"/>
  <c r="ES171" i="23"/>
  <c r="ES157" i="23"/>
  <c r="ES194" i="23"/>
  <c r="ES193" i="23"/>
  <c r="ES173" i="23"/>
  <c r="ES139" i="23"/>
  <c r="ES212" i="23"/>
  <c r="ES210" i="23"/>
  <c r="ES204" i="23"/>
  <c r="ES205" i="23"/>
  <c r="ES134" i="23"/>
  <c r="ES211" i="23"/>
  <c r="ES203" i="23"/>
  <c r="ES208" i="23"/>
  <c r="ES207" i="23"/>
  <c r="ES195" i="23"/>
  <c r="ES196" i="23"/>
  <c r="ES192" i="23"/>
  <c r="ES181" i="23"/>
  <c r="ES185" i="23"/>
  <c r="ES197" i="23"/>
  <c r="ES200" i="23"/>
  <c r="ES199" i="23"/>
  <c r="ES201" i="23"/>
  <c r="ES190" i="23"/>
  <c r="ES189" i="23"/>
  <c r="ES182" i="23"/>
  <c r="ES175" i="23"/>
  <c r="ES178" i="23"/>
  <c r="ES172" i="23"/>
  <c r="ES160" i="23"/>
  <c r="ES154" i="23"/>
  <c r="ES168" i="23"/>
  <c r="ES179" i="23"/>
  <c r="ES161" i="23"/>
  <c r="ES166" i="23"/>
  <c r="ES155" i="23"/>
  <c r="ES141" i="23"/>
  <c r="ES177" i="23"/>
  <c r="ES167" i="23"/>
  <c r="ES148" i="23"/>
  <c r="ES162" i="23"/>
  <c r="ES159" i="23"/>
  <c r="ES138" i="23"/>
  <c r="ES163" i="23"/>
  <c r="ES144" i="23"/>
  <c r="ES145" i="23"/>
  <c r="ES130" i="23"/>
  <c r="ES209" i="23"/>
  <c r="ES156" i="23"/>
  <c r="ES126" i="23"/>
  <c r="ES128" i="23"/>
  <c r="ES142" i="23"/>
  <c r="ES133" i="23"/>
  <c r="ES187" i="23"/>
  <c r="ES186" i="23"/>
  <c r="ES140" i="23"/>
  <c r="ES150" i="23"/>
  <c r="ES152" i="23"/>
  <c r="ES143" i="23"/>
  <c r="ES120" i="23"/>
  <c r="ES119" i="23"/>
  <c r="ES183" i="23"/>
  <c r="ES165" i="23"/>
  <c r="ES153" i="23"/>
  <c r="ES188" i="23"/>
  <c r="ES174" i="23"/>
  <c r="ES137" i="23"/>
  <c r="ES184" i="23"/>
  <c r="ES131" i="23"/>
  <c r="ES132" i="23"/>
  <c r="ES135" i="23"/>
  <c r="ES118" i="23"/>
  <c r="ES121" i="23"/>
  <c r="ES191" i="23"/>
  <c r="ES180" i="23"/>
  <c r="ES147" i="23"/>
  <c r="ES202" i="23"/>
  <c r="ES169" i="23"/>
  <c r="ES125" i="23"/>
  <c r="ES136" i="23"/>
  <c r="ES114" i="23"/>
  <c r="ES158" i="23"/>
  <c r="ES112" i="23"/>
  <c r="ES111" i="23"/>
  <c r="ES113" i="23"/>
  <c r="ES108" i="23"/>
  <c r="ES107" i="23"/>
  <c r="ES105" i="23"/>
  <c r="ES110" i="23"/>
  <c r="ES104" i="23"/>
  <c r="ES102" i="23"/>
  <c r="ES103" i="23"/>
  <c r="ES101" i="23"/>
  <c r="ES109" i="23"/>
  <c r="ES99" i="23"/>
  <c r="ES106" i="23"/>
  <c r="ES98" i="23"/>
  <c r="ES94" i="23"/>
  <c r="ES93" i="23"/>
  <c r="ES100" i="23"/>
  <c r="ES95" i="23"/>
  <c r="ES90" i="23"/>
  <c r="ES89" i="23"/>
  <c r="ES96" i="23"/>
  <c r="ES92" i="23"/>
  <c r="ES88" i="23"/>
  <c r="ES87" i="23"/>
  <c r="ES97" i="23"/>
  <c r="ES86" i="23"/>
  <c r="ES91" i="23"/>
  <c r="ES79" i="23"/>
  <c r="ES76" i="23"/>
  <c r="ES81" i="23"/>
  <c r="ES73" i="23"/>
  <c r="ES72" i="23"/>
  <c r="ES70" i="23"/>
  <c r="ES84" i="23"/>
  <c r="ES71" i="23"/>
  <c r="ES68" i="23"/>
  <c r="ES82" i="23"/>
  <c r="ES69" i="23"/>
  <c r="ES67" i="23"/>
  <c r="ES63" i="23"/>
  <c r="ES62" i="23"/>
  <c r="ES80" i="23"/>
  <c r="ES64" i="23"/>
  <c r="ES60" i="23"/>
  <c r="ES58" i="23"/>
  <c r="ES77" i="23"/>
  <c r="ES75" i="23"/>
  <c r="ES65" i="23"/>
  <c r="ES55" i="23"/>
  <c r="ES74" i="23"/>
  <c r="ES54" i="23"/>
  <c r="ES53" i="23"/>
  <c r="ES48" i="23"/>
  <c r="ES46" i="23"/>
  <c r="ES78" i="23"/>
  <c r="ES61" i="23"/>
  <c r="ES43" i="23"/>
  <c r="ES57" i="23"/>
  <c r="ES50" i="23"/>
  <c r="ES42" i="23"/>
  <c r="ES52" i="23"/>
  <c r="ES47" i="23"/>
  <c r="ES83" i="23"/>
  <c r="ES59" i="23"/>
  <c r="ES49" i="23"/>
  <c r="ES31" i="23"/>
  <c r="ES41" i="23"/>
  <c r="ES38" i="23"/>
  <c r="ES36" i="23"/>
  <c r="ES45" i="23"/>
  <c r="ES37" i="23"/>
  <c r="ES35" i="23"/>
  <c r="ES56" i="23"/>
  <c r="ES85" i="23"/>
  <c r="ES40" i="23"/>
  <c r="ES30" i="23"/>
  <c r="ES29" i="23"/>
  <c r="ES19" i="23"/>
  <c r="ES51" i="23"/>
  <c r="ES26" i="23"/>
  <c r="ES24" i="23"/>
  <c r="ES21" i="23"/>
  <c r="ES66" i="23"/>
  <c r="ES20" i="23"/>
  <c r="ES44" i="23"/>
  <c r="ES23" i="23"/>
  <c r="ES12" i="23"/>
  <c r="ES4" i="23"/>
  <c r="ES28" i="23"/>
  <c r="ES9" i="23"/>
  <c r="ES11" i="23"/>
  <c r="ES39" i="23"/>
  <c r="ES32" i="23"/>
  <c r="ES22" i="23"/>
  <c r="ES16" i="23"/>
  <c r="ES14" i="23"/>
  <c r="ES6" i="23"/>
  <c r="ES25" i="23"/>
  <c r="ES15" i="23"/>
  <c r="ES13" i="23"/>
  <c r="ES5" i="23"/>
  <c r="ES33" i="23"/>
  <c r="ES27" i="23"/>
  <c r="ES10" i="23"/>
  <c r="ES7" i="23"/>
  <c r="ES17" i="23"/>
  <c r="ES34" i="23"/>
  <c r="ES18" i="23"/>
  <c r="ES8" i="23"/>
  <c r="ET2" i="23"/>
  <c r="ET199" i="23" l="1"/>
  <c r="ET206" i="23"/>
  <c r="ET181" i="23"/>
  <c r="ET144" i="23"/>
  <c r="ET175" i="23"/>
  <c r="ET116" i="23"/>
  <c r="ET157" i="23"/>
  <c r="ET127" i="23"/>
  <c r="ET159" i="23"/>
  <c r="ET152" i="23"/>
  <c r="ET164" i="23"/>
  <c r="ET201" i="23"/>
  <c r="ET124" i="23"/>
  <c r="ET179" i="23"/>
  <c r="ET149" i="23"/>
  <c r="ET115" i="23"/>
  <c r="ET200" i="23"/>
  <c r="ET208" i="23"/>
  <c r="ET204" i="23"/>
  <c r="ET205" i="23"/>
  <c r="ET117" i="23"/>
  <c r="ET212" i="23"/>
  <c r="ET203" i="23"/>
  <c r="ET210" i="23"/>
  <c r="ET192" i="23"/>
  <c r="ET211" i="23"/>
  <c r="ET195" i="23"/>
  <c r="ET197" i="23"/>
  <c r="ET196" i="23"/>
  <c r="ET193" i="23"/>
  <c r="ET182" i="23"/>
  <c r="ET209" i="23"/>
  <c r="ET186" i="23"/>
  <c r="ET194" i="23"/>
  <c r="ET207" i="23"/>
  <c r="ET187" i="23"/>
  <c r="ET188" i="23"/>
  <c r="ET171" i="23"/>
  <c r="ET190" i="23"/>
  <c r="ET172" i="23"/>
  <c r="ET168" i="23"/>
  <c r="ET184" i="23"/>
  <c r="ET185" i="23"/>
  <c r="ET189" i="23"/>
  <c r="ET177" i="23"/>
  <c r="ET153" i="23"/>
  <c r="ET155" i="23"/>
  <c r="ET148" i="23"/>
  <c r="ET154" i="23"/>
  <c r="ET174" i="23"/>
  <c r="ET163" i="23"/>
  <c r="ET198" i="23"/>
  <c r="ET150" i="23"/>
  <c r="ET166" i="23"/>
  <c r="ET156" i="23"/>
  <c r="ET170" i="23"/>
  <c r="ET178" i="23"/>
  <c r="ET151" i="23"/>
  <c r="ET173" i="23"/>
  <c r="ET161" i="23"/>
  <c r="ET167" i="23"/>
  <c r="ET135" i="23"/>
  <c r="ET138" i="23"/>
  <c r="ET146" i="23"/>
  <c r="ET145" i="23"/>
  <c r="ET126" i="23"/>
  <c r="ET162" i="23"/>
  <c r="ET137" i="23"/>
  <c r="ET128" i="23"/>
  <c r="ET121" i="23"/>
  <c r="ET176" i="23"/>
  <c r="ET143" i="23"/>
  <c r="ET134" i="23"/>
  <c r="ET131" i="23"/>
  <c r="ET120" i="23"/>
  <c r="ET122" i="23"/>
  <c r="ET130" i="23"/>
  <c r="ET132" i="23"/>
  <c r="ET118" i="23"/>
  <c r="ET183" i="23"/>
  <c r="ET139" i="23"/>
  <c r="ET123" i="23"/>
  <c r="ET165" i="23"/>
  <c r="ET119" i="23"/>
  <c r="ET142" i="23"/>
  <c r="ET140" i="23"/>
  <c r="ET133" i="23"/>
  <c r="ET141" i="23"/>
  <c r="ET129" i="23"/>
  <c r="ET160" i="23"/>
  <c r="ET191" i="23"/>
  <c r="ET169" i="23"/>
  <c r="ET125" i="23"/>
  <c r="ET202" i="23"/>
  <c r="ET136" i="23"/>
  <c r="ET180" i="23"/>
  <c r="ET158" i="23"/>
  <c r="ET114" i="23"/>
  <c r="ET147" i="23"/>
  <c r="ET111" i="23"/>
  <c r="ET110" i="23"/>
  <c r="ET112" i="23"/>
  <c r="ET109" i="23"/>
  <c r="ET108" i="23"/>
  <c r="ET101" i="23"/>
  <c r="ET113" i="23"/>
  <c r="ET105" i="23"/>
  <c r="ET103" i="23"/>
  <c r="ET100" i="23"/>
  <c r="ET99" i="23"/>
  <c r="ET104" i="23"/>
  <c r="ET98" i="23"/>
  <c r="ET95" i="23"/>
  <c r="ET106" i="23"/>
  <c r="ET97" i="23"/>
  <c r="ET96" i="23"/>
  <c r="ET93" i="23"/>
  <c r="ET92" i="23"/>
  <c r="ET89" i="23"/>
  <c r="ET107" i="23"/>
  <c r="ET83" i="23"/>
  <c r="ET94" i="23"/>
  <c r="ET87" i="23"/>
  <c r="ET88" i="23"/>
  <c r="ET91" i="23"/>
  <c r="ET82" i="23"/>
  <c r="ET80" i="23"/>
  <c r="ET90" i="23"/>
  <c r="ET85" i="23"/>
  <c r="ET81" i="23"/>
  <c r="ET79" i="23"/>
  <c r="ET78" i="23"/>
  <c r="ET70" i="23"/>
  <c r="ET84" i="23"/>
  <c r="ET77" i="23"/>
  <c r="ET71" i="23"/>
  <c r="ET72" i="23"/>
  <c r="ET65" i="23"/>
  <c r="ET86" i="23"/>
  <c r="ET64" i="23"/>
  <c r="ET60" i="23"/>
  <c r="ET58" i="23"/>
  <c r="ET75" i="23"/>
  <c r="ET73" i="23"/>
  <c r="ET66" i="23"/>
  <c r="ET52" i="23"/>
  <c r="ET76" i="23"/>
  <c r="ET68" i="23"/>
  <c r="ET61" i="23"/>
  <c r="ET51" i="23"/>
  <c r="ET48" i="23"/>
  <c r="ET46" i="23"/>
  <c r="ET54" i="23"/>
  <c r="ET62" i="23"/>
  <c r="ET55" i="23"/>
  <c r="ET69" i="23"/>
  <c r="ET63" i="23"/>
  <c r="ET49" i="23"/>
  <c r="ET47" i="23"/>
  <c r="ET59" i="23"/>
  <c r="ET42" i="23"/>
  <c r="ET41" i="23"/>
  <c r="ET38" i="23"/>
  <c r="ET36" i="23"/>
  <c r="ET53" i="23"/>
  <c r="ET44" i="23"/>
  <c r="ET43" i="23"/>
  <c r="ET33" i="23"/>
  <c r="ET102" i="23"/>
  <c r="ET57" i="23"/>
  <c r="ET32" i="23"/>
  <c r="ET74" i="23"/>
  <c r="ET67" i="23"/>
  <c r="ET56" i="23"/>
  <c r="ET31" i="23"/>
  <c r="ET26" i="23"/>
  <c r="ET24" i="23"/>
  <c r="ET37" i="23"/>
  <c r="ET21" i="23"/>
  <c r="ET45" i="23"/>
  <c r="ET28" i="23"/>
  <c r="ET35" i="23"/>
  <c r="ET34" i="23"/>
  <c r="ET27" i="23"/>
  <c r="ET25" i="23"/>
  <c r="ET9" i="23"/>
  <c r="EU2" i="23"/>
  <c r="ET39" i="23"/>
  <c r="ET22" i="23"/>
  <c r="ET16" i="23"/>
  <c r="ET14" i="23"/>
  <c r="ET6" i="23"/>
  <c r="ET8" i="23"/>
  <c r="ET30" i="23"/>
  <c r="ET19" i="23"/>
  <c r="ET11" i="23"/>
  <c r="ET18" i="23"/>
  <c r="ET50" i="23"/>
  <c r="ET10" i="23"/>
  <c r="ET17" i="23"/>
  <c r="ET7" i="23"/>
  <c r="ET40" i="23"/>
  <c r="ET13" i="23"/>
  <c r="ET23" i="23"/>
  <c r="ET4" i="23"/>
  <c r="ET29" i="23"/>
  <c r="ET15" i="23"/>
  <c r="ET5" i="23"/>
  <c r="ET12" i="23"/>
  <c r="ET20" i="23"/>
  <c r="EU128" i="23" l="1"/>
  <c r="EU131" i="23"/>
  <c r="EU182" i="23"/>
  <c r="EU164" i="23"/>
  <c r="EU189" i="23"/>
  <c r="EU122" i="23"/>
  <c r="EU166" i="23"/>
  <c r="EU152" i="23"/>
  <c r="EU134" i="23"/>
  <c r="EU124" i="23"/>
  <c r="EU129" i="23"/>
  <c r="EU151" i="23"/>
  <c r="EU183" i="23"/>
  <c r="EU145" i="23"/>
  <c r="EU197" i="23"/>
  <c r="EU139" i="23"/>
  <c r="EU211" i="23"/>
  <c r="EU205" i="23"/>
  <c r="EU212" i="23"/>
  <c r="EU195" i="23"/>
  <c r="EU127" i="23"/>
  <c r="EU121" i="23"/>
  <c r="EU209" i="23"/>
  <c r="EU178" i="23"/>
  <c r="EU192" i="23"/>
  <c r="EU194" i="23"/>
  <c r="EU196" i="23"/>
  <c r="EU200" i="23"/>
  <c r="EU203" i="23"/>
  <c r="EU201" i="23"/>
  <c r="EU187" i="23"/>
  <c r="EU206" i="23"/>
  <c r="EU207" i="23"/>
  <c r="EU199" i="23"/>
  <c r="EU210" i="23"/>
  <c r="EU204" i="23"/>
  <c r="EU198" i="23"/>
  <c r="EU184" i="23"/>
  <c r="EU208" i="23"/>
  <c r="EU193" i="23"/>
  <c r="EU181" i="23"/>
  <c r="EU186" i="23"/>
  <c r="EU172" i="23"/>
  <c r="EU174" i="23"/>
  <c r="EU176" i="23"/>
  <c r="EU167" i="23"/>
  <c r="EU171" i="23"/>
  <c r="EU177" i="23"/>
  <c r="EU161" i="23"/>
  <c r="EU175" i="23"/>
  <c r="EU157" i="23"/>
  <c r="EU155" i="23"/>
  <c r="EU154" i="23"/>
  <c r="EU142" i="23"/>
  <c r="EU190" i="23"/>
  <c r="EU163" i="23"/>
  <c r="EU159" i="23"/>
  <c r="EU148" i="23"/>
  <c r="EU173" i="23"/>
  <c r="EU137" i="23"/>
  <c r="EU146" i="23"/>
  <c r="EU135" i="23"/>
  <c r="EU188" i="23"/>
  <c r="EU170" i="23"/>
  <c r="EU160" i="23"/>
  <c r="EU162" i="23"/>
  <c r="EU150" i="23"/>
  <c r="EU156" i="23"/>
  <c r="EU185" i="23"/>
  <c r="EU153" i="23"/>
  <c r="EU179" i="23"/>
  <c r="EU165" i="23"/>
  <c r="EU117" i="23"/>
  <c r="EU133" i="23"/>
  <c r="EU141" i="23"/>
  <c r="EU126" i="23"/>
  <c r="EU118" i="23"/>
  <c r="EU168" i="23"/>
  <c r="EU116" i="23"/>
  <c r="EU138" i="23"/>
  <c r="EU115" i="23"/>
  <c r="EU149" i="23"/>
  <c r="EU144" i="23"/>
  <c r="EU130" i="23"/>
  <c r="EU143" i="23"/>
  <c r="EU123" i="23"/>
  <c r="EU140" i="23"/>
  <c r="EU119" i="23"/>
  <c r="EU132" i="23"/>
  <c r="EU120" i="23"/>
  <c r="EU147" i="23"/>
  <c r="EU114" i="23"/>
  <c r="EU191" i="23"/>
  <c r="EU125" i="23"/>
  <c r="EU169" i="23"/>
  <c r="EU202" i="23"/>
  <c r="EU136" i="23"/>
  <c r="EU180" i="23"/>
  <c r="EU158" i="23"/>
  <c r="EU113" i="23"/>
  <c r="EU112" i="23"/>
  <c r="EU110" i="23"/>
  <c r="EU111" i="23"/>
  <c r="EU109" i="23"/>
  <c r="EU106" i="23"/>
  <c r="EU107" i="23"/>
  <c r="EU104" i="23"/>
  <c r="EU100" i="23"/>
  <c r="EU108" i="23"/>
  <c r="EU105" i="23"/>
  <c r="EU103" i="23"/>
  <c r="EU99" i="23"/>
  <c r="EU96" i="23"/>
  <c r="EU102" i="23"/>
  <c r="EU95" i="23"/>
  <c r="EU98" i="23"/>
  <c r="EU101" i="23"/>
  <c r="EU93" i="23"/>
  <c r="EU91" i="23"/>
  <c r="EU90" i="23"/>
  <c r="EU92" i="23"/>
  <c r="EU88" i="23"/>
  <c r="EU97" i="23"/>
  <c r="EU83" i="23"/>
  <c r="EU79" i="23"/>
  <c r="EU81" i="23"/>
  <c r="EU78" i="23"/>
  <c r="EU85" i="23"/>
  <c r="EU82" i="23"/>
  <c r="EU80" i="23"/>
  <c r="EU75" i="23"/>
  <c r="EU87" i="23"/>
  <c r="EU74" i="23"/>
  <c r="EU84" i="23"/>
  <c r="EU72" i="23"/>
  <c r="EU89" i="23"/>
  <c r="EU73" i="23"/>
  <c r="EU62" i="23"/>
  <c r="EU94" i="23"/>
  <c r="EU70" i="23"/>
  <c r="EU64" i="23"/>
  <c r="EU77" i="23"/>
  <c r="EU71" i="23"/>
  <c r="EU66" i="23"/>
  <c r="EU65" i="23"/>
  <c r="EU59" i="23"/>
  <c r="EU57" i="23"/>
  <c r="EU56" i="23"/>
  <c r="EU54" i="23"/>
  <c r="EU61" i="23"/>
  <c r="EU55" i="23"/>
  <c r="EU67" i="23"/>
  <c r="EU45" i="23"/>
  <c r="EU76" i="23"/>
  <c r="EU60" i="23"/>
  <c r="EU51" i="23"/>
  <c r="EU44" i="23"/>
  <c r="EU49" i="23"/>
  <c r="EU42" i="23"/>
  <c r="EU41" i="23"/>
  <c r="EU38" i="23"/>
  <c r="EU36" i="23"/>
  <c r="EU53" i="23"/>
  <c r="EU43" i="23"/>
  <c r="EU33" i="23"/>
  <c r="EU86" i="23"/>
  <c r="EU30" i="23"/>
  <c r="EU68" i="23"/>
  <c r="EU40" i="23"/>
  <c r="EU39" i="23"/>
  <c r="EU37" i="23"/>
  <c r="EU21" i="23"/>
  <c r="EU46" i="23"/>
  <c r="EU28" i="23"/>
  <c r="EU58" i="23"/>
  <c r="EU23" i="23"/>
  <c r="EU69" i="23"/>
  <c r="EU22" i="23"/>
  <c r="EU63" i="23"/>
  <c r="EU52" i="23"/>
  <c r="EU47" i="23"/>
  <c r="EU16" i="23"/>
  <c r="EU14" i="23"/>
  <c r="EU6" i="23"/>
  <c r="EU13" i="23"/>
  <c r="EU35" i="23"/>
  <c r="EU32" i="23"/>
  <c r="EU19" i="23"/>
  <c r="EU11" i="23"/>
  <c r="EU5" i="23"/>
  <c r="EU25" i="23"/>
  <c r="EU18" i="23"/>
  <c r="EU8" i="23"/>
  <c r="EV2" i="23"/>
  <c r="EU27" i="23"/>
  <c r="EU15" i="23"/>
  <c r="EU48" i="23"/>
  <c r="EU17" i="23"/>
  <c r="EU7" i="23"/>
  <c r="EU34" i="23"/>
  <c r="EU31" i="23"/>
  <c r="EU29" i="23"/>
  <c r="EU24" i="23"/>
  <c r="EU20" i="23"/>
  <c r="EU12" i="23"/>
  <c r="EU9" i="23"/>
  <c r="EU10" i="23"/>
  <c r="EU26" i="23"/>
  <c r="EU4" i="23"/>
  <c r="EU50" i="23"/>
  <c r="EV192" i="23" l="1"/>
  <c r="EV207" i="23"/>
  <c r="EV123" i="23"/>
  <c r="EV140" i="23"/>
  <c r="EV146" i="23"/>
  <c r="EV170" i="23"/>
  <c r="EV164" i="23"/>
  <c r="EV127" i="23"/>
  <c r="EV121" i="23"/>
  <c r="EV197" i="23"/>
  <c r="EV115" i="23"/>
  <c r="EV194" i="23"/>
  <c r="EV145" i="23"/>
  <c r="EV178" i="23"/>
  <c r="EV176" i="23"/>
  <c r="EV131" i="23"/>
  <c r="EV129" i="23"/>
  <c r="EV149" i="23"/>
  <c r="EV173" i="23"/>
  <c r="EV203" i="23"/>
  <c r="EV205" i="23"/>
  <c r="EV204" i="23"/>
  <c r="EV200" i="23"/>
  <c r="EV210" i="23"/>
  <c r="EV208" i="23"/>
  <c r="EV201" i="23"/>
  <c r="EV186" i="23"/>
  <c r="EV193" i="23"/>
  <c r="EV196" i="23"/>
  <c r="EV195" i="23"/>
  <c r="EV199" i="23"/>
  <c r="EV198" i="23"/>
  <c r="EV211" i="23"/>
  <c r="EV209" i="23"/>
  <c r="EV187" i="23"/>
  <c r="EV182" i="23"/>
  <c r="EV212" i="23"/>
  <c r="EV206" i="23"/>
  <c r="EV183" i="23"/>
  <c r="EV185" i="23"/>
  <c r="EV177" i="23"/>
  <c r="EV190" i="23"/>
  <c r="EV174" i="23"/>
  <c r="EV165" i="23"/>
  <c r="EV188" i="23"/>
  <c r="EV160" i="23"/>
  <c r="EV159" i="23"/>
  <c r="EV166" i="23"/>
  <c r="EV155" i="23"/>
  <c r="EV148" i="23"/>
  <c r="EV161" i="23"/>
  <c r="EV156" i="23"/>
  <c r="EV152" i="23"/>
  <c r="EV141" i="23"/>
  <c r="EV184" i="23"/>
  <c r="EV171" i="23"/>
  <c r="EV151" i="23"/>
  <c r="EV137" i="23"/>
  <c r="EV175" i="23"/>
  <c r="EV162" i="23"/>
  <c r="EV157" i="23"/>
  <c r="EV189" i="23"/>
  <c r="EV153" i="23"/>
  <c r="EV139" i="23"/>
  <c r="EV135" i="23"/>
  <c r="EV150" i="23"/>
  <c r="EV138" i="23"/>
  <c r="EV143" i="23"/>
  <c r="EV134" i="23"/>
  <c r="EV117" i="23"/>
  <c r="EV168" i="23"/>
  <c r="EV181" i="23"/>
  <c r="EV116" i="23"/>
  <c r="EV172" i="23"/>
  <c r="EV167" i="23"/>
  <c r="EV144" i="23"/>
  <c r="EV142" i="23"/>
  <c r="EV126" i="23"/>
  <c r="EV128" i="23"/>
  <c r="EV133" i="23"/>
  <c r="EV119" i="23"/>
  <c r="EV132" i="23"/>
  <c r="EV118" i="23"/>
  <c r="EV179" i="23"/>
  <c r="EV124" i="23"/>
  <c r="EV163" i="23"/>
  <c r="EV154" i="23"/>
  <c r="EV130" i="23"/>
  <c r="EV120" i="23"/>
  <c r="EV122" i="23"/>
  <c r="EV191" i="23"/>
  <c r="EV158" i="23"/>
  <c r="EV125" i="23"/>
  <c r="EV114" i="23"/>
  <c r="EV136" i="23"/>
  <c r="EV169" i="23"/>
  <c r="EV180" i="23"/>
  <c r="EV147" i="23"/>
  <c r="EV202" i="23"/>
  <c r="EV107" i="23"/>
  <c r="EV112" i="23"/>
  <c r="EV110" i="23"/>
  <c r="EV111" i="23"/>
  <c r="EV109" i="23"/>
  <c r="EV113" i="23"/>
  <c r="EV103" i="23"/>
  <c r="EV101" i="23"/>
  <c r="EV98" i="23"/>
  <c r="EV105" i="23"/>
  <c r="EV97" i="23"/>
  <c r="EV108" i="23"/>
  <c r="EV100" i="23"/>
  <c r="EV104" i="23"/>
  <c r="EV92" i="23"/>
  <c r="EV99" i="23"/>
  <c r="EV95" i="23"/>
  <c r="EV106" i="23"/>
  <c r="EV96" i="23"/>
  <c r="EV89" i="23"/>
  <c r="EV88" i="23"/>
  <c r="EV90" i="23"/>
  <c r="EV94" i="23"/>
  <c r="EV91" i="23"/>
  <c r="EV86" i="23"/>
  <c r="EV102" i="23"/>
  <c r="EV85" i="23"/>
  <c r="EV93" i="23"/>
  <c r="EV81" i="23"/>
  <c r="EV78" i="23"/>
  <c r="EV82" i="23"/>
  <c r="EV80" i="23"/>
  <c r="EV75" i="23"/>
  <c r="EV72" i="23"/>
  <c r="EV83" i="23"/>
  <c r="EV71" i="23"/>
  <c r="EV69" i="23"/>
  <c r="EV87" i="23"/>
  <c r="EV73" i="23"/>
  <c r="EV79" i="23"/>
  <c r="EV74" i="23"/>
  <c r="EV67" i="23"/>
  <c r="EV77" i="23"/>
  <c r="EV76" i="23"/>
  <c r="EV66" i="23"/>
  <c r="EV65" i="23"/>
  <c r="EV59" i="23"/>
  <c r="EV57" i="23"/>
  <c r="EV54" i="23"/>
  <c r="EV63" i="23"/>
  <c r="EV53" i="23"/>
  <c r="EV61" i="23"/>
  <c r="EV55" i="23"/>
  <c r="EV62" i="23"/>
  <c r="EV58" i="23"/>
  <c r="EV50" i="23"/>
  <c r="EV42" i="23"/>
  <c r="EV56" i="23"/>
  <c r="EV52" i="23"/>
  <c r="EV41" i="23"/>
  <c r="EV70" i="23"/>
  <c r="EV43" i="23"/>
  <c r="EV44" i="23"/>
  <c r="EV30" i="23"/>
  <c r="EV84" i="23"/>
  <c r="EV60" i="23"/>
  <c r="EV46" i="23"/>
  <c r="EV37" i="23"/>
  <c r="EV35" i="23"/>
  <c r="EV34" i="23"/>
  <c r="EV51" i="23"/>
  <c r="EV28" i="23"/>
  <c r="EV68" i="23"/>
  <c r="EV45" i="23"/>
  <c r="EV23" i="23"/>
  <c r="EV48" i="23"/>
  <c r="EV47" i="23"/>
  <c r="EV39" i="23"/>
  <c r="EV20" i="23"/>
  <c r="EV64" i="23"/>
  <c r="EV36" i="23"/>
  <c r="EV33" i="23"/>
  <c r="EV32" i="23"/>
  <c r="EV29" i="23"/>
  <c r="EV19" i="23"/>
  <c r="EV22" i="23"/>
  <c r="EV11" i="23"/>
  <c r="EV25" i="23"/>
  <c r="EV18" i="23"/>
  <c r="EV8" i="23"/>
  <c r="EW2" i="23"/>
  <c r="EV38" i="23"/>
  <c r="EV10" i="23"/>
  <c r="EV49" i="23"/>
  <c r="EV27" i="23"/>
  <c r="EV15" i="23"/>
  <c r="EV13" i="23"/>
  <c r="EV5" i="23"/>
  <c r="EV31" i="23"/>
  <c r="EV24" i="23"/>
  <c r="EV12" i="23"/>
  <c r="EV4" i="23"/>
  <c r="EV40" i="23"/>
  <c r="EV26" i="23"/>
  <c r="EV9" i="23"/>
  <c r="EV14" i="23"/>
  <c r="EV21" i="23"/>
  <c r="EV17" i="23"/>
  <c r="EV16" i="23"/>
  <c r="EV6" i="23"/>
  <c r="EV7" i="23"/>
  <c r="EW151" i="23" l="1"/>
  <c r="EW115" i="23"/>
  <c r="EW192" i="23"/>
  <c r="EW152" i="23"/>
  <c r="EW128" i="23"/>
  <c r="EW173" i="23"/>
  <c r="EW201" i="23"/>
  <c r="EW170" i="23"/>
  <c r="EW142" i="23"/>
  <c r="EW165" i="23"/>
  <c r="EW164" i="23"/>
  <c r="EW124" i="23"/>
  <c r="EW166" i="23"/>
  <c r="EW161" i="23"/>
  <c r="EW149" i="23"/>
  <c r="EW193" i="23"/>
  <c r="EW146" i="23"/>
  <c r="EW196" i="23"/>
  <c r="EW134" i="23"/>
  <c r="EW175" i="23"/>
  <c r="EW200" i="23"/>
  <c r="EW203" i="23"/>
  <c r="EW204" i="23"/>
  <c r="EW211" i="23"/>
  <c r="EW206" i="23"/>
  <c r="EW208" i="23"/>
  <c r="EW117" i="23"/>
  <c r="EW209" i="23"/>
  <c r="EW205" i="23"/>
  <c r="EW207" i="23"/>
  <c r="EW197" i="23"/>
  <c r="EW174" i="23"/>
  <c r="EW194" i="23"/>
  <c r="EW182" i="23"/>
  <c r="EW212" i="23"/>
  <c r="EW181" i="23"/>
  <c r="EW187" i="23"/>
  <c r="EW210" i="23"/>
  <c r="EW186" i="23"/>
  <c r="EW189" i="23"/>
  <c r="EW199" i="23"/>
  <c r="EW198" i="23"/>
  <c r="EW195" i="23"/>
  <c r="EW188" i="23"/>
  <c r="EW184" i="23"/>
  <c r="EW190" i="23"/>
  <c r="EW177" i="23"/>
  <c r="EW167" i="23"/>
  <c r="EW155" i="23"/>
  <c r="EW178" i="23"/>
  <c r="EW160" i="23"/>
  <c r="EW163" i="23"/>
  <c r="EW154" i="23"/>
  <c r="EW183" i="23"/>
  <c r="EW185" i="23"/>
  <c r="EW179" i="23"/>
  <c r="EW156" i="23"/>
  <c r="EW150" i="23"/>
  <c r="EW137" i="23"/>
  <c r="EW138" i="23"/>
  <c r="EW176" i="23"/>
  <c r="EW159" i="23"/>
  <c r="EW168" i="23"/>
  <c r="EW157" i="23"/>
  <c r="EW172" i="23"/>
  <c r="EW139" i="23"/>
  <c r="EW153" i="23"/>
  <c r="EW144" i="23"/>
  <c r="EW135" i="23"/>
  <c r="EW140" i="23"/>
  <c r="EW145" i="23"/>
  <c r="EW130" i="23"/>
  <c r="EW122" i="23"/>
  <c r="EW132" i="23"/>
  <c r="EW121" i="23"/>
  <c r="EW126" i="23"/>
  <c r="EW116" i="23"/>
  <c r="EW162" i="23"/>
  <c r="EW129" i="23"/>
  <c r="EW131" i="23"/>
  <c r="EW127" i="23"/>
  <c r="EW143" i="23"/>
  <c r="EW118" i="23"/>
  <c r="EW141" i="23"/>
  <c r="EW119" i="23"/>
  <c r="EW171" i="23"/>
  <c r="EW148" i="23"/>
  <c r="EW120" i="23"/>
  <c r="EW133" i="23"/>
  <c r="EW123" i="23"/>
  <c r="EW191" i="23"/>
  <c r="EW125" i="23"/>
  <c r="EW114" i="23"/>
  <c r="EW169" i="23"/>
  <c r="EW147" i="23"/>
  <c r="EW136" i="23"/>
  <c r="EW202" i="23"/>
  <c r="EW180" i="23"/>
  <c r="EW158" i="23"/>
  <c r="EW113" i="23"/>
  <c r="EW111" i="23"/>
  <c r="EW110" i="23"/>
  <c r="EW108" i="23"/>
  <c r="EW107" i="23"/>
  <c r="EW109" i="23"/>
  <c r="EW112" i="23"/>
  <c r="EW105" i="23"/>
  <c r="EW106" i="23"/>
  <c r="EW103" i="23"/>
  <c r="EW100" i="23"/>
  <c r="EW104" i="23"/>
  <c r="EW101" i="23"/>
  <c r="EW96" i="23"/>
  <c r="EW102" i="23"/>
  <c r="EW92" i="23"/>
  <c r="EW94" i="23"/>
  <c r="EW91" i="23"/>
  <c r="EW99" i="23"/>
  <c r="EW97" i="23"/>
  <c r="EW95" i="23"/>
  <c r="EW89" i="23"/>
  <c r="EW81" i="23"/>
  <c r="EW87" i="23"/>
  <c r="EW86" i="23"/>
  <c r="EW84" i="23"/>
  <c r="EW82" i="23"/>
  <c r="EW80" i="23"/>
  <c r="EW85" i="23"/>
  <c r="EW93" i="23"/>
  <c r="EW90" i="23"/>
  <c r="EW77" i="23"/>
  <c r="EW76" i="23"/>
  <c r="EW73" i="23"/>
  <c r="EW72" i="23"/>
  <c r="EW98" i="23"/>
  <c r="EW88" i="23"/>
  <c r="EW79" i="23"/>
  <c r="EW74" i="23"/>
  <c r="EW83" i="23"/>
  <c r="EW69" i="23"/>
  <c r="EW64" i="23"/>
  <c r="EW75" i="23"/>
  <c r="EW70" i="23"/>
  <c r="EW63" i="23"/>
  <c r="EW71" i="23"/>
  <c r="EW66" i="23"/>
  <c r="EW59" i="23"/>
  <c r="EW57" i="23"/>
  <c r="EW78" i="23"/>
  <c r="EW68" i="23"/>
  <c r="EW67" i="23"/>
  <c r="EW61" i="23"/>
  <c r="EW51" i="23"/>
  <c r="EW62" i="23"/>
  <c r="EW60" i="23"/>
  <c r="EW58" i="23"/>
  <c r="EW50" i="23"/>
  <c r="EW65" i="23"/>
  <c r="EW49" i="23"/>
  <c r="EW47" i="23"/>
  <c r="EW53" i="23"/>
  <c r="EW48" i="23"/>
  <c r="EW46" i="23"/>
  <c r="EW44" i="23"/>
  <c r="EW37" i="23"/>
  <c r="EW35" i="23"/>
  <c r="EW56" i="23"/>
  <c r="EW45" i="23"/>
  <c r="EW32" i="23"/>
  <c r="EW31" i="23"/>
  <c r="EW55" i="23"/>
  <c r="EW23" i="23"/>
  <c r="EW43" i="23"/>
  <c r="EW39" i="23"/>
  <c r="EW20" i="23"/>
  <c r="EW52" i="23"/>
  <c r="EW27" i="23"/>
  <c r="EW25" i="23"/>
  <c r="EW40" i="23"/>
  <c r="EW38" i="23"/>
  <c r="EW26" i="23"/>
  <c r="EW24" i="23"/>
  <c r="EW28" i="23"/>
  <c r="EW19" i="23"/>
  <c r="EW18" i="23"/>
  <c r="EW8" i="23"/>
  <c r="EX2" i="23"/>
  <c r="EW17" i="23"/>
  <c r="EW36" i="23"/>
  <c r="EW30" i="23"/>
  <c r="EW15" i="23"/>
  <c r="EW13" i="23"/>
  <c r="EW5" i="23"/>
  <c r="EW33" i="23"/>
  <c r="EW10" i="23"/>
  <c r="EW21" i="23"/>
  <c r="EW7" i="23"/>
  <c r="EW34" i="23"/>
  <c r="EW29" i="23"/>
  <c r="EW9" i="23"/>
  <c r="EW42" i="23"/>
  <c r="EW16" i="23"/>
  <c r="EW14" i="23"/>
  <c r="EW12" i="23"/>
  <c r="EW22" i="23"/>
  <c r="EW41" i="23"/>
  <c r="EW6" i="23"/>
  <c r="EW4" i="23"/>
  <c r="EW54" i="23"/>
  <c r="EW11" i="23"/>
  <c r="EX152" i="23" l="1"/>
  <c r="EX151" i="23"/>
  <c r="EX195" i="23"/>
  <c r="EX157" i="23"/>
  <c r="EX123" i="23"/>
  <c r="EX164" i="23"/>
  <c r="EX183" i="23"/>
  <c r="EX144" i="23"/>
  <c r="EX193" i="23"/>
  <c r="EX166" i="23"/>
  <c r="EX127" i="23"/>
  <c r="EX194" i="23"/>
  <c r="EX170" i="23"/>
  <c r="EX174" i="23"/>
  <c r="EX201" i="23"/>
  <c r="EX204" i="23"/>
  <c r="EX208" i="23"/>
  <c r="EX209" i="23"/>
  <c r="EX207" i="23"/>
  <c r="EX196" i="23"/>
  <c r="EX210" i="23"/>
  <c r="EX200" i="23"/>
  <c r="EX186" i="23"/>
  <c r="EX212" i="23"/>
  <c r="EX131" i="23"/>
  <c r="EX197" i="23"/>
  <c r="EX203" i="23"/>
  <c r="EX206" i="23"/>
  <c r="EX199" i="23"/>
  <c r="EX192" i="23"/>
  <c r="EX198" i="23"/>
  <c r="EX187" i="23"/>
  <c r="EX181" i="23"/>
  <c r="EX211" i="23"/>
  <c r="EX188" i="23"/>
  <c r="EX184" i="23"/>
  <c r="EX189" i="23"/>
  <c r="EX190" i="23"/>
  <c r="EX171" i="23"/>
  <c r="EX172" i="23"/>
  <c r="EX150" i="23"/>
  <c r="EX205" i="23"/>
  <c r="EX163" i="23"/>
  <c r="EX178" i="23"/>
  <c r="EX162" i="23"/>
  <c r="EX154" i="23"/>
  <c r="EX175" i="23"/>
  <c r="EX179" i="23"/>
  <c r="EX185" i="23"/>
  <c r="EX161" i="23"/>
  <c r="EX139" i="23"/>
  <c r="EX128" i="23"/>
  <c r="EX168" i="23"/>
  <c r="EX167" i="23"/>
  <c r="EX149" i="23"/>
  <c r="EX138" i="23"/>
  <c r="EX134" i="23"/>
  <c r="EX160" i="23"/>
  <c r="EX153" i="23"/>
  <c r="EX143" i="23"/>
  <c r="EX135" i="23"/>
  <c r="EX119" i="23"/>
  <c r="EX122" i="23"/>
  <c r="EX177" i="23"/>
  <c r="EX137" i="23"/>
  <c r="EX120" i="23"/>
  <c r="EX159" i="23"/>
  <c r="EX146" i="23"/>
  <c r="EX130" i="23"/>
  <c r="EX121" i="23"/>
  <c r="EX182" i="23"/>
  <c r="EX156" i="23"/>
  <c r="EX142" i="23"/>
  <c r="EX140" i="23"/>
  <c r="EX145" i="23"/>
  <c r="EX133" i="23"/>
  <c r="EX173" i="23"/>
  <c r="EX155" i="23"/>
  <c r="EX118" i="23"/>
  <c r="EX176" i="23"/>
  <c r="EX148" i="23"/>
  <c r="EX126" i="23"/>
  <c r="EX165" i="23"/>
  <c r="EX116" i="23"/>
  <c r="EX117" i="23"/>
  <c r="EX124" i="23"/>
  <c r="EX141" i="23"/>
  <c r="EX129" i="23"/>
  <c r="EX115" i="23"/>
  <c r="EX132" i="23"/>
  <c r="EX169" i="23"/>
  <c r="EX147" i="23"/>
  <c r="EX125" i="23"/>
  <c r="EX114" i="23"/>
  <c r="EX136" i="23"/>
  <c r="EX180" i="23"/>
  <c r="EX202" i="23"/>
  <c r="EX158" i="23"/>
  <c r="EX191" i="23"/>
  <c r="EX113" i="23"/>
  <c r="EX112" i="23"/>
  <c r="EX110" i="23"/>
  <c r="EX109" i="23"/>
  <c r="EX108" i="23"/>
  <c r="EX106" i="23"/>
  <c r="EX105" i="23"/>
  <c r="EX111" i="23"/>
  <c r="EX104" i="23"/>
  <c r="EX102" i="23"/>
  <c r="EX100" i="23"/>
  <c r="EX103" i="23"/>
  <c r="EX101" i="23"/>
  <c r="EX99" i="23"/>
  <c r="EX107" i="23"/>
  <c r="EX95" i="23"/>
  <c r="EX97" i="23"/>
  <c r="EX94" i="23"/>
  <c r="EX96" i="23"/>
  <c r="EX91" i="23"/>
  <c r="EX90" i="23"/>
  <c r="EX93" i="23"/>
  <c r="EX87" i="23"/>
  <c r="EX89" i="23"/>
  <c r="EX85" i="23"/>
  <c r="EX83" i="23"/>
  <c r="EX77" i="23"/>
  <c r="EX88" i="23"/>
  <c r="EX84" i="23"/>
  <c r="EX74" i="23"/>
  <c r="EX98" i="23"/>
  <c r="EX86" i="23"/>
  <c r="EX79" i="23"/>
  <c r="EX73" i="23"/>
  <c r="EX81" i="23"/>
  <c r="EX69" i="23"/>
  <c r="EX78" i="23"/>
  <c r="EX80" i="23"/>
  <c r="EX71" i="23"/>
  <c r="EX68" i="23"/>
  <c r="EX82" i="23"/>
  <c r="EX75" i="23"/>
  <c r="EX67" i="23"/>
  <c r="EX61" i="23"/>
  <c r="EX56" i="23"/>
  <c r="EX55" i="23"/>
  <c r="EX62" i="23"/>
  <c r="EX65" i="23"/>
  <c r="EX58" i="23"/>
  <c r="EX50" i="23"/>
  <c r="EX49" i="23"/>
  <c r="EX47" i="23"/>
  <c r="EX44" i="23"/>
  <c r="EX70" i="23"/>
  <c r="EX59" i="23"/>
  <c r="EX43" i="23"/>
  <c r="EX72" i="23"/>
  <c r="EX53" i="23"/>
  <c r="EX37" i="23"/>
  <c r="EX60" i="23"/>
  <c r="EX46" i="23"/>
  <c r="EX45" i="23"/>
  <c r="EX32" i="23"/>
  <c r="EX64" i="23"/>
  <c r="EX63" i="23"/>
  <c r="EX51" i="23"/>
  <c r="EX48" i="23"/>
  <c r="EX40" i="23"/>
  <c r="EX39" i="23"/>
  <c r="EX66" i="23"/>
  <c r="EX52" i="23"/>
  <c r="EX38" i="23"/>
  <c r="EX36" i="23"/>
  <c r="EX54" i="23"/>
  <c r="EX20" i="23"/>
  <c r="EX76" i="23"/>
  <c r="EX27" i="23"/>
  <c r="EX25" i="23"/>
  <c r="EX57" i="23"/>
  <c r="EX34" i="23"/>
  <c r="EX22" i="23"/>
  <c r="EX42" i="23"/>
  <c r="EX31" i="23"/>
  <c r="EX30" i="23"/>
  <c r="EX21" i="23"/>
  <c r="EX35" i="23"/>
  <c r="EX15" i="23"/>
  <c r="EX13" i="23"/>
  <c r="EX5" i="23"/>
  <c r="EX10" i="23"/>
  <c r="EX4" i="23"/>
  <c r="EX33" i="23"/>
  <c r="EX17" i="23"/>
  <c r="EX7" i="23"/>
  <c r="EX12" i="23"/>
  <c r="EX26" i="23"/>
  <c r="EX16" i="23"/>
  <c r="EX14" i="23"/>
  <c r="EX6" i="23"/>
  <c r="EX41" i="23"/>
  <c r="EX23" i="23"/>
  <c r="EX92" i="23"/>
  <c r="EY2" i="23"/>
  <c r="EX29" i="23"/>
  <c r="EX24" i="23"/>
  <c r="EX18" i="23"/>
  <c r="EX8" i="23"/>
  <c r="EX9" i="23"/>
  <c r="EX28" i="23"/>
  <c r="EX11" i="23"/>
  <c r="EX19" i="23"/>
  <c r="EY122" i="23" l="1"/>
  <c r="EY132" i="23"/>
  <c r="EY195" i="23"/>
  <c r="EY131" i="23"/>
  <c r="EY211" i="23"/>
  <c r="EY168" i="23"/>
  <c r="EY144" i="23"/>
  <c r="EY117" i="23"/>
  <c r="EY126" i="23"/>
  <c r="EY166" i="23"/>
  <c r="EY194" i="23"/>
  <c r="EY189" i="23"/>
  <c r="EY145" i="23"/>
  <c r="EY193" i="23"/>
  <c r="EY209" i="23"/>
  <c r="EY199" i="23"/>
  <c r="EY212" i="23"/>
  <c r="EY207" i="23"/>
  <c r="EY149" i="23"/>
  <c r="EY197" i="23"/>
  <c r="EY208" i="23"/>
  <c r="EY204" i="23"/>
  <c r="EY203" i="23"/>
  <c r="EY210" i="23"/>
  <c r="EY196" i="23"/>
  <c r="EY128" i="23"/>
  <c r="EY206" i="23"/>
  <c r="EY198" i="23"/>
  <c r="EY201" i="23"/>
  <c r="EY184" i="23"/>
  <c r="EY186" i="23"/>
  <c r="EY205" i="23"/>
  <c r="EY192" i="23"/>
  <c r="EY200" i="23"/>
  <c r="EY188" i="23"/>
  <c r="EY190" i="23"/>
  <c r="EY170" i="23"/>
  <c r="EY182" i="23"/>
  <c r="EY172" i="23"/>
  <c r="EY174" i="23"/>
  <c r="EY181" i="23"/>
  <c r="EY171" i="23"/>
  <c r="EY175" i="23"/>
  <c r="EY178" i="23"/>
  <c r="EY167" i="23"/>
  <c r="EY165" i="23"/>
  <c r="EY177" i="23"/>
  <c r="EY163" i="23"/>
  <c r="EY159" i="23"/>
  <c r="EY155" i="23"/>
  <c r="EY183" i="23"/>
  <c r="EY162" i="23"/>
  <c r="EY161" i="23"/>
  <c r="EY156" i="23"/>
  <c r="EY164" i="23"/>
  <c r="EY137" i="23"/>
  <c r="EY138" i="23"/>
  <c r="EY139" i="23"/>
  <c r="EY153" i="23"/>
  <c r="EY173" i="23"/>
  <c r="EY141" i="23"/>
  <c r="EY142" i="23"/>
  <c r="EY130" i="23"/>
  <c r="EY129" i="23"/>
  <c r="EY185" i="23"/>
  <c r="EY176" i="23"/>
  <c r="EY187" i="23"/>
  <c r="EY120" i="23"/>
  <c r="EY116" i="23"/>
  <c r="EY121" i="23"/>
  <c r="EY179" i="23"/>
  <c r="EY148" i="23"/>
  <c r="EY151" i="23"/>
  <c r="EY133" i="23"/>
  <c r="EY115" i="23"/>
  <c r="EY134" i="23"/>
  <c r="EY150" i="23"/>
  <c r="EY154" i="23"/>
  <c r="EY152" i="23"/>
  <c r="EY160" i="23"/>
  <c r="EY119" i="23"/>
  <c r="EY140" i="23"/>
  <c r="EY127" i="23"/>
  <c r="EY124" i="23"/>
  <c r="EY157" i="23"/>
  <c r="EY135" i="23"/>
  <c r="EY118" i="23"/>
  <c r="EY143" i="23"/>
  <c r="EY123" i="23"/>
  <c r="EY146" i="23"/>
  <c r="EY136" i="23"/>
  <c r="EY191" i="23"/>
  <c r="EY114" i="23"/>
  <c r="EY147" i="23"/>
  <c r="EY202" i="23"/>
  <c r="EY125" i="23"/>
  <c r="EY180" i="23"/>
  <c r="EY169" i="23"/>
  <c r="EY158" i="23"/>
  <c r="EY113" i="23"/>
  <c r="EY112" i="23"/>
  <c r="EY111" i="23"/>
  <c r="EY109" i="23"/>
  <c r="EY110" i="23"/>
  <c r="EY108" i="23"/>
  <c r="EY106" i="23"/>
  <c r="EY107" i="23"/>
  <c r="EY104" i="23"/>
  <c r="EY102" i="23"/>
  <c r="EY105" i="23"/>
  <c r="EY101" i="23"/>
  <c r="EY98" i="23"/>
  <c r="EY97" i="23"/>
  <c r="EY94" i="23"/>
  <c r="EY103" i="23"/>
  <c r="EY100" i="23"/>
  <c r="EY91" i="23"/>
  <c r="EY95" i="23"/>
  <c r="EY85" i="23"/>
  <c r="EY92" i="23"/>
  <c r="EY88" i="23"/>
  <c r="EY84" i="23"/>
  <c r="EY89" i="23"/>
  <c r="EY99" i="23"/>
  <c r="EY96" i="23"/>
  <c r="EY82" i="23"/>
  <c r="EY80" i="23"/>
  <c r="EY77" i="23"/>
  <c r="EY93" i="23"/>
  <c r="EY90" i="23"/>
  <c r="EY71" i="23"/>
  <c r="EY78" i="23"/>
  <c r="EY70" i="23"/>
  <c r="EY87" i="23"/>
  <c r="EY79" i="23"/>
  <c r="EY74" i="23"/>
  <c r="EY69" i="23"/>
  <c r="EY83" i="23"/>
  <c r="EY66" i="23"/>
  <c r="EY65" i="23"/>
  <c r="EY73" i="23"/>
  <c r="EY67" i="23"/>
  <c r="EY61" i="23"/>
  <c r="EY81" i="23"/>
  <c r="EY68" i="23"/>
  <c r="EY56" i="23"/>
  <c r="EY76" i="23"/>
  <c r="EY53" i="23"/>
  <c r="EY64" i="23"/>
  <c r="EY52" i="23"/>
  <c r="EY58" i="23"/>
  <c r="EY50" i="23"/>
  <c r="EY49" i="23"/>
  <c r="EY47" i="23"/>
  <c r="EY72" i="23"/>
  <c r="EY63" i="23"/>
  <c r="EY60" i="23"/>
  <c r="EY57" i="23"/>
  <c r="EY51" i="23"/>
  <c r="EY86" i="23"/>
  <c r="EY75" i="23"/>
  <c r="EY54" i="23"/>
  <c r="EY40" i="23"/>
  <c r="EY46" i="23"/>
  <c r="EY45" i="23"/>
  <c r="EY48" i="23"/>
  <c r="EY39" i="23"/>
  <c r="EY34" i="23"/>
  <c r="EY55" i="23"/>
  <c r="EY42" i="23"/>
  <c r="EY41" i="23"/>
  <c r="EY33" i="23"/>
  <c r="EY62" i="23"/>
  <c r="EY43" i="23"/>
  <c r="EY27" i="23"/>
  <c r="EY25" i="23"/>
  <c r="EY22" i="23"/>
  <c r="EY35" i="23"/>
  <c r="EY29" i="23"/>
  <c r="EY19" i="23"/>
  <c r="EY44" i="23"/>
  <c r="EY28" i="23"/>
  <c r="EY36" i="23"/>
  <c r="EY32" i="23"/>
  <c r="EY30" i="23"/>
  <c r="EY10" i="23"/>
  <c r="EY37" i="23"/>
  <c r="EY17" i="23"/>
  <c r="EY7" i="23"/>
  <c r="EY24" i="23"/>
  <c r="EY38" i="23"/>
  <c r="EY21" i="23"/>
  <c r="EY12" i="23"/>
  <c r="EY4" i="23"/>
  <c r="EY9" i="23"/>
  <c r="EY23" i="23"/>
  <c r="EY20" i="23"/>
  <c r="EY11" i="23"/>
  <c r="EY59" i="23"/>
  <c r="EY18" i="23"/>
  <c r="EY14" i="23"/>
  <c r="EY31" i="23"/>
  <c r="EY15" i="23"/>
  <c r="EY5" i="23"/>
  <c r="EY16" i="23"/>
  <c r="EY8" i="23"/>
  <c r="EZ2" i="23"/>
  <c r="EY6" i="23"/>
  <c r="EY26" i="23"/>
  <c r="EY13" i="23"/>
  <c r="EZ211" i="23" l="1"/>
  <c r="EZ145" i="23"/>
  <c r="EZ127" i="23"/>
  <c r="EZ130" i="23"/>
  <c r="EZ133" i="23"/>
  <c r="EZ149" i="23"/>
  <c r="EZ210" i="23"/>
  <c r="EZ128" i="23"/>
  <c r="EZ200" i="23"/>
  <c r="EZ209" i="23"/>
  <c r="EZ176" i="23"/>
  <c r="EZ142" i="23"/>
  <c r="EZ166" i="23"/>
  <c r="EZ203" i="23"/>
  <c r="EZ207" i="23"/>
  <c r="EZ192" i="23"/>
  <c r="EZ196" i="23"/>
  <c r="EZ198" i="23"/>
  <c r="EZ193" i="23"/>
  <c r="EZ195" i="23"/>
  <c r="EZ208" i="23"/>
  <c r="EZ201" i="23"/>
  <c r="EZ212" i="23"/>
  <c r="EZ194" i="23"/>
  <c r="EZ204" i="23"/>
  <c r="EZ189" i="23"/>
  <c r="EZ205" i="23"/>
  <c r="EZ199" i="23"/>
  <c r="EZ184" i="23"/>
  <c r="EZ183" i="23"/>
  <c r="EZ206" i="23"/>
  <c r="EZ197" i="23"/>
  <c r="EZ187" i="23"/>
  <c r="EZ181" i="23"/>
  <c r="EZ185" i="23"/>
  <c r="EZ171" i="23"/>
  <c r="EZ182" i="23"/>
  <c r="EZ186" i="23"/>
  <c r="EZ177" i="23"/>
  <c r="EZ175" i="23"/>
  <c r="EZ167" i="23"/>
  <c r="EZ164" i="23"/>
  <c r="EZ168" i="23"/>
  <c r="EZ179" i="23"/>
  <c r="EZ160" i="23"/>
  <c r="EZ165" i="23"/>
  <c r="EZ174" i="23"/>
  <c r="EZ154" i="23"/>
  <c r="EZ172" i="23"/>
  <c r="EZ162" i="23"/>
  <c r="EZ157" i="23"/>
  <c r="EZ156" i="23"/>
  <c r="EZ153" i="23"/>
  <c r="EZ152" i="23"/>
  <c r="EZ138" i="23"/>
  <c r="EZ159" i="23"/>
  <c r="EZ170" i="23"/>
  <c r="EZ137" i="23"/>
  <c r="EZ146" i="23"/>
  <c r="EZ132" i="23"/>
  <c r="EZ131" i="23"/>
  <c r="EZ190" i="23"/>
  <c r="EZ129" i="23"/>
  <c r="EZ188" i="23"/>
  <c r="EZ140" i="23"/>
  <c r="EZ118" i="23"/>
  <c r="EZ117" i="23"/>
  <c r="EZ124" i="23"/>
  <c r="EZ141" i="23"/>
  <c r="EZ143" i="23"/>
  <c r="EZ144" i="23"/>
  <c r="EZ126" i="23"/>
  <c r="EZ123" i="23"/>
  <c r="EZ173" i="23"/>
  <c r="EZ150" i="23"/>
  <c r="EZ151" i="23"/>
  <c r="EZ115" i="23"/>
  <c r="EZ122" i="23"/>
  <c r="EZ161" i="23"/>
  <c r="EZ121" i="23"/>
  <c r="EZ163" i="23"/>
  <c r="EZ155" i="23"/>
  <c r="EZ134" i="23"/>
  <c r="EZ178" i="23"/>
  <c r="EZ119" i="23"/>
  <c r="EZ116" i="23"/>
  <c r="EZ148" i="23"/>
  <c r="EZ135" i="23"/>
  <c r="EZ139" i="23"/>
  <c r="EZ120" i="23"/>
  <c r="EZ114" i="23"/>
  <c r="EZ158" i="23"/>
  <c r="EZ180" i="23"/>
  <c r="EZ169" i="23"/>
  <c r="EZ125" i="23"/>
  <c r="EZ202" i="23"/>
  <c r="EZ191" i="23"/>
  <c r="EZ136" i="23"/>
  <c r="EZ147" i="23"/>
  <c r="EZ111" i="23"/>
  <c r="EZ110" i="23"/>
  <c r="EZ113" i="23"/>
  <c r="EZ107" i="23"/>
  <c r="EZ112" i="23"/>
  <c r="EZ108" i="23"/>
  <c r="EZ106" i="23"/>
  <c r="EZ104" i="23"/>
  <c r="EZ102" i="23"/>
  <c r="EZ99" i="23"/>
  <c r="EZ96" i="23"/>
  <c r="EZ109" i="23"/>
  <c r="EZ101" i="23"/>
  <c r="EZ97" i="23"/>
  <c r="EZ103" i="23"/>
  <c r="EZ92" i="23"/>
  <c r="EZ98" i="23"/>
  <c r="EZ95" i="23"/>
  <c r="EZ93" i="23"/>
  <c r="EZ94" i="23"/>
  <c r="EZ89" i="23"/>
  <c r="EZ105" i="23"/>
  <c r="EZ91" i="23"/>
  <c r="EZ90" i="23"/>
  <c r="EZ86" i="23"/>
  <c r="EZ88" i="23"/>
  <c r="EZ85" i="23"/>
  <c r="EZ84" i="23"/>
  <c r="EZ100" i="23"/>
  <c r="EZ87" i="23"/>
  <c r="EZ83" i="23"/>
  <c r="EZ76" i="23"/>
  <c r="EZ81" i="23"/>
  <c r="EZ75" i="23"/>
  <c r="EZ78" i="23"/>
  <c r="EZ63" i="23"/>
  <c r="EZ72" i="23"/>
  <c r="EZ80" i="23"/>
  <c r="EZ77" i="23"/>
  <c r="EZ68" i="23"/>
  <c r="EZ56" i="23"/>
  <c r="EZ69" i="23"/>
  <c r="EZ62" i="23"/>
  <c r="EZ60" i="23"/>
  <c r="EZ58" i="23"/>
  <c r="EZ50" i="23"/>
  <c r="EZ70" i="23"/>
  <c r="EZ65" i="23"/>
  <c r="EZ59" i="23"/>
  <c r="EZ57" i="23"/>
  <c r="EZ79" i="23"/>
  <c r="EZ67" i="23"/>
  <c r="EZ51" i="23"/>
  <c r="EZ82" i="23"/>
  <c r="EZ52" i="23"/>
  <c r="EZ48" i="23"/>
  <c r="EZ46" i="23"/>
  <c r="EZ66" i="23"/>
  <c r="EZ64" i="23"/>
  <c r="EZ55" i="23"/>
  <c r="EZ45" i="23"/>
  <c r="EZ39" i="23"/>
  <c r="EZ61" i="23"/>
  <c r="EZ40" i="23"/>
  <c r="EZ34" i="23"/>
  <c r="EZ54" i="23"/>
  <c r="EZ31" i="23"/>
  <c r="EZ74" i="23"/>
  <c r="EZ47" i="23"/>
  <c r="EZ43" i="23"/>
  <c r="EZ30" i="23"/>
  <c r="EZ71" i="23"/>
  <c r="EZ53" i="23"/>
  <c r="EZ22" i="23"/>
  <c r="EZ73" i="23"/>
  <c r="EZ35" i="23"/>
  <c r="EZ29" i="23"/>
  <c r="EZ19" i="23"/>
  <c r="EZ49" i="23"/>
  <c r="EZ41" i="23"/>
  <c r="EZ36" i="23"/>
  <c r="EZ33" i="23"/>
  <c r="EZ26" i="23"/>
  <c r="EZ24" i="23"/>
  <c r="EZ23" i="23"/>
  <c r="EZ37" i="23"/>
  <c r="EZ25" i="23"/>
  <c r="EZ17" i="23"/>
  <c r="EZ7" i="23"/>
  <c r="EZ38" i="23"/>
  <c r="EZ27" i="23"/>
  <c r="EZ21" i="23"/>
  <c r="EZ12" i="23"/>
  <c r="EZ4" i="23"/>
  <c r="EZ6" i="23"/>
  <c r="EZ9" i="23"/>
  <c r="EZ16" i="23"/>
  <c r="EZ14" i="23"/>
  <c r="EZ42" i="23"/>
  <c r="EZ18" i="23"/>
  <c r="EZ8" i="23"/>
  <c r="FA2" i="23"/>
  <c r="EZ28" i="23"/>
  <c r="EZ15" i="23"/>
  <c r="EZ13" i="23"/>
  <c r="EZ5" i="23"/>
  <c r="EZ10" i="23"/>
  <c r="EZ11" i="23"/>
  <c r="EZ44" i="23"/>
  <c r="EZ20" i="23"/>
  <c r="EZ32" i="23"/>
  <c r="FA115" i="23" l="1"/>
  <c r="FA135" i="23"/>
  <c r="FA186" i="23"/>
  <c r="FA126" i="23"/>
  <c r="FA176" i="23"/>
  <c r="FA122" i="23"/>
  <c r="FA134" i="23"/>
  <c r="FA173" i="23"/>
  <c r="FA164" i="23"/>
  <c r="FA143" i="23"/>
  <c r="FA124" i="23"/>
  <c r="FA130" i="23"/>
  <c r="FA159" i="23"/>
  <c r="FA168" i="23"/>
  <c r="FA206" i="23"/>
  <c r="FA212" i="23"/>
  <c r="FA196" i="23"/>
  <c r="FA207" i="23"/>
  <c r="FA193" i="23"/>
  <c r="FA200" i="23"/>
  <c r="FA205" i="23"/>
  <c r="FA203" i="23"/>
  <c r="FA194" i="23"/>
  <c r="FA198" i="23"/>
  <c r="FA195" i="23"/>
  <c r="FA201" i="23"/>
  <c r="FA210" i="23"/>
  <c r="FA211" i="23"/>
  <c r="FA204" i="23"/>
  <c r="FA208" i="23"/>
  <c r="FA192" i="23"/>
  <c r="FA197" i="23"/>
  <c r="FA199" i="23"/>
  <c r="FA181" i="23"/>
  <c r="FA188" i="23"/>
  <c r="FA182" i="23"/>
  <c r="FA189" i="23"/>
  <c r="FA187" i="23"/>
  <c r="FA190" i="23"/>
  <c r="FA183" i="23"/>
  <c r="FA178" i="23"/>
  <c r="FA161" i="23"/>
  <c r="FA148" i="23"/>
  <c r="FA209" i="23"/>
  <c r="FA170" i="23"/>
  <c r="FA179" i="23"/>
  <c r="FA167" i="23"/>
  <c r="FA166" i="23"/>
  <c r="FA154" i="23"/>
  <c r="FA157" i="23"/>
  <c r="FA175" i="23"/>
  <c r="FA160" i="23"/>
  <c r="FA137" i="23"/>
  <c r="FA156" i="23"/>
  <c r="FA149" i="23"/>
  <c r="FA138" i="23"/>
  <c r="FA128" i="23"/>
  <c r="FA142" i="23"/>
  <c r="FA127" i="23"/>
  <c r="FA163" i="23"/>
  <c r="FA155" i="23"/>
  <c r="FA141" i="23"/>
  <c r="FA146" i="23"/>
  <c r="FA118" i="23"/>
  <c r="FA120" i="23"/>
  <c r="FA177" i="23"/>
  <c r="FA150" i="23"/>
  <c r="FA117" i="23"/>
  <c r="FA174" i="23"/>
  <c r="FA162" i="23"/>
  <c r="FA151" i="23"/>
  <c r="FA140" i="23"/>
  <c r="FA172" i="23"/>
  <c r="FA152" i="23"/>
  <c r="FA144" i="23"/>
  <c r="FA132" i="23"/>
  <c r="FA121" i="23"/>
  <c r="FA185" i="23"/>
  <c r="FA153" i="23"/>
  <c r="FA119" i="23"/>
  <c r="FA129" i="23"/>
  <c r="FA116" i="23"/>
  <c r="FA133" i="23"/>
  <c r="FA165" i="23"/>
  <c r="FA139" i="23"/>
  <c r="FA131" i="23"/>
  <c r="FA145" i="23"/>
  <c r="FA123" i="23"/>
  <c r="FA184" i="23"/>
  <c r="FA171" i="23"/>
  <c r="FA191" i="23"/>
  <c r="FA180" i="23"/>
  <c r="FA136" i="23"/>
  <c r="FA147" i="23"/>
  <c r="FA169" i="23"/>
  <c r="FA158" i="23"/>
  <c r="FA114" i="23"/>
  <c r="FA125" i="23"/>
  <c r="FA202" i="23"/>
  <c r="FA112" i="23"/>
  <c r="FA111" i="23"/>
  <c r="FA108" i="23"/>
  <c r="FA107" i="23"/>
  <c r="FA105" i="23"/>
  <c r="FA113" i="23"/>
  <c r="FA104" i="23"/>
  <c r="FA102" i="23"/>
  <c r="FA103" i="23"/>
  <c r="FA101" i="23"/>
  <c r="FA106" i="23"/>
  <c r="FA99" i="23"/>
  <c r="FA98" i="23"/>
  <c r="FA109" i="23"/>
  <c r="FA97" i="23"/>
  <c r="FA94" i="23"/>
  <c r="FA100" i="23"/>
  <c r="FA93" i="23"/>
  <c r="FA90" i="23"/>
  <c r="FA89" i="23"/>
  <c r="FA110" i="23"/>
  <c r="FA95" i="23"/>
  <c r="FA87" i="23"/>
  <c r="FA86" i="23"/>
  <c r="FA91" i="23"/>
  <c r="FA96" i="23"/>
  <c r="FA84" i="23"/>
  <c r="FA88" i="23"/>
  <c r="FA83" i="23"/>
  <c r="FA76" i="23"/>
  <c r="FA92" i="23"/>
  <c r="FA79" i="23"/>
  <c r="FA73" i="23"/>
  <c r="FA82" i="23"/>
  <c r="FA80" i="23"/>
  <c r="FA72" i="23"/>
  <c r="FA78" i="23"/>
  <c r="FA75" i="23"/>
  <c r="FA70" i="23"/>
  <c r="FA68" i="23"/>
  <c r="FA67" i="23"/>
  <c r="FA81" i="23"/>
  <c r="FA69" i="23"/>
  <c r="FA62" i="23"/>
  <c r="FA60" i="23"/>
  <c r="FA58" i="23"/>
  <c r="FA74" i="23"/>
  <c r="FA63" i="23"/>
  <c r="FA55" i="23"/>
  <c r="FA66" i="23"/>
  <c r="FA54" i="23"/>
  <c r="FA65" i="23"/>
  <c r="FA51" i="23"/>
  <c r="FA77" i="23"/>
  <c r="FA57" i="23"/>
  <c r="FA52" i="23"/>
  <c r="FA48" i="23"/>
  <c r="FA46" i="23"/>
  <c r="FA53" i="23"/>
  <c r="FA43" i="23"/>
  <c r="FA42" i="23"/>
  <c r="FA61" i="23"/>
  <c r="FA40" i="23"/>
  <c r="FA64" i="23"/>
  <c r="FA56" i="23"/>
  <c r="FA31" i="23"/>
  <c r="FA71" i="23"/>
  <c r="FA38" i="23"/>
  <c r="FA36" i="23"/>
  <c r="FA50" i="23"/>
  <c r="FA49" i="23"/>
  <c r="FA44" i="23"/>
  <c r="FA37" i="23"/>
  <c r="FA35" i="23"/>
  <c r="FA59" i="23"/>
  <c r="FA45" i="23"/>
  <c r="FA39" i="23"/>
  <c r="FA29" i="23"/>
  <c r="FA19" i="23"/>
  <c r="FA47" i="23"/>
  <c r="FA41" i="23"/>
  <c r="FA34" i="23"/>
  <c r="FA33" i="23"/>
  <c r="FA26" i="23"/>
  <c r="FA24" i="23"/>
  <c r="FA32" i="23"/>
  <c r="FA21" i="23"/>
  <c r="FA20" i="23"/>
  <c r="FA27" i="23"/>
  <c r="FA12" i="23"/>
  <c r="FA4" i="23"/>
  <c r="FA11" i="23"/>
  <c r="FA9" i="23"/>
  <c r="FA16" i="23"/>
  <c r="FA14" i="23"/>
  <c r="FA6" i="23"/>
  <c r="FA28" i="23"/>
  <c r="FA15" i="23"/>
  <c r="FA13" i="23"/>
  <c r="FA5" i="23"/>
  <c r="FA22" i="23"/>
  <c r="FA23" i="23"/>
  <c r="FA10" i="23"/>
  <c r="FA30" i="23"/>
  <c r="FA17" i="23"/>
  <c r="FB2" i="23"/>
  <c r="FA18" i="23"/>
  <c r="FA8" i="23"/>
  <c r="FA85" i="23"/>
  <c r="FA25" i="23"/>
  <c r="FA7" i="23"/>
  <c r="FB127" i="23" l="1"/>
  <c r="FB194" i="23"/>
  <c r="FB155" i="23"/>
  <c r="FB129" i="23"/>
  <c r="FB197" i="23"/>
  <c r="FB201" i="23"/>
  <c r="FB135" i="23"/>
  <c r="FB124" i="23"/>
  <c r="FB115" i="23"/>
  <c r="FB138" i="23"/>
  <c r="FB161" i="23"/>
  <c r="FB164" i="23"/>
  <c r="FB166" i="23"/>
  <c r="FB170" i="23"/>
  <c r="FB132" i="23"/>
  <c r="FB146" i="23"/>
  <c r="FB149" i="23"/>
  <c r="FB209" i="23"/>
  <c r="FB189" i="23"/>
  <c r="FB208" i="23"/>
  <c r="FB207" i="23"/>
  <c r="FB211" i="23"/>
  <c r="FB205" i="23"/>
  <c r="FB204" i="23"/>
  <c r="FB199" i="23"/>
  <c r="FB195" i="23"/>
  <c r="FB203" i="23"/>
  <c r="FB206" i="23"/>
  <c r="FB210" i="23"/>
  <c r="FB212" i="23"/>
  <c r="FB184" i="23"/>
  <c r="FB192" i="23"/>
  <c r="FB196" i="23"/>
  <c r="FB193" i="23"/>
  <c r="FB198" i="23"/>
  <c r="FB186" i="23"/>
  <c r="FB200" i="23"/>
  <c r="FB183" i="23"/>
  <c r="FB185" i="23"/>
  <c r="FB188" i="23"/>
  <c r="FB172" i="23"/>
  <c r="FB187" i="23"/>
  <c r="FB182" i="23"/>
  <c r="FB163" i="23"/>
  <c r="FB179" i="23"/>
  <c r="FB159" i="23"/>
  <c r="FB150" i="23"/>
  <c r="FB173" i="23"/>
  <c r="FB177" i="23"/>
  <c r="FB162" i="23"/>
  <c r="FB171" i="23"/>
  <c r="FB160" i="23"/>
  <c r="FB178" i="23"/>
  <c r="FB176" i="23"/>
  <c r="FB153" i="23"/>
  <c r="FB148" i="23"/>
  <c r="FB128" i="23"/>
  <c r="FB139" i="23"/>
  <c r="FB181" i="23"/>
  <c r="FB143" i="23"/>
  <c r="FB156" i="23"/>
  <c r="FB154" i="23"/>
  <c r="FB152" i="23"/>
  <c r="FB157" i="23"/>
  <c r="FB134" i="23"/>
  <c r="FB131" i="23"/>
  <c r="FB117" i="23"/>
  <c r="FB122" i="23"/>
  <c r="FB137" i="23"/>
  <c r="FB145" i="23"/>
  <c r="FB126" i="23"/>
  <c r="FB130" i="23"/>
  <c r="FB119" i="23"/>
  <c r="FB120" i="23"/>
  <c r="FB151" i="23"/>
  <c r="FB190" i="23"/>
  <c r="FB141" i="23"/>
  <c r="FB144" i="23"/>
  <c r="FB174" i="23"/>
  <c r="FB168" i="23"/>
  <c r="FB142" i="23"/>
  <c r="FB116" i="23"/>
  <c r="FB121" i="23"/>
  <c r="FB165" i="23"/>
  <c r="FB175" i="23"/>
  <c r="FB167" i="23"/>
  <c r="FB133" i="23"/>
  <c r="FB140" i="23"/>
  <c r="FB118" i="23"/>
  <c r="FB123" i="23"/>
  <c r="FB169" i="23"/>
  <c r="FB147" i="23"/>
  <c r="FB158" i="23"/>
  <c r="FB180" i="23"/>
  <c r="FB125" i="23"/>
  <c r="FB136" i="23"/>
  <c r="FB114" i="23"/>
  <c r="FB202" i="23"/>
  <c r="FB191" i="23"/>
  <c r="FB113" i="23"/>
  <c r="FB112" i="23"/>
  <c r="FB111" i="23"/>
  <c r="FB109" i="23"/>
  <c r="FB108" i="23"/>
  <c r="FB107" i="23"/>
  <c r="FB106" i="23"/>
  <c r="FB105" i="23"/>
  <c r="FB103" i="23"/>
  <c r="FB101" i="23"/>
  <c r="FB110" i="23"/>
  <c r="FB102" i="23"/>
  <c r="FB97" i="23"/>
  <c r="FB100" i="23"/>
  <c r="FB99" i="23"/>
  <c r="FB96" i="23"/>
  <c r="FB95" i="23"/>
  <c r="FB98" i="23"/>
  <c r="FB88" i="23"/>
  <c r="FB91" i="23"/>
  <c r="FB90" i="23"/>
  <c r="FB83" i="23"/>
  <c r="FB104" i="23"/>
  <c r="FB86" i="23"/>
  <c r="FB87" i="23"/>
  <c r="FB82" i="23"/>
  <c r="FB80" i="23"/>
  <c r="FB93" i="23"/>
  <c r="FB92" i="23"/>
  <c r="FB81" i="23"/>
  <c r="FB79" i="23"/>
  <c r="FB84" i="23"/>
  <c r="FB94" i="23"/>
  <c r="FB78" i="23"/>
  <c r="FB70" i="23"/>
  <c r="FB77" i="23"/>
  <c r="FB89" i="23"/>
  <c r="FB75" i="23"/>
  <c r="FB85" i="23"/>
  <c r="FB76" i="23"/>
  <c r="FB71" i="23"/>
  <c r="FB65" i="23"/>
  <c r="FB74" i="23"/>
  <c r="FB73" i="23"/>
  <c r="FB69" i="23"/>
  <c r="FB64" i="23"/>
  <c r="FB62" i="23"/>
  <c r="FB60" i="23"/>
  <c r="FB58" i="23"/>
  <c r="FB63" i="23"/>
  <c r="FB72" i="23"/>
  <c r="FB52" i="23"/>
  <c r="FB61" i="23"/>
  <c r="FB51" i="23"/>
  <c r="FB67" i="23"/>
  <c r="FB57" i="23"/>
  <c r="FB48" i="23"/>
  <c r="FB46" i="23"/>
  <c r="FB53" i="23"/>
  <c r="FB68" i="23"/>
  <c r="FB59" i="23"/>
  <c r="FB56" i="23"/>
  <c r="FB49" i="23"/>
  <c r="FB47" i="23"/>
  <c r="FB54" i="23"/>
  <c r="FB38" i="23"/>
  <c r="FB36" i="23"/>
  <c r="FB41" i="23"/>
  <c r="FB33" i="23"/>
  <c r="FB32" i="23"/>
  <c r="FB35" i="23"/>
  <c r="FB34" i="23"/>
  <c r="FB26" i="23"/>
  <c r="FB24" i="23"/>
  <c r="FB21" i="23"/>
  <c r="FB50" i="23"/>
  <c r="FB30" i="23"/>
  <c r="FB28" i="23"/>
  <c r="FB37" i="23"/>
  <c r="FB27" i="23"/>
  <c r="FB25" i="23"/>
  <c r="FB39" i="23"/>
  <c r="FB9" i="23"/>
  <c r="FB29" i="23"/>
  <c r="FB20" i="23"/>
  <c r="FB18" i="23"/>
  <c r="FB45" i="23"/>
  <c r="FB16" i="23"/>
  <c r="FB14" i="23"/>
  <c r="FB6" i="23"/>
  <c r="FB66" i="23"/>
  <c r="FB23" i="23"/>
  <c r="FB11" i="23"/>
  <c r="FB55" i="23"/>
  <c r="FB31" i="23"/>
  <c r="FB8" i="23"/>
  <c r="FC2" i="23"/>
  <c r="FB40" i="23"/>
  <c r="FB22" i="23"/>
  <c r="FB10" i="23"/>
  <c r="FB44" i="23"/>
  <c r="FB43" i="23"/>
  <c r="FB19" i="23"/>
  <c r="FB17" i="23"/>
  <c r="FB15" i="23"/>
  <c r="FB12" i="23"/>
  <c r="FB5" i="23"/>
  <c r="FB42" i="23"/>
  <c r="FB4" i="23"/>
  <c r="FB13" i="23"/>
  <c r="FB7" i="23"/>
  <c r="FC133" i="23" l="1"/>
  <c r="FC197" i="23"/>
  <c r="FC129" i="23"/>
  <c r="FC210" i="23"/>
  <c r="FC196" i="23"/>
  <c r="FC166" i="23"/>
  <c r="FC148" i="23"/>
  <c r="FC115" i="23"/>
  <c r="FC170" i="23"/>
  <c r="FC144" i="23"/>
  <c r="FC121" i="23"/>
  <c r="FC164" i="23"/>
  <c r="FC127" i="23"/>
  <c r="FC173" i="23"/>
  <c r="FC174" i="23"/>
  <c r="FC143" i="23"/>
  <c r="FC200" i="23"/>
  <c r="FC193" i="23"/>
  <c r="FC189" i="23"/>
  <c r="FC207" i="23"/>
  <c r="FC149" i="23"/>
  <c r="FC203" i="23"/>
  <c r="FC211" i="23"/>
  <c r="FC205" i="23"/>
  <c r="FC208" i="23"/>
  <c r="FC212" i="23"/>
  <c r="FC157" i="23"/>
  <c r="FC194" i="23"/>
  <c r="FC184" i="23"/>
  <c r="FC204" i="23"/>
  <c r="FC206" i="23"/>
  <c r="FC186" i="23"/>
  <c r="FC198" i="23"/>
  <c r="FC187" i="23"/>
  <c r="FC182" i="23"/>
  <c r="FC172" i="23"/>
  <c r="FC181" i="23"/>
  <c r="FC175" i="23"/>
  <c r="FC183" i="23"/>
  <c r="FC201" i="23"/>
  <c r="FC171" i="23"/>
  <c r="FC209" i="23"/>
  <c r="FC185" i="23"/>
  <c r="FC179" i="23"/>
  <c r="FC167" i="23"/>
  <c r="FC162" i="23"/>
  <c r="FC161" i="23"/>
  <c r="FC160" i="23"/>
  <c r="FC165" i="23"/>
  <c r="FC155" i="23"/>
  <c r="FC163" i="23"/>
  <c r="FC153" i="23"/>
  <c r="FC152" i="23"/>
  <c r="FC199" i="23"/>
  <c r="FC177" i="23"/>
  <c r="FC178" i="23"/>
  <c r="FC156" i="23"/>
  <c r="FC154" i="23"/>
  <c r="FC151" i="23"/>
  <c r="FC141" i="23"/>
  <c r="FC146" i="23"/>
  <c r="FC126" i="23"/>
  <c r="FC195" i="23"/>
  <c r="FC150" i="23"/>
  <c r="FC145" i="23"/>
  <c r="FC134" i="23"/>
  <c r="FC188" i="23"/>
  <c r="FC135" i="23"/>
  <c r="FC117" i="23"/>
  <c r="FC190" i="23"/>
  <c r="FC142" i="23"/>
  <c r="FC116" i="23"/>
  <c r="FC159" i="23"/>
  <c r="FC128" i="23"/>
  <c r="FC131" i="23"/>
  <c r="FC118" i="23"/>
  <c r="FC120" i="23"/>
  <c r="FC192" i="23"/>
  <c r="FC168" i="23"/>
  <c r="FC139" i="23"/>
  <c r="FC124" i="23"/>
  <c r="FC176" i="23"/>
  <c r="FC138" i="23"/>
  <c r="FC132" i="23"/>
  <c r="FC119" i="23"/>
  <c r="FC137" i="23"/>
  <c r="FC130" i="23"/>
  <c r="FC122" i="23"/>
  <c r="FC140" i="23"/>
  <c r="FC123" i="23"/>
  <c r="FC169" i="23"/>
  <c r="FC202" i="23"/>
  <c r="FC114" i="23"/>
  <c r="FC158" i="23"/>
  <c r="FC136" i="23"/>
  <c r="FC180" i="23"/>
  <c r="FC147" i="23"/>
  <c r="FC191" i="23"/>
  <c r="FC125" i="23"/>
  <c r="FC113" i="23"/>
  <c r="FC110" i="23"/>
  <c r="FC112" i="23"/>
  <c r="FC109" i="23"/>
  <c r="FC106" i="23"/>
  <c r="FC108" i="23"/>
  <c r="FC107" i="23"/>
  <c r="FC111" i="23"/>
  <c r="FC105" i="23"/>
  <c r="FC104" i="23"/>
  <c r="FC102" i="23"/>
  <c r="FC100" i="23"/>
  <c r="FC98" i="23"/>
  <c r="FC96" i="23"/>
  <c r="FC103" i="23"/>
  <c r="FC95" i="23"/>
  <c r="FC94" i="23"/>
  <c r="FC91" i="23"/>
  <c r="FC101" i="23"/>
  <c r="FC97" i="23"/>
  <c r="FC93" i="23"/>
  <c r="FC92" i="23"/>
  <c r="FC99" i="23"/>
  <c r="FC90" i="23"/>
  <c r="FC87" i="23"/>
  <c r="FC88" i="23"/>
  <c r="FC83" i="23"/>
  <c r="FC79" i="23"/>
  <c r="FC78" i="23"/>
  <c r="FC75" i="23"/>
  <c r="FC89" i="23"/>
  <c r="FC85" i="23"/>
  <c r="FC74" i="23"/>
  <c r="FC76" i="23"/>
  <c r="FC71" i="23"/>
  <c r="FC70" i="23"/>
  <c r="FC86" i="23"/>
  <c r="FC82" i="23"/>
  <c r="FC77" i="23"/>
  <c r="FC62" i="23"/>
  <c r="FC81" i="23"/>
  <c r="FC69" i="23"/>
  <c r="FC63" i="23"/>
  <c r="FC72" i="23"/>
  <c r="FC64" i="23"/>
  <c r="FC59" i="23"/>
  <c r="FC57" i="23"/>
  <c r="FC67" i="23"/>
  <c r="FC56" i="23"/>
  <c r="FC53" i="23"/>
  <c r="FC52" i="23"/>
  <c r="FC68" i="23"/>
  <c r="FC60" i="23"/>
  <c r="FC54" i="23"/>
  <c r="FC45" i="23"/>
  <c r="FC84" i="23"/>
  <c r="FC61" i="23"/>
  <c r="FC50" i="23"/>
  <c r="FC44" i="23"/>
  <c r="FC48" i="23"/>
  <c r="FC38" i="23"/>
  <c r="FC36" i="23"/>
  <c r="FC51" i="23"/>
  <c r="FC41" i="23"/>
  <c r="FC33" i="23"/>
  <c r="FC80" i="23"/>
  <c r="FC65" i="23"/>
  <c r="FC42" i="23"/>
  <c r="FC30" i="23"/>
  <c r="FC58" i="23"/>
  <c r="FC39" i="23"/>
  <c r="FC66" i="23"/>
  <c r="FC73" i="23"/>
  <c r="FC47" i="23"/>
  <c r="FC46" i="23"/>
  <c r="FC21" i="23"/>
  <c r="FC49" i="23"/>
  <c r="FC32" i="23"/>
  <c r="FC28" i="23"/>
  <c r="FC55" i="23"/>
  <c r="FC31" i="23"/>
  <c r="FC23" i="23"/>
  <c r="FC22" i="23"/>
  <c r="FC16" i="23"/>
  <c r="FC14" i="23"/>
  <c r="FC6" i="23"/>
  <c r="FC15" i="23"/>
  <c r="FC11" i="23"/>
  <c r="FC29" i="23"/>
  <c r="FC24" i="23"/>
  <c r="FC20" i="23"/>
  <c r="FC18" i="23"/>
  <c r="FC8" i="23"/>
  <c r="FD2" i="23"/>
  <c r="FC26" i="23"/>
  <c r="FC13" i="23"/>
  <c r="FC5" i="23"/>
  <c r="FC43" i="23"/>
  <c r="FC19" i="23"/>
  <c r="FC17" i="23"/>
  <c r="FC7" i="23"/>
  <c r="FC25" i="23"/>
  <c r="FC12" i="23"/>
  <c r="FC34" i="23"/>
  <c r="FC4" i="23"/>
  <c r="FC35" i="23"/>
  <c r="FC10" i="23"/>
  <c r="FC40" i="23"/>
  <c r="FC27" i="23"/>
  <c r="FC9" i="23"/>
  <c r="FC37" i="23"/>
  <c r="FD146" i="23" l="1"/>
  <c r="FD131" i="23"/>
  <c r="FD174" i="23"/>
  <c r="FD117" i="23"/>
  <c r="FD182" i="23"/>
  <c r="FD138" i="23"/>
  <c r="FD127" i="23"/>
  <c r="FD164" i="23"/>
  <c r="FD152" i="23"/>
  <c r="FD193" i="23"/>
  <c r="FD151" i="23"/>
  <c r="FD203" i="23"/>
  <c r="FD201" i="23"/>
  <c r="FD204" i="23"/>
  <c r="FD211" i="23"/>
  <c r="FD162" i="23"/>
  <c r="FD208" i="23"/>
  <c r="FD206" i="23"/>
  <c r="FD144" i="23"/>
  <c r="FD210" i="23"/>
  <c r="FD205" i="23"/>
  <c r="FD212" i="23"/>
  <c r="FD197" i="23"/>
  <c r="FD187" i="23"/>
  <c r="FD199" i="23"/>
  <c r="FD195" i="23"/>
  <c r="FD192" i="23"/>
  <c r="FD196" i="23"/>
  <c r="FD198" i="23"/>
  <c r="FD209" i="23"/>
  <c r="FD207" i="23"/>
  <c r="FD184" i="23"/>
  <c r="FD181" i="23"/>
  <c r="FD194" i="23"/>
  <c r="FD185" i="23"/>
  <c r="FD190" i="23"/>
  <c r="FD183" i="23"/>
  <c r="FD171" i="23"/>
  <c r="FD188" i="23"/>
  <c r="FD170" i="23"/>
  <c r="FD150" i="23"/>
  <c r="FD200" i="23"/>
  <c r="FD175" i="23"/>
  <c r="FD163" i="23"/>
  <c r="FD166" i="23"/>
  <c r="FD156" i="23"/>
  <c r="FD148" i="23"/>
  <c r="FD154" i="23"/>
  <c r="FD186" i="23"/>
  <c r="FD172" i="23"/>
  <c r="FD168" i="23"/>
  <c r="FD165" i="23"/>
  <c r="FD160" i="23"/>
  <c r="FD137" i="23"/>
  <c r="FD129" i="23"/>
  <c r="FD135" i="23"/>
  <c r="FD178" i="23"/>
  <c r="FD176" i="23"/>
  <c r="FD179" i="23"/>
  <c r="FD159" i="23"/>
  <c r="FD140" i="23"/>
  <c r="FD145" i="23"/>
  <c r="FD126" i="23"/>
  <c r="FD173" i="23"/>
  <c r="FD155" i="23"/>
  <c r="FD139" i="23"/>
  <c r="FD130" i="23"/>
  <c r="FD132" i="23"/>
  <c r="FD128" i="23"/>
  <c r="FD116" i="23"/>
  <c r="FD167" i="23"/>
  <c r="FD143" i="23"/>
  <c r="FD119" i="23"/>
  <c r="FD118" i="23"/>
  <c r="FD123" i="23"/>
  <c r="FD157" i="23"/>
  <c r="FD133" i="23"/>
  <c r="FD149" i="23"/>
  <c r="FD134" i="23"/>
  <c r="FD122" i="23"/>
  <c r="FD121" i="23"/>
  <c r="FD177" i="23"/>
  <c r="FD142" i="23"/>
  <c r="FD120" i="23"/>
  <c r="FD153" i="23"/>
  <c r="FD124" i="23"/>
  <c r="FD115" i="23"/>
  <c r="FD141" i="23"/>
  <c r="FD189" i="23"/>
  <c r="FD161" i="23"/>
  <c r="FD191" i="23"/>
  <c r="FD180" i="23"/>
  <c r="FD136" i="23"/>
  <c r="FD114" i="23"/>
  <c r="FD202" i="23"/>
  <c r="FD147" i="23"/>
  <c r="FD169" i="23"/>
  <c r="FD158" i="23"/>
  <c r="FD125" i="23"/>
  <c r="FD107" i="23"/>
  <c r="FD110" i="23"/>
  <c r="FD112" i="23"/>
  <c r="FD113" i="23"/>
  <c r="FD103" i="23"/>
  <c r="FD101" i="23"/>
  <c r="FD109" i="23"/>
  <c r="FD111" i="23"/>
  <c r="FD105" i="23"/>
  <c r="FD98" i="23"/>
  <c r="FD108" i="23"/>
  <c r="FD97" i="23"/>
  <c r="FD102" i="23"/>
  <c r="FD106" i="23"/>
  <c r="FD99" i="23"/>
  <c r="FD92" i="23"/>
  <c r="FD95" i="23"/>
  <c r="FD93" i="23"/>
  <c r="FD89" i="23"/>
  <c r="FD88" i="23"/>
  <c r="FD86" i="23"/>
  <c r="FD96" i="23"/>
  <c r="FD85" i="23"/>
  <c r="FD104" i="23"/>
  <c r="FD90" i="23"/>
  <c r="FD87" i="23"/>
  <c r="FD94" i="23"/>
  <c r="FD83" i="23"/>
  <c r="FD79" i="23"/>
  <c r="FD78" i="23"/>
  <c r="FD100" i="23"/>
  <c r="FD75" i="23"/>
  <c r="FD81" i="23"/>
  <c r="FD72" i="23"/>
  <c r="FD71" i="23"/>
  <c r="FD69" i="23"/>
  <c r="FD76" i="23"/>
  <c r="FD70" i="23"/>
  <c r="FD82" i="23"/>
  <c r="FD77" i="23"/>
  <c r="FD80" i="23"/>
  <c r="FD67" i="23"/>
  <c r="FD84" i="23"/>
  <c r="FD66" i="23"/>
  <c r="FD74" i="23"/>
  <c r="FD64" i="23"/>
  <c r="FD59" i="23"/>
  <c r="FD57" i="23"/>
  <c r="FD65" i="23"/>
  <c r="FD54" i="23"/>
  <c r="FD73" i="23"/>
  <c r="FD68" i="23"/>
  <c r="FD53" i="23"/>
  <c r="FD60" i="23"/>
  <c r="FD63" i="23"/>
  <c r="FD56" i="23"/>
  <c r="FD55" i="23"/>
  <c r="FD42" i="23"/>
  <c r="FD91" i="23"/>
  <c r="FD41" i="23"/>
  <c r="FD51" i="23"/>
  <c r="FD30" i="23"/>
  <c r="FD47" i="23"/>
  <c r="FD43" i="23"/>
  <c r="FD37" i="23"/>
  <c r="FD35" i="23"/>
  <c r="FD45" i="23"/>
  <c r="FD40" i="23"/>
  <c r="FD34" i="23"/>
  <c r="FD62" i="23"/>
  <c r="FD61" i="23"/>
  <c r="FD58" i="23"/>
  <c r="FD52" i="23"/>
  <c r="FD49" i="23"/>
  <c r="FD33" i="23"/>
  <c r="FD32" i="23"/>
  <c r="FD28" i="23"/>
  <c r="FD50" i="23"/>
  <c r="FD48" i="23"/>
  <c r="FD36" i="23"/>
  <c r="FD31" i="23"/>
  <c r="FD23" i="23"/>
  <c r="FD44" i="23"/>
  <c r="FD38" i="23"/>
  <c r="FD20" i="23"/>
  <c r="FD29" i="23"/>
  <c r="FD19" i="23"/>
  <c r="FD21" i="23"/>
  <c r="FD11" i="23"/>
  <c r="FD10" i="23"/>
  <c r="FD46" i="23"/>
  <c r="FD24" i="23"/>
  <c r="FD18" i="23"/>
  <c r="FD8" i="23"/>
  <c r="FE2" i="23"/>
  <c r="FD26" i="23"/>
  <c r="FD15" i="23"/>
  <c r="FD13" i="23"/>
  <c r="FD5" i="23"/>
  <c r="FD25" i="23"/>
  <c r="FD12" i="23"/>
  <c r="FD4" i="23"/>
  <c r="FD27" i="23"/>
  <c r="FD22" i="23"/>
  <c r="FD17" i="23"/>
  <c r="FD6" i="23"/>
  <c r="FD7" i="23"/>
  <c r="FD14" i="23"/>
  <c r="FD39" i="23"/>
  <c r="FD16" i="23"/>
  <c r="FD9" i="23"/>
  <c r="FE164" i="23" l="1"/>
  <c r="FE149" i="23"/>
  <c r="FE139" i="23"/>
  <c r="FE120" i="23"/>
  <c r="FE131" i="23"/>
  <c r="FE115" i="23"/>
  <c r="FE206" i="23"/>
  <c r="FE116" i="23"/>
  <c r="FE134" i="23"/>
  <c r="FE117" i="23"/>
  <c r="FE151" i="23"/>
  <c r="FE152" i="23"/>
  <c r="FE121" i="23"/>
  <c r="FE124" i="23"/>
  <c r="FE145" i="23"/>
  <c r="FE201" i="23"/>
  <c r="FE189" i="23"/>
  <c r="FE199" i="23"/>
  <c r="FE129" i="23"/>
  <c r="FE185" i="23"/>
  <c r="FE203" i="23"/>
  <c r="FE205" i="23"/>
  <c r="FE211" i="23"/>
  <c r="FE208" i="23"/>
  <c r="FE204" i="23"/>
  <c r="FE210" i="23"/>
  <c r="FE212" i="23"/>
  <c r="FE193" i="23"/>
  <c r="FE196" i="23"/>
  <c r="FE194" i="23"/>
  <c r="FE184" i="23"/>
  <c r="FE182" i="23"/>
  <c r="FE200" i="23"/>
  <c r="FE186" i="23"/>
  <c r="FE198" i="23"/>
  <c r="FE192" i="23"/>
  <c r="FE209" i="23"/>
  <c r="FE207" i="23"/>
  <c r="FE195" i="23"/>
  <c r="FE181" i="23"/>
  <c r="FE187" i="23"/>
  <c r="FE197" i="23"/>
  <c r="FE183" i="23"/>
  <c r="FE188" i="23"/>
  <c r="FE172" i="23"/>
  <c r="FE170" i="23"/>
  <c r="FE177" i="23"/>
  <c r="FE175" i="23"/>
  <c r="FE165" i="23"/>
  <c r="FE156" i="23"/>
  <c r="FE174" i="23"/>
  <c r="FE178" i="23"/>
  <c r="FE179" i="23"/>
  <c r="FE167" i="23"/>
  <c r="FE176" i="23"/>
  <c r="FE154" i="23"/>
  <c r="FE148" i="23"/>
  <c r="FE157" i="23"/>
  <c r="FE163" i="23"/>
  <c r="FE140" i="23"/>
  <c r="FE153" i="23"/>
  <c r="FE159" i="23"/>
  <c r="FE150" i="23"/>
  <c r="FE138" i="23"/>
  <c r="FE166" i="23"/>
  <c r="FE142" i="23"/>
  <c r="FE143" i="23"/>
  <c r="FE126" i="23"/>
  <c r="FE171" i="23"/>
  <c r="FE161" i="23"/>
  <c r="FE130" i="23"/>
  <c r="FE135" i="23"/>
  <c r="FE168" i="23"/>
  <c r="FE141" i="23"/>
  <c r="FE123" i="23"/>
  <c r="FE190" i="23"/>
  <c r="FE162" i="23"/>
  <c r="FE128" i="23"/>
  <c r="FE119" i="23"/>
  <c r="FE155" i="23"/>
  <c r="FE160" i="23"/>
  <c r="FE137" i="23"/>
  <c r="FE144" i="23"/>
  <c r="FE132" i="23"/>
  <c r="FE133" i="23"/>
  <c r="FE122" i="23"/>
  <c r="FE173" i="23"/>
  <c r="FE146" i="23"/>
  <c r="FE127" i="23"/>
  <c r="FE118" i="23"/>
  <c r="FE136" i="23"/>
  <c r="FE125" i="23"/>
  <c r="FE147" i="23"/>
  <c r="FE158" i="23"/>
  <c r="FE202" i="23"/>
  <c r="FE169" i="23"/>
  <c r="FE114" i="23"/>
  <c r="FE180" i="23"/>
  <c r="FE191" i="23"/>
  <c r="FE112" i="23"/>
  <c r="FE113" i="23"/>
  <c r="FE111" i="23"/>
  <c r="FE107" i="23"/>
  <c r="FE110" i="23"/>
  <c r="FE105" i="23"/>
  <c r="FE104" i="23"/>
  <c r="FE109" i="23"/>
  <c r="FE106" i="23"/>
  <c r="FE99" i="23"/>
  <c r="FE101" i="23"/>
  <c r="FE100" i="23"/>
  <c r="FE103" i="23"/>
  <c r="FE102" i="23"/>
  <c r="FE95" i="23"/>
  <c r="FE108" i="23"/>
  <c r="FE98" i="23"/>
  <c r="FE97" i="23"/>
  <c r="FE93" i="23"/>
  <c r="FE92" i="23"/>
  <c r="FE90" i="23"/>
  <c r="FE89" i="23"/>
  <c r="FE94" i="23"/>
  <c r="FE96" i="23"/>
  <c r="FE88" i="23"/>
  <c r="FE81" i="23"/>
  <c r="FE85" i="23"/>
  <c r="FE87" i="23"/>
  <c r="FE86" i="23"/>
  <c r="FE82" i="23"/>
  <c r="FE80" i="23"/>
  <c r="FE77" i="23"/>
  <c r="FE84" i="23"/>
  <c r="FE76" i="23"/>
  <c r="FE83" i="23"/>
  <c r="FE75" i="23"/>
  <c r="FE71" i="23"/>
  <c r="FE91" i="23"/>
  <c r="FE73" i="23"/>
  <c r="FE72" i="23"/>
  <c r="FE64" i="23"/>
  <c r="FE63" i="23"/>
  <c r="FE74" i="23"/>
  <c r="FE59" i="23"/>
  <c r="FE57" i="23"/>
  <c r="FE78" i="23"/>
  <c r="FE65" i="23"/>
  <c r="FE66" i="23"/>
  <c r="FE61" i="23"/>
  <c r="FE51" i="23"/>
  <c r="FE60" i="23"/>
  <c r="FE58" i="23"/>
  <c r="FE50" i="23"/>
  <c r="FE79" i="23"/>
  <c r="FE68" i="23"/>
  <c r="FE56" i="23"/>
  <c r="FE55" i="23"/>
  <c r="FE54" i="23"/>
  <c r="FE49" i="23"/>
  <c r="FE47" i="23"/>
  <c r="FE62" i="23"/>
  <c r="FE48" i="23"/>
  <c r="FE46" i="23"/>
  <c r="FE41" i="23"/>
  <c r="FE43" i="23"/>
  <c r="FE42" i="23"/>
  <c r="FE37" i="23"/>
  <c r="FE35" i="23"/>
  <c r="FE44" i="23"/>
  <c r="FE32" i="23"/>
  <c r="FE67" i="23"/>
  <c r="FE31" i="23"/>
  <c r="FE36" i="23"/>
  <c r="FE23" i="23"/>
  <c r="FE53" i="23"/>
  <c r="FE52" i="23"/>
  <c r="FE38" i="23"/>
  <c r="FE30" i="23"/>
  <c r="FE20" i="23"/>
  <c r="FE70" i="23"/>
  <c r="FE40" i="23"/>
  <c r="FE27" i="23"/>
  <c r="FE25" i="23"/>
  <c r="FE39" i="23"/>
  <c r="FE26" i="23"/>
  <c r="FE24" i="23"/>
  <c r="FE45" i="23"/>
  <c r="FE18" i="23"/>
  <c r="FE8" i="23"/>
  <c r="FF2" i="23"/>
  <c r="FE7" i="23"/>
  <c r="FE33" i="23"/>
  <c r="FE29" i="23"/>
  <c r="FE15" i="23"/>
  <c r="FE13" i="23"/>
  <c r="FE5" i="23"/>
  <c r="FE34" i="23"/>
  <c r="FE17" i="23"/>
  <c r="FE10" i="23"/>
  <c r="FE22" i="23"/>
  <c r="FE69" i="23"/>
  <c r="FE9" i="23"/>
  <c r="FE16" i="23"/>
  <c r="FE14" i="23"/>
  <c r="FE11" i="23"/>
  <c r="FE28" i="23"/>
  <c r="FE4" i="23"/>
  <c r="FE21" i="23"/>
  <c r="FE12" i="23"/>
  <c r="FE6" i="23"/>
  <c r="FE19" i="23"/>
  <c r="FF168" i="23" l="1"/>
  <c r="FF146" i="23"/>
  <c r="FF164" i="23"/>
  <c r="FF124" i="23"/>
  <c r="FF128" i="23"/>
  <c r="FF115" i="23"/>
  <c r="FF127" i="23"/>
  <c r="FF173" i="23"/>
  <c r="FF203" i="23"/>
  <c r="FF210" i="23"/>
  <c r="FF183" i="23"/>
  <c r="FF170" i="23"/>
  <c r="FF197" i="23"/>
  <c r="FF192" i="23"/>
  <c r="FF194" i="23"/>
  <c r="FF207" i="23"/>
  <c r="FF212" i="23"/>
  <c r="FF205" i="23"/>
  <c r="FF193" i="23"/>
  <c r="FF166" i="23"/>
  <c r="FF209" i="23"/>
  <c r="FF206" i="23"/>
  <c r="FF198" i="23"/>
  <c r="FF208" i="23"/>
  <c r="FF211" i="23"/>
  <c r="FF196" i="23"/>
  <c r="FF186" i="23"/>
  <c r="FF195" i="23"/>
  <c r="FF199" i="23"/>
  <c r="FF172" i="23"/>
  <c r="FF204" i="23"/>
  <c r="FF171" i="23"/>
  <c r="FF174" i="23"/>
  <c r="FF200" i="23"/>
  <c r="FF176" i="23"/>
  <c r="FF148" i="23"/>
  <c r="FF187" i="23"/>
  <c r="FF182" i="23"/>
  <c r="FF184" i="23"/>
  <c r="FF165" i="23"/>
  <c r="FF178" i="23"/>
  <c r="FF138" i="23"/>
  <c r="FF162" i="23"/>
  <c r="FF159" i="23"/>
  <c r="FF156" i="23"/>
  <c r="FF152" i="23"/>
  <c r="FF185" i="23"/>
  <c r="FF161" i="23"/>
  <c r="FF163" i="23"/>
  <c r="FF153" i="23"/>
  <c r="FF151" i="23"/>
  <c r="FF189" i="23"/>
  <c r="FF140" i="23"/>
  <c r="FF139" i="23"/>
  <c r="FF142" i="23"/>
  <c r="FF145" i="23"/>
  <c r="FF131" i="23"/>
  <c r="FF188" i="23"/>
  <c r="FF190" i="23"/>
  <c r="FF179" i="23"/>
  <c r="FF201" i="23"/>
  <c r="FF167" i="23"/>
  <c r="FF149" i="23"/>
  <c r="FF126" i="23"/>
  <c r="FF130" i="23"/>
  <c r="FF181" i="23"/>
  <c r="FF177" i="23"/>
  <c r="FF143" i="23"/>
  <c r="FF117" i="23"/>
  <c r="FF160" i="23"/>
  <c r="FF157" i="23"/>
  <c r="FF137" i="23"/>
  <c r="FF123" i="23"/>
  <c r="FF121" i="23"/>
  <c r="FF133" i="23"/>
  <c r="FF119" i="23"/>
  <c r="FF122" i="23"/>
  <c r="FF144" i="23"/>
  <c r="FF135" i="23"/>
  <c r="FF118" i="23"/>
  <c r="FF134" i="23"/>
  <c r="FF132" i="23"/>
  <c r="FF150" i="23"/>
  <c r="FF175" i="23"/>
  <c r="FF141" i="23"/>
  <c r="FF120" i="23"/>
  <c r="FF154" i="23"/>
  <c r="FF155" i="23"/>
  <c r="FF129" i="23"/>
  <c r="FF116" i="23"/>
  <c r="FF169" i="23"/>
  <c r="FF158" i="23"/>
  <c r="FF114" i="23"/>
  <c r="FF136" i="23"/>
  <c r="FF202" i="23"/>
  <c r="FF191" i="23"/>
  <c r="FF180" i="23"/>
  <c r="FF125" i="23"/>
  <c r="FF147" i="23"/>
  <c r="FF113" i="23"/>
  <c r="FF112" i="23"/>
  <c r="FF110" i="23"/>
  <c r="FF111" i="23"/>
  <c r="FF109" i="23"/>
  <c r="FF108" i="23"/>
  <c r="FF106" i="23"/>
  <c r="FF105" i="23"/>
  <c r="FF104" i="23"/>
  <c r="FF102" i="23"/>
  <c r="FF107" i="23"/>
  <c r="FF100" i="23"/>
  <c r="FF99" i="23"/>
  <c r="FF101" i="23"/>
  <c r="FF95" i="23"/>
  <c r="FF94" i="23"/>
  <c r="FF103" i="23"/>
  <c r="FF98" i="23"/>
  <c r="FF96" i="23"/>
  <c r="FF91" i="23"/>
  <c r="FF97" i="23"/>
  <c r="FF92" i="23"/>
  <c r="FF90" i="23"/>
  <c r="FF93" i="23"/>
  <c r="FF87" i="23"/>
  <c r="FF88" i="23"/>
  <c r="FF89" i="23"/>
  <c r="FF84" i="23"/>
  <c r="FF86" i="23"/>
  <c r="FF82" i="23"/>
  <c r="FF81" i="23"/>
  <c r="FF80" i="23"/>
  <c r="FF77" i="23"/>
  <c r="FF74" i="23"/>
  <c r="FF73" i="23"/>
  <c r="FF85" i="23"/>
  <c r="FF72" i="23"/>
  <c r="FF69" i="23"/>
  <c r="FF79" i="23"/>
  <c r="FF68" i="23"/>
  <c r="FF78" i="23"/>
  <c r="FF65" i="23"/>
  <c r="FF64" i="23"/>
  <c r="FF76" i="23"/>
  <c r="FF66" i="23"/>
  <c r="FF61" i="23"/>
  <c r="FF56" i="23"/>
  <c r="FF71" i="23"/>
  <c r="FF62" i="23"/>
  <c r="FF55" i="23"/>
  <c r="FF63" i="23"/>
  <c r="FF54" i="23"/>
  <c r="FF59" i="23"/>
  <c r="FF49" i="23"/>
  <c r="FF47" i="23"/>
  <c r="FF44" i="23"/>
  <c r="FF83" i="23"/>
  <c r="FF58" i="23"/>
  <c r="FF52" i="23"/>
  <c r="FF51" i="23"/>
  <c r="FF43" i="23"/>
  <c r="FF60" i="23"/>
  <c r="FF42" i="23"/>
  <c r="FF37" i="23"/>
  <c r="FF32" i="23"/>
  <c r="FF50" i="23"/>
  <c r="FF39" i="23"/>
  <c r="FF53" i="23"/>
  <c r="FF46" i="23"/>
  <c r="FF38" i="23"/>
  <c r="FF36" i="23"/>
  <c r="FF48" i="23"/>
  <c r="FF41" i="23"/>
  <c r="FF31" i="23"/>
  <c r="FF30" i="23"/>
  <c r="FF20" i="23"/>
  <c r="FF70" i="23"/>
  <c r="FF57" i="23"/>
  <c r="FF40" i="23"/>
  <c r="FF27" i="23"/>
  <c r="FF25" i="23"/>
  <c r="FF75" i="23"/>
  <c r="FF22" i="23"/>
  <c r="FF45" i="23"/>
  <c r="FF34" i="23"/>
  <c r="FF21" i="23"/>
  <c r="FF33" i="23"/>
  <c r="FF29" i="23"/>
  <c r="FF24" i="23"/>
  <c r="FF15" i="23"/>
  <c r="FF13" i="23"/>
  <c r="FF5" i="23"/>
  <c r="FF67" i="23"/>
  <c r="FF26" i="23"/>
  <c r="FF10" i="23"/>
  <c r="FF12" i="23"/>
  <c r="FF23" i="23"/>
  <c r="FF17" i="23"/>
  <c r="FF7" i="23"/>
  <c r="FF28" i="23"/>
  <c r="FF19" i="23"/>
  <c r="FF4" i="23"/>
  <c r="FF16" i="23"/>
  <c r="FF14" i="23"/>
  <c r="FF6" i="23"/>
  <c r="FF35" i="23"/>
  <c r="FF11" i="23"/>
  <c r="FF8" i="23"/>
  <c r="FG2" i="23"/>
  <c r="FF9" i="23"/>
  <c r="FF18" i="23"/>
  <c r="FG211" i="23" l="1"/>
  <c r="FG149" i="23"/>
  <c r="FG145" i="23"/>
  <c r="FG200" i="23"/>
  <c r="FG175" i="23"/>
  <c r="FG206" i="23"/>
  <c r="FG148" i="23"/>
  <c r="FG181" i="23"/>
  <c r="FG178" i="23"/>
  <c r="FG131" i="23"/>
  <c r="FG138" i="23"/>
  <c r="FG128" i="23"/>
  <c r="FG166" i="23"/>
  <c r="FG152" i="23"/>
  <c r="FG127" i="23"/>
  <c r="FG151" i="23"/>
  <c r="FG168" i="23"/>
  <c r="FG194" i="23"/>
  <c r="FG176" i="23"/>
  <c r="FG183" i="23"/>
  <c r="FG190" i="23"/>
  <c r="FG205" i="23"/>
  <c r="FG129" i="23"/>
  <c r="FG193" i="23"/>
  <c r="FG204" i="23"/>
  <c r="FG209" i="23"/>
  <c r="FG150" i="23"/>
  <c r="FG208" i="23"/>
  <c r="FG212" i="23"/>
  <c r="FG207" i="23"/>
  <c r="FG197" i="23"/>
  <c r="FG196" i="23"/>
  <c r="FG203" i="23"/>
  <c r="FG201" i="23"/>
  <c r="FG195" i="23"/>
  <c r="FG192" i="23"/>
  <c r="FG182" i="23"/>
  <c r="FG199" i="23"/>
  <c r="FG186" i="23"/>
  <c r="FG185" i="23"/>
  <c r="FG198" i="23"/>
  <c r="FG188" i="23"/>
  <c r="FG174" i="23"/>
  <c r="FG177" i="23"/>
  <c r="FG159" i="23"/>
  <c r="FG210" i="23"/>
  <c r="FG162" i="23"/>
  <c r="FG160" i="23"/>
  <c r="FG189" i="23"/>
  <c r="FG171" i="23"/>
  <c r="FG170" i="23"/>
  <c r="FG179" i="23"/>
  <c r="FG187" i="23"/>
  <c r="FG167" i="23"/>
  <c r="FG137" i="23"/>
  <c r="FG153" i="23"/>
  <c r="FG184" i="23"/>
  <c r="FG156" i="23"/>
  <c r="FG142" i="23"/>
  <c r="FG154" i="23"/>
  <c r="FG136" i="23"/>
  <c r="FG140" i="23"/>
  <c r="FG143" i="23"/>
  <c r="FG144" i="23"/>
  <c r="FG135" i="23"/>
  <c r="FG134" i="23"/>
  <c r="FG157" i="23"/>
  <c r="FG172" i="23"/>
  <c r="FG161" i="23"/>
  <c r="FG155" i="23"/>
  <c r="FG146" i="23"/>
  <c r="FG130" i="23"/>
  <c r="FG115" i="23"/>
  <c r="FG121" i="23"/>
  <c r="FG163" i="23"/>
  <c r="FG126" i="23"/>
  <c r="FG139" i="23"/>
  <c r="FG132" i="23"/>
  <c r="FG116" i="23"/>
  <c r="FG117" i="23"/>
  <c r="FG123" i="23"/>
  <c r="FG164" i="23"/>
  <c r="FG118" i="23"/>
  <c r="FG120" i="23"/>
  <c r="FG124" i="23"/>
  <c r="FG173" i="23"/>
  <c r="FG141" i="23"/>
  <c r="FG119" i="23"/>
  <c r="FG165" i="23"/>
  <c r="FG133" i="23"/>
  <c r="FG122" i="23"/>
  <c r="FG125" i="23"/>
  <c r="FG147" i="23"/>
  <c r="FG158" i="23"/>
  <c r="FG191" i="23"/>
  <c r="FG180" i="23"/>
  <c r="FG202" i="23"/>
  <c r="FG169" i="23"/>
  <c r="FG114" i="23"/>
  <c r="FG113" i="23"/>
  <c r="FG111" i="23"/>
  <c r="FG110" i="23"/>
  <c r="FG107" i="23"/>
  <c r="FG108" i="23"/>
  <c r="FG112" i="23"/>
  <c r="FG106" i="23"/>
  <c r="FG101" i="23"/>
  <c r="FG109" i="23"/>
  <c r="FG100" i="23"/>
  <c r="FG103" i="23"/>
  <c r="FG104" i="23"/>
  <c r="FG97" i="23"/>
  <c r="FG102" i="23"/>
  <c r="FG95" i="23"/>
  <c r="FG98" i="23"/>
  <c r="FG96" i="23"/>
  <c r="FG92" i="23"/>
  <c r="FG90" i="23"/>
  <c r="FG99" i="23"/>
  <c r="FG91" i="23"/>
  <c r="FG85" i="23"/>
  <c r="FG84" i="23"/>
  <c r="FG88" i="23"/>
  <c r="FG83" i="23"/>
  <c r="FG86" i="23"/>
  <c r="FG82" i="23"/>
  <c r="FG80" i="23"/>
  <c r="FG93" i="23"/>
  <c r="FG87" i="23"/>
  <c r="FG81" i="23"/>
  <c r="FG77" i="23"/>
  <c r="FG94" i="23"/>
  <c r="FG105" i="23"/>
  <c r="FG71" i="23"/>
  <c r="FG79" i="23"/>
  <c r="FG78" i="23"/>
  <c r="FG70" i="23"/>
  <c r="FG89" i="23"/>
  <c r="FG72" i="23"/>
  <c r="FG73" i="23"/>
  <c r="FG69" i="23"/>
  <c r="FG74" i="23"/>
  <c r="FG66" i="23"/>
  <c r="FG65" i="23"/>
  <c r="FG76" i="23"/>
  <c r="FG61" i="23"/>
  <c r="FG56" i="23"/>
  <c r="FG67" i="23"/>
  <c r="FG53" i="23"/>
  <c r="FG75" i="23"/>
  <c r="FG63" i="23"/>
  <c r="FG52" i="23"/>
  <c r="FG59" i="23"/>
  <c r="FG55" i="23"/>
  <c r="FG49" i="23"/>
  <c r="FG47" i="23"/>
  <c r="FG50" i="23"/>
  <c r="FG40" i="23"/>
  <c r="FG64" i="23"/>
  <c r="FG54" i="23"/>
  <c r="FG43" i="23"/>
  <c r="FG44" i="23"/>
  <c r="FG39" i="23"/>
  <c r="FG62" i="23"/>
  <c r="FG57" i="23"/>
  <c r="FG45" i="23"/>
  <c r="FG34" i="23"/>
  <c r="FG48" i="23"/>
  <c r="FG33" i="23"/>
  <c r="FG60" i="23"/>
  <c r="FG68" i="23"/>
  <c r="FG38" i="23"/>
  <c r="FG27" i="23"/>
  <c r="FG25" i="23"/>
  <c r="FG58" i="23"/>
  <c r="FG22" i="23"/>
  <c r="FG42" i="23"/>
  <c r="FG29" i="23"/>
  <c r="FG19" i="23"/>
  <c r="FG35" i="23"/>
  <c r="FG28" i="23"/>
  <c r="FG46" i="23"/>
  <c r="FG26" i="23"/>
  <c r="FG10" i="23"/>
  <c r="FG9" i="23"/>
  <c r="FG23" i="23"/>
  <c r="FG20" i="23"/>
  <c r="FG17" i="23"/>
  <c r="FG7" i="23"/>
  <c r="FG31" i="23"/>
  <c r="FG12" i="23"/>
  <c r="FG4" i="23"/>
  <c r="FG41" i="23"/>
  <c r="FG11" i="23"/>
  <c r="FG37" i="23"/>
  <c r="FG32" i="23"/>
  <c r="FG30" i="23"/>
  <c r="FG21" i="23"/>
  <c r="FG18" i="23"/>
  <c r="FG36" i="23"/>
  <c r="FG24" i="23"/>
  <c r="FG8" i="23"/>
  <c r="FH2" i="23"/>
  <c r="FG13" i="23"/>
  <c r="FG16" i="23"/>
  <c r="FG6" i="23"/>
  <c r="FG15" i="23"/>
  <c r="FG51" i="23"/>
  <c r="FG14" i="23"/>
  <c r="FG5" i="23"/>
  <c r="FH115" i="23" l="1"/>
  <c r="FH173" i="23"/>
  <c r="FH212" i="23"/>
  <c r="FH121" i="23"/>
  <c r="FH140" i="23"/>
  <c r="FH117" i="23"/>
  <c r="FH170" i="23"/>
  <c r="FH211" i="23"/>
  <c r="FH134" i="23"/>
  <c r="FH146" i="23"/>
  <c r="FH164" i="23"/>
  <c r="FH204" i="23"/>
  <c r="FH200" i="23"/>
  <c r="FH149" i="23"/>
  <c r="FH166" i="23"/>
  <c r="FH208" i="23"/>
  <c r="FH209" i="23"/>
  <c r="FH144" i="23"/>
  <c r="FH185" i="23"/>
  <c r="FH194" i="23"/>
  <c r="FH195" i="23"/>
  <c r="FH192" i="23"/>
  <c r="FH210" i="23"/>
  <c r="FH193" i="23"/>
  <c r="FH199" i="23"/>
  <c r="FH196" i="23"/>
  <c r="FH187" i="23"/>
  <c r="FH207" i="23"/>
  <c r="FH197" i="23"/>
  <c r="FH203" i="23"/>
  <c r="FH205" i="23"/>
  <c r="FH127" i="23"/>
  <c r="FH182" i="23"/>
  <c r="FH201" i="23"/>
  <c r="FH186" i="23"/>
  <c r="FH206" i="23"/>
  <c r="FH198" i="23"/>
  <c r="FH184" i="23"/>
  <c r="FH174" i="23"/>
  <c r="FH175" i="23"/>
  <c r="FH188" i="23"/>
  <c r="FH179" i="23"/>
  <c r="FH177" i="23"/>
  <c r="FH160" i="23"/>
  <c r="FH178" i="23"/>
  <c r="FH165" i="23"/>
  <c r="FH150" i="23"/>
  <c r="FH176" i="23"/>
  <c r="FH162" i="23"/>
  <c r="FH155" i="23"/>
  <c r="FH181" i="23"/>
  <c r="FH172" i="23"/>
  <c r="FH163" i="23"/>
  <c r="FH138" i="23"/>
  <c r="FH156" i="23"/>
  <c r="FH190" i="23"/>
  <c r="FH148" i="23"/>
  <c r="FH139" i="23"/>
  <c r="FH189" i="23"/>
  <c r="FH171" i="23"/>
  <c r="FH161" i="23"/>
  <c r="FH159" i="23"/>
  <c r="FH183" i="23"/>
  <c r="FH137" i="23"/>
  <c r="FH128" i="23"/>
  <c r="FH131" i="23"/>
  <c r="FH167" i="23"/>
  <c r="FH132" i="23"/>
  <c r="FH142" i="23"/>
  <c r="FH130" i="23"/>
  <c r="FH116" i="23"/>
  <c r="FH145" i="23"/>
  <c r="FH118" i="23"/>
  <c r="FH124" i="23"/>
  <c r="FH168" i="23"/>
  <c r="FH126" i="23"/>
  <c r="FH154" i="23"/>
  <c r="FH151" i="23"/>
  <c r="FH119" i="23"/>
  <c r="FH122" i="23"/>
  <c r="FH153" i="23"/>
  <c r="FH157" i="23"/>
  <c r="FH129" i="23"/>
  <c r="FH152" i="23"/>
  <c r="FH120" i="23"/>
  <c r="FH141" i="23"/>
  <c r="FH143" i="23"/>
  <c r="FH135" i="23"/>
  <c r="FH133" i="23"/>
  <c r="FH123" i="23"/>
  <c r="FH169" i="23"/>
  <c r="FH136" i="23"/>
  <c r="FH147" i="23"/>
  <c r="FH125" i="23"/>
  <c r="FH191" i="23"/>
  <c r="FH114" i="23"/>
  <c r="FH202" i="23"/>
  <c r="FH180" i="23"/>
  <c r="FH158" i="23"/>
  <c r="FH113" i="23"/>
  <c r="FH112" i="23"/>
  <c r="FH111" i="23"/>
  <c r="FH108" i="23"/>
  <c r="FH109" i="23"/>
  <c r="FH105" i="23"/>
  <c r="FH107" i="23"/>
  <c r="FH103" i="23"/>
  <c r="FH101" i="23"/>
  <c r="FH106" i="23"/>
  <c r="FH100" i="23"/>
  <c r="FH102" i="23"/>
  <c r="FH96" i="23"/>
  <c r="FH98" i="23"/>
  <c r="FH99" i="23"/>
  <c r="FH104" i="23"/>
  <c r="FH110" i="23"/>
  <c r="FH97" i="23"/>
  <c r="FH91" i="23"/>
  <c r="FH88" i="23"/>
  <c r="FH87" i="23"/>
  <c r="FH94" i="23"/>
  <c r="FH90" i="23"/>
  <c r="FH86" i="23"/>
  <c r="FH82" i="23"/>
  <c r="FH80" i="23"/>
  <c r="FH92" i="23"/>
  <c r="FH76" i="23"/>
  <c r="FH95" i="23"/>
  <c r="FH83" i="23"/>
  <c r="FH75" i="23"/>
  <c r="FH85" i="23"/>
  <c r="FH77" i="23"/>
  <c r="FH73" i="23"/>
  <c r="FH69" i="23"/>
  <c r="FH74" i="23"/>
  <c r="FH63" i="23"/>
  <c r="FH78" i="23"/>
  <c r="FH70" i="23"/>
  <c r="FH89" i="23"/>
  <c r="FH72" i="23"/>
  <c r="FH66" i="23"/>
  <c r="FH56" i="23"/>
  <c r="FH67" i="23"/>
  <c r="FH84" i="23"/>
  <c r="FH79" i="23"/>
  <c r="FH68" i="23"/>
  <c r="FH60" i="23"/>
  <c r="FH58" i="23"/>
  <c r="FH50" i="23"/>
  <c r="FH59" i="23"/>
  <c r="FH57" i="23"/>
  <c r="FH71" i="23"/>
  <c r="FH64" i="23"/>
  <c r="FH48" i="23"/>
  <c r="FH46" i="23"/>
  <c r="FH93" i="23"/>
  <c r="FH53" i="23"/>
  <c r="FH45" i="23"/>
  <c r="FH44" i="23"/>
  <c r="FH39" i="23"/>
  <c r="FH65" i="23"/>
  <c r="FH62" i="23"/>
  <c r="FH47" i="23"/>
  <c r="FH34" i="23"/>
  <c r="FH81" i="23"/>
  <c r="FH55" i="23"/>
  <c r="FH52" i="23"/>
  <c r="FH49" i="23"/>
  <c r="FH40" i="23"/>
  <c r="FH31" i="23"/>
  <c r="FH41" i="23"/>
  <c r="FH30" i="23"/>
  <c r="FH61" i="23"/>
  <c r="FH54" i="23"/>
  <c r="FH22" i="23"/>
  <c r="FH42" i="23"/>
  <c r="FH29" i="23"/>
  <c r="FH19" i="23"/>
  <c r="FH37" i="23"/>
  <c r="FH26" i="23"/>
  <c r="FH24" i="23"/>
  <c r="FH43" i="23"/>
  <c r="FH33" i="23"/>
  <c r="FH23" i="23"/>
  <c r="FH38" i="23"/>
  <c r="FH20" i="23"/>
  <c r="FH17" i="23"/>
  <c r="FH7" i="23"/>
  <c r="FH16" i="23"/>
  <c r="FH14" i="23"/>
  <c r="FH12" i="23"/>
  <c r="FH4" i="23"/>
  <c r="FH51" i="23"/>
  <c r="FH28" i="23"/>
  <c r="FH9" i="23"/>
  <c r="FH6" i="23"/>
  <c r="FH35" i="23"/>
  <c r="FH32" i="23"/>
  <c r="FH27" i="23"/>
  <c r="FH21" i="23"/>
  <c r="FH18" i="23"/>
  <c r="FH8" i="23"/>
  <c r="FI2" i="23"/>
  <c r="FH36" i="23"/>
  <c r="FH15" i="23"/>
  <c r="FH13" i="23"/>
  <c r="FH11" i="23"/>
  <c r="FH25" i="23"/>
  <c r="FH5" i="23"/>
  <c r="FH10" i="23"/>
  <c r="FI152" i="23" l="1"/>
  <c r="FI131" i="23"/>
  <c r="FI134" i="23"/>
  <c r="FI123" i="23"/>
  <c r="FI124" i="23"/>
  <c r="FI154" i="23"/>
  <c r="FI149" i="23"/>
  <c r="FI179" i="23"/>
  <c r="FI117" i="23"/>
  <c r="FI170" i="23"/>
  <c r="FI151" i="23"/>
  <c r="FI135" i="23"/>
  <c r="FI145" i="23"/>
  <c r="FI126" i="23"/>
  <c r="FI192" i="23"/>
  <c r="FI208" i="23"/>
  <c r="FI209" i="23"/>
  <c r="FI211" i="23"/>
  <c r="FI203" i="23"/>
  <c r="FI173" i="23"/>
  <c r="FI201" i="23"/>
  <c r="FI143" i="23"/>
  <c r="FI200" i="23"/>
  <c r="FI193" i="23"/>
  <c r="FI207" i="23"/>
  <c r="FI204" i="23"/>
  <c r="FI197" i="23"/>
  <c r="FI210" i="23"/>
  <c r="FI181" i="23"/>
  <c r="FI212" i="23"/>
  <c r="FI195" i="23"/>
  <c r="FI194" i="23"/>
  <c r="FI206" i="23"/>
  <c r="FI198" i="23"/>
  <c r="FI205" i="23"/>
  <c r="FI196" i="23"/>
  <c r="FI186" i="23"/>
  <c r="FI187" i="23"/>
  <c r="FI185" i="23"/>
  <c r="FI199" i="23"/>
  <c r="FI171" i="23"/>
  <c r="FI189" i="23"/>
  <c r="FI174" i="23"/>
  <c r="FI148" i="23"/>
  <c r="FI175" i="23"/>
  <c r="FI164" i="23"/>
  <c r="FI166" i="23"/>
  <c r="FI168" i="23"/>
  <c r="FI155" i="23"/>
  <c r="FI188" i="23"/>
  <c r="FI159" i="23"/>
  <c r="FI163" i="23"/>
  <c r="FI184" i="23"/>
  <c r="FI160" i="23"/>
  <c r="FI177" i="23"/>
  <c r="FI178" i="23"/>
  <c r="FI182" i="23"/>
  <c r="FI190" i="23"/>
  <c r="FI167" i="23"/>
  <c r="FI137" i="23"/>
  <c r="FI142" i="23"/>
  <c r="FI138" i="23"/>
  <c r="FI176" i="23"/>
  <c r="FI165" i="23"/>
  <c r="FI183" i="23"/>
  <c r="FI139" i="23"/>
  <c r="FI127" i="23"/>
  <c r="FI153" i="23"/>
  <c r="FI141" i="23"/>
  <c r="FI156" i="23"/>
  <c r="FI144" i="23"/>
  <c r="FI132" i="23"/>
  <c r="FI172" i="23"/>
  <c r="FI128" i="23"/>
  <c r="FI133" i="23"/>
  <c r="FI121" i="23"/>
  <c r="FI161" i="23"/>
  <c r="FI120" i="23"/>
  <c r="FI140" i="23"/>
  <c r="FI157" i="23"/>
  <c r="FI119" i="23"/>
  <c r="FI122" i="23"/>
  <c r="FI118" i="23"/>
  <c r="FI129" i="23"/>
  <c r="FI116" i="23"/>
  <c r="FI115" i="23"/>
  <c r="FI146" i="23"/>
  <c r="FI130" i="23"/>
  <c r="FI162" i="23"/>
  <c r="FI150" i="23"/>
  <c r="FI136" i="23"/>
  <c r="FI191" i="23"/>
  <c r="FI147" i="23"/>
  <c r="FI125" i="23"/>
  <c r="FI202" i="23"/>
  <c r="FI180" i="23"/>
  <c r="FI169" i="23"/>
  <c r="FI114" i="23"/>
  <c r="FI158" i="23"/>
  <c r="FI112" i="23"/>
  <c r="FI111" i="23"/>
  <c r="FI113" i="23"/>
  <c r="FI108" i="23"/>
  <c r="FI107" i="23"/>
  <c r="FI110" i="23"/>
  <c r="FI105" i="23"/>
  <c r="FI109" i="23"/>
  <c r="FI104" i="23"/>
  <c r="FI102" i="23"/>
  <c r="FI106" i="23"/>
  <c r="FI103" i="23"/>
  <c r="FI101" i="23"/>
  <c r="FI99" i="23"/>
  <c r="FI98" i="23"/>
  <c r="FI94" i="23"/>
  <c r="FI93" i="23"/>
  <c r="FI96" i="23"/>
  <c r="FI92" i="23"/>
  <c r="FI90" i="23"/>
  <c r="FI89" i="23"/>
  <c r="FI91" i="23"/>
  <c r="FI87" i="23"/>
  <c r="FI100" i="23"/>
  <c r="FI86" i="23"/>
  <c r="FI85" i="23"/>
  <c r="FI76" i="23"/>
  <c r="FI73" i="23"/>
  <c r="FI72" i="23"/>
  <c r="FI88" i="23"/>
  <c r="FI82" i="23"/>
  <c r="FI74" i="23"/>
  <c r="FI80" i="23"/>
  <c r="FI68" i="23"/>
  <c r="FI75" i="23"/>
  <c r="FI71" i="23"/>
  <c r="FI67" i="23"/>
  <c r="FI95" i="23"/>
  <c r="FI84" i="23"/>
  <c r="FI79" i="23"/>
  <c r="FI60" i="23"/>
  <c r="FI58" i="23"/>
  <c r="FI70" i="23"/>
  <c r="FI62" i="23"/>
  <c r="FI55" i="23"/>
  <c r="FI83" i="23"/>
  <c r="FI64" i="23"/>
  <c r="FI54" i="23"/>
  <c r="FI77" i="23"/>
  <c r="FI97" i="23"/>
  <c r="FI78" i="23"/>
  <c r="FI50" i="23"/>
  <c r="FI48" i="23"/>
  <c r="FI46" i="23"/>
  <c r="FI69" i="23"/>
  <c r="FI66" i="23"/>
  <c r="FI61" i="23"/>
  <c r="FI51" i="23"/>
  <c r="FI43" i="23"/>
  <c r="FI65" i="23"/>
  <c r="FI57" i="23"/>
  <c r="FI42" i="23"/>
  <c r="FI56" i="23"/>
  <c r="FI47" i="23"/>
  <c r="FI81" i="23"/>
  <c r="FI63" i="23"/>
  <c r="FI52" i="23"/>
  <c r="FI49" i="23"/>
  <c r="FI45" i="23"/>
  <c r="FI40" i="23"/>
  <c r="FI31" i="23"/>
  <c r="FI38" i="23"/>
  <c r="FI36" i="23"/>
  <c r="FI59" i="23"/>
  <c r="FI37" i="23"/>
  <c r="FI35" i="23"/>
  <c r="FI53" i="23"/>
  <c r="FI29" i="23"/>
  <c r="FI19" i="23"/>
  <c r="FI44" i="23"/>
  <c r="FI26" i="23"/>
  <c r="FI24" i="23"/>
  <c r="FI21" i="23"/>
  <c r="FI32" i="23"/>
  <c r="FI20" i="23"/>
  <c r="FI23" i="23"/>
  <c r="FI12" i="23"/>
  <c r="FI4" i="23"/>
  <c r="FI28" i="23"/>
  <c r="FI9" i="23"/>
  <c r="FI25" i="23"/>
  <c r="FI11" i="23"/>
  <c r="FI34" i="23"/>
  <c r="FI22" i="23"/>
  <c r="FI16" i="23"/>
  <c r="FI14" i="23"/>
  <c r="FI6" i="23"/>
  <c r="FI30" i="23"/>
  <c r="FI15" i="23"/>
  <c r="FI13" i="23"/>
  <c r="FI5" i="23"/>
  <c r="FI39" i="23"/>
  <c r="FI7" i="23"/>
  <c r="FI27" i="23"/>
  <c r="FI18" i="23"/>
  <c r="FI8" i="23"/>
  <c r="FJ2" i="23"/>
  <c r="FI41" i="23"/>
  <c r="FI10" i="23"/>
  <c r="FI33" i="23"/>
  <c r="FI17" i="23"/>
  <c r="FJ124" i="23" l="1"/>
  <c r="FJ207" i="23"/>
  <c r="FJ126" i="23"/>
  <c r="FJ128" i="23"/>
  <c r="FJ143" i="23"/>
  <c r="FJ175" i="23"/>
  <c r="FJ139" i="23"/>
  <c r="FJ145" i="23"/>
  <c r="FJ189" i="23"/>
  <c r="FJ176" i="23"/>
  <c r="FJ149" i="23"/>
  <c r="FJ210" i="23"/>
  <c r="FJ193" i="23"/>
  <c r="FJ166" i="23"/>
  <c r="FJ164" i="23"/>
  <c r="FJ197" i="23"/>
  <c r="FJ209" i="23"/>
  <c r="FJ190" i="23"/>
  <c r="FJ208" i="23"/>
  <c r="FJ203" i="23"/>
  <c r="FJ195" i="23"/>
  <c r="FJ200" i="23"/>
  <c r="FJ206" i="23"/>
  <c r="FJ205" i="23"/>
  <c r="FJ194" i="23"/>
  <c r="FJ198" i="23"/>
  <c r="FJ212" i="23"/>
  <c r="FJ192" i="23"/>
  <c r="FJ211" i="23"/>
  <c r="FJ181" i="23"/>
  <c r="FJ183" i="23"/>
  <c r="FJ201" i="23"/>
  <c r="FJ187" i="23"/>
  <c r="FJ196" i="23"/>
  <c r="FJ185" i="23"/>
  <c r="FJ204" i="23"/>
  <c r="FJ199" i="23"/>
  <c r="FJ182" i="23"/>
  <c r="FJ188" i="23"/>
  <c r="FJ172" i="23"/>
  <c r="FJ174" i="23"/>
  <c r="FJ171" i="23"/>
  <c r="FJ170" i="23"/>
  <c r="FJ159" i="23"/>
  <c r="FJ186" i="23"/>
  <c r="FJ161" i="23"/>
  <c r="FJ156" i="23"/>
  <c r="FJ155" i="23"/>
  <c r="FJ150" i="23"/>
  <c r="FJ184" i="23"/>
  <c r="FJ165" i="23"/>
  <c r="FJ167" i="23"/>
  <c r="FJ157" i="23"/>
  <c r="FJ178" i="23"/>
  <c r="FJ173" i="23"/>
  <c r="FJ127" i="23"/>
  <c r="FJ153" i="23"/>
  <c r="FJ179" i="23"/>
  <c r="FJ131" i="23"/>
  <c r="FJ121" i="23"/>
  <c r="FJ160" i="23"/>
  <c r="FJ148" i="23"/>
  <c r="FJ140" i="23"/>
  <c r="FJ129" i="23"/>
  <c r="FJ120" i="23"/>
  <c r="FJ144" i="23"/>
  <c r="FJ118" i="23"/>
  <c r="FJ151" i="23"/>
  <c r="FJ137" i="23"/>
  <c r="FJ142" i="23"/>
  <c r="FJ117" i="23"/>
  <c r="FJ146" i="23"/>
  <c r="FJ168" i="23"/>
  <c r="FJ141" i="23"/>
  <c r="FJ162" i="23"/>
  <c r="FJ130" i="23"/>
  <c r="FJ135" i="23"/>
  <c r="FJ132" i="23"/>
  <c r="FJ134" i="23"/>
  <c r="FJ115" i="23"/>
  <c r="FJ163" i="23"/>
  <c r="FJ133" i="23"/>
  <c r="FJ152" i="23"/>
  <c r="FJ154" i="23"/>
  <c r="FJ177" i="23"/>
  <c r="FJ116" i="23"/>
  <c r="FJ123" i="23"/>
  <c r="FJ138" i="23"/>
  <c r="FJ122" i="23"/>
  <c r="FJ119" i="23"/>
  <c r="FJ191" i="23"/>
  <c r="FJ169" i="23"/>
  <c r="FJ180" i="23"/>
  <c r="FJ125" i="23"/>
  <c r="FJ114" i="23"/>
  <c r="FJ202" i="23"/>
  <c r="FJ147" i="23"/>
  <c r="FJ136" i="23"/>
  <c r="FJ158" i="23"/>
  <c r="FJ112" i="23"/>
  <c r="FJ111" i="23"/>
  <c r="FJ113" i="23"/>
  <c r="FJ110" i="23"/>
  <c r="FJ109" i="23"/>
  <c r="FJ107" i="23"/>
  <c r="FJ104" i="23"/>
  <c r="FJ102" i="23"/>
  <c r="FJ103" i="23"/>
  <c r="FJ97" i="23"/>
  <c r="FJ105" i="23"/>
  <c r="FJ98" i="23"/>
  <c r="FJ106" i="23"/>
  <c r="FJ99" i="23"/>
  <c r="FJ100" i="23"/>
  <c r="FJ95" i="23"/>
  <c r="FJ94" i="23"/>
  <c r="FJ93" i="23"/>
  <c r="FJ108" i="23"/>
  <c r="FJ83" i="23"/>
  <c r="FJ101" i="23"/>
  <c r="FJ89" i="23"/>
  <c r="FJ84" i="23"/>
  <c r="FJ82" i="23"/>
  <c r="FJ80" i="23"/>
  <c r="FJ91" i="23"/>
  <c r="FJ81" i="23"/>
  <c r="FJ79" i="23"/>
  <c r="FJ92" i="23"/>
  <c r="FJ85" i="23"/>
  <c r="FJ78" i="23"/>
  <c r="FJ70" i="23"/>
  <c r="FJ77" i="23"/>
  <c r="FJ86" i="23"/>
  <c r="FJ65" i="23"/>
  <c r="FJ76" i="23"/>
  <c r="FJ64" i="23"/>
  <c r="FJ96" i="23"/>
  <c r="FJ87" i="23"/>
  <c r="FJ67" i="23"/>
  <c r="FJ60" i="23"/>
  <c r="FJ58" i="23"/>
  <c r="FJ68" i="23"/>
  <c r="FJ62" i="23"/>
  <c r="FJ55" i="23"/>
  <c r="FJ90" i="23"/>
  <c r="FJ52" i="23"/>
  <c r="FJ88" i="23"/>
  <c r="FJ69" i="23"/>
  <c r="FJ61" i="23"/>
  <c r="FJ51" i="23"/>
  <c r="FJ50" i="23"/>
  <c r="FJ48" i="23"/>
  <c r="FJ46" i="23"/>
  <c r="FJ72" i="23"/>
  <c r="FJ71" i="23"/>
  <c r="FJ66" i="23"/>
  <c r="FJ74" i="23"/>
  <c r="FJ73" i="23"/>
  <c r="FJ54" i="23"/>
  <c r="FJ49" i="23"/>
  <c r="FJ47" i="23"/>
  <c r="FJ63" i="23"/>
  <c r="FJ45" i="23"/>
  <c r="FJ40" i="23"/>
  <c r="FJ57" i="23"/>
  <c r="FJ38" i="23"/>
  <c r="FJ36" i="23"/>
  <c r="FJ33" i="23"/>
  <c r="FJ42" i="23"/>
  <c r="FJ32" i="23"/>
  <c r="FJ53" i="23"/>
  <c r="FJ75" i="23"/>
  <c r="FJ44" i="23"/>
  <c r="FJ26" i="23"/>
  <c r="FJ24" i="23"/>
  <c r="FJ37" i="23"/>
  <c r="FJ21" i="23"/>
  <c r="FJ28" i="23"/>
  <c r="FJ59" i="23"/>
  <c r="FJ41" i="23"/>
  <c r="FJ30" i="23"/>
  <c r="FJ27" i="23"/>
  <c r="FJ25" i="23"/>
  <c r="FJ9" i="23"/>
  <c r="FJ34" i="23"/>
  <c r="FJ31" i="23"/>
  <c r="FJ22" i="23"/>
  <c r="FJ16" i="23"/>
  <c r="FJ14" i="23"/>
  <c r="FJ6" i="23"/>
  <c r="FJ56" i="23"/>
  <c r="FJ18" i="23"/>
  <c r="FJ8" i="23"/>
  <c r="FK2" i="23"/>
  <c r="FJ19" i="23"/>
  <c r="FJ11" i="23"/>
  <c r="FJ39" i="23"/>
  <c r="FJ10" i="23"/>
  <c r="FJ17" i="23"/>
  <c r="FJ29" i="23"/>
  <c r="FJ35" i="23"/>
  <c r="FJ12" i="23"/>
  <c r="FJ4" i="23"/>
  <c r="FJ13" i="23"/>
  <c r="FJ20" i="23"/>
  <c r="FJ5" i="23"/>
  <c r="FJ43" i="23"/>
  <c r="FJ7" i="23"/>
  <c r="FJ15" i="23"/>
  <c r="FJ23" i="23"/>
  <c r="FK206" i="23" l="1"/>
  <c r="FK128" i="23"/>
  <c r="FK144" i="23"/>
  <c r="FK200" i="23"/>
  <c r="FK115" i="23"/>
  <c r="FK127" i="23"/>
  <c r="FK179" i="23"/>
  <c r="FK121" i="23"/>
  <c r="FK164" i="23"/>
  <c r="FK133" i="23"/>
  <c r="FK189" i="23"/>
  <c r="FK123" i="23"/>
  <c r="FK132" i="23"/>
  <c r="FK178" i="23"/>
  <c r="FK204" i="23"/>
  <c r="FK166" i="23"/>
  <c r="FK205" i="23"/>
  <c r="FK194" i="23"/>
  <c r="FK203" i="23"/>
  <c r="FK210" i="23"/>
  <c r="FK209" i="23"/>
  <c r="FK207" i="23"/>
  <c r="FK212" i="23"/>
  <c r="FK197" i="23"/>
  <c r="FK196" i="23"/>
  <c r="FK192" i="23"/>
  <c r="FK181" i="23"/>
  <c r="FK184" i="23"/>
  <c r="FK208" i="23"/>
  <c r="FK195" i="23"/>
  <c r="FK199" i="23"/>
  <c r="FK193" i="23"/>
  <c r="FK201" i="23"/>
  <c r="FK186" i="23"/>
  <c r="FK188" i="23"/>
  <c r="FK175" i="23"/>
  <c r="FK173" i="23"/>
  <c r="FK185" i="23"/>
  <c r="FK190" i="23"/>
  <c r="FK170" i="23"/>
  <c r="FK159" i="23"/>
  <c r="FK211" i="23"/>
  <c r="FK182" i="23"/>
  <c r="FK172" i="23"/>
  <c r="FK177" i="23"/>
  <c r="FK198" i="23"/>
  <c r="FK176" i="23"/>
  <c r="FK171" i="23"/>
  <c r="FK156" i="23"/>
  <c r="FK155" i="23"/>
  <c r="FK153" i="23"/>
  <c r="FK151" i="23"/>
  <c r="FK162" i="23"/>
  <c r="FK167" i="23"/>
  <c r="FK160" i="23"/>
  <c r="FK141" i="23"/>
  <c r="FK187" i="23"/>
  <c r="FK150" i="23"/>
  <c r="FK154" i="23"/>
  <c r="FK157" i="23"/>
  <c r="FK145" i="23"/>
  <c r="FK149" i="23"/>
  <c r="FK137" i="23"/>
  <c r="FK143" i="23"/>
  <c r="FK168" i="23"/>
  <c r="FK139" i="23"/>
  <c r="FK138" i="23"/>
  <c r="FK130" i="23"/>
  <c r="FK129" i="23"/>
  <c r="FK119" i="23"/>
  <c r="FK131" i="23"/>
  <c r="FK183" i="23"/>
  <c r="FK161" i="23"/>
  <c r="FK163" i="23"/>
  <c r="FK165" i="23"/>
  <c r="FK126" i="23"/>
  <c r="FK135" i="23"/>
  <c r="FK122" i="23"/>
  <c r="FK148" i="23"/>
  <c r="FK134" i="23"/>
  <c r="FK140" i="23"/>
  <c r="FK120" i="23"/>
  <c r="FK117" i="23"/>
  <c r="FK118" i="23"/>
  <c r="FK116" i="23"/>
  <c r="FK174" i="23"/>
  <c r="FK146" i="23"/>
  <c r="FK142" i="23"/>
  <c r="FK124" i="23"/>
  <c r="FK152" i="23"/>
  <c r="FK180" i="23"/>
  <c r="FK136" i="23"/>
  <c r="FK191" i="23"/>
  <c r="FK169" i="23"/>
  <c r="FK158" i="23"/>
  <c r="FK147" i="23"/>
  <c r="FK114" i="23"/>
  <c r="FK202" i="23"/>
  <c r="FK125" i="23"/>
  <c r="FK113" i="23"/>
  <c r="FK110" i="23"/>
  <c r="FK112" i="23"/>
  <c r="FK109" i="23"/>
  <c r="FK111" i="23"/>
  <c r="FK107" i="23"/>
  <c r="FK106" i="23"/>
  <c r="FK108" i="23"/>
  <c r="FK105" i="23"/>
  <c r="FK100" i="23"/>
  <c r="FK103" i="23"/>
  <c r="FK96" i="23"/>
  <c r="FK99" i="23"/>
  <c r="FK95" i="23"/>
  <c r="FK97" i="23"/>
  <c r="FK101" i="23"/>
  <c r="FK91" i="23"/>
  <c r="FK98" i="23"/>
  <c r="FK94" i="23"/>
  <c r="FK88" i="23"/>
  <c r="FK104" i="23"/>
  <c r="FK93" i="23"/>
  <c r="FK92" i="23"/>
  <c r="FK89" i="23"/>
  <c r="FK86" i="23"/>
  <c r="FK90" i="23"/>
  <c r="FK85" i="23"/>
  <c r="FK78" i="23"/>
  <c r="FK102" i="23"/>
  <c r="FK84" i="23"/>
  <c r="FK79" i="23"/>
  <c r="FK75" i="23"/>
  <c r="FK81" i="23"/>
  <c r="FK74" i="23"/>
  <c r="FK80" i="23"/>
  <c r="FK68" i="23"/>
  <c r="FK62" i="23"/>
  <c r="FK83" i="23"/>
  <c r="FK72" i="23"/>
  <c r="FK69" i="23"/>
  <c r="FK70" i="23"/>
  <c r="FK71" i="23"/>
  <c r="FK63" i="23"/>
  <c r="FK59" i="23"/>
  <c r="FK57" i="23"/>
  <c r="FK77" i="23"/>
  <c r="FK66" i="23"/>
  <c r="FK65" i="23"/>
  <c r="FK56" i="23"/>
  <c r="FK82" i="23"/>
  <c r="FK73" i="23"/>
  <c r="FK64" i="23"/>
  <c r="FK61" i="23"/>
  <c r="FK51" i="23"/>
  <c r="FK53" i="23"/>
  <c r="FK52" i="23"/>
  <c r="FK45" i="23"/>
  <c r="FK87" i="23"/>
  <c r="FK67" i="23"/>
  <c r="FK60" i="23"/>
  <c r="FK44" i="23"/>
  <c r="FK49" i="23"/>
  <c r="FK38" i="23"/>
  <c r="FK36" i="23"/>
  <c r="FK55" i="23"/>
  <c r="FK50" i="23"/>
  <c r="FK33" i="23"/>
  <c r="FK58" i="23"/>
  <c r="FK41" i="23"/>
  <c r="FK30" i="23"/>
  <c r="FK76" i="23"/>
  <c r="FK43" i="23"/>
  <c r="FK39" i="23"/>
  <c r="FK42" i="23"/>
  <c r="FK40" i="23"/>
  <c r="FK37" i="23"/>
  <c r="FK21" i="23"/>
  <c r="FK28" i="23"/>
  <c r="FK54" i="23"/>
  <c r="FK35" i="23"/>
  <c r="FK34" i="23"/>
  <c r="FK23" i="23"/>
  <c r="FK46" i="23"/>
  <c r="FK31" i="23"/>
  <c r="FK22" i="23"/>
  <c r="FK16" i="23"/>
  <c r="FK14" i="23"/>
  <c r="FK6" i="23"/>
  <c r="FK5" i="23"/>
  <c r="FK19" i="23"/>
  <c r="FK11" i="23"/>
  <c r="FK15" i="23"/>
  <c r="FK13" i="23"/>
  <c r="FK25" i="23"/>
  <c r="FK18" i="23"/>
  <c r="FK8" i="23"/>
  <c r="FL2" i="23"/>
  <c r="FK27" i="23"/>
  <c r="FK17" i="23"/>
  <c r="FK7" i="23"/>
  <c r="FK29" i="23"/>
  <c r="FK24" i="23"/>
  <c r="FK20" i="23"/>
  <c r="FK12" i="23"/>
  <c r="FK4" i="23"/>
  <c r="FK47" i="23"/>
  <c r="FK48" i="23"/>
  <c r="FK26" i="23"/>
  <c r="FK9" i="23"/>
  <c r="FK10" i="23"/>
  <c r="FK32" i="23"/>
  <c r="FL189" i="23" l="1"/>
  <c r="FL129" i="23"/>
  <c r="FL185" i="23"/>
  <c r="FL132" i="23"/>
  <c r="FL134" i="23"/>
  <c r="FL115" i="23"/>
  <c r="FL201" i="23"/>
  <c r="FL127" i="23"/>
  <c r="FL122" i="23"/>
  <c r="FL170" i="23"/>
  <c r="FL200" i="23"/>
  <c r="FL192" i="23"/>
  <c r="FL197" i="23"/>
  <c r="FL208" i="23"/>
  <c r="FL209" i="23"/>
  <c r="FL164" i="23"/>
  <c r="FL149" i="23"/>
  <c r="FL204" i="23"/>
  <c r="FL212" i="23"/>
  <c r="FL205" i="23"/>
  <c r="FL194" i="23"/>
  <c r="FL206" i="23"/>
  <c r="FL196" i="23"/>
  <c r="FL195" i="23"/>
  <c r="FL210" i="23"/>
  <c r="FL198" i="23"/>
  <c r="FL181" i="23"/>
  <c r="FL211" i="23"/>
  <c r="FL203" i="23"/>
  <c r="FL199" i="23"/>
  <c r="FL184" i="23"/>
  <c r="FL183" i="23"/>
  <c r="FL171" i="23"/>
  <c r="FL177" i="23"/>
  <c r="FL174" i="23"/>
  <c r="FL186" i="23"/>
  <c r="FL159" i="23"/>
  <c r="FL156" i="23"/>
  <c r="FL187" i="23"/>
  <c r="FL173" i="23"/>
  <c r="FL176" i="23"/>
  <c r="FL160" i="23"/>
  <c r="FL162" i="23"/>
  <c r="FL168" i="23"/>
  <c r="FL155" i="23"/>
  <c r="FL172" i="23"/>
  <c r="FL178" i="23"/>
  <c r="FL165" i="23"/>
  <c r="FL154" i="23"/>
  <c r="FL151" i="23"/>
  <c r="FL193" i="23"/>
  <c r="FL182" i="23"/>
  <c r="FL175" i="23"/>
  <c r="FL179" i="23"/>
  <c r="FL163" i="23"/>
  <c r="FL138" i="23"/>
  <c r="FL153" i="23"/>
  <c r="FL137" i="23"/>
  <c r="FL161" i="23"/>
  <c r="FL152" i="23"/>
  <c r="FL145" i="23"/>
  <c r="FL146" i="23"/>
  <c r="FL150" i="23"/>
  <c r="FL128" i="23"/>
  <c r="FL133" i="23"/>
  <c r="FL207" i="23"/>
  <c r="FL139" i="23"/>
  <c r="FL190" i="23"/>
  <c r="FL142" i="23"/>
  <c r="FL130" i="23"/>
  <c r="FL116" i="23"/>
  <c r="FL135" i="23"/>
  <c r="FL119" i="23"/>
  <c r="FL143" i="23"/>
  <c r="FL117" i="23"/>
  <c r="FL131" i="23"/>
  <c r="FL124" i="23"/>
  <c r="FL188" i="23"/>
  <c r="FL167" i="23"/>
  <c r="FL166" i="23"/>
  <c r="FL121" i="23"/>
  <c r="FL148" i="23"/>
  <c r="FL140" i="23"/>
  <c r="FL144" i="23"/>
  <c r="FL120" i="23"/>
  <c r="FL126" i="23"/>
  <c r="FL123" i="23"/>
  <c r="FL157" i="23"/>
  <c r="FL141" i="23"/>
  <c r="FL118" i="23"/>
  <c r="FL202" i="23"/>
  <c r="FL158" i="23"/>
  <c r="FL180" i="23"/>
  <c r="FL125" i="23"/>
  <c r="FL169" i="23"/>
  <c r="FL136" i="23"/>
  <c r="FL147" i="23"/>
  <c r="FL191" i="23"/>
  <c r="FL114" i="23"/>
  <c r="FL107" i="23"/>
  <c r="FL112" i="23"/>
  <c r="FL110" i="23"/>
  <c r="FL108" i="23"/>
  <c r="FL113" i="23"/>
  <c r="FL109" i="23"/>
  <c r="FL105" i="23"/>
  <c r="FL103" i="23"/>
  <c r="FL101" i="23"/>
  <c r="FL111" i="23"/>
  <c r="FL106" i="23"/>
  <c r="FL98" i="23"/>
  <c r="FL97" i="23"/>
  <c r="FL104" i="23"/>
  <c r="FL100" i="23"/>
  <c r="FL92" i="23"/>
  <c r="FL99" i="23"/>
  <c r="FL89" i="23"/>
  <c r="FL88" i="23"/>
  <c r="FL94" i="23"/>
  <c r="FL96" i="23"/>
  <c r="FL86" i="23"/>
  <c r="FL95" i="23"/>
  <c r="FL90" i="23"/>
  <c r="FL85" i="23"/>
  <c r="FL93" i="23"/>
  <c r="FL87" i="23"/>
  <c r="FL102" i="23"/>
  <c r="FL78" i="23"/>
  <c r="FL84" i="23"/>
  <c r="FL79" i="23"/>
  <c r="FL75" i="23"/>
  <c r="FL83" i="23"/>
  <c r="FL72" i="23"/>
  <c r="FL91" i="23"/>
  <c r="FL82" i="23"/>
  <c r="FL80" i="23"/>
  <c r="FL71" i="23"/>
  <c r="FL69" i="23"/>
  <c r="FL81" i="23"/>
  <c r="FL70" i="23"/>
  <c r="FL67" i="23"/>
  <c r="FL77" i="23"/>
  <c r="FL73" i="23"/>
  <c r="FL66" i="23"/>
  <c r="FL68" i="23"/>
  <c r="FL62" i="23"/>
  <c r="FL63" i="23"/>
  <c r="FL59" i="23"/>
  <c r="FL57" i="23"/>
  <c r="FL54" i="23"/>
  <c r="FL53" i="23"/>
  <c r="FL64" i="23"/>
  <c r="FL61" i="23"/>
  <c r="FL51" i="23"/>
  <c r="FL74" i="23"/>
  <c r="FL52" i="23"/>
  <c r="FL76" i="23"/>
  <c r="FL58" i="23"/>
  <c r="FL42" i="23"/>
  <c r="FL56" i="23"/>
  <c r="FL55" i="23"/>
  <c r="FL41" i="23"/>
  <c r="FL65" i="23"/>
  <c r="FL50" i="23"/>
  <c r="FL30" i="23"/>
  <c r="FL46" i="23"/>
  <c r="FL37" i="23"/>
  <c r="FL35" i="23"/>
  <c r="FL44" i="23"/>
  <c r="FL34" i="23"/>
  <c r="FL28" i="23"/>
  <c r="FL60" i="23"/>
  <c r="FL23" i="23"/>
  <c r="FL39" i="23"/>
  <c r="FL20" i="23"/>
  <c r="FL36" i="23"/>
  <c r="FL29" i="23"/>
  <c r="FL19" i="23"/>
  <c r="FL31" i="23"/>
  <c r="FL22" i="23"/>
  <c r="FL11" i="23"/>
  <c r="FL48" i="23"/>
  <c r="FL49" i="23"/>
  <c r="FL25" i="23"/>
  <c r="FL18" i="23"/>
  <c r="FL8" i="23"/>
  <c r="FM2" i="23"/>
  <c r="FL43" i="23"/>
  <c r="FL40" i="23"/>
  <c r="FL27" i="23"/>
  <c r="FL15" i="23"/>
  <c r="FL13" i="23"/>
  <c r="FL5" i="23"/>
  <c r="FL32" i="23"/>
  <c r="FL10" i="23"/>
  <c r="FL24" i="23"/>
  <c r="FL12" i="23"/>
  <c r="FL4" i="23"/>
  <c r="FL47" i="23"/>
  <c r="FL33" i="23"/>
  <c r="FL26" i="23"/>
  <c r="FL45" i="23"/>
  <c r="FL16" i="23"/>
  <c r="FL6" i="23"/>
  <c r="FL7" i="23"/>
  <c r="FL21" i="23"/>
  <c r="FL9" i="23"/>
  <c r="FL14" i="23"/>
  <c r="FL38" i="23"/>
  <c r="FL17" i="23"/>
  <c r="FM201" i="23" l="1"/>
  <c r="FM144" i="23"/>
  <c r="FM189" i="23"/>
  <c r="FM131" i="23"/>
  <c r="FM129" i="23"/>
  <c r="FM124" i="23"/>
  <c r="FM164" i="23"/>
  <c r="FM159" i="23"/>
  <c r="FM138" i="23"/>
  <c r="FM135" i="23"/>
  <c r="FM166" i="23"/>
  <c r="FM146" i="23"/>
  <c r="FM193" i="23"/>
  <c r="FM208" i="23"/>
  <c r="FM210" i="23"/>
  <c r="FM209" i="23"/>
  <c r="FM195" i="23"/>
  <c r="FM203" i="23"/>
  <c r="FM204" i="23"/>
  <c r="FM211" i="23"/>
  <c r="FM212" i="23"/>
  <c r="FM173" i="23"/>
  <c r="FM207" i="23"/>
  <c r="FM192" i="23"/>
  <c r="FM206" i="23"/>
  <c r="FM198" i="23"/>
  <c r="FM199" i="23"/>
  <c r="FM181" i="23"/>
  <c r="FM197" i="23"/>
  <c r="FM196" i="23"/>
  <c r="FM200" i="23"/>
  <c r="FM184" i="23"/>
  <c r="FM187" i="23"/>
  <c r="FM171" i="23"/>
  <c r="FM183" i="23"/>
  <c r="FM185" i="23"/>
  <c r="FM194" i="23"/>
  <c r="FM190" i="23"/>
  <c r="FM186" i="23"/>
  <c r="FM170" i="23"/>
  <c r="FM179" i="23"/>
  <c r="FM167" i="23"/>
  <c r="FM168" i="23"/>
  <c r="FM150" i="23"/>
  <c r="FM155" i="23"/>
  <c r="FM161" i="23"/>
  <c r="FM182" i="23"/>
  <c r="FM162" i="23"/>
  <c r="FM177" i="23"/>
  <c r="FM165" i="23"/>
  <c r="FM157" i="23"/>
  <c r="FM163" i="23"/>
  <c r="FM148" i="23"/>
  <c r="FM152" i="23"/>
  <c r="FM140" i="23"/>
  <c r="FM156" i="23"/>
  <c r="FM153" i="23"/>
  <c r="FM172" i="23"/>
  <c r="FM176" i="23"/>
  <c r="FM151" i="23"/>
  <c r="FM139" i="23"/>
  <c r="FM141" i="23"/>
  <c r="FM128" i="23"/>
  <c r="FM174" i="23"/>
  <c r="FM132" i="23"/>
  <c r="FM175" i="23"/>
  <c r="FM178" i="23"/>
  <c r="FM205" i="23"/>
  <c r="FM154" i="23"/>
  <c r="FM142" i="23"/>
  <c r="FM134" i="23"/>
  <c r="FM120" i="23"/>
  <c r="FM130" i="23"/>
  <c r="FM117" i="23"/>
  <c r="FM145" i="23"/>
  <c r="FM118" i="23"/>
  <c r="FM119" i="23"/>
  <c r="FM149" i="23"/>
  <c r="FM188" i="23"/>
  <c r="FM160" i="23"/>
  <c r="FM127" i="23"/>
  <c r="FM126" i="23"/>
  <c r="FM116" i="23"/>
  <c r="FM121" i="23"/>
  <c r="FM137" i="23"/>
  <c r="FM122" i="23"/>
  <c r="FM115" i="23"/>
  <c r="FM133" i="23"/>
  <c r="FM123" i="23"/>
  <c r="FM143" i="23"/>
  <c r="FM125" i="23"/>
  <c r="FM136" i="23"/>
  <c r="FM158" i="23"/>
  <c r="FM147" i="23"/>
  <c r="FM202" i="23"/>
  <c r="FM169" i="23"/>
  <c r="FM180" i="23"/>
  <c r="FM191" i="23"/>
  <c r="FM114" i="23"/>
  <c r="FM111" i="23"/>
  <c r="FM112" i="23"/>
  <c r="FM113" i="23"/>
  <c r="FM109" i="23"/>
  <c r="FM108" i="23"/>
  <c r="FM106" i="23"/>
  <c r="FM104" i="23"/>
  <c r="FM103" i="23"/>
  <c r="FM102" i="23"/>
  <c r="FM101" i="23"/>
  <c r="FM107" i="23"/>
  <c r="FM110" i="23"/>
  <c r="FM100" i="23"/>
  <c r="FM97" i="23"/>
  <c r="FM105" i="23"/>
  <c r="FM94" i="23"/>
  <c r="FM93" i="23"/>
  <c r="FM96" i="23"/>
  <c r="FM99" i="23"/>
  <c r="FM91" i="23"/>
  <c r="FM89" i="23"/>
  <c r="FM87" i="23"/>
  <c r="FM86" i="23"/>
  <c r="FM92" i="23"/>
  <c r="FM81" i="23"/>
  <c r="FM98" i="23"/>
  <c r="FM95" i="23"/>
  <c r="FM88" i="23"/>
  <c r="FM83" i="23"/>
  <c r="FM85" i="23"/>
  <c r="FM84" i="23"/>
  <c r="FM79" i="23"/>
  <c r="FM77" i="23"/>
  <c r="FM76" i="23"/>
  <c r="FM70" i="23"/>
  <c r="FM90" i="23"/>
  <c r="FM71" i="23"/>
  <c r="FM64" i="23"/>
  <c r="FM74" i="23"/>
  <c r="FM63" i="23"/>
  <c r="FM59" i="23"/>
  <c r="FM57" i="23"/>
  <c r="FM73" i="23"/>
  <c r="FM61" i="23"/>
  <c r="FM51" i="23"/>
  <c r="FM82" i="23"/>
  <c r="FM60" i="23"/>
  <c r="FM58" i="23"/>
  <c r="FM50" i="23"/>
  <c r="FM78" i="23"/>
  <c r="FM72" i="23"/>
  <c r="FM66" i="23"/>
  <c r="FM52" i="23"/>
  <c r="FM69" i="23"/>
  <c r="FM53" i="23"/>
  <c r="FM75" i="23"/>
  <c r="FM62" i="23"/>
  <c r="FM49" i="23"/>
  <c r="FM47" i="23"/>
  <c r="FM80" i="23"/>
  <c r="FM48" i="23"/>
  <c r="FM46" i="23"/>
  <c r="FM55" i="23"/>
  <c r="FM41" i="23"/>
  <c r="FM37" i="23"/>
  <c r="FM35" i="23"/>
  <c r="FM68" i="23"/>
  <c r="FM32" i="23"/>
  <c r="FM54" i="23"/>
  <c r="FM40" i="23"/>
  <c r="FM31" i="23"/>
  <c r="FM67" i="23"/>
  <c r="FM65" i="23"/>
  <c r="FM23" i="23"/>
  <c r="FM39" i="23"/>
  <c r="FM34" i="23"/>
  <c r="FM20" i="23"/>
  <c r="FM43" i="23"/>
  <c r="FM33" i="23"/>
  <c r="FM27" i="23"/>
  <c r="FM25" i="23"/>
  <c r="FM38" i="23"/>
  <c r="FM26" i="23"/>
  <c r="FM24" i="23"/>
  <c r="FM28" i="23"/>
  <c r="FM19" i="23"/>
  <c r="FM18" i="23"/>
  <c r="FM8" i="23"/>
  <c r="FN2" i="23"/>
  <c r="FM21" i="23"/>
  <c r="FM15" i="23"/>
  <c r="FM13" i="23"/>
  <c r="FM5" i="23"/>
  <c r="FM42" i="23"/>
  <c r="FM56" i="23"/>
  <c r="FM10" i="23"/>
  <c r="FM17" i="23"/>
  <c r="FM7" i="23"/>
  <c r="FM44" i="23"/>
  <c r="FM36" i="23"/>
  <c r="FM29" i="23"/>
  <c r="FM9" i="23"/>
  <c r="FM45" i="23"/>
  <c r="FM16" i="23"/>
  <c r="FM14" i="23"/>
  <c r="FM30" i="23"/>
  <c r="FM12" i="23"/>
  <c r="FM4" i="23"/>
  <c r="FM11" i="23"/>
  <c r="FM6" i="23"/>
  <c r="FM22" i="23"/>
  <c r="FN201" i="23" l="1"/>
  <c r="FN123" i="23"/>
  <c r="FN127" i="23"/>
  <c r="FN173" i="23"/>
  <c r="FN174" i="23"/>
  <c r="FN122" i="23"/>
  <c r="FN115" i="23"/>
  <c r="FN170" i="23"/>
  <c r="FN134" i="23"/>
  <c r="FN124" i="23"/>
  <c r="FN117" i="23"/>
  <c r="FN151" i="23"/>
  <c r="FN157" i="23"/>
  <c r="FN144" i="23"/>
  <c r="FN164" i="23"/>
  <c r="FN171" i="23"/>
  <c r="FN209" i="23"/>
  <c r="FN131" i="23"/>
  <c r="FN197" i="23"/>
  <c r="FN139" i="23"/>
  <c r="FN146" i="23"/>
  <c r="FN168" i="23"/>
  <c r="FN198" i="23"/>
  <c r="FN208" i="23"/>
  <c r="FN206" i="23"/>
  <c r="FN211" i="23"/>
  <c r="FN152" i="23"/>
  <c r="FN210" i="23"/>
  <c r="FN212" i="23"/>
  <c r="FN203" i="23"/>
  <c r="FN195" i="23"/>
  <c r="FN192" i="23"/>
  <c r="FN193" i="23"/>
  <c r="FN196" i="23"/>
  <c r="FN200" i="23"/>
  <c r="FN186" i="23"/>
  <c r="FN205" i="23"/>
  <c r="FN207" i="23"/>
  <c r="FN199" i="23"/>
  <c r="FN181" i="23"/>
  <c r="FN194" i="23"/>
  <c r="FN184" i="23"/>
  <c r="FN185" i="23"/>
  <c r="FN187" i="23"/>
  <c r="FN175" i="23"/>
  <c r="FN176" i="23"/>
  <c r="FN183" i="23"/>
  <c r="FN161" i="23"/>
  <c r="FN167" i="23"/>
  <c r="FN150" i="23"/>
  <c r="FN188" i="23"/>
  <c r="FN165" i="23"/>
  <c r="FN166" i="23"/>
  <c r="FN148" i="23"/>
  <c r="FN190" i="23"/>
  <c r="FN178" i="23"/>
  <c r="FN163" i="23"/>
  <c r="FN162" i="23"/>
  <c r="FN189" i="23"/>
  <c r="FN172" i="23"/>
  <c r="FN204" i="23"/>
  <c r="FN179" i="23"/>
  <c r="FN160" i="23"/>
  <c r="FN126" i="23"/>
  <c r="FN138" i="23"/>
  <c r="FN145" i="23"/>
  <c r="FN135" i="23"/>
  <c r="FN142" i="23"/>
  <c r="FN159" i="23"/>
  <c r="FN141" i="23"/>
  <c r="FN140" i="23"/>
  <c r="FN121" i="23"/>
  <c r="FN177" i="23"/>
  <c r="FN143" i="23"/>
  <c r="FN128" i="23"/>
  <c r="FN137" i="23"/>
  <c r="FN133" i="23"/>
  <c r="FN182" i="23"/>
  <c r="FN130" i="23"/>
  <c r="FN132" i="23"/>
  <c r="FN116" i="23"/>
  <c r="FN118" i="23"/>
  <c r="FN155" i="23"/>
  <c r="FN154" i="23"/>
  <c r="FN153" i="23"/>
  <c r="FN129" i="23"/>
  <c r="FN149" i="23"/>
  <c r="FN119" i="23"/>
  <c r="FN120" i="23"/>
  <c r="FN156" i="23"/>
  <c r="FN147" i="23"/>
  <c r="FN136" i="23"/>
  <c r="FN191" i="23"/>
  <c r="FN114" i="23"/>
  <c r="FN158" i="23"/>
  <c r="FN169" i="23"/>
  <c r="FN202" i="23"/>
  <c r="FN125" i="23"/>
  <c r="FN180" i="23"/>
  <c r="FN113" i="23"/>
  <c r="FN112" i="23"/>
  <c r="FN110" i="23"/>
  <c r="FN109" i="23"/>
  <c r="FN108" i="23"/>
  <c r="FN106" i="23"/>
  <c r="FN105" i="23"/>
  <c r="FN104" i="23"/>
  <c r="FN102" i="23"/>
  <c r="FN111" i="23"/>
  <c r="FN100" i="23"/>
  <c r="FN99" i="23"/>
  <c r="FN107" i="23"/>
  <c r="FN98" i="23"/>
  <c r="FN95" i="23"/>
  <c r="FN101" i="23"/>
  <c r="FN94" i="23"/>
  <c r="FN97" i="23"/>
  <c r="FN91" i="23"/>
  <c r="FN90" i="23"/>
  <c r="FN96" i="23"/>
  <c r="FN87" i="23"/>
  <c r="FN89" i="23"/>
  <c r="FN93" i="23"/>
  <c r="FN92" i="23"/>
  <c r="FN83" i="23"/>
  <c r="FN77" i="23"/>
  <c r="FN74" i="23"/>
  <c r="FN88" i="23"/>
  <c r="FN73" i="23"/>
  <c r="FN86" i="23"/>
  <c r="FN70" i="23"/>
  <c r="FN81" i="23"/>
  <c r="FN71" i="23"/>
  <c r="FN84" i="23"/>
  <c r="FN79" i="23"/>
  <c r="FN78" i="23"/>
  <c r="FN76" i="23"/>
  <c r="FN75" i="23"/>
  <c r="FN103" i="23"/>
  <c r="FN82" i="23"/>
  <c r="FN68" i="23"/>
  <c r="FN63" i="23"/>
  <c r="FN61" i="23"/>
  <c r="FN85" i="23"/>
  <c r="FN65" i="23"/>
  <c r="FN64" i="23"/>
  <c r="FN56" i="23"/>
  <c r="FN80" i="23"/>
  <c r="FN72" i="23"/>
  <c r="FN67" i="23"/>
  <c r="FN55" i="23"/>
  <c r="FN69" i="23"/>
  <c r="FN53" i="23"/>
  <c r="FN62" i="23"/>
  <c r="FN58" i="23"/>
  <c r="FN49" i="23"/>
  <c r="FN47" i="23"/>
  <c r="FN54" i="23"/>
  <c r="FN44" i="23"/>
  <c r="FN59" i="23"/>
  <c r="FN50" i="23"/>
  <c r="FN43" i="23"/>
  <c r="FN57" i="23"/>
  <c r="FN52" i="23"/>
  <c r="FN41" i="23"/>
  <c r="FN37" i="23"/>
  <c r="FN46" i="23"/>
  <c r="FN32" i="23"/>
  <c r="FN66" i="23"/>
  <c r="FN48" i="23"/>
  <c r="FN42" i="23"/>
  <c r="FN39" i="23"/>
  <c r="FN60" i="23"/>
  <c r="FN51" i="23"/>
  <c r="FN45" i="23"/>
  <c r="FN38" i="23"/>
  <c r="FN36" i="23"/>
  <c r="FN34" i="23"/>
  <c r="FN20" i="23"/>
  <c r="FN35" i="23"/>
  <c r="FN33" i="23"/>
  <c r="FN27" i="23"/>
  <c r="FN25" i="23"/>
  <c r="FN22" i="23"/>
  <c r="FN21" i="23"/>
  <c r="FN15" i="23"/>
  <c r="FN13" i="23"/>
  <c r="FN5" i="23"/>
  <c r="FN12" i="23"/>
  <c r="FN4" i="23"/>
  <c r="FN10" i="23"/>
  <c r="FN40" i="23"/>
  <c r="FN17" i="23"/>
  <c r="FN7" i="23"/>
  <c r="FN30" i="23"/>
  <c r="FN26" i="23"/>
  <c r="FN16" i="23"/>
  <c r="FN14" i="23"/>
  <c r="FN6" i="23"/>
  <c r="FN23" i="23"/>
  <c r="FN11" i="23"/>
  <c r="FN28" i="23"/>
  <c r="FN18" i="23"/>
  <c r="FN31" i="23"/>
  <c r="FN9" i="23"/>
  <c r="FN29" i="23"/>
  <c r="FN19" i="23"/>
  <c r="FN8" i="23"/>
  <c r="FO2" i="23"/>
  <c r="FN24" i="23"/>
  <c r="FO139" i="23" l="1"/>
  <c r="FO152" i="23"/>
  <c r="FO151" i="23"/>
  <c r="FO127" i="23"/>
  <c r="FO116" i="23"/>
  <c r="FO118" i="23"/>
  <c r="FO193" i="23"/>
  <c r="FO198" i="23"/>
  <c r="FO166" i="23"/>
  <c r="FO176" i="23"/>
  <c r="FO199" i="23"/>
  <c r="FO204" i="23"/>
  <c r="FO210" i="23"/>
  <c r="FO157" i="23"/>
  <c r="FO201" i="23"/>
  <c r="FO149" i="23"/>
  <c r="FO211" i="23"/>
  <c r="FO205" i="23"/>
  <c r="FO117" i="23"/>
  <c r="FO196" i="23"/>
  <c r="FO208" i="23"/>
  <c r="FO192" i="23"/>
  <c r="FO203" i="23"/>
  <c r="FO206" i="23"/>
  <c r="FO212" i="23"/>
  <c r="FO181" i="23"/>
  <c r="FO195" i="23"/>
  <c r="FO186" i="23"/>
  <c r="FO184" i="23"/>
  <c r="FO182" i="23"/>
  <c r="FO209" i="23"/>
  <c r="FO207" i="23"/>
  <c r="FO197" i="23"/>
  <c r="FO187" i="23"/>
  <c r="FO174" i="23"/>
  <c r="FO185" i="23"/>
  <c r="FO188" i="23"/>
  <c r="FO172" i="23"/>
  <c r="FO171" i="23"/>
  <c r="FO194" i="23"/>
  <c r="FO200" i="23"/>
  <c r="FO183" i="23"/>
  <c r="FO177" i="23"/>
  <c r="FO165" i="23"/>
  <c r="FO167" i="23"/>
  <c r="FO154" i="23"/>
  <c r="FO178" i="23"/>
  <c r="FO150" i="23"/>
  <c r="FO156" i="23"/>
  <c r="FO160" i="23"/>
  <c r="FO163" i="23"/>
  <c r="FO162" i="23"/>
  <c r="FO159" i="23"/>
  <c r="FO168" i="23"/>
  <c r="FO148" i="23"/>
  <c r="FO161" i="23"/>
  <c r="FO153" i="23"/>
  <c r="FO155" i="23"/>
  <c r="FO138" i="23"/>
  <c r="FO142" i="23"/>
  <c r="FO143" i="23"/>
  <c r="FO126" i="23"/>
  <c r="FO130" i="23"/>
  <c r="FO129" i="23"/>
  <c r="FO135" i="23"/>
  <c r="FO131" i="23"/>
  <c r="FO134" i="23"/>
  <c r="FO190" i="23"/>
  <c r="FO145" i="23"/>
  <c r="FO189" i="23"/>
  <c r="FO144" i="23"/>
  <c r="FO115" i="23"/>
  <c r="FO179" i="23"/>
  <c r="FO140" i="23"/>
  <c r="FO122" i="23"/>
  <c r="FO175" i="23"/>
  <c r="FO137" i="23"/>
  <c r="FO128" i="23"/>
  <c r="FO120" i="23"/>
  <c r="FO119" i="23"/>
  <c r="FO123" i="23"/>
  <c r="FO173" i="23"/>
  <c r="FO164" i="23"/>
  <c r="FO170" i="23"/>
  <c r="FO146" i="23"/>
  <c r="FO133" i="23"/>
  <c r="FO121" i="23"/>
  <c r="FO141" i="23"/>
  <c r="FO124" i="23"/>
  <c r="FO132" i="23"/>
  <c r="FO191" i="23"/>
  <c r="FO180" i="23"/>
  <c r="FO114" i="23"/>
  <c r="FO147" i="23"/>
  <c r="FO125" i="23"/>
  <c r="FO202" i="23"/>
  <c r="FO158" i="23"/>
  <c r="FO136" i="23"/>
  <c r="FO169" i="23"/>
  <c r="FO113" i="23"/>
  <c r="FO111" i="23"/>
  <c r="FO112" i="23"/>
  <c r="FO108" i="23"/>
  <c r="FO110" i="23"/>
  <c r="FO107" i="23"/>
  <c r="FO106" i="23"/>
  <c r="FO109" i="23"/>
  <c r="FO104" i="23"/>
  <c r="FO102" i="23"/>
  <c r="FO99" i="23"/>
  <c r="FO100" i="23"/>
  <c r="FO105" i="23"/>
  <c r="FO95" i="23"/>
  <c r="FO98" i="23"/>
  <c r="FO92" i="23"/>
  <c r="FO96" i="23"/>
  <c r="FO94" i="23"/>
  <c r="FO93" i="23"/>
  <c r="FO89" i="23"/>
  <c r="FO85" i="23"/>
  <c r="FO84" i="23"/>
  <c r="FO87" i="23"/>
  <c r="FO101" i="23"/>
  <c r="FO103" i="23"/>
  <c r="FO82" i="23"/>
  <c r="FO80" i="23"/>
  <c r="FO83" i="23"/>
  <c r="FO77" i="23"/>
  <c r="FO97" i="23"/>
  <c r="FO81" i="23"/>
  <c r="FO71" i="23"/>
  <c r="FO90" i="23"/>
  <c r="FO86" i="23"/>
  <c r="FO78" i="23"/>
  <c r="FO70" i="23"/>
  <c r="FO91" i="23"/>
  <c r="FO79" i="23"/>
  <c r="FO76" i="23"/>
  <c r="FO75" i="23"/>
  <c r="FO72" i="23"/>
  <c r="FO69" i="23"/>
  <c r="FO66" i="23"/>
  <c r="FO65" i="23"/>
  <c r="FO61" i="23"/>
  <c r="FO73" i="23"/>
  <c r="FO64" i="23"/>
  <c r="FO56" i="23"/>
  <c r="FO53" i="23"/>
  <c r="FO74" i="23"/>
  <c r="FO62" i="23"/>
  <c r="FO52" i="23"/>
  <c r="FO58" i="23"/>
  <c r="FO49" i="23"/>
  <c r="FO47" i="23"/>
  <c r="FO54" i="23"/>
  <c r="FO60" i="23"/>
  <c r="FO57" i="23"/>
  <c r="FO41" i="23"/>
  <c r="FO88" i="23"/>
  <c r="FO68" i="23"/>
  <c r="FO63" i="23"/>
  <c r="FO40" i="23"/>
  <c r="FO46" i="23"/>
  <c r="FO48" i="23"/>
  <c r="FO42" i="23"/>
  <c r="FO39" i="23"/>
  <c r="FO67" i="23"/>
  <c r="FO43" i="23"/>
  <c r="FO34" i="23"/>
  <c r="FO33" i="23"/>
  <c r="FO59" i="23"/>
  <c r="FO50" i="23"/>
  <c r="FO35" i="23"/>
  <c r="FO27" i="23"/>
  <c r="FO25" i="23"/>
  <c r="FO55" i="23"/>
  <c r="FO22" i="23"/>
  <c r="FO45" i="23"/>
  <c r="FO32" i="23"/>
  <c r="FO31" i="23"/>
  <c r="FO30" i="23"/>
  <c r="FO29" i="23"/>
  <c r="FO19" i="23"/>
  <c r="FO51" i="23"/>
  <c r="FO28" i="23"/>
  <c r="FO18" i="23"/>
  <c r="FO10" i="23"/>
  <c r="FO17" i="23"/>
  <c r="FO7" i="23"/>
  <c r="FO9" i="23"/>
  <c r="FO21" i="23"/>
  <c r="FO12" i="23"/>
  <c r="FO4" i="23"/>
  <c r="FO24" i="23"/>
  <c r="FO37" i="23"/>
  <c r="FO23" i="23"/>
  <c r="FO20" i="23"/>
  <c r="FO11" i="23"/>
  <c r="FO38" i="23"/>
  <c r="FO14" i="23"/>
  <c r="FO26" i="23"/>
  <c r="FO44" i="23"/>
  <c r="FO16" i="23"/>
  <c r="FO13" i="23"/>
  <c r="FO5" i="23"/>
  <c r="FO15" i="23"/>
  <c r="FO8" i="23"/>
  <c r="FP2" i="23"/>
  <c r="FO6" i="23"/>
  <c r="FO36" i="23"/>
  <c r="FP197" i="23" l="1"/>
  <c r="FP123" i="23"/>
  <c r="FP115" i="23"/>
  <c r="FP120" i="23"/>
  <c r="FP122" i="23"/>
  <c r="FP176" i="23"/>
  <c r="FP161" i="23"/>
  <c r="FP145" i="23"/>
  <c r="FP134" i="23"/>
  <c r="FP128" i="23"/>
  <c r="FP116" i="23"/>
  <c r="FP127" i="23"/>
  <c r="FP129" i="23"/>
  <c r="FP149" i="23"/>
  <c r="FP189" i="23"/>
  <c r="FP200" i="23"/>
  <c r="FP211" i="23"/>
  <c r="FP164" i="23"/>
  <c r="FP212" i="23"/>
  <c r="FP210" i="23"/>
  <c r="FP168" i="23"/>
  <c r="FP209" i="23"/>
  <c r="FP203" i="23"/>
  <c r="FP204" i="23"/>
  <c r="FP199" i="23"/>
  <c r="FP205" i="23"/>
  <c r="FP208" i="23"/>
  <c r="FP192" i="23"/>
  <c r="FP201" i="23"/>
  <c r="FP187" i="23"/>
  <c r="FP195" i="23"/>
  <c r="FP186" i="23"/>
  <c r="FP207" i="23"/>
  <c r="FP194" i="23"/>
  <c r="FP185" i="23"/>
  <c r="FP183" i="23"/>
  <c r="FP171" i="23"/>
  <c r="FP181" i="23"/>
  <c r="FP170" i="23"/>
  <c r="FP174" i="23"/>
  <c r="FP178" i="23"/>
  <c r="FP167" i="23"/>
  <c r="FP182" i="23"/>
  <c r="FP172" i="23"/>
  <c r="FP155" i="23"/>
  <c r="FP156" i="23"/>
  <c r="FP166" i="23"/>
  <c r="FP139" i="23"/>
  <c r="FP184" i="23"/>
  <c r="FP188" i="23"/>
  <c r="FP190" i="23"/>
  <c r="FP141" i="23"/>
  <c r="FP163" i="23"/>
  <c r="FP148" i="23"/>
  <c r="FP140" i="23"/>
  <c r="FP143" i="23"/>
  <c r="FP196" i="23"/>
  <c r="FP177" i="23"/>
  <c r="FP159" i="23"/>
  <c r="FP198" i="23"/>
  <c r="FP173" i="23"/>
  <c r="FP153" i="23"/>
  <c r="FP137" i="23"/>
  <c r="FP146" i="23"/>
  <c r="FP130" i="23"/>
  <c r="FP118" i="23"/>
  <c r="FP124" i="23"/>
  <c r="FP150" i="23"/>
  <c r="FP154" i="23"/>
  <c r="FP157" i="23"/>
  <c r="FP138" i="23"/>
  <c r="FP126" i="23"/>
  <c r="FP206" i="23"/>
  <c r="FP179" i="23"/>
  <c r="FP151" i="23"/>
  <c r="FP131" i="23"/>
  <c r="FP193" i="23"/>
  <c r="FP175" i="23"/>
  <c r="FP142" i="23"/>
  <c r="FP117" i="23"/>
  <c r="FP162" i="23"/>
  <c r="FP160" i="23"/>
  <c r="FP135" i="23"/>
  <c r="FP133" i="23"/>
  <c r="FP144" i="23"/>
  <c r="FP152" i="23"/>
  <c r="FP165" i="23"/>
  <c r="FP132" i="23"/>
  <c r="FP119" i="23"/>
  <c r="FP121" i="23"/>
  <c r="FP158" i="23"/>
  <c r="FP114" i="23"/>
  <c r="FP202" i="23"/>
  <c r="FP180" i="23"/>
  <c r="FP169" i="23"/>
  <c r="FP191" i="23"/>
  <c r="FP136" i="23"/>
  <c r="FP147" i="23"/>
  <c r="FP125" i="23"/>
  <c r="FP113" i="23"/>
  <c r="FP112" i="23"/>
  <c r="FP108" i="23"/>
  <c r="FP110" i="23"/>
  <c r="FP107" i="23"/>
  <c r="FP106" i="23"/>
  <c r="FP104" i="23"/>
  <c r="FP109" i="23"/>
  <c r="FP105" i="23"/>
  <c r="FP102" i="23"/>
  <c r="FP99" i="23"/>
  <c r="FP100" i="23"/>
  <c r="FP103" i="23"/>
  <c r="FP97" i="23"/>
  <c r="FP96" i="23"/>
  <c r="FP111" i="23"/>
  <c r="FP95" i="23"/>
  <c r="FP93" i="23"/>
  <c r="FP92" i="23"/>
  <c r="FP90" i="23"/>
  <c r="FP101" i="23"/>
  <c r="FP94" i="23"/>
  <c r="FP91" i="23"/>
  <c r="FP88" i="23"/>
  <c r="FP83" i="23"/>
  <c r="FP85" i="23"/>
  <c r="FP84" i="23"/>
  <c r="FP81" i="23"/>
  <c r="FP89" i="23"/>
  <c r="FP82" i="23"/>
  <c r="FP80" i="23"/>
  <c r="FP76" i="23"/>
  <c r="FP87" i="23"/>
  <c r="FP79" i="23"/>
  <c r="FP75" i="23"/>
  <c r="FP98" i="23"/>
  <c r="FP71" i="23"/>
  <c r="FP78" i="23"/>
  <c r="FP72" i="23"/>
  <c r="FP69" i="23"/>
  <c r="FP73" i="23"/>
  <c r="FP63" i="23"/>
  <c r="FP62" i="23"/>
  <c r="FP70" i="23"/>
  <c r="FP64" i="23"/>
  <c r="FP56" i="23"/>
  <c r="FP65" i="23"/>
  <c r="FP86" i="23"/>
  <c r="FP66" i="23"/>
  <c r="FP60" i="23"/>
  <c r="FP58" i="23"/>
  <c r="FP50" i="23"/>
  <c r="FP68" i="23"/>
  <c r="FP59" i="23"/>
  <c r="FP57" i="23"/>
  <c r="FP74" i="23"/>
  <c r="FP54" i="23"/>
  <c r="FP67" i="23"/>
  <c r="FP55" i="23"/>
  <c r="FP48" i="23"/>
  <c r="FP46" i="23"/>
  <c r="FP51" i="23"/>
  <c r="FP45" i="23"/>
  <c r="FP42" i="23"/>
  <c r="FP39" i="23"/>
  <c r="FP43" i="23"/>
  <c r="FP34" i="23"/>
  <c r="FP53" i="23"/>
  <c r="FP44" i="23"/>
  <c r="FP31" i="23"/>
  <c r="FP61" i="23"/>
  <c r="FP47" i="23"/>
  <c r="FP30" i="23"/>
  <c r="FP77" i="23"/>
  <c r="FP52" i="23"/>
  <c r="FP33" i="23"/>
  <c r="FP22" i="23"/>
  <c r="FP32" i="23"/>
  <c r="FP29" i="23"/>
  <c r="FP19" i="23"/>
  <c r="FP36" i="23"/>
  <c r="FP26" i="23"/>
  <c r="FP24" i="23"/>
  <c r="FP40" i="23"/>
  <c r="FP23" i="23"/>
  <c r="FP49" i="23"/>
  <c r="FP25" i="23"/>
  <c r="FP17" i="23"/>
  <c r="FP7" i="23"/>
  <c r="FP35" i="23"/>
  <c r="FP6" i="23"/>
  <c r="FP27" i="23"/>
  <c r="FP21" i="23"/>
  <c r="FP12" i="23"/>
  <c r="FP4" i="23"/>
  <c r="FP14" i="23"/>
  <c r="FP9" i="23"/>
  <c r="FP41" i="23"/>
  <c r="FP16" i="23"/>
  <c r="FP38" i="23"/>
  <c r="FP8" i="23"/>
  <c r="FQ2" i="23"/>
  <c r="FP28" i="23"/>
  <c r="FP18" i="23"/>
  <c r="FP15" i="23"/>
  <c r="FP13" i="23"/>
  <c r="FP11" i="23"/>
  <c r="FP20" i="23"/>
  <c r="FP10" i="23"/>
  <c r="FP5" i="23"/>
  <c r="FP37" i="23"/>
  <c r="FQ192" i="23" l="1"/>
  <c r="FQ131" i="23"/>
  <c r="FQ197" i="23"/>
  <c r="FQ176" i="23"/>
  <c r="FQ127" i="23"/>
  <c r="FQ200" i="23"/>
  <c r="FQ149" i="23"/>
  <c r="FQ146" i="23"/>
  <c r="FQ194" i="23"/>
  <c r="FQ159" i="23"/>
  <c r="FQ145" i="23"/>
  <c r="FQ164" i="23"/>
  <c r="FQ190" i="23"/>
  <c r="FQ209" i="23"/>
  <c r="FQ115" i="23"/>
  <c r="FQ205" i="23"/>
  <c r="FQ207" i="23"/>
  <c r="FQ195" i="23"/>
  <c r="FQ203" i="23"/>
  <c r="FQ208" i="23"/>
  <c r="FQ211" i="23"/>
  <c r="FQ193" i="23"/>
  <c r="FQ196" i="23"/>
  <c r="FQ204" i="23"/>
  <c r="FQ198" i="23"/>
  <c r="FQ199" i="23"/>
  <c r="FQ186" i="23"/>
  <c r="FQ187" i="23"/>
  <c r="FQ170" i="23"/>
  <c r="FQ206" i="23"/>
  <c r="FQ201" i="23"/>
  <c r="FQ210" i="23"/>
  <c r="FQ183" i="23"/>
  <c r="FQ184" i="23"/>
  <c r="FQ181" i="23"/>
  <c r="FQ174" i="23"/>
  <c r="FQ175" i="23"/>
  <c r="FQ212" i="23"/>
  <c r="FQ171" i="23"/>
  <c r="FQ178" i="23"/>
  <c r="FQ179" i="23"/>
  <c r="FQ163" i="23"/>
  <c r="FQ162" i="23"/>
  <c r="FQ168" i="23"/>
  <c r="FQ166" i="23"/>
  <c r="FQ150" i="23"/>
  <c r="FQ189" i="23"/>
  <c r="FQ148" i="23"/>
  <c r="FQ142" i="23"/>
  <c r="FQ188" i="23"/>
  <c r="FQ155" i="23"/>
  <c r="FQ152" i="23"/>
  <c r="FQ161" i="23"/>
  <c r="FQ153" i="23"/>
  <c r="FQ156" i="23"/>
  <c r="FQ151" i="23"/>
  <c r="FQ137" i="23"/>
  <c r="FQ167" i="23"/>
  <c r="FQ126" i="23"/>
  <c r="FQ135" i="23"/>
  <c r="FQ154" i="23"/>
  <c r="FQ182" i="23"/>
  <c r="FQ160" i="23"/>
  <c r="FQ138" i="23"/>
  <c r="FQ140" i="23"/>
  <c r="FQ123" i="23"/>
  <c r="FQ172" i="23"/>
  <c r="FQ173" i="23"/>
  <c r="FQ144" i="23"/>
  <c r="FQ128" i="23"/>
  <c r="FQ132" i="23"/>
  <c r="FQ117" i="23"/>
  <c r="FQ121" i="23"/>
  <c r="FQ133" i="23"/>
  <c r="FQ177" i="23"/>
  <c r="FQ165" i="23"/>
  <c r="FQ119" i="23"/>
  <c r="FQ118" i="23"/>
  <c r="FQ157" i="23"/>
  <c r="FQ141" i="23"/>
  <c r="FQ143" i="23"/>
  <c r="FQ129" i="23"/>
  <c r="FQ122" i="23"/>
  <c r="FQ134" i="23"/>
  <c r="FQ130" i="23"/>
  <c r="FQ116" i="23"/>
  <c r="FQ120" i="23"/>
  <c r="FQ139" i="23"/>
  <c r="FQ124" i="23"/>
  <c r="FQ185" i="23"/>
  <c r="FQ169" i="23"/>
  <c r="FQ136" i="23"/>
  <c r="FQ202" i="23"/>
  <c r="FQ180" i="23"/>
  <c r="FQ158" i="23"/>
  <c r="FQ191" i="23"/>
  <c r="FQ125" i="23"/>
  <c r="FQ114" i="23"/>
  <c r="FQ147" i="23"/>
  <c r="FQ112" i="23"/>
  <c r="FQ111" i="23"/>
  <c r="FQ108" i="23"/>
  <c r="FQ113" i="23"/>
  <c r="FQ110" i="23"/>
  <c r="FQ107" i="23"/>
  <c r="FQ105" i="23"/>
  <c r="FQ104" i="23"/>
  <c r="FQ102" i="23"/>
  <c r="FQ109" i="23"/>
  <c r="FQ103" i="23"/>
  <c r="FQ101" i="23"/>
  <c r="FQ99" i="23"/>
  <c r="FQ98" i="23"/>
  <c r="FQ100" i="23"/>
  <c r="FQ94" i="23"/>
  <c r="FQ93" i="23"/>
  <c r="FQ95" i="23"/>
  <c r="FQ96" i="23"/>
  <c r="FQ90" i="23"/>
  <c r="FQ89" i="23"/>
  <c r="FQ106" i="23"/>
  <c r="FQ92" i="23"/>
  <c r="FQ91" i="23"/>
  <c r="FQ87" i="23"/>
  <c r="FQ97" i="23"/>
  <c r="FQ88" i="23"/>
  <c r="FQ86" i="23"/>
  <c r="FQ81" i="23"/>
  <c r="FQ82" i="23"/>
  <c r="FQ80" i="23"/>
  <c r="FQ76" i="23"/>
  <c r="FQ73" i="23"/>
  <c r="FQ72" i="23"/>
  <c r="FQ79" i="23"/>
  <c r="FQ78" i="23"/>
  <c r="FQ75" i="23"/>
  <c r="FQ69" i="23"/>
  <c r="FQ84" i="23"/>
  <c r="FQ74" i="23"/>
  <c r="FQ68" i="23"/>
  <c r="FQ67" i="23"/>
  <c r="FQ65" i="23"/>
  <c r="FQ85" i="23"/>
  <c r="FQ71" i="23"/>
  <c r="FQ66" i="23"/>
  <c r="FQ60" i="23"/>
  <c r="FQ58" i="23"/>
  <c r="FQ55" i="23"/>
  <c r="FQ54" i="23"/>
  <c r="FQ62" i="23"/>
  <c r="FQ57" i="23"/>
  <c r="FQ48" i="23"/>
  <c r="FQ46" i="23"/>
  <c r="FQ70" i="23"/>
  <c r="FQ43" i="23"/>
  <c r="FQ52" i="23"/>
  <c r="FQ42" i="23"/>
  <c r="FQ83" i="23"/>
  <c r="FQ53" i="23"/>
  <c r="FQ44" i="23"/>
  <c r="FQ31" i="23"/>
  <c r="FQ77" i="23"/>
  <c r="FQ59" i="23"/>
  <c r="FQ40" i="23"/>
  <c r="FQ38" i="23"/>
  <c r="FQ36" i="23"/>
  <c r="FQ56" i="23"/>
  <c r="FQ49" i="23"/>
  <c r="FQ37" i="23"/>
  <c r="FQ35" i="23"/>
  <c r="FQ39" i="23"/>
  <c r="FQ32" i="23"/>
  <c r="FQ29" i="23"/>
  <c r="FQ19" i="23"/>
  <c r="FQ45" i="23"/>
  <c r="FQ30" i="23"/>
  <c r="FQ26" i="23"/>
  <c r="FQ24" i="23"/>
  <c r="FQ21" i="23"/>
  <c r="FQ63" i="23"/>
  <c r="FQ47" i="23"/>
  <c r="FQ20" i="23"/>
  <c r="FQ34" i="23"/>
  <c r="FQ27" i="23"/>
  <c r="FQ12" i="23"/>
  <c r="FQ4" i="23"/>
  <c r="FQ11" i="23"/>
  <c r="FQ9" i="23"/>
  <c r="FQ51" i="23"/>
  <c r="FQ41" i="23"/>
  <c r="FQ16" i="23"/>
  <c r="FQ14" i="23"/>
  <c r="FQ6" i="23"/>
  <c r="FQ50" i="23"/>
  <c r="FQ64" i="23"/>
  <c r="FQ33" i="23"/>
  <c r="FQ28" i="23"/>
  <c r="FQ18" i="23"/>
  <c r="FQ15" i="23"/>
  <c r="FQ13" i="23"/>
  <c r="FQ5" i="23"/>
  <c r="FQ61" i="23"/>
  <c r="FQ22" i="23"/>
  <c r="FQ7" i="23"/>
  <c r="FQ25" i="23"/>
  <c r="FQ8" i="23"/>
  <c r="FR2" i="23"/>
  <c r="FQ10" i="23"/>
  <c r="FQ17" i="23"/>
  <c r="FQ23" i="23"/>
  <c r="FR117" i="23" l="1"/>
  <c r="FR206" i="23"/>
  <c r="FR124" i="23"/>
  <c r="FR128" i="23"/>
  <c r="FR116" i="23"/>
  <c r="FR152" i="23"/>
  <c r="FR178" i="23"/>
  <c r="FR170" i="23"/>
  <c r="FR121" i="23"/>
  <c r="FR115" i="23"/>
  <c r="FR212" i="23"/>
  <c r="FR149" i="23"/>
  <c r="FR193" i="23"/>
  <c r="FR129" i="23"/>
  <c r="FR182" i="23"/>
  <c r="FR151" i="23"/>
  <c r="FR196" i="23"/>
  <c r="FR209" i="23"/>
  <c r="FR131" i="23"/>
  <c r="FR146" i="23"/>
  <c r="FR211" i="23"/>
  <c r="FR127" i="23"/>
  <c r="FR208" i="23"/>
  <c r="FR204" i="23"/>
  <c r="FR205" i="23"/>
  <c r="FR203" i="23"/>
  <c r="FR192" i="23"/>
  <c r="FR186" i="23"/>
  <c r="FR166" i="23"/>
  <c r="FR201" i="23"/>
  <c r="FR198" i="23"/>
  <c r="FR195" i="23"/>
  <c r="FR210" i="23"/>
  <c r="FR199" i="23"/>
  <c r="FR187" i="23"/>
  <c r="FR207" i="23"/>
  <c r="FR181" i="23"/>
  <c r="FR184" i="23"/>
  <c r="FR200" i="23"/>
  <c r="FR188" i="23"/>
  <c r="FR189" i="23"/>
  <c r="FR175" i="23"/>
  <c r="FR194" i="23"/>
  <c r="FR190" i="23"/>
  <c r="FR172" i="23"/>
  <c r="FR162" i="23"/>
  <c r="FR155" i="23"/>
  <c r="FR179" i="23"/>
  <c r="FR173" i="23"/>
  <c r="FR185" i="23"/>
  <c r="FR174" i="23"/>
  <c r="FR160" i="23"/>
  <c r="FR165" i="23"/>
  <c r="FR176" i="23"/>
  <c r="FR156" i="23"/>
  <c r="FR150" i="23"/>
  <c r="FR138" i="23"/>
  <c r="FR137" i="23"/>
  <c r="FR140" i="23"/>
  <c r="FR135" i="23"/>
  <c r="FR167" i="23"/>
  <c r="FR157" i="23"/>
  <c r="FR126" i="23"/>
  <c r="FR134" i="23"/>
  <c r="FR177" i="23"/>
  <c r="FR153" i="23"/>
  <c r="FR120" i="23"/>
  <c r="FR119" i="23"/>
  <c r="FR145" i="23"/>
  <c r="FR132" i="23"/>
  <c r="FR161" i="23"/>
  <c r="FR159" i="23"/>
  <c r="FR139" i="23"/>
  <c r="FR144" i="23"/>
  <c r="FR171" i="23"/>
  <c r="FR141" i="23"/>
  <c r="FR143" i="23"/>
  <c r="FR133" i="23"/>
  <c r="FR118" i="23"/>
  <c r="FR123" i="23"/>
  <c r="FR142" i="23"/>
  <c r="FR130" i="23"/>
  <c r="FR154" i="23"/>
  <c r="FR122" i="23"/>
  <c r="FR164" i="23"/>
  <c r="FR197" i="23"/>
  <c r="FR148" i="23"/>
  <c r="FR163" i="23"/>
  <c r="FR183" i="23"/>
  <c r="FR168" i="23"/>
  <c r="FR180" i="23"/>
  <c r="FR147" i="23"/>
  <c r="FR125" i="23"/>
  <c r="FR114" i="23"/>
  <c r="FR158" i="23"/>
  <c r="FR136" i="23"/>
  <c r="FR169" i="23"/>
  <c r="FR191" i="23"/>
  <c r="FR202" i="23"/>
  <c r="FR112" i="23"/>
  <c r="FR111" i="23"/>
  <c r="FR113" i="23"/>
  <c r="FR110" i="23"/>
  <c r="FR107" i="23"/>
  <c r="FR109" i="23"/>
  <c r="FR108" i="23"/>
  <c r="FR105" i="23"/>
  <c r="FR104" i="23"/>
  <c r="FR102" i="23"/>
  <c r="FR100" i="23"/>
  <c r="FR101" i="23"/>
  <c r="FR106" i="23"/>
  <c r="FR96" i="23"/>
  <c r="FR92" i="23"/>
  <c r="FR103" i="23"/>
  <c r="FR97" i="23"/>
  <c r="FR99" i="23"/>
  <c r="FR93" i="23"/>
  <c r="FR91" i="23"/>
  <c r="FR90" i="23"/>
  <c r="FR98" i="23"/>
  <c r="FR83" i="23"/>
  <c r="FR94" i="23"/>
  <c r="FR88" i="23"/>
  <c r="FR82" i="23"/>
  <c r="FR80" i="23"/>
  <c r="FR86" i="23"/>
  <c r="FR81" i="23"/>
  <c r="FR79" i="23"/>
  <c r="FR89" i="23"/>
  <c r="FR78" i="23"/>
  <c r="FR70" i="23"/>
  <c r="FR85" i="23"/>
  <c r="FR84" i="23"/>
  <c r="FR77" i="23"/>
  <c r="FR76" i="23"/>
  <c r="FR72" i="23"/>
  <c r="FR74" i="23"/>
  <c r="FR73" i="23"/>
  <c r="FR65" i="23"/>
  <c r="FR87" i="23"/>
  <c r="FR64" i="23"/>
  <c r="FR71" i="23"/>
  <c r="FR66" i="23"/>
  <c r="FR60" i="23"/>
  <c r="FR58" i="23"/>
  <c r="FR55" i="23"/>
  <c r="FR75" i="23"/>
  <c r="FR69" i="23"/>
  <c r="FR67" i="23"/>
  <c r="FR52" i="23"/>
  <c r="FR63" i="23"/>
  <c r="FR61" i="23"/>
  <c r="FR51" i="23"/>
  <c r="FR57" i="23"/>
  <c r="FR48" i="23"/>
  <c r="FR46" i="23"/>
  <c r="FR59" i="23"/>
  <c r="FR56" i="23"/>
  <c r="FR50" i="23"/>
  <c r="FR95" i="23"/>
  <c r="FR53" i="23"/>
  <c r="FR49" i="23"/>
  <c r="FR47" i="23"/>
  <c r="FR62" i="23"/>
  <c r="FR44" i="23"/>
  <c r="FR43" i="23"/>
  <c r="FR68" i="23"/>
  <c r="FR40" i="23"/>
  <c r="FR38" i="23"/>
  <c r="FR36" i="23"/>
  <c r="FR45" i="23"/>
  <c r="FR33" i="23"/>
  <c r="FR41" i="23"/>
  <c r="FR32" i="23"/>
  <c r="FR30" i="23"/>
  <c r="FR26" i="23"/>
  <c r="FR24" i="23"/>
  <c r="FR54" i="23"/>
  <c r="FR31" i="23"/>
  <c r="FR21" i="23"/>
  <c r="FR28" i="23"/>
  <c r="FR37" i="23"/>
  <c r="FR27" i="23"/>
  <c r="FR25" i="23"/>
  <c r="FR9" i="23"/>
  <c r="FS2" i="23"/>
  <c r="FR16" i="23"/>
  <c r="FR14" i="23"/>
  <c r="FR6" i="23"/>
  <c r="FR29" i="23"/>
  <c r="FR20" i="23"/>
  <c r="FR42" i="23"/>
  <c r="FR35" i="23"/>
  <c r="FR11" i="23"/>
  <c r="FR23" i="23"/>
  <c r="FR8" i="23"/>
  <c r="FR22" i="23"/>
  <c r="FR10" i="23"/>
  <c r="FR19" i="23"/>
  <c r="FR17" i="23"/>
  <c r="FR34" i="23"/>
  <c r="FR39" i="23"/>
  <c r="FR13" i="23"/>
  <c r="FR5" i="23"/>
  <c r="FR7" i="23"/>
  <c r="FR15" i="23"/>
  <c r="FR12" i="23"/>
  <c r="FR4" i="23"/>
  <c r="FR18" i="23"/>
  <c r="FS143" i="23" l="1"/>
  <c r="FS195" i="23"/>
  <c r="FS124" i="23"/>
  <c r="FS134" i="23"/>
  <c r="FS206" i="23"/>
  <c r="FS121" i="23"/>
  <c r="FS210" i="23"/>
  <c r="FS151" i="23"/>
  <c r="FS203" i="23"/>
  <c r="FS197" i="23"/>
  <c r="FS122" i="23"/>
  <c r="FS149" i="23"/>
  <c r="FS170" i="23"/>
  <c r="FS133" i="23"/>
  <c r="FS157" i="23"/>
  <c r="FS116" i="23"/>
  <c r="FS154" i="23"/>
  <c r="FS193" i="23"/>
  <c r="FS166" i="23"/>
  <c r="FS164" i="23"/>
  <c r="FS126" i="23"/>
  <c r="FS165" i="23"/>
  <c r="FS173" i="23"/>
  <c r="FS178" i="23"/>
  <c r="FS145" i="23"/>
  <c r="FS194" i="23"/>
  <c r="FS209" i="23"/>
  <c r="FS205" i="23"/>
  <c r="FS211" i="23"/>
  <c r="FS207" i="23"/>
  <c r="FS196" i="23"/>
  <c r="FS182" i="23"/>
  <c r="FS199" i="23"/>
  <c r="FS192" i="23"/>
  <c r="FS198" i="23"/>
  <c r="FS181" i="23"/>
  <c r="FS183" i="23"/>
  <c r="FS212" i="23"/>
  <c r="FS200" i="23"/>
  <c r="FS186" i="23"/>
  <c r="FS184" i="23"/>
  <c r="FS185" i="23"/>
  <c r="FS188" i="23"/>
  <c r="FS190" i="23"/>
  <c r="FS171" i="23"/>
  <c r="FS174" i="23"/>
  <c r="FS208" i="23"/>
  <c r="FS179" i="23"/>
  <c r="FS177" i="23"/>
  <c r="FS172" i="23"/>
  <c r="FS155" i="23"/>
  <c r="FS187" i="23"/>
  <c r="FS175" i="23"/>
  <c r="FS162" i="23"/>
  <c r="FS160" i="23"/>
  <c r="FS150" i="23"/>
  <c r="FS156" i="23"/>
  <c r="FS152" i="23"/>
  <c r="FS148" i="23"/>
  <c r="FS137" i="23"/>
  <c r="FS140" i="23"/>
  <c r="FS176" i="23"/>
  <c r="FS167" i="23"/>
  <c r="FS141" i="23"/>
  <c r="FS138" i="23"/>
  <c r="FS129" i="23"/>
  <c r="FS189" i="23"/>
  <c r="FS168" i="23"/>
  <c r="FS130" i="23"/>
  <c r="FS159" i="23"/>
  <c r="FS128" i="23"/>
  <c r="FS115" i="23"/>
  <c r="FS142" i="23"/>
  <c r="FS144" i="23"/>
  <c r="FS132" i="23"/>
  <c r="FS131" i="23"/>
  <c r="FS201" i="23"/>
  <c r="FS153" i="23"/>
  <c r="FS127" i="23"/>
  <c r="FS119" i="23"/>
  <c r="FS123" i="23"/>
  <c r="FS139" i="23"/>
  <c r="FS117" i="23"/>
  <c r="FS120" i="23"/>
  <c r="FS146" i="23"/>
  <c r="FS135" i="23"/>
  <c r="FS118" i="23"/>
  <c r="FS161" i="23"/>
  <c r="FS163" i="23"/>
  <c r="FS202" i="23"/>
  <c r="FS136" i="23"/>
  <c r="FS180" i="23"/>
  <c r="FS191" i="23"/>
  <c r="FS204" i="23"/>
  <c r="FS147" i="23"/>
  <c r="FS114" i="23"/>
  <c r="FS158" i="23"/>
  <c r="FS125" i="23"/>
  <c r="FS169" i="23"/>
  <c r="FS113" i="23"/>
  <c r="FS111" i="23"/>
  <c r="FS110" i="23"/>
  <c r="FS109" i="23"/>
  <c r="FS108" i="23"/>
  <c r="FS106" i="23"/>
  <c r="FS107" i="23"/>
  <c r="FS105" i="23"/>
  <c r="FS112" i="23"/>
  <c r="FS103" i="23"/>
  <c r="FS101" i="23"/>
  <c r="FS100" i="23"/>
  <c r="FS97" i="23"/>
  <c r="FS96" i="23"/>
  <c r="FS95" i="23"/>
  <c r="FS98" i="23"/>
  <c r="FS102" i="23"/>
  <c r="FS99" i="23"/>
  <c r="FS93" i="23"/>
  <c r="FS91" i="23"/>
  <c r="FS92" i="23"/>
  <c r="FS94" i="23"/>
  <c r="FS88" i="23"/>
  <c r="FS90" i="23"/>
  <c r="FS85" i="23"/>
  <c r="FS84" i="23"/>
  <c r="FS89" i="23"/>
  <c r="FS87" i="23"/>
  <c r="FS82" i="23"/>
  <c r="FS80" i="23"/>
  <c r="FS78" i="23"/>
  <c r="FS75" i="23"/>
  <c r="FS104" i="23"/>
  <c r="FS74" i="23"/>
  <c r="FS81" i="23"/>
  <c r="FS73" i="23"/>
  <c r="FS68" i="23"/>
  <c r="FS77" i="23"/>
  <c r="FS62" i="23"/>
  <c r="FS71" i="23"/>
  <c r="FS70" i="23"/>
  <c r="FS79" i="23"/>
  <c r="FS86" i="23"/>
  <c r="FS69" i="23"/>
  <c r="FS67" i="23"/>
  <c r="FS59" i="23"/>
  <c r="FS57" i="23"/>
  <c r="FS76" i="23"/>
  <c r="FS56" i="23"/>
  <c r="FS60" i="23"/>
  <c r="FS55" i="23"/>
  <c r="FS50" i="23"/>
  <c r="FS65" i="23"/>
  <c r="FS45" i="23"/>
  <c r="FS61" i="23"/>
  <c r="FS44" i="23"/>
  <c r="FS53" i="23"/>
  <c r="FS48" i="23"/>
  <c r="FS40" i="23"/>
  <c r="FS38" i="23"/>
  <c r="FS36" i="23"/>
  <c r="FS66" i="23"/>
  <c r="FS58" i="23"/>
  <c r="FS33" i="23"/>
  <c r="FS51" i="23"/>
  <c r="FS30" i="23"/>
  <c r="FS39" i="23"/>
  <c r="FS52" i="23"/>
  <c r="FS83" i="23"/>
  <c r="FS64" i="23"/>
  <c r="FS54" i="23"/>
  <c r="FS31" i="23"/>
  <c r="FS21" i="23"/>
  <c r="FS72" i="23"/>
  <c r="FS43" i="23"/>
  <c r="FS28" i="23"/>
  <c r="FS18" i="23"/>
  <c r="FS41" i="23"/>
  <c r="FS23" i="23"/>
  <c r="FS49" i="23"/>
  <c r="FS42" i="23"/>
  <c r="FS35" i="23"/>
  <c r="FS34" i="23"/>
  <c r="FS22" i="23"/>
  <c r="FS16" i="23"/>
  <c r="FS14" i="23"/>
  <c r="FS6" i="23"/>
  <c r="FS37" i="23"/>
  <c r="FS26" i="23"/>
  <c r="FS13" i="23"/>
  <c r="FS11" i="23"/>
  <c r="FS5" i="23"/>
  <c r="FS32" i="23"/>
  <c r="FS29" i="23"/>
  <c r="FS24" i="23"/>
  <c r="FS20" i="23"/>
  <c r="FS8" i="23"/>
  <c r="FT2" i="23"/>
  <c r="FS15" i="23"/>
  <c r="FS47" i="23"/>
  <c r="FS19" i="23"/>
  <c r="FS17" i="23"/>
  <c r="FS7" i="23"/>
  <c r="FS25" i="23"/>
  <c r="FS12" i="23"/>
  <c r="FS27" i="23"/>
  <c r="FS9" i="23"/>
  <c r="FS10" i="23"/>
  <c r="FS46" i="23"/>
  <c r="FS4" i="23"/>
  <c r="FS63" i="23"/>
  <c r="FT197" i="23" l="1"/>
  <c r="FT128" i="23"/>
  <c r="FT164" i="23"/>
  <c r="FT200" i="23"/>
  <c r="FT207" i="23"/>
  <c r="FT166" i="23"/>
  <c r="FT185" i="23"/>
  <c r="FT152" i="23"/>
  <c r="FT212" i="23"/>
  <c r="FT144" i="23"/>
  <c r="FT117" i="23"/>
  <c r="FT168" i="23"/>
  <c r="FT149" i="23"/>
  <c r="FT193" i="23"/>
  <c r="FT145" i="23"/>
  <c r="FT208" i="23"/>
  <c r="FT194" i="23"/>
  <c r="FT206" i="23"/>
  <c r="FT189" i="23"/>
  <c r="FT195" i="23"/>
  <c r="FT209" i="23"/>
  <c r="FT205" i="23"/>
  <c r="FT192" i="23"/>
  <c r="FT203" i="23"/>
  <c r="FT210" i="23"/>
  <c r="FT204" i="23"/>
  <c r="FT211" i="23"/>
  <c r="FT199" i="23"/>
  <c r="FT196" i="23"/>
  <c r="FT187" i="23"/>
  <c r="FT184" i="23"/>
  <c r="FT186" i="23"/>
  <c r="FT173" i="23"/>
  <c r="FT201" i="23"/>
  <c r="FT181" i="23"/>
  <c r="FT198" i="23"/>
  <c r="FT182" i="23"/>
  <c r="FT183" i="23"/>
  <c r="FT172" i="23"/>
  <c r="FT171" i="23"/>
  <c r="FT188" i="23"/>
  <c r="FT179" i="23"/>
  <c r="FT159" i="23"/>
  <c r="FT163" i="23"/>
  <c r="FT175" i="23"/>
  <c r="FT170" i="23"/>
  <c r="FT162" i="23"/>
  <c r="FT155" i="23"/>
  <c r="FT154" i="23"/>
  <c r="FT190" i="23"/>
  <c r="FT161" i="23"/>
  <c r="FT167" i="23"/>
  <c r="FT174" i="23"/>
  <c r="FT178" i="23"/>
  <c r="FT150" i="23"/>
  <c r="FT148" i="23"/>
  <c r="FT139" i="23"/>
  <c r="FT176" i="23"/>
  <c r="FT143" i="23"/>
  <c r="FT146" i="23"/>
  <c r="FT127" i="23"/>
  <c r="FT129" i="23"/>
  <c r="FT160" i="23"/>
  <c r="FT165" i="23"/>
  <c r="FT153" i="23"/>
  <c r="FT157" i="23"/>
  <c r="FT141" i="23"/>
  <c r="FT137" i="23"/>
  <c r="FT135" i="23"/>
  <c r="FT138" i="23"/>
  <c r="FT156" i="23"/>
  <c r="FT142" i="23"/>
  <c r="FT131" i="23"/>
  <c r="FT122" i="23"/>
  <c r="FT124" i="23"/>
  <c r="FT177" i="23"/>
  <c r="FT130" i="23"/>
  <c r="FT134" i="23"/>
  <c r="FT120" i="23"/>
  <c r="FT151" i="23"/>
  <c r="FT133" i="23"/>
  <c r="FT118" i="23"/>
  <c r="FT123" i="23"/>
  <c r="FT119" i="23"/>
  <c r="FT121" i="23"/>
  <c r="FT140" i="23"/>
  <c r="FT115" i="23"/>
  <c r="FT116" i="23"/>
  <c r="FT132" i="23"/>
  <c r="FT126" i="23"/>
  <c r="FT180" i="23"/>
  <c r="FT147" i="23"/>
  <c r="FT136" i="23"/>
  <c r="FT125" i="23"/>
  <c r="FT114" i="23"/>
  <c r="FT169" i="23"/>
  <c r="FT191" i="23"/>
  <c r="FT158" i="23"/>
  <c r="FT202" i="23"/>
  <c r="FT111" i="23"/>
  <c r="FT112" i="23"/>
  <c r="FT107" i="23"/>
  <c r="FT113" i="23"/>
  <c r="FT109" i="23"/>
  <c r="FT110" i="23"/>
  <c r="FT103" i="23"/>
  <c r="FT101" i="23"/>
  <c r="FT106" i="23"/>
  <c r="FT108" i="23"/>
  <c r="FT105" i="23"/>
  <c r="FT98" i="23"/>
  <c r="FT104" i="23"/>
  <c r="FT102" i="23"/>
  <c r="FT97" i="23"/>
  <c r="FT93" i="23"/>
  <c r="FT92" i="23"/>
  <c r="FT96" i="23"/>
  <c r="FT89" i="23"/>
  <c r="FT94" i="23"/>
  <c r="FT88" i="23"/>
  <c r="FT91" i="23"/>
  <c r="FT95" i="23"/>
  <c r="FT86" i="23"/>
  <c r="FT85" i="23"/>
  <c r="FT99" i="23"/>
  <c r="FT90" i="23"/>
  <c r="FT100" i="23"/>
  <c r="FT78" i="23"/>
  <c r="FT75" i="23"/>
  <c r="FT79" i="23"/>
  <c r="FT72" i="23"/>
  <c r="FT83" i="23"/>
  <c r="FT71" i="23"/>
  <c r="FT69" i="23"/>
  <c r="FT84" i="23"/>
  <c r="FT74" i="23"/>
  <c r="FT77" i="23"/>
  <c r="FT67" i="23"/>
  <c r="FT80" i="23"/>
  <c r="FT66" i="23"/>
  <c r="FT73" i="23"/>
  <c r="FT59" i="23"/>
  <c r="FT57" i="23"/>
  <c r="FT62" i="23"/>
  <c r="FT54" i="23"/>
  <c r="FT81" i="23"/>
  <c r="FT64" i="23"/>
  <c r="FT53" i="23"/>
  <c r="FT82" i="23"/>
  <c r="FT60" i="23"/>
  <c r="FT55" i="23"/>
  <c r="FT50" i="23"/>
  <c r="FT76" i="23"/>
  <c r="FT70" i="23"/>
  <c r="FT65" i="23"/>
  <c r="FT56" i="23"/>
  <c r="FT63" i="23"/>
  <c r="FT51" i="23"/>
  <c r="FT42" i="23"/>
  <c r="FT41" i="23"/>
  <c r="FT68" i="23"/>
  <c r="FT58" i="23"/>
  <c r="FT45" i="23"/>
  <c r="FT30" i="23"/>
  <c r="FT47" i="23"/>
  <c r="FT37" i="23"/>
  <c r="FT35" i="23"/>
  <c r="FT52" i="23"/>
  <c r="FT34" i="23"/>
  <c r="FT87" i="23"/>
  <c r="FT43" i="23"/>
  <c r="FT28" i="23"/>
  <c r="FT36" i="23"/>
  <c r="FT23" i="23"/>
  <c r="FT61" i="23"/>
  <c r="FT38" i="23"/>
  <c r="FT20" i="23"/>
  <c r="FT48" i="23"/>
  <c r="FT44" i="23"/>
  <c r="FT29" i="23"/>
  <c r="FT19" i="23"/>
  <c r="FT21" i="23"/>
  <c r="FT11" i="23"/>
  <c r="FT39" i="23"/>
  <c r="FT40" i="23"/>
  <c r="FT32" i="23"/>
  <c r="FT24" i="23"/>
  <c r="FT8" i="23"/>
  <c r="FU2" i="23"/>
  <c r="FT10" i="23"/>
  <c r="FT26" i="23"/>
  <c r="FT15" i="23"/>
  <c r="FT13" i="23"/>
  <c r="FT5" i="23"/>
  <c r="FT18" i="23"/>
  <c r="FT25" i="23"/>
  <c r="FT12" i="23"/>
  <c r="FT4" i="23"/>
  <c r="FT46" i="23"/>
  <c r="FT31" i="23"/>
  <c r="FT27" i="23"/>
  <c r="FT14" i="23"/>
  <c r="FT17" i="23"/>
  <c r="FT6" i="23"/>
  <c r="FT33" i="23"/>
  <c r="FT22" i="23"/>
  <c r="FT16" i="23"/>
  <c r="FT7" i="23"/>
  <c r="FT49" i="23"/>
  <c r="FT9" i="23"/>
  <c r="FU210" i="23" l="1"/>
  <c r="FU189" i="23"/>
  <c r="FU164" i="23"/>
  <c r="FU173" i="23"/>
  <c r="FU115" i="23"/>
  <c r="FU124" i="23"/>
  <c r="FU199" i="23"/>
  <c r="FU128" i="23"/>
  <c r="FU142" i="23"/>
  <c r="FU188" i="23"/>
  <c r="FU167" i="23"/>
  <c r="FU209" i="23"/>
  <c r="FU143" i="23"/>
  <c r="FU208" i="23"/>
  <c r="FU205" i="23"/>
  <c r="FU196" i="23"/>
  <c r="FU211" i="23"/>
  <c r="FU206" i="23"/>
  <c r="FU194" i="23"/>
  <c r="FU195" i="23"/>
  <c r="FU193" i="23"/>
  <c r="FU212" i="23"/>
  <c r="FU192" i="23"/>
  <c r="FU144" i="23"/>
  <c r="FU203" i="23"/>
  <c r="FU201" i="23"/>
  <c r="FU207" i="23"/>
  <c r="FU200" i="23"/>
  <c r="FU204" i="23"/>
  <c r="FU198" i="23"/>
  <c r="FU182" i="23"/>
  <c r="FU186" i="23"/>
  <c r="FU190" i="23"/>
  <c r="FU185" i="23"/>
  <c r="FU171" i="23"/>
  <c r="FU177" i="23"/>
  <c r="FU175" i="23"/>
  <c r="FU174" i="23"/>
  <c r="FU170" i="23"/>
  <c r="FU161" i="23"/>
  <c r="FU184" i="23"/>
  <c r="FU166" i="23"/>
  <c r="FU150" i="23"/>
  <c r="FU152" i="23"/>
  <c r="FU197" i="23"/>
  <c r="FU159" i="23"/>
  <c r="FU156" i="23"/>
  <c r="FU153" i="23"/>
  <c r="FU163" i="23"/>
  <c r="FU155" i="23"/>
  <c r="FU178" i="23"/>
  <c r="FU141" i="23"/>
  <c r="FU139" i="23"/>
  <c r="FU132" i="23"/>
  <c r="FU187" i="23"/>
  <c r="FU162" i="23"/>
  <c r="FU154" i="23"/>
  <c r="FU149" i="23"/>
  <c r="FU135" i="23"/>
  <c r="FU148" i="23"/>
  <c r="FU123" i="23"/>
  <c r="FU172" i="23"/>
  <c r="FU176" i="23"/>
  <c r="FU157" i="23"/>
  <c r="FU129" i="23"/>
  <c r="FU181" i="23"/>
  <c r="FU183" i="23"/>
  <c r="FU145" i="23"/>
  <c r="FU119" i="23"/>
  <c r="FU121" i="23"/>
  <c r="FU118" i="23"/>
  <c r="FU127" i="23"/>
  <c r="FU137" i="23"/>
  <c r="FU131" i="23"/>
  <c r="FU133" i="23"/>
  <c r="FU120" i="23"/>
  <c r="FU117" i="23"/>
  <c r="FU179" i="23"/>
  <c r="FU134" i="23"/>
  <c r="FU165" i="23"/>
  <c r="FU140" i="23"/>
  <c r="FU146" i="23"/>
  <c r="FU126" i="23"/>
  <c r="FU130" i="23"/>
  <c r="FU168" i="23"/>
  <c r="FU138" i="23"/>
  <c r="FU116" i="23"/>
  <c r="FU160" i="23"/>
  <c r="FU151" i="23"/>
  <c r="FU122" i="23"/>
  <c r="FU125" i="23"/>
  <c r="FU191" i="23"/>
  <c r="FU147" i="23"/>
  <c r="FU202" i="23"/>
  <c r="FU180" i="23"/>
  <c r="FU158" i="23"/>
  <c r="FU136" i="23"/>
  <c r="FU169" i="23"/>
  <c r="FU114" i="23"/>
  <c r="FU111" i="23"/>
  <c r="FU113" i="23"/>
  <c r="FU110" i="23"/>
  <c r="FU112" i="23"/>
  <c r="FU108" i="23"/>
  <c r="FU109" i="23"/>
  <c r="FU107" i="23"/>
  <c r="FU106" i="23"/>
  <c r="FU101" i="23"/>
  <c r="FU105" i="23"/>
  <c r="FU99" i="23"/>
  <c r="FU98" i="23"/>
  <c r="FU104" i="23"/>
  <c r="FU95" i="23"/>
  <c r="FU102" i="23"/>
  <c r="FU88" i="23"/>
  <c r="FU103" i="23"/>
  <c r="FU94" i="23"/>
  <c r="FU93" i="23"/>
  <c r="FU92" i="23"/>
  <c r="FU90" i="23"/>
  <c r="FU91" i="23"/>
  <c r="FU81" i="23"/>
  <c r="FU97" i="23"/>
  <c r="FU100" i="23"/>
  <c r="FU89" i="23"/>
  <c r="FU79" i="23"/>
  <c r="FU87" i="23"/>
  <c r="FU86" i="23"/>
  <c r="FU77" i="23"/>
  <c r="FU76" i="23"/>
  <c r="FU83" i="23"/>
  <c r="FU64" i="23"/>
  <c r="FU96" i="23"/>
  <c r="FU85" i="23"/>
  <c r="FU69" i="23"/>
  <c r="FU63" i="23"/>
  <c r="FU84" i="23"/>
  <c r="FU67" i="23"/>
  <c r="FU59" i="23"/>
  <c r="FU57" i="23"/>
  <c r="FU75" i="23"/>
  <c r="FU62" i="23"/>
  <c r="FU68" i="23"/>
  <c r="FU61" i="23"/>
  <c r="FU51" i="23"/>
  <c r="FU78" i="23"/>
  <c r="FU70" i="23"/>
  <c r="FU65" i="23"/>
  <c r="FU60" i="23"/>
  <c r="FU58" i="23"/>
  <c r="FU50" i="23"/>
  <c r="FU73" i="23"/>
  <c r="FU71" i="23"/>
  <c r="FU56" i="23"/>
  <c r="FU52" i="23"/>
  <c r="FU49" i="23"/>
  <c r="FU47" i="23"/>
  <c r="FU66" i="23"/>
  <c r="FU54" i="23"/>
  <c r="FU48" i="23"/>
  <c r="FU46" i="23"/>
  <c r="FU45" i="23"/>
  <c r="FU82" i="23"/>
  <c r="FU80" i="23"/>
  <c r="FU37" i="23"/>
  <c r="FU35" i="23"/>
  <c r="FU32" i="23"/>
  <c r="FU43" i="23"/>
  <c r="FU42" i="23"/>
  <c r="FU31" i="23"/>
  <c r="FU74" i="23"/>
  <c r="FU72" i="23"/>
  <c r="FU55" i="23"/>
  <c r="FU53" i="23"/>
  <c r="FU36" i="23"/>
  <c r="FU23" i="23"/>
  <c r="FU41" i="23"/>
  <c r="FU38" i="23"/>
  <c r="FU20" i="23"/>
  <c r="FU27" i="23"/>
  <c r="FU25" i="23"/>
  <c r="FU39" i="23"/>
  <c r="FU33" i="23"/>
  <c r="FU26" i="23"/>
  <c r="FU24" i="23"/>
  <c r="FU40" i="23"/>
  <c r="FU8" i="23"/>
  <c r="FV2" i="23"/>
  <c r="FU17" i="23"/>
  <c r="FU7" i="23"/>
  <c r="FU29" i="23"/>
  <c r="FU15" i="23"/>
  <c r="FU13" i="23"/>
  <c r="FU5" i="23"/>
  <c r="FU22" i="23"/>
  <c r="FU30" i="23"/>
  <c r="FU18" i="23"/>
  <c r="FU10" i="23"/>
  <c r="FU44" i="23"/>
  <c r="FU9" i="23"/>
  <c r="FU34" i="23"/>
  <c r="FU16" i="23"/>
  <c r="FU14" i="23"/>
  <c r="FU21" i="23"/>
  <c r="FU6" i="23"/>
  <c r="FU4" i="23"/>
  <c r="FU11" i="23"/>
  <c r="FU19" i="23"/>
  <c r="FU12" i="23"/>
  <c r="FU28" i="23"/>
  <c r="FV166" i="23" l="1"/>
  <c r="FV209" i="23"/>
  <c r="FV192" i="23"/>
  <c r="FV201" i="23"/>
  <c r="FV127" i="23"/>
  <c r="FV131" i="23"/>
  <c r="FV124" i="23"/>
  <c r="FV164" i="23"/>
  <c r="FV181" i="23"/>
  <c r="FV168" i="23"/>
  <c r="FV204" i="23"/>
  <c r="FV205" i="23"/>
  <c r="FV174" i="23"/>
  <c r="FV207" i="23"/>
  <c r="FV211" i="23"/>
  <c r="FV193" i="23"/>
  <c r="FV195" i="23"/>
  <c r="FV188" i="23"/>
  <c r="FV210" i="23"/>
  <c r="FV198" i="23"/>
  <c r="FV197" i="23"/>
  <c r="FV199" i="23"/>
  <c r="FV212" i="23"/>
  <c r="FV208" i="23"/>
  <c r="FV206" i="23"/>
  <c r="FV196" i="23"/>
  <c r="FV194" i="23"/>
  <c r="FV186" i="23"/>
  <c r="FV183" i="23"/>
  <c r="FV185" i="23"/>
  <c r="FV176" i="23"/>
  <c r="FV200" i="23"/>
  <c r="FV161" i="23"/>
  <c r="FV167" i="23"/>
  <c r="FV153" i="23"/>
  <c r="FV156" i="23"/>
  <c r="FV178" i="23"/>
  <c r="FV160" i="23"/>
  <c r="FV154" i="23"/>
  <c r="FV149" i="23"/>
  <c r="FV187" i="23"/>
  <c r="FV189" i="23"/>
  <c r="FV165" i="23"/>
  <c r="FV151" i="23"/>
  <c r="FV141" i="23"/>
  <c r="FV203" i="23"/>
  <c r="FV172" i="23"/>
  <c r="FV175" i="23"/>
  <c r="FV142" i="23"/>
  <c r="FV139" i="23"/>
  <c r="FV144" i="23"/>
  <c r="FV170" i="23"/>
  <c r="FV173" i="23"/>
  <c r="FV155" i="23"/>
  <c r="FV152" i="23"/>
  <c r="FV146" i="23"/>
  <c r="FV130" i="23"/>
  <c r="FV190" i="23"/>
  <c r="FV163" i="23"/>
  <c r="FV145" i="23"/>
  <c r="FV126" i="23"/>
  <c r="FV128" i="23"/>
  <c r="FV134" i="23"/>
  <c r="FV171" i="23"/>
  <c r="FV177" i="23"/>
  <c r="FV179" i="23"/>
  <c r="FV135" i="23"/>
  <c r="FV129" i="23"/>
  <c r="FV120" i="23"/>
  <c r="FV121" i="23"/>
  <c r="FV159" i="23"/>
  <c r="FV150" i="23"/>
  <c r="FV133" i="23"/>
  <c r="FV132" i="23"/>
  <c r="FV117" i="23"/>
  <c r="FV148" i="23"/>
  <c r="FV140" i="23"/>
  <c r="FV143" i="23"/>
  <c r="FV162" i="23"/>
  <c r="FV138" i="23"/>
  <c r="FV137" i="23"/>
  <c r="FV115" i="23"/>
  <c r="FV116" i="23"/>
  <c r="FV157" i="23"/>
  <c r="FV122" i="23"/>
  <c r="FV182" i="23"/>
  <c r="FV184" i="23"/>
  <c r="FV123" i="23"/>
  <c r="FV119" i="23"/>
  <c r="FV118" i="23"/>
  <c r="FV202" i="23"/>
  <c r="FV169" i="23"/>
  <c r="FV158" i="23"/>
  <c r="FV191" i="23"/>
  <c r="FV147" i="23"/>
  <c r="FV125" i="23"/>
  <c r="FV136" i="23"/>
  <c r="FV114" i="23"/>
  <c r="FV180" i="23"/>
  <c r="FV113" i="23"/>
  <c r="FV112" i="23"/>
  <c r="FV110" i="23"/>
  <c r="FV109" i="23"/>
  <c r="FV108" i="23"/>
  <c r="FV107" i="23"/>
  <c r="FV106" i="23"/>
  <c r="FV111" i="23"/>
  <c r="FV105" i="23"/>
  <c r="FV104" i="23"/>
  <c r="FV102" i="23"/>
  <c r="FV100" i="23"/>
  <c r="FV99" i="23"/>
  <c r="FV101" i="23"/>
  <c r="FV103" i="23"/>
  <c r="FV95" i="23"/>
  <c r="FV94" i="23"/>
  <c r="FV98" i="23"/>
  <c r="FV91" i="23"/>
  <c r="FV90" i="23"/>
  <c r="FV89" i="23"/>
  <c r="FV87" i="23"/>
  <c r="FV86" i="23"/>
  <c r="FV96" i="23"/>
  <c r="FV83" i="23"/>
  <c r="FV79" i="23"/>
  <c r="FV97" i="23"/>
  <c r="FV77" i="23"/>
  <c r="FV84" i="23"/>
  <c r="FV74" i="23"/>
  <c r="FV82" i="23"/>
  <c r="FV81" i="23"/>
  <c r="FV80" i="23"/>
  <c r="FV73" i="23"/>
  <c r="FV93" i="23"/>
  <c r="FV92" i="23"/>
  <c r="FV70" i="23"/>
  <c r="FV88" i="23"/>
  <c r="FV76" i="23"/>
  <c r="FV75" i="23"/>
  <c r="FV72" i="23"/>
  <c r="FV68" i="23"/>
  <c r="FV85" i="23"/>
  <c r="FV69" i="23"/>
  <c r="FV62" i="23"/>
  <c r="FV61" i="23"/>
  <c r="FV63" i="23"/>
  <c r="FV56" i="23"/>
  <c r="FV66" i="23"/>
  <c r="FV55" i="23"/>
  <c r="FV65" i="23"/>
  <c r="FV67" i="23"/>
  <c r="FV59" i="23"/>
  <c r="FV52" i="23"/>
  <c r="FV51" i="23"/>
  <c r="FV49" i="23"/>
  <c r="FV47" i="23"/>
  <c r="FV53" i="23"/>
  <c r="FV44" i="23"/>
  <c r="FV64" i="23"/>
  <c r="FV58" i="23"/>
  <c r="FV43" i="23"/>
  <c r="FV37" i="23"/>
  <c r="FV71" i="23"/>
  <c r="FV32" i="23"/>
  <c r="FV78" i="23"/>
  <c r="FV54" i="23"/>
  <c r="FV41" i="23"/>
  <c r="FV39" i="23"/>
  <c r="FV50" i="23"/>
  <c r="FV46" i="23"/>
  <c r="FV40" i="23"/>
  <c r="FV38" i="23"/>
  <c r="FV36" i="23"/>
  <c r="FV60" i="23"/>
  <c r="FV57" i="23"/>
  <c r="FV45" i="23"/>
  <c r="FV20" i="23"/>
  <c r="FV27" i="23"/>
  <c r="FV25" i="23"/>
  <c r="FV22" i="23"/>
  <c r="FV21" i="23"/>
  <c r="FV29" i="23"/>
  <c r="FV24" i="23"/>
  <c r="FV15" i="23"/>
  <c r="FV13" i="23"/>
  <c r="FV5" i="23"/>
  <c r="FV19" i="23"/>
  <c r="FV42" i="23"/>
  <c r="FV35" i="23"/>
  <c r="FV30" i="23"/>
  <c r="FV26" i="23"/>
  <c r="FV18" i="23"/>
  <c r="FV10" i="23"/>
  <c r="FV28" i="23"/>
  <c r="FV12" i="23"/>
  <c r="FV4" i="23"/>
  <c r="FV48" i="23"/>
  <c r="FV23" i="23"/>
  <c r="FV17" i="23"/>
  <c r="FV7" i="23"/>
  <c r="FV33" i="23"/>
  <c r="FV34" i="23"/>
  <c r="FV31" i="23"/>
  <c r="FV16" i="23"/>
  <c r="FV14" i="23"/>
  <c r="FV6" i="23"/>
  <c r="FV11" i="23"/>
  <c r="FV8" i="23"/>
  <c r="FW2" i="23"/>
  <c r="FV9" i="23"/>
  <c r="FW183" i="23" l="1"/>
  <c r="FW148" i="23"/>
  <c r="FW121" i="23"/>
  <c r="FW130" i="23"/>
  <c r="FW127" i="23"/>
  <c r="FW138" i="23"/>
  <c r="FW144" i="23"/>
  <c r="FW131" i="23"/>
  <c r="FW211" i="23"/>
  <c r="FW210" i="23"/>
  <c r="FW204" i="23"/>
  <c r="FW146" i="23"/>
  <c r="FW207" i="23"/>
  <c r="FW129" i="23"/>
  <c r="FW197" i="23"/>
  <c r="FW205" i="23"/>
  <c r="FW212" i="23"/>
  <c r="FW193" i="23"/>
  <c r="FW196" i="23"/>
  <c r="FW189" i="23"/>
  <c r="FW200" i="23"/>
  <c r="FW181" i="23"/>
  <c r="FW208" i="23"/>
  <c r="FW194" i="23"/>
  <c r="FW184" i="23"/>
  <c r="FW167" i="23"/>
  <c r="FW206" i="23"/>
  <c r="FW195" i="23"/>
  <c r="FW192" i="23"/>
  <c r="FW198" i="23"/>
  <c r="FW201" i="23"/>
  <c r="FW172" i="23"/>
  <c r="FW182" i="23"/>
  <c r="FW161" i="23"/>
  <c r="FW166" i="23"/>
  <c r="FW155" i="23"/>
  <c r="FW170" i="23"/>
  <c r="FW179" i="23"/>
  <c r="FW177" i="23"/>
  <c r="FW162" i="23"/>
  <c r="FW163" i="23"/>
  <c r="FW154" i="23"/>
  <c r="FW186" i="23"/>
  <c r="FW188" i="23"/>
  <c r="FW199" i="23"/>
  <c r="FW171" i="23"/>
  <c r="FW159" i="23"/>
  <c r="FW168" i="23"/>
  <c r="FW174" i="23"/>
  <c r="FW187" i="23"/>
  <c r="FW190" i="23"/>
  <c r="FW149" i="23"/>
  <c r="FW152" i="23"/>
  <c r="FW141" i="23"/>
  <c r="FW185" i="23"/>
  <c r="FW173" i="23"/>
  <c r="FW165" i="23"/>
  <c r="FW143" i="23"/>
  <c r="FW135" i="23"/>
  <c r="FW134" i="23"/>
  <c r="FW151" i="23"/>
  <c r="FW145" i="23"/>
  <c r="FW160" i="23"/>
  <c r="FW140" i="23"/>
  <c r="FW128" i="23"/>
  <c r="FW118" i="23"/>
  <c r="FW176" i="23"/>
  <c r="FW156" i="23"/>
  <c r="FW139" i="23"/>
  <c r="FW133" i="23"/>
  <c r="FW117" i="23"/>
  <c r="FW123" i="23"/>
  <c r="FW116" i="23"/>
  <c r="FW175" i="23"/>
  <c r="FW164" i="23"/>
  <c r="FW178" i="23"/>
  <c r="FW137" i="23"/>
  <c r="FW124" i="23"/>
  <c r="FW119" i="23"/>
  <c r="FW132" i="23"/>
  <c r="FW122" i="23"/>
  <c r="FW150" i="23"/>
  <c r="FW157" i="23"/>
  <c r="FW126" i="23"/>
  <c r="FW115" i="23"/>
  <c r="FW153" i="23"/>
  <c r="FW209" i="23"/>
  <c r="FW142" i="23"/>
  <c r="FW120" i="23"/>
  <c r="FW125" i="23"/>
  <c r="FW180" i="23"/>
  <c r="FW158" i="23"/>
  <c r="FW203" i="23"/>
  <c r="FW136" i="23"/>
  <c r="FW202" i="23"/>
  <c r="FW147" i="23"/>
  <c r="FW114" i="23"/>
  <c r="FW191" i="23"/>
  <c r="FW169" i="23"/>
  <c r="FW113" i="23"/>
  <c r="FW108" i="23"/>
  <c r="FW112" i="23"/>
  <c r="FW111" i="23"/>
  <c r="FW109" i="23"/>
  <c r="FW105" i="23"/>
  <c r="FW110" i="23"/>
  <c r="FW103" i="23"/>
  <c r="FW101" i="23"/>
  <c r="FW104" i="23"/>
  <c r="FW102" i="23"/>
  <c r="FW100" i="23"/>
  <c r="FW98" i="23"/>
  <c r="FW97" i="23"/>
  <c r="FW93" i="23"/>
  <c r="FW96" i="23"/>
  <c r="FW106" i="23"/>
  <c r="FW95" i="23"/>
  <c r="FW85" i="23"/>
  <c r="FW92" i="23"/>
  <c r="FW90" i="23"/>
  <c r="FW84" i="23"/>
  <c r="FW91" i="23"/>
  <c r="FW86" i="23"/>
  <c r="FW87" i="23"/>
  <c r="FW82" i="23"/>
  <c r="FW80" i="23"/>
  <c r="FW77" i="23"/>
  <c r="FW88" i="23"/>
  <c r="FW71" i="23"/>
  <c r="FW78" i="23"/>
  <c r="FW70" i="23"/>
  <c r="FW83" i="23"/>
  <c r="FW66" i="23"/>
  <c r="FW73" i="23"/>
  <c r="FW65" i="23"/>
  <c r="FW75" i="23"/>
  <c r="FW61" i="23"/>
  <c r="FW94" i="23"/>
  <c r="FW68" i="23"/>
  <c r="FW63" i="23"/>
  <c r="FW56" i="23"/>
  <c r="FW74" i="23"/>
  <c r="FW72" i="23"/>
  <c r="FW53" i="23"/>
  <c r="FW52" i="23"/>
  <c r="FW76" i="23"/>
  <c r="FW67" i="23"/>
  <c r="FW59" i="23"/>
  <c r="FW51" i="23"/>
  <c r="FW49" i="23"/>
  <c r="FW47" i="23"/>
  <c r="FW99" i="23"/>
  <c r="FW89" i="23"/>
  <c r="FW81" i="23"/>
  <c r="FW41" i="23"/>
  <c r="FW40" i="23"/>
  <c r="FW79" i="23"/>
  <c r="FW54" i="23"/>
  <c r="FW39" i="23"/>
  <c r="FW69" i="23"/>
  <c r="FW34" i="23"/>
  <c r="FW64" i="23"/>
  <c r="FW55" i="23"/>
  <c r="FW48" i="23"/>
  <c r="FW44" i="23"/>
  <c r="FW33" i="23"/>
  <c r="FW60" i="23"/>
  <c r="FW50" i="23"/>
  <c r="FW58" i="23"/>
  <c r="FW107" i="23"/>
  <c r="FW57" i="23"/>
  <c r="FW38" i="23"/>
  <c r="FW27" i="23"/>
  <c r="FW25" i="23"/>
  <c r="FW22" i="23"/>
  <c r="FW46" i="23"/>
  <c r="FW29" i="23"/>
  <c r="FW19" i="23"/>
  <c r="FW32" i="23"/>
  <c r="FW31" i="23"/>
  <c r="FW30" i="23"/>
  <c r="FW28" i="23"/>
  <c r="FW18" i="23"/>
  <c r="FW42" i="23"/>
  <c r="FW35" i="23"/>
  <c r="FW26" i="23"/>
  <c r="FW10" i="23"/>
  <c r="FW36" i="23"/>
  <c r="FW23" i="23"/>
  <c r="FW20" i="23"/>
  <c r="FW17" i="23"/>
  <c r="FW7" i="23"/>
  <c r="FW43" i="23"/>
  <c r="FW37" i="23"/>
  <c r="FW12" i="23"/>
  <c r="FW4" i="23"/>
  <c r="FW9" i="23"/>
  <c r="FW45" i="23"/>
  <c r="FW11" i="23"/>
  <c r="FW21" i="23"/>
  <c r="FW13" i="23"/>
  <c r="FW5" i="23"/>
  <c r="FX2" i="23"/>
  <c r="FW15" i="23"/>
  <c r="FW14" i="23"/>
  <c r="FW8" i="23"/>
  <c r="FW6" i="23"/>
  <c r="FW62" i="23"/>
  <c r="FW16" i="23"/>
  <c r="FW24" i="23"/>
  <c r="FX210" i="23" l="1"/>
  <c r="FX173" i="23"/>
  <c r="FX134" i="23"/>
  <c r="FX207" i="23"/>
  <c r="FX149" i="23"/>
  <c r="FX164" i="23"/>
  <c r="FX129" i="23"/>
  <c r="FX182" i="23"/>
  <c r="FX115" i="23"/>
  <c r="FX117" i="23"/>
  <c r="FX170" i="23"/>
  <c r="FX138" i="23"/>
  <c r="FX127" i="23"/>
  <c r="FX121" i="23"/>
  <c r="FX146" i="23"/>
  <c r="FX204" i="23"/>
  <c r="FX201" i="23"/>
  <c r="FX189" i="23"/>
  <c r="FX166" i="23"/>
  <c r="FX194" i="23"/>
  <c r="FX200" i="23"/>
  <c r="FX211" i="23"/>
  <c r="FX157" i="23"/>
  <c r="FX144" i="23"/>
  <c r="FX198" i="23"/>
  <c r="FX206" i="23"/>
  <c r="FX197" i="23"/>
  <c r="FX203" i="23"/>
  <c r="FX199" i="23"/>
  <c r="FX195" i="23"/>
  <c r="FX212" i="23"/>
  <c r="FX209" i="23"/>
  <c r="FX183" i="23"/>
  <c r="FX193" i="23"/>
  <c r="FX196" i="23"/>
  <c r="FX186" i="23"/>
  <c r="FX181" i="23"/>
  <c r="FX188" i="23"/>
  <c r="FX190" i="23"/>
  <c r="FX171" i="23"/>
  <c r="FX205" i="23"/>
  <c r="FX192" i="23"/>
  <c r="FX187" i="23"/>
  <c r="FX185" i="23"/>
  <c r="FX154" i="23"/>
  <c r="FX184" i="23"/>
  <c r="FX162" i="23"/>
  <c r="FX176" i="23"/>
  <c r="FX153" i="23"/>
  <c r="FX208" i="23"/>
  <c r="FX177" i="23"/>
  <c r="FX165" i="23"/>
  <c r="FX152" i="23"/>
  <c r="FX143" i="23"/>
  <c r="FX130" i="23"/>
  <c r="FX175" i="23"/>
  <c r="FX148" i="23"/>
  <c r="FX142" i="23"/>
  <c r="FX128" i="23"/>
  <c r="FX174" i="23"/>
  <c r="FX179" i="23"/>
  <c r="FX151" i="23"/>
  <c r="FX135" i="23"/>
  <c r="FX168" i="23"/>
  <c r="FX150" i="23"/>
  <c r="FX126" i="23"/>
  <c r="FX161" i="23"/>
  <c r="FX119" i="23"/>
  <c r="FX123" i="23"/>
  <c r="FX172" i="23"/>
  <c r="FX167" i="23"/>
  <c r="FX141" i="23"/>
  <c r="FX132" i="23"/>
  <c r="FX131" i="23"/>
  <c r="FX160" i="23"/>
  <c r="FX155" i="23"/>
  <c r="FX145" i="23"/>
  <c r="FX122" i="23"/>
  <c r="FX137" i="23"/>
  <c r="FX120" i="23"/>
  <c r="FX124" i="23"/>
  <c r="FX159" i="23"/>
  <c r="FX156" i="23"/>
  <c r="FX139" i="23"/>
  <c r="FX178" i="23"/>
  <c r="FX140" i="23"/>
  <c r="FX133" i="23"/>
  <c r="FX163" i="23"/>
  <c r="FX118" i="23"/>
  <c r="FX116" i="23"/>
  <c r="FX158" i="23"/>
  <c r="FX169" i="23"/>
  <c r="FX114" i="23"/>
  <c r="FX191" i="23"/>
  <c r="FX136" i="23"/>
  <c r="FX125" i="23"/>
  <c r="FX180" i="23"/>
  <c r="FX202" i="23"/>
  <c r="FX147" i="23"/>
  <c r="FX113" i="23"/>
  <c r="FX112" i="23"/>
  <c r="FX110" i="23"/>
  <c r="FX109" i="23"/>
  <c r="FX111" i="23"/>
  <c r="FX106" i="23"/>
  <c r="FX107" i="23"/>
  <c r="FX104" i="23"/>
  <c r="FX102" i="23"/>
  <c r="FX105" i="23"/>
  <c r="FX103" i="23"/>
  <c r="FX98" i="23"/>
  <c r="FX108" i="23"/>
  <c r="FX96" i="23"/>
  <c r="FX97" i="23"/>
  <c r="FX101" i="23"/>
  <c r="FX99" i="23"/>
  <c r="FX94" i="23"/>
  <c r="FX100" i="23"/>
  <c r="FX92" i="23"/>
  <c r="FX95" i="23"/>
  <c r="FX93" i="23"/>
  <c r="FX91" i="23"/>
  <c r="FX87" i="23"/>
  <c r="FX89" i="23"/>
  <c r="FX88" i="23"/>
  <c r="FX86" i="23"/>
  <c r="FX84" i="23"/>
  <c r="FX85" i="23"/>
  <c r="FX83" i="23"/>
  <c r="FX76" i="23"/>
  <c r="FX75" i="23"/>
  <c r="FX77" i="23"/>
  <c r="FX90" i="23"/>
  <c r="FX70" i="23"/>
  <c r="FX82" i="23"/>
  <c r="FX71" i="23"/>
  <c r="FX69" i="23"/>
  <c r="FX63" i="23"/>
  <c r="FX81" i="23"/>
  <c r="FX79" i="23"/>
  <c r="FX78" i="23"/>
  <c r="FX74" i="23"/>
  <c r="FX62" i="23"/>
  <c r="FX68" i="23"/>
  <c r="FX56" i="23"/>
  <c r="FX72" i="23"/>
  <c r="FX64" i="23"/>
  <c r="FX60" i="23"/>
  <c r="FX58" i="23"/>
  <c r="FX50" i="23"/>
  <c r="FX67" i="23"/>
  <c r="FX59" i="23"/>
  <c r="FX57" i="23"/>
  <c r="FX52" i="23"/>
  <c r="FX53" i="23"/>
  <c r="FX54" i="23"/>
  <c r="FX48" i="23"/>
  <c r="FX46" i="23"/>
  <c r="FX55" i="23"/>
  <c r="FX45" i="23"/>
  <c r="FX80" i="23"/>
  <c r="FX66" i="23"/>
  <c r="FX39" i="23"/>
  <c r="FX51" i="23"/>
  <c r="FX47" i="23"/>
  <c r="FX41" i="23"/>
  <c r="FX34" i="23"/>
  <c r="FX61" i="23"/>
  <c r="FX49" i="23"/>
  <c r="FX42" i="23"/>
  <c r="FX31" i="23"/>
  <c r="FX73" i="23"/>
  <c r="FX30" i="23"/>
  <c r="FX22" i="23"/>
  <c r="FX29" i="23"/>
  <c r="FX19" i="23"/>
  <c r="FX40" i="23"/>
  <c r="FX37" i="23"/>
  <c r="FX35" i="23"/>
  <c r="FX26" i="23"/>
  <c r="FX24" i="23"/>
  <c r="FX23" i="23"/>
  <c r="FX32" i="23"/>
  <c r="FX20" i="23"/>
  <c r="FX18" i="23"/>
  <c r="FX17" i="23"/>
  <c r="FX7" i="23"/>
  <c r="FX43" i="23"/>
  <c r="FX12" i="23"/>
  <c r="FX4" i="23"/>
  <c r="FX16" i="23"/>
  <c r="FX44" i="23"/>
  <c r="FX36" i="23"/>
  <c r="FX33" i="23"/>
  <c r="FX28" i="23"/>
  <c r="FX9" i="23"/>
  <c r="FX65" i="23"/>
  <c r="FX14" i="23"/>
  <c r="FX6" i="23"/>
  <c r="FX27" i="23"/>
  <c r="FX21" i="23"/>
  <c r="FX8" i="23"/>
  <c r="FY2" i="23"/>
  <c r="FX15" i="23"/>
  <c r="FX13" i="23"/>
  <c r="FX10" i="23"/>
  <c r="FX25" i="23"/>
  <c r="FX5" i="23"/>
  <c r="FX38" i="23"/>
  <c r="FX11" i="23"/>
  <c r="FY194" i="23" l="1"/>
  <c r="FY115" i="23"/>
  <c r="FY152" i="23"/>
  <c r="FY170" i="23"/>
  <c r="FY211" i="23"/>
  <c r="FY161" i="23"/>
  <c r="FY149" i="23"/>
  <c r="FY176" i="23"/>
  <c r="FY134" i="23"/>
  <c r="FY164" i="23"/>
  <c r="FY127" i="23"/>
  <c r="FY209" i="23"/>
  <c r="FY204" i="23"/>
  <c r="FY193" i="23"/>
  <c r="FY201" i="23"/>
  <c r="FY203" i="23"/>
  <c r="FY207" i="23"/>
  <c r="FY200" i="23"/>
  <c r="FY195" i="23"/>
  <c r="FY196" i="23"/>
  <c r="FY208" i="23"/>
  <c r="FY192" i="23"/>
  <c r="FY205" i="23"/>
  <c r="FY197" i="23"/>
  <c r="FY198" i="23"/>
  <c r="FY212" i="23"/>
  <c r="FY206" i="23"/>
  <c r="FY210" i="23"/>
  <c r="FY181" i="23"/>
  <c r="FY186" i="23"/>
  <c r="FY172" i="23"/>
  <c r="FY199" i="23"/>
  <c r="FY187" i="23"/>
  <c r="FY184" i="23"/>
  <c r="FY174" i="23"/>
  <c r="FY183" i="23"/>
  <c r="FY177" i="23"/>
  <c r="FY150" i="23"/>
  <c r="FY156" i="23"/>
  <c r="FY188" i="23"/>
  <c r="FY159" i="23"/>
  <c r="FY168" i="23"/>
  <c r="FY171" i="23"/>
  <c r="FY163" i="23"/>
  <c r="FY162" i="23"/>
  <c r="FY167" i="23"/>
  <c r="FY165" i="23"/>
  <c r="FY157" i="23"/>
  <c r="FY141" i="23"/>
  <c r="FY185" i="23"/>
  <c r="FY190" i="23"/>
  <c r="FY189" i="23"/>
  <c r="FY153" i="23"/>
  <c r="FY166" i="23"/>
  <c r="FY154" i="23"/>
  <c r="FY137" i="23"/>
  <c r="FY142" i="23"/>
  <c r="FY140" i="23"/>
  <c r="FY143" i="23"/>
  <c r="FY126" i="23"/>
  <c r="FY155" i="23"/>
  <c r="FY151" i="23"/>
  <c r="FY146" i="23"/>
  <c r="FY129" i="23"/>
  <c r="FY131" i="23"/>
  <c r="FY119" i="23"/>
  <c r="FY175" i="23"/>
  <c r="FY173" i="23"/>
  <c r="FY144" i="23"/>
  <c r="FY128" i="23"/>
  <c r="FY132" i="23"/>
  <c r="FY118" i="23"/>
  <c r="FY121" i="23"/>
  <c r="FY145" i="23"/>
  <c r="FY117" i="23"/>
  <c r="FY139" i="23"/>
  <c r="FY138" i="23"/>
  <c r="FY123" i="23"/>
  <c r="FY178" i="23"/>
  <c r="FY133" i="23"/>
  <c r="FY120" i="23"/>
  <c r="FY148" i="23"/>
  <c r="FY116" i="23"/>
  <c r="FY130" i="23"/>
  <c r="FY122" i="23"/>
  <c r="FY182" i="23"/>
  <c r="FY179" i="23"/>
  <c r="FY160" i="23"/>
  <c r="FY135" i="23"/>
  <c r="FY124" i="23"/>
  <c r="FY136" i="23"/>
  <c r="FY147" i="23"/>
  <c r="FY202" i="23"/>
  <c r="FY158" i="23"/>
  <c r="FY180" i="23"/>
  <c r="FY114" i="23"/>
  <c r="FY191" i="23"/>
  <c r="FY125" i="23"/>
  <c r="FY169" i="23"/>
  <c r="FY112" i="23"/>
  <c r="FY111" i="23"/>
  <c r="FY113" i="23"/>
  <c r="FY108" i="23"/>
  <c r="FY107" i="23"/>
  <c r="FY110" i="23"/>
  <c r="FY105" i="23"/>
  <c r="FY109" i="23"/>
  <c r="FY104" i="23"/>
  <c r="FY102" i="23"/>
  <c r="FY103" i="23"/>
  <c r="FY101" i="23"/>
  <c r="FY99" i="23"/>
  <c r="FY98" i="23"/>
  <c r="FY94" i="23"/>
  <c r="FY97" i="23"/>
  <c r="FY93" i="23"/>
  <c r="FY95" i="23"/>
  <c r="FY90" i="23"/>
  <c r="FY106" i="23"/>
  <c r="FY89" i="23"/>
  <c r="FY100" i="23"/>
  <c r="FY87" i="23"/>
  <c r="FY96" i="23"/>
  <c r="FY86" i="23"/>
  <c r="FY83" i="23"/>
  <c r="FY84" i="23"/>
  <c r="FY88" i="23"/>
  <c r="FY85" i="23"/>
  <c r="FY76" i="23"/>
  <c r="FY81" i="23"/>
  <c r="FY73" i="23"/>
  <c r="FY79" i="23"/>
  <c r="FY72" i="23"/>
  <c r="FY91" i="23"/>
  <c r="FY70" i="23"/>
  <c r="FY92" i="23"/>
  <c r="FY82" i="23"/>
  <c r="FY71" i="23"/>
  <c r="FY69" i="23"/>
  <c r="FY80" i="23"/>
  <c r="FY68" i="23"/>
  <c r="FY67" i="23"/>
  <c r="FY63" i="23"/>
  <c r="FY74" i="23"/>
  <c r="FY64" i="23"/>
  <c r="FY60" i="23"/>
  <c r="FY58" i="23"/>
  <c r="FY77" i="23"/>
  <c r="FY65" i="23"/>
  <c r="FY55" i="23"/>
  <c r="FY54" i="23"/>
  <c r="FY53" i="23"/>
  <c r="FY75" i="23"/>
  <c r="FY48" i="23"/>
  <c r="FY46" i="23"/>
  <c r="FY61" i="23"/>
  <c r="FY43" i="23"/>
  <c r="FY62" i="23"/>
  <c r="FY57" i="23"/>
  <c r="FY50" i="23"/>
  <c r="FY42" i="23"/>
  <c r="FY51" i="23"/>
  <c r="FY47" i="23"/>
  <c r="FY41" i="23"/>
  <c r="FY78" i="23"/>
  <c r="FY59" i="23"/>
  <c r="FY49" i="23"/>
  <c r="FY31" i="23"/>
  <c r="FY38" i="23"/>
  <c r="FY36" i="23"/>
  <c r="FY45" i="23"/>
  <c r="FY37" i="23"/>
  <c r="FY35" i="23"/>
  <c r="FY52" i="23"/>
  <c r="FY29" i="23"/>
  <c r="FY19" i="23"/>
  <c r="FY40" i="23"/>
  <c r="FY26" i="23"/>
  <c r="FY24" i="23"/>
  <c r="FY44" i="23"/>
  <c r="FY34" i="23"/>
  <c r="FY33" i="23"/>
  <c r="FY21" i="23"/>
  <c r="FY56" i="23"/>
  <c r="FY20" i="23"/>
  <c r="FY30" i="23"/>
  <c r="FY23" i="23"/>
  <c r="FY12" i="23"/>
  <c r="FY4" i="23"/>
  <c r="FY28" i="23"/>
  <c r="FY9" i="23"/>
  <c r="FY11" i="23"/>
  <c r="FY66" i="23"/>
  <c r="FY39" i="23"/>
  <c r="FY22" i="23"/>
  <c r="FY16" i="23"/>
  <c r="FY14" i="23"/>
  <c r="FY6" i="23"/>
  <c r="FY25" i="23"/>
  <c r="FY15" i="23"/>
  <c r="FY13" i="23"/>
  <c r="FY5" i="23"/>
  <c r="FY8" i="23"/>
  <c r="FZ2" i="23"/>
  <c r="FY17" i="23"/>
  <c r="FY32" i="23"/>
  <c r="FY10" i="23"/>
  <c r="FY7" i="23"/>
  <c r="FY18" i="23"/>
  <c r="FY27" i="23"/>
  <c r="FZ152" i="23" l="1"/>
  <c r="FZ115" i="23"/>
  <c r="FZ192" i="23"/>
  <c r="FZ127" i="23"/>
  <c r="FZ193" i="23"/>
  <c r="FZ132" i="23"/>
  <c r="FZ131" i="23"/>
  <c r="FZ124" i="23"/>
  <c r="FZ151" i="23"/>
  <c r="FZ166" i="23"/>
  <c r="FZ149" i="23"/>
  <c r="FZ117" i="23"/>
  <c r="FZ139" i="23"/>
  <c r="FZ194" i="23"/>
  <c r="FZ164" i="23"/>
  <c r="FZ176" i="23"/>
  <c r="FZ203" i="23"/>
  <c r="FZ197" i="23"/>
  <c r="FZ208" i="23"/>
  <c r="FZ211" i="23"/>
  <c r="FZ205" i="23"/>
  <c r="FZ206" i="23"/>
  <c r="FZ140" i="23"/>
  <c r="FZ145" i="23"/>
  <c r="FZ210" i="23"/>
  <c r="FZ195" i="23"/>
  <c r="FZ204" i="23"/>
  <c r="FZ207" i="23"/>
  <c r="FZ212" i="23"/>
  <c r="FZ196" i="23"/>
  <c r="FZ199" i="23"/>
  <c r="FZ198" i="23"/>
  <c r="FZ187" i="23"/>
  <c r="FZ184" i="23"/>
  <c r="FZ200" i="23"/>
  <c r="FZ209" i="23"/>
  <c r="FZ181" i="23"/>
  <c r="FZ171" i="23"/>
  <c r="FZ182" i="23"/>
  <c r="FZ175" i="23"/>
  <c r="FZ173" i="23"/>
  <c r="FZ183" i="23"/>
  <c r="FZ172" i="23"/>
  <c r="FZ190" i="23"/>
  <c r="FZ179" i="23"/>
  <c r="FZ159" i="23"/>
  <c r="FZ165" i="23"/>
  <c r="FZ186" i="23"/>
  <c r="FZ160" i="23"/>
  <c r="FZ178" i="23"/>
  <c r="FZ153" i="23"/>
  <c r="FZ141" i="23"/>
  <c r="FZ201" i="23"/>
  <c r="FZ155" i="23"/>
  <c r="FZ154" i="23"/>
  <c r="FZ167" i="23"/>
  <c r="FZ142" i="23"/>
  <c r="FZ144" i="23"/>
  <c r="FZ135" i="23"/>
  <c r="FZ174" i="23"/>
  <c r="FZ134" i="23"/>
  <c r="FZ185" i="23"/>
  <c r="FZ170" i="23"/>
  <c r="FZ161" i="23"/>
  <c r="FZ143" i="23"/>
  <c r="FZ146" i="23"/>
  <c r="FZ188" i="23"/>
  <c r="FZ189" i="23"/>
  <c r="FZ168" i="23"/>
  <c r="FZ177" i="23"/>
  <c r="FZ150" i="23"/>
  <c r="FZ126" i="23"/>
  <c r="FZ129" i="23"/>
  <c r="FZ162" i="23"/>
  <c r="FZ157" i="23"/>
  <c r="FZ137" i="23"/>
  <c r="FZ128" i="23"/>
  <c r="FZ133" i="23"/>
  <c r="FZ123" i="23"/>
  <c r="FZ163" i="23"/>
  <c r="FZ121" i="23"/>
  <c r="FZ130" i="23"/>
  <c r="FZ116" i="23"/>
  <c r="FZ120" i="23"/>
  <c r="FZ148" i="23"/>
  <c r="FZ138" i="23"/>
  <c r="FZ118" i="23"/>
  <c r="FZ156" i="23"/>
  <c r="FZ119" i="23"/>
  <c r="FZ122" i="23"/>
  <c r="FZ114" i="23"/>
  <c r="FZ191" i="23"/>
  <c r="FZ180" i="23"/>
  <c r="FZ202" i="23"/>
  <c r="FZ158" i="23"/>
  <c r="FZ136" i="23"/>
  <c r="FZ169" i="23"/>
  <c r="FZ147" i="23"/>
  <c r="FZ125" i="23"/>
  <c r="FZ111" i="23"/>
  <c r="FZ113" i="23"/>
  <c r="FZ109" i="23"/>
  <c r="FZ110" i="23"/>
  <c r="FZ106" i="23"/>
  <c r="FZ105" i="23"/>
  <c r="FZ103" i="23"/>
  <c r="FZ100" i="23"/>
  <c r="FZ99" i="23"/>
  <c r="FZ97" i="23"/>
  <c r="FZ104" i="23"/>
  <c r="FZ101" i="23"/>
  <c r="FZ95" i="23"/>
  <c r="FZ112" i="23"/>
  <c r="FZ107" i="23"/>
  <c r="FZ108" i="23"/>
  <c r="FZ102" i="23"/>
  <c r="FZ94" i="23"/>
  <c r="FZ89" i="23"/>
  <c r="FZ88" i="23"/>
  <c r="FZ83" i="23"/>
  <c r="FZ87" i="23"/>
  <c r="FZ82" i="23"/>
  <c r="FZ80" i="23"/>
  <c r="FZ92" i="23"/>
  <c r="FZ85" i="23"/>
  <c r="FZ81" i="23"/>
  <c r="FZ79" i="23"/>
  <c r="FZ86" i="23"/>
  <c r="FZ84" i="23"/>
  <c r="FZ96" i="23"/>
  <c r="FZ91" i="23"/>
  <c r="FZ78" i="23"/>
  <c r="FZ70" i="23"/>
  <c r="FZ93" i="23"/>
  <c r="FZ77" i="23"/>
  <c r="FZ90" i="23"/>
  <c r="FZ71" i="23"/>
  <c r="FZ69" i="23"/>
  <c r="FZ75" i="23"/>
  <c r="FZ72" i="23"/>
  <c r="FZ65" i="23"/>
  <c r="FZ64" i="23"/>
  <c r="FZ74" i="23"/>
  <c r="FZ60" i="23"/>
  <c r="FZ58" i="23"/>
  <c r="FZ55" i="23"/>
  <c r="FZ76" i="23"/>
  <c r="FZ66" i="23"/>
  <c r="FZ52" i="23"/>
  <c r="FZ73" i="23"/>
  <c r="FZ62" i="23"/>
  <c r="FZ61" i="23"/>
  <c r="FZ51" i="23"/>
  <c r="FZ48" i="23"/>
  <c r="FZ46" i="23"/>
  <c r="FZ98" i="23"/>
  <c r="FZ63" i="23"/>
  <c r="FZ54" i="23"/>
  <c r="FZ68" i="23"/>
  <c r="FZ49" i="23"/>
  <c r="FZ47" i="23"/>
  <c r="FZ59" i="23"/>
  <c r="FZ67" i="23"/>
  <c r="FZ42" i="23"/>
  <c r="FZ38" i="23"/>
  <c r="FZ36" i="23"/>
  <c r="FZ44" i="23"/>
  <c r="FZ43" i="23"/>
  <c r="FZ40" i="23"/>
  <c r="FZ33" i="23"/>
  <c r="FZ57" i="23"/>
  <c r="FZ32" i="23"/>
  <c r="FZ56" i="23"/>
  <c r="FZ41" i="23"/>
  <c r="FZ26" i="23"/>
  <c r="FZ24" i="23"/>
  <c r="FZ37" i="23"/>
  <c r="FZ35" i="23"/>
  <c r="FZ34" i="23"/>
  <c r="FZ21" i="23"/>
  <c r="FZ28" i="23"/>
  <c r="FZ18" i="23"/>
  <c r="FZ27" i="23"/>
  <c r="FZ25" i="23"/>
  <c r="FZ9" i="23"/>
  <c r="FZ39" i="23"/>
  <c r="FZ22" i="23"/>
  <c r="FZ16" i="23"/>
  <c r="FZ14" i="23"/>
  <c r="FZ6" i="23"/>
  <c r="FZ8" i="23"/>
  <c r="FZ50" i="23"/>
  <c r="FZ19" i="23"/>
  <c r="FZ11" i="23"/>
  <c r="GA2" i="23"/>
  <c r="FZ10" i="23"/>
  <c r="FZ17" i="23"/>
  <c r="FZ53" i="23"/>
  <c r="FZ7" i="23"/>
  <c r="FZ31" i="23"/>
  <c r="FZ20" i="23"/>
  <c r="FZ15" i="23"/>
  <c r="FZ4" i="23"/>
  <c r="FZ13" i="23"/>
  <c r="FZ23" i="23"/>
  <c r="FZ12" i="23"/>
  <c r="FZ29" i="23"/>
  <c r="FZ5" i="23"/>
  <c r="FZ45" i="23"/>
  <c r="FZ30" i="23"/>
  <c r="GA127" i="23" l="1"/>
  <c r="GA129" i="23"/>
  <c r="GA145" i="23"/>
  <c r="GA143" i="23"/>
  <c r="GA166" i="23"/>
  <c r="GA123" i="23"/>
  <c r="GA128" i="23"/>
  <c r="GA170" i="23"/>
  <c r="GA159" i="23"/>
  <c r="GA131" i="23"/>
  <c r="GA115" i="23"/>
  <c r="GA163" i="23"/>
  <c r="GA149" i="23"/>
  <c r="GA135" i="23"/>
  <c r="GA196" i="23"/>
  <c r="GA200" i="23"/>
  <c r="GA189" i="23"/>
  <c r="GA199" i="23"/>
  <c r="GA203" i="23"/>
  <c r="GA204" i="23"/>
  <c r="GA124" i="23"/>
  <c r="GA209" i="23"/>
  <c r="GA208" i="23"/>
  <c r="GA206" i="23"/>
  <c r="GA205" i="23"/>
  <c r="GA194" i="23"/>
  <c r="GA211" i="23"/>
  <c r="GA207" i="23"/>
  <c r="GA192" i="23"/>
  <c r="GA197" i="23"/>
  <c r="GA184" i="23"/>
  <c r="GA186" i="23"/>
  <c r="GA210" i="23"/>
  <c r="GA193" i="23"/>
  <c r="GA195" i="23"/>
  <c r="GA201" i="23"/>
  <c r="GA182" i="23"/>
  <c r="GA187" i="23"/>
  <c r="GA181" i="23"/>
  <c r="GA183" i="23"/>
  <c r="GA190" i="23"/>
  <c r="GA171" i="23"/>
  <c r="GA212" i="23"/>
  <c r="GA178" i="23"/>
  <c r="GA156" i="23"/>
  <c r="GA155" i="23"/>
  <c r="GA179" i="23"/>
  <c r="GA188" i="23"/>
  <c r="GA173" i="23"/>
  <c r="GA161" i="23"/>
  <c r="GA164" i="23"/>
  <c r="GA168" i="23"/>
  <c r="GA154" i="23"/>
  <c r="GA177" i="23"/>
  <c r="GA165" i="23"/>
  <c r="GA174" i="23"/>
  <c r="GA153" i="23"/>
  <c r="GA138" i="23"/>
  <c r="GA185" i="23"/>
  <c r="GA150" i="23"/>
  <c r="GA141" i="23"/>
  <c r="GA176" i="23"/>
  <c r="GA137" i="23"/>
  <c r="GA126" i="23"/>
  <c r="GA130" i="23"/>
  <c r="GA198" i="23"/>
  <c r="GA172" i="23"/>
  <c r="GA157" i="23"/>
  <c r="GA122" i="23"/>
  <c r="GA120" i="23"/>
  <c r="GA175" i="23"/>
  <c r="GA118" i="23"/>
  <c r="GA152" i="23"/>
  <c r="GA148" i="23"/>
  <c r="GA160" i="23"/>
  <c r="GA151" i="23"/>
  <c r="GA142" i="23"/>
  <c r="GA134" i="23"/>
  <c r="GA117" i="23"/>
  <c r="GA162" i="23"/>
  <c r="GA167" i="23"/>
  <c r="GA144" i="23"/>
  <c r="GA146" i="23"/>
  <c r="GA140" i="23"/>
  <c r="GA139" i="23"/>
  <c r="GA132" i="23"/>
  <c r="GA119" i="23"/>
  <c r="GA133" i="23"/>
  <c r="GA116" i="23"/>
  <c r="GA121" i="23"/>
  <c r="GA114" i="23"/>
  <c r="GA136" i="23"/>
  <c r="GA180" i="23"/>
  <c r="GA202" i="23"/>
  <c r="GA125" i="23"/>
  <c r="GA147" i="23"/>
  <c r="GA191" i="23"/>
  <c r="GA169" i="23"/>
  <c r="GA158" i="23"/>
  <c r="GA113" i="23"/>
  <c r="GA112" i="23"/>
  <c r="GA110" i="23"/>
  <c r="GA111" i="23"/>
  <c r="GA109" i="23"/>
  <c r="GA106" i="23"/>
  <c r="GA108" i="23"/>
  <c r="GA104" i="23"/>
  <c r="GA107" i="23"/>
  <c r="GA100" i="23"/>
  <c r="GA105" i="23"/>
  <c r="GA99" i="23"/>
  <c r="GA96" i="23"/>
  <c r="GA101" i="23"/>
  <c r="GA95" i="23"/>
  <c r="GA102" i="23"/>
  <c r="GA92" i="23"/>
  <c r="GA91" i="23"/>
  <c r="GA94" i="23"/>
  <c r="GA97" i="23"/>
  <c r="GA90" i="23"/>
  <c r="GA103" i="23"/>
  <c r="GA89" i="23"/>
  <c r="GA98" i="23"/>
  <c r="GA93" i="23"/>
  <c r="GA88" i="23"/>
  <c r="GA85" i="23"/>
  <c r="GA87" i="23"/>
  <c r="GA83" i="23"/>
  <c r="GA81" i="23"/>
  <c r="GA78" i="23"/>
  <c r="GA82" i="23"/>
  <c r="GA80" i="23"/>
  <c r="GA75" i="23"/>
  <c r="GA74" i="23"/>
  <c r="GA68" i="23"/>
  <c r="GA72" i="23"/>
  <c r="GA76" i="23"/>
  <c r="GA73" i="23"/>
  <c r="GA62" i="23"/>
  <c r="GA86" i="23"/>
  <c r="GA64" i="23"/>
  <c r="GA77" i="23"/>
  <c r="GA66" i="23"/>
  <c r="GA65" i="23"/>
  <c r="GA59" i="23"/>
  <c r="GA57" i="23"/>
  <c r="GA71" i="23"/>
  <c r="GA56" i="23"/>
  <c r="GA70" i="23"/>
  <c r="GA63" i="23"/>
  <c r="GA54" i="23"/>
  <c r="GA61" i="23"/>
  <c r="GA45" i="23"/>
  <c r="GA60" i="23"/>
  <c r="GA51" i="23"/>
  <c r="GA44" i="23"/>
  <c r="GA67" i="23"/>
  <c r="GA49" i="23"/>
  <c r="GA42" i="23"/>
  <c r="GA38" i="23"/>
  <c r="GA36" i="23"/>
  <c r="GA84" i="23"/>
  <c r="GA69" i="23"/>
  <c r="GA43" i="23"/>
  <c r="GA40" i="23"/>
  <c r="GA33" i="23"/>
  <c r="GA50" i="23"/>
  <c r="GA30" i="23"/>
  <c r="GA53" i="23"/>
  <c r="GA39" i="23"/>
  <c r="GA58" i="23"/>
  <c r="GA55" i="23"/>
  <c r="GA37" i="23"/>
  <c r="GA35" i="23"/>
  <c r="GA34" i="23"/>
  <c r="GA21" i="23"/>
  <c r="GA46" i="23"/>
  <c r="GA28" i="23"/>
  <c r="GA18" i="23"/>
  <c r="GA32" i="23"/>
  <c r="GA23" i="23"/>
  <c r="GA22" i="23"/>
  <c r="GA16" i="23"/>
  <c r="GA14" i="23"/>
  <c r="GA6" i="23"/>
  <c r="GA31" i="23"/>
  <c r="GA15" i="23"/>
  <c r="GA48" i="23"/>
  <c r="GA41" i="23"/>
  <c r="GA19" i="23"/>
  <c r="GA11" i="23"/>
  <c r="GA27" i="23"/>
  <c r="GA25" i="23"/>
  <c r="GA8" i="23"/>
  <c r="GB2" i="23"/>
  <c r="GA79" i="23"/>
  <c r="GA13" i="23"/>
  <c r="GA5" i="23"/>
  <c r="GA17" i="23"/>
  <c r="GA7" i="23"/>
  <c r="GA29" i="23"/>
  <c r="GA24" i="23"/>
  <c r="GA20" i="23"/>
  <c r="GA12" i="23"/>
  <c r="GA47" i="23"/>
  <c r="GA4" i="23"/>
  <c r="GA26" i="23"/>
  <c r="GA52" i="23"/>
  <c r="GA9" i="23"/>
  <c r="GA10" i="23"/>
  <c r="GB142" i="23" l="1"/>
  <c r="GB199" i="23"/>
  <c r="GB146" i="23"/>
  <c r="GB170" i="23"/>
  <c r="GB210" i="23"/>
  <c r="GB154" i="23"/>
  <c r="GB173" i="23"/>
  <c r="GB143" i="23"/>
  <c r="GB115" i="23"/>
  <c r="GB164" i="23"/>
  <c r="GB149" i="23"/>
  <c r="GB148" i="23"/>
  <c r="GB151" i="23"/>
  <c r="GB130" i="23"/>
  <c r="GB128" i="23"/>
  <c r="GB193" i="23"/>
  <c r="GB203" i="23"/>
  <c r="GB197" i="23"/>
  <c r="GB123" i="23"/>
  <c r="GB129" i="23"/>
  <c r="GB190" i="23"/>
  <c r="GB194" i="23"/>
  <c r="GB200" i="23"/>
  <c r="GB206" i="23"/>
  <c r="GB208" i="23"/>
  <c r="GB211" i="23"/>
  <c r="GB212" i="23"/>
  <c r="GB195" i="23"/>
  <c r="GB201" i="23"/>
  <c r="GB181" i="23"/>
  <c r="GB205" i="23"/>
  <c r="GB184" i="23"/>
  <c r="GB204" i="23"/>
  <c r="GB198" i="23"/>
  <c r="GB209" i="23"/>
  <c r="GB207" i="23"/>
  <c r="GB196" i="23"/>
  <c r="GB182" i="23"/>
  <c r="GB188" i="23"/>
  <c r="GB189" i="23"/>
  <c r="GB192" i="23"/>
  <c r="GB175" i="23"/>
  <c r="GB186" i="23"/>
  <c r="GB172" i="23"/>
  <c r="GB187" i="23"/>
  <c r="GB183" i="23"/>
  <c r="GB176" i="23"/>
  <c r="GB179" i="23"/>
  <c r="GB168" i="23"/>
  <c r="GB171" i="23"/>
  <c r="GB177" i="23"/>
  <c r="GB160" i="23"/>
  <c r="GB153" i="23"/>
  <c r="GB152" i="23"/>
  <c r="GB138" i="23"/>
  <c r="GB166" i="23"/>
  <c r="GB159" i="23"/>
  <c r="GB165" i="23"/>
  <c r="GB141" i="23"/>
  <c r="GB126" i="23"/>
  <c r="GB185" i="23"/>
  <c r="GB156" i="23"/>
  <c r="GB140" i="23"/>
  <c r="GB134" i="23"/>
  <c r="GB163" i="23"/>
  <c r="GB137" i="23"/>
  <c r="GB144" i="23"/>
  <c r="GB133" i="23"/>
  <c r="GB174" i="23"/>
  <c r="GB161" i="23"/>
  <c r="GB167" i="23"/>
  <c r="GB157" i="23"/>
  <c r="GB124" i="23"/>
  <c r="GB139" i="23"/>
  <c r="GB127" i="23"/>
  <c r="GB131" i="23"/>
  <c r="GB132" i="23"/>
  <c r="GB120" i="23"/>
  <c r="GB118" i="23"/>
  <c r="GB119" i="23"/>
  <c r="GB145" i="23"/>
  <c r="GB117" i="23"/>
  <c r="GB122" i="23"/>
  <c r="GB162" i="23"/>
  <c r="GB155" i="23"/>
  <c r="GB121" i="23"/>
  <c r="GB178" i="23"/>
  <c r="GB135" i="23"/>
  <c r="GB116" i="23"/>
  <c r="GB150" i="23"/>
  <c r="GB180" i="23"/>
  <c r="GB169" i="23"/>
  <c r="GB202" i="23"/>
  <c r="GB158" i="23"/>
  <c r="GB147" i="23"/>
  <c r="GB191" i="23"/>
  <c r="GB125" i="23"/>
  <c r="GB114" i="23"/>
  <c r="GB136" i="23"/>
  <c r="GB111" i="23"/>
  <c r="GB113" i="23"/>
  <c r="GB107" i="23"/>
  <c r="GB110" i="23"/>
  <c r="GB108" i="23"/>
  <c r="GB103" i="23"/>
  <c r="GB101" i="23"/>
  <c r="GB106" i="23"/>
  <c r="GB98" i="23"/>
  <c r="GB97" i="23"/>
  <c r="GB100" i="23"/>
  <c r="GB102" i="23"/>
  <c r="GB93" i="23"/>
  <c r="GB112" i="23"/>
  <c r="GB92" i="23"/>
  <c r="GB105" i="23"/>
  <c r="GB104" i="23"/>
  <c r="GB95" i="23"/>
  <c r="GB99" i="23"/>
  <c r="GB96" i="23"/>
  <c r="GB89" i="23"/>
  <c r="GB88" i="23"/>
  <c r="GB94" i="23"/>
  <c r="GB90" i="23"/>
  <c r="GB91" i="23"/>
  <c r="GB86" i="23"/>
  <c r="GB85" i="23"/>
  <c r="GB109" i="23"/>
  <c r="GB84" i="23"/>
  <c r="GB87" i="23"/>
  <c r="GB83" i="23"/>
  <c r="GB81" i="23"/>
  <c r="GB78" i="23"/>
  <c r="GB82" i="23"/>
  <c r="GB80" i="23"/>
  <c r="GB75" i="23"/>
  <c r="GB72" i="23"/>
  <c r="GB71" i="23"/>
  <c r="GB69" i="23"/>
  <c r="GB76" i="23"/>
  <c r="GB73" i="23"/>
  <c r="GB74" i="23"/>
  <c r="GB67" i="23"/>
  <c r="GB77" i="23"/>
  <c r="GB66" i="23"/>
  <c r="GB65" i="23"/>
  <c r="GB59" i="23"/>
  <c r="GB57" i="23"/>
  <c r="GB54" i="23"/>
  <c r="GB79" i="23"/>
  <c r="GB63" i="23"/>
  <c r="GB53" i="23"/>
  <c r="GB61" i="23"/>
  <c r="GB68" i="23"/>
  <c r="GB58" i="23"/>
  <c r="GB50" i="23"/>
  <c r="GB42" i="23"/>
  <c r="GB56" i="23"/>
  <c r="GB52" i="23"/>
  <c r="GB41" i="23"/>
  <c r="GB43" i="23"/>
  <c r="GB40" i="23"/>
  <c r="GB44" i="23"/>
  <c r="GB30" i="23"/>
  <c r="GB60" i="23"/>
  <c r="GB46" i="23"/>
  <c r="GB37" i="23"/>
  <c r="GB35" i="23"/>
  <c r="GB70" i="23"/>
  <c r="GB34" i="23"/>
  <c r="GB51" i="23"/>
  <c r="GB28" i="23"/>
  <c r="GB33" i="23"/>
  <c r="GB32" i="23"/>
  <c r="GB23" i="23"/>
  <c r="GB48" i="23"/>
  <c r="GB47" i="23"/>
  <c r="GB39" i="23"/>
  <c r="GB31" i="23"/>
  <c r="GB20" i="23"/>
  <c r="GB45" i="23"/>
  <c r="GB36" i="23"/>
  <c r="GB29" i="23"/>
  <c r="GB19" i="23"/>
  <c r="GB22" i="23"/>
  <c r="GB11" i="23"/>
  <c r="GB62" i="23"/>
  <c r="GB10" i="23"/>
  <c r="GB25" i="23"/>
  <c r="GB8" i="23"/>
  <c r="GC2" i="23"/>
  <c r="GB55" i="23"/>
  <c r="GB27" i="23"/>
  <c r="GB15" i="23"/>
  <c r="GB13" i="23"/>
  <c r="GB5" i="23"/>
  <c r="GB38" i="23"/>
  <c r="GB24" i="23"/>
  <c r="GB12" i="23"/>
  <c r="GB4" i="23"/>
  <c r="GB49" i="23"/>
  <c r="GB26" i="23"/>
  <c r="GB18" i="23"/>
  <c r="GB21" i="23"/>
  <c r="GB9" i="23"/>
  <c r="GB64" i="23"/>
  <c r="GB14" i="23"/>
  <c r="GB16" i="23"/>
  <c r="GB17" i="23"/>
  <c r="GB6" i="23"/>
  <c r="GB7" i="23"/>
  <c r="GC145" i="23" l="1"/>
  <c r="GC152" i="23"/>
  <c r="GC165" i="23"/>
  <c r="GC206" i="23"/>
  <c r="GC117" i="23"/>
  <c r="GC201" i="23"/>
  <c r="GC170" i="23"/>
  <c r="GC164" i="23"/>
  <c r="GC138" i="23"/>
  <c r="GC193" i="23"/>
  <c r="GC120" i="23"/>
  <c r="GC146" i="23"/>
  <c r="GC149" i="23"/>
  <c r="GC150" i="23"/>
  <c r="GC126" i="23"/>
  <c r="GC208" i="23"/>
  <c r="GC205" i="23"/>
  <c r="GC134" i="23"/>
  <c r="GC210" i="23"/>
  <c r="GC212" i="23"/>
  <c r="GC168" i="23"/>
  <c r="GC207" i="23"/>
  <c r="GC196" i="23"/>
  <c r="GC194" i="23"/>
  <c r="GC203" i="23"/>
  <c r="GC209" i="23"/>
  <c r="GC195" i="23"/>
  <c r="GC198" i="23"/>
  <c r="GC166" i="23"/>
  <c r="GC186" i="23"/>
  <c r="GC204" i="23"/>
  <c r="GC211" i="23"/>
  <c r="GC184" i="23"/>
  <c r="GC182" i="23"/>
  <c r="GC199" i="23"/>
  <c r="GC185" i="23"/>
  <c r="GC171" i="23"/>
  <c r="GC181" i="23"/>
  <c r="GC183" i="23"/>
  <c r="GC190" i="23"/>
  <c r="GC177" i="23"/>
  <c r="GC192" i="23"/>
  <c r="GC174" i="23"/>
  <c r="GC176" i="23"/>
  <c r="GC200" i="23"/>
  <c r="GC189" i="23"/>
  <c r="GC178" i="23"/>
  <c r="GC159" i="23"/>
  <c r="GC162" i="23"/>
  <c r="GC163" i="23"/>
  <c r="GC197" i="23"/>
  <c r="GC187" i="23"/>
  <c r="GC148" i="23"/>
  <c r="GC175" i="23"/>
  <c r="GC173" i="23"/>
  <c r="GC153" i="23"/>
  <c r="GC142" i="23"/>
  <c r="GC156" i="23"/>
  <c r="GC135" i="23"/>
  <c r="GC132" i="23"/>
  <c r="GC151" i="23"/>
  <c r="GC137" i="23"/>
  <c r="GC129" i="23"/>
  <c r="GC179" i="23"/>
  <c r="GC157" i="23"/>
  <c r="GC128" i="23"/>
  <c r="GC116" i="23"/>
  <c r="GC121" i="23"/>
  <c r="GC188" i="23"/>
  <c r="GC167" i="23"/>
  <c r="GC143" i="23"/>
  <c r="GC115" i="23"/>
  <c r="GC119" i="23"/>
  <c r="GC172" i="23"/>
  <c r="GC127" i="23"/>
  <c r="GC118" i="23"/>
  <c r="GC154" i="23"/>
  <c r="GC141" i="23"/>
  <c r="GC133" i="23"/>
  <c r="GC123" i="23"/>
  <c r="GC161" i="23"/>
  <c r="GC144" i="23"/>
  <c r="GC131" i="23"/>
  <c r="GC122" i="23"/>
  <c r="GC160" i="23"/>
  <c r="GC139" i="23"/>
  <c r="GC130" i="23"/>
  <c r="GC140" i="23"/>
  <c r="GC124" i="23"/>
  <c r="GC155" i="23"/>
  <c r="GC147" i="23"/>
  <c r="GC125" i="23"/>
  <c r="GC202" i="23"/>
  <c r="GC180" i="23"/>
  <c r="GC169" i="23"/>
  <c r="GC114" i="23"/>
  <c r="GC191" i="23"/>
  <c r="GC136" i="23"/>
  <c r="GC158" i="23"/>
  <c r="GC112" i="23"/>
  <c r="GC111" i="23"/>
  <c r="GC108" i="23"/>
  <c r="GC107" i="23"/>
  <c r="GC110" i="23"/>
  <c r="GC105" i="23"/>
  <c r="GC106" i="23"/>
  <c r="GC113" i="23"/>
  <c r="GC100" i="23"/>
  <c r="GC102" i="23"/>
  <c r="GC104" i="23"/>
  <c r="GC97" i="23"/>
  <c r="GC101" i="23"/>
  <c r="GC99" i="23"/>
  <c r="GC96" i="23"/>
  <c r="GC103" i="23"/>
  <c r="GC98" i="23"/>
  <c r="GC91" i="23"/>
  <c r="GC93" i="23"/>
  <c r="GC92" i="23"/>
  <c r="GC109" i="23"/>
  <c r="GC89" i="23"/>
  <c r="GC88" i="23"/>
  <c r="GC81" i="23"/>
  <c r="GC90" i="23"/>
  <c r="GC87" i="23"/>
  <c r="GC86" i="23"/>
  <c r="GC82" i="23"/>
  <c r="GC80" i="23"/>
  <c r="GC95" i="23"/>
  <c r="GC79" i="23"/>
  <c r="GC77" i="23"/>
  <c r="GC76" i="23"/>
  <c r="GC83" i="23"/>
  <c r="GC73" i="23"/>
  <c r="GC72" i="23"/>
  <c r="GC75" i="23"/>
  <c r="GC74" i="23"/>
  <c r="GC64" i="23"/>
  <c r="GC84" i="23"/>
  <c r="GC70" i="23"/>
  <c r="GC63" i="23"/>
  <c r="GC94" i="23"/>
  <c r="GC66" i="23"/>
  <c r="GC59" i="23"/>
  <c r="GC57" i="23"/>
  <c r="GC78" i="23"/>
  <c r="GC67" i="23"/>
  <c r="GC61" i="23"/>
  <c r="GC51" i="23"/>
  <c r="GC69" i="23"/>
  <c r="GC68" i="23"/>
  <c r="GC60" i="23"/>
  <c r="GC58" i="23"/>
  <c r="GC50" i="23"/>
  <c r="GC55" i="23"/>
  <c r="GC49" i="23"/>
  <c r="GC47" i="23"/>
  <c r="GC85" i="23"/>
  <c r="GC53" i="23"/>
  <c r="GC48" i="23"/>
  <c r="GC46" i="23"/>
  <c r="GC71" i="23"/>
  <c r="GC54" i="23"/>
  <c r="GC44" i="23"/>
  <c r="GC37" i="23"/>
  <c r="GC35" i="23"/>
  <c r="GC56" i="23"/>
  <c r="GC52" i="23"/>
  <c r="GC45" i="23"/>
  <c r="GC32" i="23"/>
  <c r="GC65" i="23"/>
  <c r="GC62" i="23"/>
  <c r="GC41" i="23"/>
  <c r="GC31" i="23"/>
  <c r="GC40" i="23"/>
  <c r="GC33" i="23"/>
  <c r="GC23" i="23"/>
  <c r="GC39" i="23"/>
  <c r="GC20" i="23"/>
  <c r="GC42" i="23"/>
  <c r="GC30" i="23"/>
  <c r="GC27" i="23"/>
  <c r="GC25" i="23"/>
  <c r="GC43" i="23"/>
  <c r="GC38" i="23"/>
  <c r="GC26" i="23"/>
  <c r="GC24" i="23"/>
  <c r="GC28" i="23"/>
  <c r="GC19" i="23"/>
  <c r="GC8" i="23"/>
  <c r="GD2" i="23"/>
  <c r="GC36" i="23"/>
  <c r="GC15" i="23"/>
  <c r="GC13" i="23"/>
  <c r="GC5" i="23"/>
  <c r="GC17" i="23"/>
  <c r="GC10" i="23"/>
  <c r="GC21" i="23"/>
  <c r="GC7" i="23"/>
  <c r="GC29" i="23"/>
  <c r="GC18" i="23"/>
  <c r="GC9" i="23"/>
  <c r="GC16" i="23"/>
  <c r="GC14" i="23"/>
  <c r="GC6" i="23"/>
  <c r="GC4" i="23"/>
  <c r="GC12" i="23"/>
  <c r="GC22" i="23"/>
  <c r="GC11" i="23"/>
  <c r="GC34" i="23"/>
  <c r="GD174" i="23" l="1"/>
  <c r="GD128" i="23"/>
  <c r="GD117" i="23"/>
  <c r="GD152" i="23"/>
  <c r="GD124" i="23"/>
  <c r="GD164" i="23"/>
  <c r="GD126" i="23"/>
  <c r="GD122" i="23"/>
  <c r="GD188" i="23"/>
  <c r="GD173" i="23"/>
  <c r="GD127" i="23"/>
  <c r="GD134" i="23"/>
  <c r="GD197" i="23"/>
  <c r="GD198" i="23"/>
  <c r="GD203" i="23"/>
  <c r="GD205" i="23"/>
  <c r="GD151" i="23"/>
  <c r="GD193" i="23"/>
  <c r="GD212" i="23"/>
  <c r="GD204" i="23"/>
  <c r="GD192" i="23"/>
  <c r="GD196" i="23"/>
  <c r="GD208" i="23"/>
  <c r="GD211" i="23"/>
  <c r="GD210" i="23"/>
  <c r="GD207" i="23"/>
  <c r="GD195" i="23"/>
  <c r="GD200" i="23"/>
  <c r="GD194" i="23"/>
  <c r="GD206" i="23"/>
  <c r="GD175" i="23"/>
  <c r="GD144" i="23"/>
  <c r="GD201" i="23"/>
  <c r="GD187" i="23"/>
  <c r="GD209" i="23"/>
  <c r="GD182" i="23"/>
  <c r="GD190" i="23"/>
  <c r="GD199" i="23"/>
  <c r="GD185" i="23"/>
  <c r="GD189" i="23"/>
  <c r="GD162" i="23"/>
  <c r="GD163" i="23"/>
  <c r="GD181" i="23"/>
  <c r="GD183" i="23"/>
  <c r="GD179" i="23"/>
  <c r="GD178" i="23"/>
  <c r="GD159" i="23"/>
  <c r="GD167" i="23"/>
  <c r="GD156" i="23"/>
  <c r="GD148" i="23"/>
  <c r="GD150" i="23"/>
  <c r="GD155" i="23"/>
  <c r="GD149" i="23"/>
  <c r="GD186" i="23"/>
  <c r="GD140" i="23"/>
  <c r="GD171" i="23"/>
  <c r="GD165" i="23"/>
  <c r="GD153" i="23"/>
  <c r="GD139" i="23"/>
  <c r="GD137" i="23"/>
  <c r="GD160" i="23"/>
  <c r="GD161" i="23"/>
  <c r="GD154" i="23"/>
  <c r="GD146" i="23"/>
  <c r="GD172" i="23"/>
  <c r="GD141" i="23"/>
  <c r="GD138" i="23"/>
  <c r="GD170" i="23"/>
  <c r="GD142" i="23"/>
  <c r="GD129" i="23"/>
  <c r="GD166" i="23"/>
  <c r="GD132" i="23"/>
  <c r="GD131" i="23"/>
  <c r="GD143" i="23"/>
  <c r="GD135" i="23"/>
  <c r="GD118" i="23"/>
  <c r="GD116" i="23"/>
  <c r="GD184" i="23"/>
  <c r="GD176" i="23"/>
  <c r="GD133" i="23"/>
  <c r="GD130" i="23"/>
  <c r="GD177" i="23"/>
  <c r="GD145" i="23"/>
  <c r="GD157" i="23"/>
  <c r="GD168" i="23"/>
  <c r="GD115" i="23"/>
  <c r="GD120" i="23"/>
  <c r="GD119" i="23"/>
  <c r="GD121" i="23"/>
  <c r="GD123" i="23"/>
  <c r="GD191" i="23"/>
  <c r="GD147" i="23"/>
  <c r="GD125" i="23"/>
  <c r="GD114" i="23"/>
  <c r="GD202" i="23"/>
  <c r="GD158" i="23"/>
  <c r="GD180" i="23"/>
  <c r="GD136" i="23"/>
  <c r="GD169" i="23"/>
  <c r="GD113" i="23"/>
  <c r="GD112" i="23"/>
  <c r="GD111" i="23"/>
  <c r="GD110" i="23"/>
  <c r="GD109" i="23"/>
  <c r="GD108" i="23"/>
  <c r="GD106" i="23"/>
  <c r="GD105" i="23"/>
  <c r="GD107" i="23"/>
  <c r="GD104" i="23"/>
  <c r="GD102" i="23"/>
  <c r="GD100" i="23"/>
  <c r="GD103" i="23"/>
  <c r="GD101" i="23"/>
  <c r="GD99" i="23"/>
  <c r="GD95" i="23"/>
  <c r="GD94" i="23"/>
  <c r="GD96" i="23"/>
  <c r="GD91" i="23"/>
  <c r="GD93" i="23"/>
  <c r="GD90" i="23"/>
  <c r="GD97" i="23"/>
  <c r="GD92" i="23"/>
  <c r="GD98" i="23"/>
  <c r="GD88" i="23"/>
  <c r="GD87" i="23"/>
  <c r="GD85" i="23"/>
  <c r="GD79" i="23"/>
  <c r="GD77" i="23"/>
  <c r="GD74" i="23"/>
  <c r="GD84" i="23"/>
  <c r="GD73" i="23"/>
  <c r="GD82" i="23"/>
  <c r="GD76" i="23"/>
  <c r="GD75" i="23"/>
  <c r="GD80" i="23"/>
  <c r="GD78" i="23"/>
  <c r="GD89" i="23"/>
  <c r="GD71" i="23"/>
  <c r="GD69" i="23"/>
  <c r="GD68" i="23"/>
  <c r="GD86" i="23"/>
  <c r="GD72" i="23"/>
  <c r="GD67" i="23"/>
  <c r="GD61" i="23"/>
  <c r="GD83" i="23"/>
  <c r="GD70" i="23"/>
  <c r="GD62" i="23"/>
  <c r="GD56" i="23"/>
  <c r="GD55" i="23"/>
  <c r="GD81" i="23"/>
  <c r="GD58" i="23"/>
  <c r="GD50" i="23"/>
  <c r="GD49" i="23"/>
  <c r="GD47" i="23"/>
  <c r="GD66" i="23"/>
  <c r="GD64" i="23"/>
  <c r="GD44" i="23"/>
  <c r="GD65" i="23"/>
  <c r="GD59" i="23"/>
  <c r="GD43" i="23"/>
  <c r="GD37" i="23"/>
  <c r="GD60" i="23"/>
  <c r="GD52" i="23"/>
  <c r="GD46" i="23"/>
  <c r="GD45" i="23"/>
  <c r="GD32" i="23"/>
  <c r="GD48" i="23"/>
  <c r="GD39" i="23"/>
  <c r="GD63" i="23"/>
  <c r="GD38" i="23"/>
  <c r="GD36" i="23"/>
  <c r="GD20" i="23"/>
  <c r="GD42" i="23"/>
  <c r="GD31" i="23"/>
  <c r="GD30" i="23"/>
  <c r="GD27" i="23"/>
  <c r="GD25" i="23"/>
  <c r="GD22" i="23"/>
  <c r="GD21" i="23"/>
  <c r="GD41" i="23"/>
  <c r="GD15" i="23"/>
  <c r="GD13" i="23"/>
  <c r="GD5" i="23"/>
  <c r="GD51" i="23"/>
  <c r="GD33" i="23"/>
  <c r="GD10" i="23"/>
  <c r="GD17" i="23"/>
  <c r="GD7" i="23"/>
  <c r="GD54" i="23"/>
  <c r="GD53" i="23"/>
  <c r="GD34" i="23"/>
  <c r="GD12" i="23"/>
  <c r="GD4" i="23"/>
  <c r="GD26" i="23"/>
  <c r="GD16" i="23"/>
  <c r="GD14" i="23"/>
  <c r="GD6" i="23"/>
  <c r="GD23" i="23"/>
  <c r="GD11" i="23"/>
  <c r="GD8" i="23"/>
  <c r="GE2" i="23"/>
  <c r="GD40" i="23"/>
  <c r="GD9" i="23"/>
  <c r="GD57" i="23"/>
  <c r="GD35" i="23"/>
  <c r="GD19" i="23"/>
  <c r="GD29" i="23"/>
  <c r="GD24" i="23"/>
  <c r="GD18" i="23"/>
  <c r="GD28" i="23"/>
  <c r="GE205" i="23" l="1"/>
  <c r="GE139" i="23"/>
  <c r="GE176" i="23"/>
  <c r="GE126" i="23"/>
  <c r="GE128" i="23"/>
  <c r="GE206" i="23"/>
  <c r="GE197" i="23"/>
  <c r="GE192" i="23"/>
  <c r="GE149" i="23"/>
  <c r="GE132" i="23"/>
  <c r="GE144" i="23"/>
  <c r="GE209" i="23"/>
  <c r="GE166" i="23"/>
  <c r="GE189" i="23"/>
  <c r="GE200" i="23"/>
  <c r="GE210" i="23"/>
  <c r="GE183" i="23"/>
  <c r="GE168" i="23"/>
  <c r="GE173" i="23"/>
  <c r="GE207" i="23"/>
  <c r="GE195" i="23"/>
  <c r="GE203" i="23"/>
  <c r="GE196" i="23"/>
  <c r="GE199" i="23"/>
  <c r="GE122" i="23"/>
  <c r="GE212" i="23"/>
  <c r="GE208" i="23"/>
  <c r="GE211" i="23"/>
  <c r="GE198" i="23"/>
  <c r="GE201" i="23"/>
  <c r="GE193" i="23"/>
  <c r="GE181" i="23"/>
  <c r="GE194" i="23"/>
  <c r="GE182" i="23"/>
  <c r="GE188" i="23"/>
  <c r="GE170" i="23"/>
  <c r="GE179" i="23"/>
  <c r="GE161" i="23"/>
  <c r="GE156" i="23"/>
  <c r="GE155" i="23"/>
  <c r="GE187" i="23"/>
  <c r="GE185" i="23"/>
  <c r="GE174" i="23"/>
  <c r="GE160" i="23"/>
  <c r="GE172" i="23"/>
  <c r="GE164" i="23"/>
  <c r="GE163" i="23"/>
  <c r="GE184" i="23"/>
  <c r="GE190" i="23"/>
  <c r="GE152" i="23"/>
  <c r="GE177" i="23"/>
  <c r="GE165" i="23"/>
  <c r="GE148" i="23"/>
  <c r="GE137" i="23"/>
  <c r="GE175" i="23"/>
  <c r="GE167" i="23"/>
  <c r="GE157" i="23"/>
  <c r="GE127" i="23"/>
  <c r="GE129" i="23"/>
  <c r="GE178" i="23"/>
  <c r="GE140" i="23"/>
  <c r="GE130" i="23"/>
  <c r="GE120" i="23"/>
  <c r="GE145" i="23"/>
  <c r="GE118" i="23"/>
  <c r="GE123" i="23"/>
  <c r="GE204" i="23"/>
  <c r="GE186" i="23"/>
  <c r="GE159" i="23"/>
  <c r="GE134" i="23"/>
  <c r="GE116" i="23"/>
  <c r="GE124" i="23"/>
  <c r="GE143" i="23"/>
  <c r="GE151" i="23"/>
  <c r="GE153" i="23"/>
  <c r="GE119" i="23"/>
  <c r="GE135" i="23"/>
  <c r="GE131" i="23"/>
  <c r="GE154" i="23"/>
  <c r="GE133" i="23"/>
  <c r="GE115" i="23"/>
  <c r="GE117" i="23"/>
  <c r="GE162" i="23"/>
  <c r="GE138" i="23"/>
  <c r="GE150" i="23"/>
  <c r="GE121" i="23"/>
  <c r="GE141" i="23"/>
  <c r="GE142" i="23"/>
  <c r="GE146" i="23"/>
  <c r="GE171" i="23"/>
  <c r="GE158" i="23"/>
  <c r="GE147" i="23"/>
  <c r="GE136" i="23"/>
  <c r="GE125" i="23"/>
  <c r="GE180" i="23"/>
  <c r="GE169" i="23"/>
  <c r="GE114" i="23"/>
  <c r="GE202" i="23"/>
  <c r="GE191" i="23"/>
  <c r="GE113" i="23"/>
  <c r="GE112" i="23"/>
  <c r="GE111" i="23"/>
  <c r="GE109" i="23"/>
  <c r="GE108" i="23"/>
  <c r="GE107" i="23"/>
  <c r="GE106" i="23"/>
  <c r="GE110" i="23"/>
  <c r="GE105" i="23"/>
  <c r="GE104" i="23"/>
  <c r="GE102" i="23"/>
  <c r="GE103" i="23"/>
  <c r="GE98" i="23"/>
  <c r="GE97" i="23"/>
  <c r="GE94" i="23"/>
  <c r="GE92" i="23"/>
  <c r="GE91" i="23"/>
  <c r="GE100" i="23"/>
  <c r="GE93" i="23"/>
  <c r="GE85" i="23"/>
  <c r="GE99" i="23"/>
  <c r="GE84" i="23"/>
  <c r="GE101" i="23"/>
  <c r="GE88" i="23"/>
  <c r="GE95" i="23"/>
  <c r="GE83" i="23"/>
  <c r="GE82" i="23"/>
  <c r="GE80" i="23"/>
  <c r="GE79" i="23"/>
  <c r="GE77" i="23"/>
  <c r="GE96" i="23"/>
  <c r="GE90" i="23"/>
  <c r="GE71" i="23"/>
  <c r="GE89" i="23"/>
  <c r="GE86" i="23"/>
  <c r="GE78" i="23"/>
  <c r="GE70" i="23"/>
  <c r="GE74" i="23"/>
  <c r="GE66" i="23"/>
  <c r="GE65" i="23"/>
  <c r="GE67" i="23"/>
  <c r="GE61" i="23"/>
  <c r="GE76" i="23"/>
  <c r="GE62" i="23"/>
  <c r="GE56" i="23"/>
  <c r="GE81" i="23"/>
  <c r="GE53" i="23"/>
  <c r="GE87" i="23"/>
  <c r="GE64" i="23"/>
  <c r="GE52" i="23"/>
  <c r="GE75" i="23"/>
  <c r="GE68" i="23"/>
  <c r="GE58" i="23"/>
  <c r="GE50" i="23"/>
  <c r="GE49" i="23"/>
  <c r="GE47" i="23"/>
  <c r="GE55" i="23"/>
  <c r="GE60" i="23"/>
  <c r="GE57" i="23"/>
  <c r="GE51" i="23"/>
  <c r="GE41" i="23"/>
  <c r="GE72" i="23"/>
  <c r="GE69" i="23"/>
  <c r="GE54" i="23"/>
  <c r="GE40" i="23"/>
  <c r="GE46" i="23"/>
  <c r="GE45" i="23"/>
  <c r="GE48" i="23"/>
  <c r="GE39" i="23"/>
  <c r="GE34" i="23"/>
  <c r="GE42" i="23"/>
  <c r="GE33" i="23"/>
  <c r="GE59" i="23"/>
  <c r="GE63" i="23"/>
  <c r="GE32" i="23"/>
  <c r="GE31" i="23"/>
  <c r="GE30" i="23"/>
  <c r="GE27" i="23"/>
  <c r="GE25" i="23"/>
  <c r="GE44" i="23"/>
  <c r="GE22" i="23"/>
  <c r="GE29" i="23"/>
  <c r="GE19" i="23"/>
  <c r="GE28" i="23"/>
  <c r="GE18" i="23"/>
  <c r="GE43" i="23"/>
  <c r="GE36" i="23"/>
  <c r="GE10" i="23"/>
  <c r="GE24" i="23"/>
  <c r="GE9" i="23"/>
  <c r="GE37" i="23"/>
  <c r="GE17" i="23"/>
  <c r="GE7" i="23"/>
  <c r="GE38" i="23"/>
  <c r="GE21" i="23"/>
  <c r="GE12" i="23"/>
  <c r="GE4" i="23"/>
  <c r="GE23" i="23"/>
  <c r="GE20" i="23"/>
  <c r="GE11" i="23"/>
  <c r="GE35" i="23"/>
  <c r="GE14" i="23"/>
  <c r="GE6" i="23"/>
  <c r="GE16" i="23"/>
  <c r="GE73" i="23"/>
  <c r="GE8" i="23"/>
  <c r="GF2" i="23"/>
  <c r="GE26" i="23"/>
  <c r="GE15" i="23"/>
  <c r="GE5" i="23"/>
  <c r="GE13" i="23"/>
  <c r="GF183" i="23" l="1"/>
  <c r="GF199" i="23"/>
  <c r="GF211" i="23"/>
  <c r="GF201" i="23"/>
  <c r="GF127" i="23"/>
  <c r="GF121" i="23"/>
  <c r="GF164" i="23"/>
  <c r="GF131" i="23"/>
  <c r="GF159" i="23"/>
  <c r="GF145" i="23"/>
  <c r="GF203" i="23"/>
  <c r="GF207" i="23"/>
  <c r="GF210" i="23"/>
  <c r="GF205" i="23"/>
  <c r="GF209" i="23"/>
  <c r="GF195" i="23"/>
  <c r="GF198" i="23"/>
  <c r="GF208" i="23"/>
  <c r="GF151" i="23"/>
  <c r="GF193" i="23"/>
  <c r="GF212" i="23"/>
  <c r="GF184" i="23"/>
  <c r="GF206" i="23"/>
  <c r="GF189" i="23"/>
  <c r="GF192" i="23"/>
  <c r="GF173" i="23"/>
  <c r="GF204" i="23"/>
  <c r="GF196" i="23"/>
  <c r="GF187" i="23"/>
  <c r="GF200" i="23"/>
  <c r="GF182" i="23"/>
  <c r="GF181" i="23"/>
  <c r="GF177" i="23"/>
  <c r="GF170" i="23"/>
  <c r="GF174" i="23"/>
  <c r="GF171" i="23"/>
  <c r="GF165" i="23"/>
  <c r="GF154" i="23"/>
  <c r="GF168" i="23"/>
  <c r="GF155" i="23"/>
  <c r="GF186" i="23"/>
  <c r="GF175" i="23"/>
  <c r="GF176" i="23"/>
  <c r="GF167" i="23"/>
  <c r="GF156" i="23"/>
  <c r="GF185" i="23"/>
  <c r="GF190" i="23"/>
  <c r="GF197" i="23"/>
  <c r="GF149" i="23"/>
  <c r="GF152" i="23"/>
  <c r="GF141" i="23"/>
  <c r="GF153" i="23"/>
  <c r="GF137" i="23"/>
  <c r="GF142" i="23"/>
  <c r="GF172" i="23"/>
  <c r="GF162" i="23"/>
  <c r="GF143" i="23"/>
  <c r="GF132" i="23"/>
  <c r="GF133" i="23"/>
  <c r="GF129" i="23"/>
  <c r="GF188" i="23"/>
  <c r="GF179" i="23"/>
  <c r="GF166" i="23"/>
  <c r="GF144" i="23"/>
  <c r="GF135" i="23"/>
  <c r="GF160" i="23"/>
  <c r="GF150" i="23"/>
  <c r="GF148" i="23"/>
  <c r="GF146" i="23"/>
  <c r="GF130" i="23"/>
  <c r="GF128" i="23"/>
  <c r="GF140" i="23"/>
  <c r="GF123" i="23"/>
  <c r="GF119" i="23"/>
  <c r="GF116" i="23"/>
  <c r="GF120" i="23"/>
  <c r="GF138" i="23"/>
  <c r="GF115" i="23"/>
  <c r="GF194" i="23"/>
  <c r="GF139" i="23"/>
  <c r="GF134" i="23"/>
  <c r="GF117" i="23"/>
  <c r="GF157" i="23"/>
  <c r="GF118" i="23"/>
  <c r="GF122" i="23"/>
  <c r="GF163" i="23"/>
  <c r="GF161" i="23"/>
  <c r="GF126" i="23"/>
  <c r="GF124" i="23"/>
  <c r="GF178" i="23"/>
  <c r="GF147" i="23"/>
  <c r="GF125" i="23"/>
  <c r="GF158" i="23"/>
  <c r="GF191" i="23"/>
  <c r="GF169" i="23"/>
  <c r="GF136" i="23"/>
  <c r="GF114" i="23"/>
  <c r="GF180" i="23"/>
  <c r="GF202" i="23"/>
  <c r="GF112" i="23"/>
  <c r="GF111" i="23"/>
  <c r="GF110" i="23"/>
  <c r="GF107" i="23"/>
  <c r="GF109" i="23"/>
  <c r="GF105" i="23"/>
  <c r="GF113" i="23"/>
  <c r="GF108" i="23"/>
  <c r="GF102" i="23"/>
  <c r="GF104" i="23"/>
  <c r="GF106" i="23"/>
  <c r="GF101" i="23"/>
  <c r="GF99" i="23"/>
  <c r="GF96" i="23"/>
  <c r="GF103" i="23"/>
  <c r="GF100" i="23"/>
  <c r="GF95" i="23"/>
  <c r="GF97" i="23"/>
  <c r="GF93" i="23"/>
  <c r="GF98" i="23"/>
  <c r="GF89" i="23"/>
  <c r="GF88" i="23"/>
  <c r="GF86" i="23"/>
  <c r="GF94" i="23"/>
  <c r="GF91" i="23"/>
  <c r="GF90" i="23"/>
  <c r="GF76" i="23"/>
  <c r="GF92" i="23"/>
  <c r="GF83" i="23"/>
  <c r="GF81" i="23"/>
  <c r="GF75" i="23"/>
  <c r="GF80" i="23"/>
  <c r="GF78" i="23"/>
  <c r="GF87" i="23"/>
  <c r="GF85" i="23"/>
  <c r="GF79" i="23"/>
  <c r="GF63" i="23"/>
  <c r="GF72" i="23"/>
  <c r="GF62" i="23"/>
  <c r="GF77" i="23"/>
  <c r="GF56" i="23"/>
  <c r="GF70" i="23"/>
  <c r="GF82" i="23"/>
  <c r="GF60" i="23"/>
  <c r="GF58" i="23"/>
  <c r="GF50" i="23"/>
  <c r="GF65" i="23"/>
  <c r="GF59" i="23"/>
  <c r="GF57" i="23"/>
  <c r="GF55" i="23"/>
  <c r="GF66" i="23"/>
  <c r="GF64" i="23"/>
  <c r="GF51" i="23"/>
  <c r="GF52" i="23"/>
  <c r="GF48" i="23"/>
  <c r="GF46" i="23"/>
  <c r="GF73" i="23"/>
  <c r="GF71" i="23"/>
  <c r="GF67" i="23"/>
  <c r="GF45" i="23"/>
  <c r="GF84" i="23"/>
  <c r="GF69" i="23"/>
  <c r="GF39" i="23"/>
  <c r="GF61" i="23"/>
  <c r="GF34" i="23"/>
  <c r="GF31" i="23"/>
  <c r="GF47" i="23"/>
  <c r="GF43" i="23"/>
  <c r="GF40" i="23"/>
  <c r="GF30" i="23"/>
  <c r="GF54" i="23"/>
  <c r="GF44" i="23"/>
  <c r="GF42" i="23"/>
  <c r="GF22" i="23"/>
  <c r="GF29" i="23"/>
  <c r="GF19" i="23"/>
  <c r="GF49" i="23"/>
  <c r="GF36" i="23"/>
  <c r="GF26" i="23"/>
  <c r="GF24" i="23"/>
  <c r="GF74" i="23"/>
  <c r="GF53" i="23"/>
  <c r="GF41" i="23"/>
  <c r="GF35" i="23"/>
  <c r="GF23" i="23"/>
  <c r="GF37" i="23"/>
  <c r="GF33" i="23"/>
  <c r="GF25" i="23"/>
  <c r="GF17" i="23"/>
  <c r="GF7" i="23"/>
  <c r="GF16" i="23"/>
  <c r="GF14" i="23"/>
  <c r="GF6" i="23"/>
  <c r="GF38" i="23"/>
  <c r="GF27" i="23"/>
  <c r="GF21" i="23"/>
  <c r="GF12" i="23"/>
  <c r="GF4" i="23"/>
  <c r="GF9" i="23"/>
  <c r="GF18" i="23"/>
  <c r="GF68" i="23"/>
  <c r="GF8" i="23"/>
  <c r="GG2" i="23"/>
  <c r="GF32" i="23"/>
  <c r="GF28" i="23"/>
  <c r="GF15" i="23"/>
  <c r="GF13" i="23"/>
  <c r="GF11" i="23"/>
  <c r="GF20" i="23"/>
  <c r="GF5" i="23"/>
  <c r="GF10" i="23"/>
  <c r="GG175" i="23" l="1"/>
  <c r="GG146" i="23"/>
  <c r="GG127" i="23"/>
  <c r="GG201" i="23"/>
  <c r="GG115" i="23"/>
  <c r="GG164" i="23"/>
  <c r="GG134" i="23"/>
  <c r="GG138" i="23"/>
  <c r="GG178" i="23"/>
  <c r="GG124" i="23"/>
  <c r="GG211" i="23"/>
  <c r="GG168" i="23"/>
  <c r="GG185" i="23"/>
  <c r="GG197" i="23"/>
  <c r="GG174" i="23"/>
  <c r="GG176" i="23"/>
  <c r="GG209" i="23"/>
  <c r="GG208" i="23"/>
  <c r="GG129" i="23"/>
  <c r="GG153" i="23"/>
  <c r="GG187" i="23"/>
  <c r="GG194" i="23"/>
  <c r="GG212" i="23"/>
  <c r="GG205" i="23"/>
  <c r="GG210" i="23"/>
  <c r="GG193" i="23"/>
  <c r="GG196" i="23"/>
  <c r="GG198" i="23"/>
  <c r="GG203" i="23"/>
  <c r="GG192" i="23"/>
  <c r="GG195" i="23"/>
  <c r="GG200" i="23"/>
  <c r="GG204" i="23"/>
  <c r="GG206" i="23"/>
  <c r="GG199" i="23"/>
  <c r="GG181" i="23"/>
  <c r="GG207" i="23"/>
  <c r="GG184" i="23"/>
  <c r="GG183" i="23"/>
  <c r="GG188" i="23"/>
  <c r="GG190" i="23"/>
  <c r="GG170" i="23"/>
  <c r="GG177" i="23"/>
  <c r="GG161" i="23"/>
  <c r="GG159" i="23"/>
  <c r="GG160" i="23"/>
  <c r="GG141" i="23"/>
  <c r="GG172" i="23"/>
  <c r="GG151" i="23"/>
  <c r="GG171" i="23"/>
  <c r="GG179" i="23"/>
  <c r="GG135" i="23"/>
  <c r="GG162" i="23"/>
  <c r="GG182" i="23"/>
  <c r="GG173" i="23"/>
  <c r="GG167" i="23"/>
  <c r="GG152" i="23"/>
  <c r="GG145" i="23"/>
  <c r="GG133" i="23"/>
  <c r="GG163" i="23"/>
  <c r="GG140" i="23"/>
  <c r="GG144" i="23"/>
  <c r="GG128" i="23"/>
  <c r="GG132" i="23"/>
  <c r="GG119" i="23"/>
  <c r="GG121" i="23"/>
  <c r="GG165" i="23"/>
  <c r="GG156" i="23"/>
  <c r="GG149" i="23"/>
  <c r="GG142" i="23"/>
  <c r="GG131" i="23"/>
  <c r="GG186" i="23"/>
  <c r="GG122" i="23"/>
  <c r="GG189" i="23"/>
  <c r="GG155" i="23"/>
  <c r="GG117" i="23"/>
  <c r="GG148" i="23"/>
  <c r="GG123" i="23"/>
  <c r="GG166" i="23"/>
  <c r="GG139" i="23"/>
  <c r="GG116" i="23"/>
  <c r="GG120" i="23"/>
  <c r="GG150" i="23"/>
  <c r="GG154" i="23"/>
  <c r="GG157" i="23"/>
  <c r="GG143" i="23"/>
  <c r="GG118" i="23"/>
  <c r="GG126" i="23"/>
  <c r="GG137" i="23"/>
  <c r="GG130" i="23"/>
  <c r="GG180" i="23"/>
  <c r="GG136" i="23"/>
  <c r="GG202" i="23"/>
  <c r="GG191" i="23"/>
  <c r="GG158" i="23"/>
  <c r="GG114" i="23"/>
  <c r="GG169" i="23"/>
  <c r="GG147" i="23"/>
  <c r="GG125" i="23"/>
  <c r="GG112" i="23"/>
  <c r="GG111" i="23"/>
  <c r="GG108" i="23"/>
  <c r="GG113" i="23"/>
  <c r="GG107" i="23"/>
  <c r="GG105" i="23"/>
  <c r="GG110" i="23"/>
  <c r="GG104" i="23"/>
  <c r="GG102" i="23"/>
  <c r="GG103" i="23"/>
  <c r="GG101" i="23"/>
  <c r="GG99" i="23"/>
  <c r="GG109" i="23"/>
  <c r="GG98" i="23"/>
  <c r="GG106" i="23"/>
  <c r="GG94" i="23"/>
  <c r="GG100" i="23"/>
  <c r="GG93" i="23"/>
  <c r="GG90" i="23"/>
  <c r="GG92" i="23"/>
  <c r="GG89" i="23"/>
  <c r="GG96" i="23"/>
  <c r="GG87" i="23"/>
  <c r="GG95" i="23"/>
  <c r="GG86" i="23"/>
  <c r="GG97" i="23"/>
  <c r="GG91" i="23"/>
  <c r="GG76" i="23"/>
  <c r="GG73" i="23"/>
  <c r="GG85" i="23"/>
  <c r="GG82" i="23"/>
  <c r="GG80" i="23"/>
  <c r="GG72" i="23"/>
  <c r="GG78" i="23"/>
  <c r="GG79" i="23"/>
  <c r="GG81" i="23"/>
  <c r="GG70" i="23"/>
  <c r="GG69" i="23"/>
  <c r="GG68" i="23"/>
  <c r="GG67" i="23"/>
  <c r="GG62" i="23"/>
  <c r="GG83" i="23"/>
  <c r="GG60" i="23"/>
  <c r="GG58" i="23"/>
  <c r="GG71" i="23"/>
  <c r="GG63" i="23"/>
  <c r="GG55" i="23"/>
  <c r="GG84" i="23"/>
  <c r="GG75" i="23"/>
  <c r="GG66" i="23"/>
  <c r="GG54" i="23"/>
  <c r="GG64" i="23"/>
  <c r="GG51" i="23"/>
  <c r="GG57" i="23"/>
  <c r="GG52" i="23"/>
  <c r="GG48" i="23"/>
  <c r="GG46" i="23"/>
  <c r="GG53" i="23"/>
  <c r="GG43" i="23"/>
  <c r="GG77" i="23"/>
  <c r="GG74" i="23"/>
  <c r="GG42" i="23"/>
  <c r="GG61" i="23"/>
  <c r="GG56" i="23"/>
  <c r="GG50" i="23"/>
  <c r="GG31" i="23"/>
  <c r="GG41" i="23"/>
  <c r="GG38" i="23"/>
  <c r="GG36" i="23"/>
  <c r="GG88" i="23"/>
  <c r="GG49" i="23"/>
  <c r="GG44" i="23"/>
  <c r="GG37" i="23"/>
  <c r="GG35" i="23"/>
  <c r="GG65" i="23"/>
  <c r="GG39" i="23"/>
  <c r="GG29" i="23"/>
  <c r="GG19" i="23"/>
  <c r="GG47" i="23"/>
  <c r="GG26" i="23"/>
  <c r="GG24" i="23"/>
  <c r="GG21" i="23"/>
  <c r="GG34" i="23"/>
  <c r="GG33" i="23"/>
  <c r="GG20" i="23"/>
  <c r="GG27" i="23"/>
  <c r="GG12" i="23"/>
  <c r="GG4" i="23"/>
  <c r="GG11" i="23"/>
  <c r="GG9" i="23"/>
  <c r="GG45" i="23"/>
  <c r="GG18" i="23"/>
  <c r="GG16" i="23"/>
  <c r="GG14" i="23"/>
  <c r="GG6" i="23"/>
  <c r="GG59" i="23"/>
  <c r="GG32" i="23"/>
  <c r="GG28" i="23"/>
  <c r="GG15" i="23"/>
  <c r="GG13" i="23"/>
  <c r="GG5" i="23"/>
  <c r="GG40" i="23"/>
  <c r="GG30" i="23"/>
  <c r="GG22" i="23"/>
  <c r="GG17" i="23"/>
  <c r="GG23" i="23"/>
  <c r="GG25" i="23"/>
  <c r="GG7" i="23"/>
  <c r="GG10" i="23"/>
  <c r="GG8" i="23"/>
  <c r="GH2" i="23"/>
  <c r="GH127" i="23" l="1"/>
  <c r="GH168" i="23"/>
  <c r="GH149" i="23"/>
  <c r="GH121" i="23"/>
  <c r="GH157" i="23"/>
  <c r="GH164" i="23"/>
  <c r="GH162" i="23"/>
  <c r="GH197" i="23"/>
  <c r="GH115" i="23"/>
  <c r="GH120" i="23"/>
  <c r="GH182" i="23"/>
  <c r="GH129" i="23"/>
  <c r="GH124" i="23"/>
  <c r="GH171" i="23"/>
  <c r="GH179" i="23"/>
  <c r="GH131" i="23"/>
  <c r="GH201" i="23"/>
  <c r="GH141" i="23"/>
  <c r="GH135" i="23"/>
  <c r="GH189" i="23"/>
  <c r="GH170" i="23"/>
  <c r="GH144" i="23"/>
  <c r="GH207" i="23"/>
  <c r="GH200" i="23"/>
  <c r="GH209" i="23"/>
  <c r="GH194" i="23"/>
  <c r="GH211" i="23"/>
  <c r="GH195" i="23"/>
  <c r="GH166" i="23"/>
  <c r="GH203" i="23"/>
  <c r="GH206" i="23"/>
  <c r="GH204" i="23"/>
  <c r="GH193" i="23"/>
  <c r="GH192" i="23"/>
  <c r="GH198" i="23"/>
  <c r="GH184" i="23"/>
  <c r="GH212" i="23"/>
  <c r="GH196" i="23"/>
  <c r="GH210" i="23"/>
  <c r="GH208" i="23"/>
  <c r="GH186" i="23"/>
  <c r="GH181" i="23"/>
  <c r="GH187" i="23"/>
  <c r="GH172" i="23"/>
  <c r="GH190" i="23"/>
  <c r="GH185" i="23"/>
  <c r="GH188" i="23"/>
  <c r="GH165" i="23"/>
  <c r="GH155" i="23"/>
  <c r="GH176" i="23"/>
  <c r="GH159" i="23"/>
  <c r="GH153" i="23"/>
  <c r="GH161" i="23"/>
  <c r="GH156" i="23"/>
  <c r="GH154" i="23"/>
  <c r="GH151" i="23"/>
  <c r="GH183" i="23"/>
  <c r="GH173" i="23"/>
  <c r="GH178" i="23"/>
  <c r="GH148" i="23"/>
  <c r="GH137" i="23"/>
  <c r="GH139" i="23"/>
  <c r="GH160" i="23"/>
  <c r="GH134" i="23"/>
  <c r="GH146" i="23"/>
  <c r="GH163" i="23"/>
  <c r="GH150" i="23"/>
  <c r="GH138" i="23"/>
  <c r="GH142" i="23"/>
  <c r="GH119" i="23"/>
  <c r="GH118" i="23"/>
  <c r="GH117" i="23"/>
  <c r="GH175" i="23"/>
  <c r="GH126" i="23"/>
  <c r="GH133" i="23"/>
  <c r="GH123" i="23"/>
  <c r="GH174" i="23"/>
  <c r="GH152" i="23"/>
  <c r="GH140" i="23"/>
  <c r="GH177" i="23"/>
  <c r="GH145" i="23"/>
  <c r="GH122" i="23"/>
  <c r="GH143" i="23"/>
  <c r="GH128" i="23"/>
  <c r="GH167" i="23"/>
  <c r="GH116" i="23"/>
  <c r="GH205" i="23"/>
  <c r="GH199" i="23"/>
  <c r="GH132" i="23"/>
  <c r="GH130" i="23"/>
  <c r="GH158" i="23"/>
  <c r="GH114" i="23"/>
  <c r="GH136" i="23"/>
  <c r="GH202" i="23"/>
  <c r="GH125" i="23"/>
  <c r="GH180" i="23"/>
  <c r="GH191" i="23"/>
  <c r="GH169" i="23"/>
  <c r="GH147" i="23"/>
  <c r="GH111" i="23"/>
  <c r="GH112" i="23"/>
  <c r="GH109" i="23"/>
  <c r="GH108" i="23"/>
  <c r="GH113" i="23"/>
  <c r="GH107" i="23"/>
  <c r="GH106" i="23"/>
  <c r="GH105" i="23"/>
  <c r="GH103" i="23"/>
  <c r="GH101" i="23"/>
  <c r="GH104" i="23"/>
  <c r="GH97" i="23"/>
  <c r="GH102" i="23"/>
  <c r="GH100" i="23"/>
  <c r="GH110" i="23"/>
  <c r="GH98" i="23"/>
  <c r="GH93" i="23"/>
  <c r="GH96" i="23"/>
  <c r="GH94" i="23"/>
  <c r="GH91" i="23"/>
  <c r="GH90" i="23"/>
  <c r="GH83" i="23"/>
  <c r="GH95" i="23"/>
  <c r="GH86" i="23"/>
  <c r="GH87" i="23"/>
  <c r="GH82" i="23"/>
  <c r="GH80" i="23"/>
  <c r="GH89" i="23"/>
  <c r="GH84" i="23"/>
  <c r="GH81" i="23"/>
  <c r="GH79" i="23"/>
  <c r="GH76" i="23"/>
  <c r="GH78" i="23"/>
  <c r="GH70" i="23"/>
  <c r="GH77" i="23"/>
  <c r="GH92" i="23"/>
  <c r="GH85" i="23"/>
  <c r="GH69" i="23"/>
  <c r="GH71" i="23"/>
  <c r="GH65" i="23"/>
  <c r="GH75" i="23"/>
  <c r="GH74" i="23"/>
  <c r="GH73" i="23"/>
  <c r="GH64" i="23"/>
  <c r="GH60" i="23"/>
  <c r="GH58" i="23"/>
  <c r="GH63" i="23"/>
  <c r="GH55" i="23"/>
  <c r="GH99" i="23"/>
  <c r="GH88" i="23"/>
  <c r="GH68" i="23"/>
  <c r="GH52" i="23"/>
  <c r="GH61" i="23"/>
  <c r="GH51" i="23"/>
  <c r="GH66" i="23"/>
  <c r="GH57" i="23"/>
  <c r="GH48" i="23"/>
  <c r="GH46" i="23"/>
  <c r="GH53" i="23"/>
  <c r="GH62" i="23"/>
  <c r="GH59" i="23"/>
  <c r="GH56" i="23"/>
  <c r="GH49" i="23"/>
  <c r="GH47" i="23"/>
  <c r="GH50" i="23"/>
  <c r="GH41" i="23"/>
  <c r="GH38" i="23"/>
  <c r="GH36" i="23"/>
  <c r="GH33" i="23"/>
  <c r="GH72" i="23"/>
  <c r="GH54" i="23"/>
  <c r="GH32" i="23"/>
  <c r="GH67" i="23"/>
  <c r="GH26" i="23"/>
  <c r="GH24" i="23"/>
  <c r="GH21" i="23"/>
  <c r="GH28" i="23"/>
  <c r="GH18" i="23"/>
  <c r="GH40" i="23"/>
  <c r="GH37" i="23"/>
  <c r="GH27" i="23"/>
  <c r="GH25" i="23"/>
  <c r="GH39" i="23"/>
  <c r="GH9" i="23"/>
  <c r="GH23" i="23"/>
  <c r="GH20" i="23"/>
  <c r="GH44" i="23"/>
  <c r="GH16" i="23"/>
  <c r="GH14" i="23"/>
  <c r="GH6" i="23"/>
  <c r="GH8" i="23"/>
  <c r="GI2" i="23"/>
  <c r="GH45" i="23"/>
  <c r="GH34" i="23"/>
  <c r="GH31" i="23"/>
  <c r="GH11" i="23"/>
  <c r="GH29" i="23"/>
  <c r="GH35" i="23"/>
  <c r="GH30" i="23"/>
  <c r="GH22" i="23"/>
  <c r="GH10" i="23"/>
  <c r="GH19" i="23"/>
  <c r="GH17" i="23"/>
  <c r="GH15" i="23"/>
  <c r="GH4" i="23"/>
  <c r="GH12" i="23"/>
  <c r="GH43" i="23"/>
  <c r="GH42" i="23"/>
  <c r="GH7" i="23"/>
  <c r="GH5" i="23"/>
  <c r="GH13" i="23"/>
  <c r="GI124" i="23" l="1"/>
  <c r="GI194" i="23"/>
  <c r="GI176" i="23"/>
  <c r="GI134" i="23"/>
  <c r="GI152" i="23"/>
  <c r="GI144" i="23"/>
  <c r="GI174" i="23"/>
  <c r="GI178" i="23"/>
  <c r="GI211" i="23"/>
  <c r="GI115" i="23"/>
  <c r="GI170" i="23"/>
  <c r="GI123" i="23"/>
  <c r="GI127" i="23"/>
  <c r="GI149" i="23"/>
  <c r="GI193" i="23"/>
  <c r="GI139" i="23"/>
  <c r="GI189" i="23"/>
  <c r="GI200" i="23"/>
  <c r="GI209" i="23"/>
  <c r="GI198" i="23"/>
  <c r="GI199" i="23"/>
  <c r="GI166" i="23"/>
  <c r="GI206" i="23"/>
  <c r="GI205" i="23"/>
  <c r="GI212" i="23"/>
  <c r="GI164" i="23"/>
  <c r="GI192" i="23"/>
  <c r="GI208" i="23"/>
  <c r="GI196" i="23"/>
  <c r="GI201" i="23"/>
  <c r="GI210" i="23"/>
  <c r="GI195" i="23"/>
  <c r="GI197" i="23"/>
  <c r="GI187" i="23"/>
  <c r="GI184" i="23"/>
  <c r="GI207" i="23"/>
  <c r="GI171" i="23"/>
  <c r="GI185" i="23"/>
  <c r="GI183" i="23"/>
  <c r="GI190" i="23"/>
  <c r="GI172" i="23"/>
  <c r="GI181" i="23"/>
  <c r="GI173" i="23"/>
  <c r="GI162" i="23"/>
  <c r="GI156" i="23"/>
  <c r="GI182" i="23"/>
  <c r="GI150" i="23"/>
  <c r="GI154" i="23"/>
  <c r="GI186" i="23"/>
  <c r="GI165" i="23"/>
  <c r="GI138" i="23"/>
  <c r="GI160" i="23"/>
  <c r="GI161" i="23"/>
  <c r="GI163" i="23"/>
  <c r="GI167" i="23"/>
  <c r="GI168" i="23"/>
  <c r="GI151" i="23"/>
  <c r="GI157" i="23"/>
  <c r="GI137" i="23"/>
  <c r="GI159" i="23"/>
  <c r="GI142" i="23"/>
  <c r="GI132" i="23"/>
  <c r="GI203" i="23"/>
  <c r="GI140" i="23"/>
  <c r="GI143" i="23"/>
  <c r="GI175" i="23"/>
  <c r="GI128" i="23"/>
  <c r="GI118" i="23"/>
  <c r="GI122" i="23"/>
  <c r="GI133" i="23"/>
  <c r="GI129" i="23"/>
  <c r="GI148" i="23"/>
  <c r="GI145" i="23"/>
  <c r="GI121" i="23"/>
  <c r="GI177" i="23"/>
  <c r="GI146" i="23"/>
  <c r="GI126" i="23"/>
  <c r="GI130" i="23"/>
  <c r="GI135" i="23"/>
  <c r="GI117" i="23"/>
  <c r="GI120" i="23"/>
  <c r="GI155" i="23"/>
  <c r="GI153" i="23"/>
  <c r="GI131" i="23"/>
  <c r="GI204" i="23"/>
  <c r="GI188" i="23"/>
  <c r="GI141" i="23"/>
  <c r="GI116" i="23"/>
  <c r="GI179" i="23"/>
  <c r="GI119" i="23"/>
  <c r="GI114" i="23"/>
  <c r="GI202" i="23"/>
  <c r="GI158" i="23"/>
  <c r="GI169" i="23"/>
  <c r="GI125" i="23"/>
  <c r="GI180" i="23"/>
  <c r="GI147" i="23"/>
  <c r="GI136" i="23"/>
  <c r="GI191" i="23"/>
  <c r="GI113" i="23"/>
  <c r="GI110" i="23"/>
  <c r="GI109" i="23"/>
  <c r="GI111" i="23"/>
  <c r="GI112" i="23"/>
  <c r="GI106" i="23"/>
  <c r="GI105" i="23"/>
  <c r="GI107" i="23"/>
  <c r="GI104" i="23"/>
  <c r="GI102" i="23"/>
  <c r="GI100" i="23"/>
  <c r="GI101" i="23"/>
  <c r="GI98" i="23"/>
  <c r="GI96" i="23"/>
  <c r="GI95" i="23"/>
  <c r="GI103" i="23"/>
  <c r="GI108" i="23"/>
  <c r="GI97" i="23"/>
  <c r="GI94" i="23"/>
  <c r="GI99" i="23"/>
  <c r="GI91" i="23"/>
  <c r="GI92" i="23"/>
  <c r="GI88" i="23"/>
  <c r="GI87" i="23"/>
  <c r="GI90" i="23"/>
  <c r="GI83" i="23"/>
  <c r="GI78" i="23"/>
  <c r="GI84" i="23"/>
  <c r="GI75" i="23"/>
  <c r="GI79" i="23"/>
  <c r="GI74" i="23"/>
  <c r="GI85" i="23"/>
  <c r="GI69" i="23"/>
  <c r="GI68" i="23"/>
  <c r="GI93" i="23"/>
  <c r="GI81" i="23"/>
  <c r="GI71" i="23"/>
  <c r="GI70" i="23"/>
  <c r="GI77" i="23"/>
  <c r="GI62" i="23"/>
  <c r="GI76" i="23"/>
  <c r="GI63" i="23"/>
  <c r="GI82" i="23"/>
  <c r="GI80" i="23"/>
  <c r="GI73" i="23"/>
  <c r="GI64" i="23"/>
  <c r="GI59" i="23"/>
  <c r="GI57" i="23"/>
  <c r="GI72" i="23"/>
  <c r="GI67" i="23"/>
  <c r="GI56" i="23"/>
  <c r="GI53" i="23"/>
  <c r="GI52" i="23"/>
  <c r="GI89" i="23"/>
  <c r="GI60" i="23"/>
  <c r="GI54" i="23"/>
  <c r="GI45" i="23"/>
  <c r="GI61" i="23"/>
  <c r="GI50" i="23"/>
  <c r="GI44" i="23"/>
  <c r="GI48" i="23"/>
  <c r="GI41" i="23"/>
  <c r="GI38" i="23"/>
  <c r="GI36" i="23"/>
  <c r="GI86" i="23"/>
  <c r="GI33" i="23"/>
  <c r="GI55" i="23"/>
  <c r="GI42" i="23"/>
  <c r="GI40" i="23"/>
  <c r="GI30" i="23"/>
  <c r="GI58" i="23"/>
  <c r="GI51" i="23"/>
  <c r="GI39" i="23"/>
  <c r="GI65" i="23"/>
  <c r="GI66" i="23"/>
  <c r="GI47" i="23"/>
  <c r="GI46" i="23"/>
  <c r="GI21" i="23"/>
  <c r="GI49" i="23"/>
  <c r="GI28" i="23"/>
  <c r="GI18" i="23"/>
  <c r="GI43" i="23"/>
  <c r="GI23" i="23"/>
  <c r="GI32" i="23"/>
  <c r="GI22" i="23"/>
  <c r="GI16" i="23"/>
  <c r="GI14" i="23"/>
  <c r="GI6" i="23"/>
  <c r="GI5" i="23"/>
  <c r="GI34" i="23"/>
  <c r="GI31" i="23"/>
  <c r="GI11" i="23"/>
  <c r="GI15" i="23"/>
  <c r="GI13" i="23"/>
  <c r="GI29" i="23"/>
  <c r="GI24" i="23"/>
  <c r="GI20" i="23"/>
  <c r="GI8" i="23"/>
  <c r="GJ2" i="23"/>
  <c r="GI26" i="23"/>
  <c r="GI19" i="23"/>
  <c r="GI17" i="23"/>
  <c r="GI7" i="23"/>
  <c r="GI25" i="23"/>
  <c r="GI12" i="23"/>
  <c r="GI10" i="23"/>
  <c r="GI35" i="23"/>
  <c r="GI9" i="23"/>
  <c r="GI37" i="23"/>
  <c r="GI27" i="23"/>
  <c r="GI4" i="23"/>
  <c r="GJ122" i="23" l="1"/>
  <c r="GJ166" i="23"/>
  <c r="GJ115" i="23"/>
  <c r="GJ206" i="23"/>
  <c r="GJ145" i="23"/>
  <c r="GJ212" i="23"/>
  <c r="GJ140" i="23"/>
  <c r="GJ131" i="23"/>
  <c r="GJ123" i="23"/>
  <c r="GJ152" i="23"/>
  <c r="GJ121" i="23"/>
  <c r="GJ117" i="23"/>
  <c r="GJ204" i="23"/>
  <c r="GJ200" i="23"/>
  <c r="GJ127" i="23"/>
  <c r="GJ157" i="23"/>
  <c r="GJ139" i="23"/>
  <c r="GJ203" i="23"/>
  <c r="GJ146" i="23"/>
  <c r="GJ211" i="23"/>
  <c r="GJ205" i="23"/>
  <c r="GJ185" i="23"/>
  <c r="GJ193" i="23"/>
  <c r="GJ198" i="23"/>
  <c r="GJ210" i="23"/>
  <c r="GJ195" i="23"/>
  <c r="GJ196" i="23"/>
  <c r="GJ194" i="23"/>
  <c r="GJ209" i="23"/>
  <c r="GJ207" i="23"/>
  <c r="GJ201" i="23"/>
  <c r="GJ184" i="23"/>
  <c r="GJ187" i="23"/>
  <c r="GJ149" i="23"/>
  <c r="GJ182" i="23"/>
  <c r="GJ197" i="23"/>
  <c r="GJ208" i="23"/>
  <c r="GJ181" i="23"/>
  <c r="GJ186" i="23"/>
  <c r="GJ188" i="23"/>
  <c r="GJ175" i="23"/>
  <c r="GJ183" i="23"/>
  <c r="GJ189" i="23"/>
  <c r="GJ172" i="23"/>
  <c r="GJ179" i="23"/>
  <c r="GJ162" i="23"/>
  <c r="GJ165" i="23"/>
  <c r="GJ163" i="23"/>
  <c r="GJ164" i="23"/>
  <c r="GJ190" i="23"/>
  <c r="GJ167" i="23"/>
  <c r="GJ168" i="23"/>
  <c r="GJ156" i="23"/>
  <c r="GJ174" i="23"/>
  <c r="GJ141" i="23"/>
  <c r="GJ128" i="23"/>
  <c r="GJ192" i="23"/>
  <c r="GJ171" i="23"/>
  <c r="GJ173" i="23"/>
  <c r="GJ176" i="23"/>
  <c r="GJ154" i="23"/>
  <c r="GJ151" i="23"/>
  <c r="GJ137" i="23"/>
  <c r="GJ144" i="23"/>
  <c r="GJ161" i="23"/>
  <c r="GJ159" i="23"/>
  <c r="GJ129" i="23"/>
  <c r="GJ119" i="23"/>
  <c r="GJ124" i="23"/>
  <c r="GJ177" i="23"/>
  <c r="GJ150" i="23"/>
  <c r="GJ126" i="23"/>
  <c r="GJ133" i="23"/>
  <c r="GJ120" i="23"/>
  <c r="GJ178" i="23"/>
  <c r="GJ155" i="23"/>
  <c r="GJ134" i="23"/>
  <c r="GJ160" i="23"/>
  <c r="GJ148" i="23"/>
  <c r="GJ132" i="23"/>
  <c r="GJ118" i="23"/>
  <c r="GJ135" i="23"/>
  <c r="GJ116" i="23"/>
  <c r="GJ153" i="23"/>
  <c r="GJ199" i="23"/>
  <c r="GJ143" i="23"/>
  <c r="GJ142" i="23"/>
  <c r="GJ130" i="23"/>
  <c r="GJ170" i="23"/>
  <c r="GJ138" i="23"/>
  <c r="GJ202" i="23"/>
  <c r="GJ125" i="23"/>
  <c r="GJ158" i="23"/>
  <c r="GJ169" i="23"/>
  <c r="GJ191" i="23"/>
  <c r="GJ180" i="23"/>
  <c r="GJ147" i="23"/>
  <c r="GJ136" i="23"/>
  <c r="GJ114" i="23"/>
  <c r="GJ111" i="23"/>
  <c r="GJ113" i="23"/>
  <c r="GJ107" i="23"/>
  <c r="GJ112" i="23"/>
  <c r="GJ110" i="23"/>
  <c r="GJ103" i="23"/>
  <c r="GJ101" i="23"/>
  <c r="GJ108" i="23"/>
  <c r="GJ98" i="23"/>
  <c r="GJ106" i="23"/>
  <c r="GJ97" i="23"/>
  <c r="GJ99" i="23"/>
  <c r="GJ93" i="23"/>
  <c r="GJ109" i="23"/>
  <c r="GJ92" i="23"/>
  <c r="GJ102" i="23"/>
  <c r="GJ100" i="23"/>
  <c r="GJ95" i="23"/>
  <c r="GJ89" i="23"/>
  <c r="GJ88" i="23"/>
  <c r="GJ96" i="23"/>
  <c r="GJ105" i="23"/>
  <c r="GJ86" i="23"/>
  <c r="GJ85" i="23"/>
  <c r="GJ87" i="23"/>
  <c r="GJ90" i="23"/>
  <c r="GJ91" i="23"/>
  <c r="GJ78" i="23"/>
  <c r="GJ84" i="23"/>
  <c r="GJ75" i="23"/>
  <c r="GJ81" i="23"/>
  <c r="GJ72" i="23"/>
  <c r="GJ94" i="23"/>
  <c r="GJ71" i="23"/>
  <c r="GJ69" i="23"/>
  <c r="GJ79" i="23"/>
  <c r="GJ70" i="23"/>
  <c r="GJ77" i="23"/>
  <c r="GJ67" i="23"/>
  <c r="GJ83" i="23"/>
  <c r="GJ82" i="23"/>
  <c r="GJ76" i="23"/>
  <c r="GJ66" i="23"/>
  <c r="GJ104" i="23"/>
  <c r="GJ80" i="23"/>
  <c r="GJ73" i="23"/>
  <c r="GJ68" i="23"/>
  <c r="GJ64" i="23"/>
  <c r="GJ59" i="23"/>
  <c r="GJ57" i="23"/>
  <c r="GJ65" i="23"/>
  <c r="GJ54" i="23"/>
  <c r="GJ74" i="23"/>
  <c r="GJ53" i="23"/>
  <c r="GJ60" i="23"/>
  <c r="GJ62" i="23"/>
  <c r="GJ56" i="23"/>
  <c r="GJ42" i="23"/>
  <c r="GJ63" i="23"/>
  <c r="GJ41" i="23"/>
  <c r="GJ52" i="23"/>
  <c r="GJ55" i="23"/>
  <c r="GJ40" i="23"/>
  <c r="GJ30" i="23"/>
  <c r="GJ47" i="23"/>
  <c r="GJ43" i="23"/>
  <c r="GJ37" i="23"/>
  <c r="GJ35" i="23"/>
  <c r="GJ45" i="23"/>
  <c r="GJ34" i="23"/>
  <c r="GJ58" i="23"/>
  <c r="GJ49" i="23"/>
  <c r="GJ28" i="23"/>
  <c r="GJ61" i="23"/>
  <c r="GJ48" i="23"/>
  <c r="GJ36" i="23"/>
  <c r="GJ23" i="23"/>
  <c r="GJ51" i="23"/>
  <c r="GJ38" i="23"/>
  <c r="GJ20" i="23"/>
  <c r="GJ50" i="23"/>
  <c r="GJ31" i="23"/>
  <c r="GJ29" i="23"/>
  <c r="GJ19" i="23"/>
  <c r="GJ44" i="23"/>
  <c r="GJ21" i="23"/>
  <c r="GJ11" i="23"/>
  <c r="GJ24" i="23"/>
  <c r="GJ18" i="23"/>
  <c r="GJ8" i="23"/>
  <c r="GK2" i="23"/>
  <c r="GJ10" i="23"/>
  <c r="GJ26" i="23"/>
  <c r="GJ15" i="23"/>
  <c r="GJ13" i="23"/>
  <c r="GJ5" i="23"/>
  <c r="GJ46" i="23"/>
  <c r="GJ25" i="23"/>
  <c r="GJ12" i="23"/>
  <c r="GJ4" i="23"/>
  <c r="GJ27" i="23"/>
  <c r="GJ39" i="23"/>
  <c r="GJ17" i="23"/>
  <c r="GJ7" i="23"/>
  <c r="GJ32" i="23"/>
  <c r="GJ9" i="23"/>
  <c r="GJ22" i="23"/>
  <c r="GJ16" i="23"/>
  <c r="GJ14" i="23"/>
  <c r="GJ33" i="23"/>
  <c r="GJ6" i="23"/>
  <c r="GK189" i="23" l="1"/>
  <c r="GK161" i="23"/>
  <c r="GK129" i="23"/>
  <c r="GK164" i="23"/>
  <c r="GK132" i="23"/>
  <c r="GK130" i="23"/>
  <c r="GK145" i="23"/>
  <c r="GK115" i="23"/>
  <c r="GK128" i="23"/>
  <c r="GK117" i="23"/>
  <c r="GK170" i="23"/>
  <c r="GK166" i="23"/>
  <c r="GK149" i="23"/>
  <c r="GK195" i="23"/>
  <c r="GK192" i="23"/>
  <c r="GK121" i="23"/>
  <c r="GK210" i="23"/>
  <c r="GK209" i="23"/>
  <c r="GK188" i="23"/>
  <c r="GK212" i="23"/>
  <c r="GK203" i="23"/>
  <c r="GK143" i="23"/>
  <c r="GK208" i="23"/>
  <c r="GK198" i="23"/>
  <c r="GK201" i="23"/>
  <c r="GK207" i="23"/>
  <c r="GK211" i="23"/>
  <c r="GK193" i="23"/>
  <c r="GK181" i="23"/>
  <c r="GK206" i="23"/>
  <c r="GK200" i="23"/>
  <c r="GK194" i="23"/>
  <c r="GK199" i="23"/>
  <c r="GK134" i="23"/>
  <c r="GK184" i="23"/>
  <c r="GK205" i="23"/>
  <c r="GK204" i="23"/>
  <c r="GK197" i="23"/>
  <c r="GK187" i="23"/>
  <c r="GK196" i="23"/>
  <c r="GK183" i="23"/>
  <c r="GK171" i="23"/>
  <c r="GK177" i="23"/>
  <c r="GK172" i="23"/>
  <c r="GK173" i="23"/>
  <c r="GK162" i="23"/>
  <c r="GK182" i="23"/>
  <c r="GK178" i="23"/>
  <c r="GK186" i="23"/>
  <c r="GK156" i="23"/>
  <c r="GK176" i="23"/>
  <c r="GK163" i="23"/>
  <c r="GK141" i="23"/>
  <c r="GK190" i="23"/>
  <c r="GK160" i="23"/>
  <c r="GK165" i="23"/>
  <c r="GK185" i="23"/>
  <c r="GK175" i="23"/>
  <c r="GK151" i="23"/>
  <c r="GK152" i="23"/>
  <c r="GK138" i="23"/>
  <c r="GK150" i="23"/>
  <c r="GK179" i="23"/>
  <c r="GK159" i="23"/>
  <c r="GK157" i="23"/>
  <c r="GK148" i="23"/>
  <c r="GK127" i="23"/>
  <c r="GK174" i="23"/>
  <c r="GK167" i="23"/>
  <c r="GK119" i="23"/>
  <c r="GK124" i="23"/>
  <c r="GK153" i="23"/>
  <c r="GK146" i="23"/>
  <c r="GK118" i="23"/>
  <c r="GK142" i="23"/>
  <c r="GK126" i="23"/>
  <c r="GK133" i="23"/>
  <c r="GK116" i="23"/>
  <c r="GK122" i="23"/>
  <c r="GK155" i="23"/>
  <c r="GK131" i="23"/>
  <c r="GK120" i="23"/>
  <c r="GK137" i="23"/>
  <c r="GK140" i="23"/>
  <c r="GK139" i="23"/>
  <c r="GK144" i="23"/>
  <c r="GK154" i="23"/>
  <c r="GK123" i="23"/>
  <c r="GK135" i="23"/>
  <c r="GK168" i="23"/>
  <c r="GK202" i="23"/>
  <c r="GK180" i="23"/>
  <c r="GK158" i="23"/>
  <c r="GK191" i="23"/>
  <c r="GK136" i="23"/>
  <c r="GK169" i="23"/>
  <c r="GK125" i="23"/>
  <c r="GK114" i="23"/>
  <c r="GK147" i="23"/>
  <c r="GK112" i="23"/>
  <c r="GK111" i="23"/>
  <c r="GK110" i="23"/>
  <c r="GK109" i="23"/>
  <c r="GK113" i="23"/>
  <c r="GK107" i="23"/>
  <c r="GK104" i="23"/>
  <c r="GK106" i="23"/>
  <c r="GK101" i="23"/>
  <c r="GK99" i="23"/>
  <c r="GK108" i="23"/>
  <c r="GK103" i="23"/>
  <c r="GK100" i="23"/>
  <c r="GK105" i="23"/>
  <c r="GK102" i="23"/>
  <c r="GK94" i="23"/>
  <c r="GK98" i="23"/>
  <c r="GK97" i="23"/>
  <c r="GK95" i="23"/>
  <c r="GK92" i="23"/>
  <c r="GK96" i="23"/>
  <c r="GK90" i="23"/>
  <c r="GK89" i="23"/>
  <c r="GK91" i="23"/>
  <c r="GK84" i="23"/>
  <c r="GK81" i="23"/>
  <c r="GK88" i="23"/>
  <c r="GK85" i="23"/>
  <c r="GK83" i="23"/>
  <c r="GK82" i="23"/>
  <c r="GK80" i="23"/>
  <c r="GK77" i="23"/>
  <c r="GK87" i="23"/>
  <c r="GK76" i="23"/>
  <c r="GK93" i="23"/>
  <c r="GK71" i="23"/>
  <c r="GK86" i="23"/>
  <c r="GK73" i="23"/>
  <c r="GK72" i="23"/>
  <c r="GK64" i="23"/>
  <c r="GK63" i="23"/>
  <c r="GK70" i="23"/>
  <c r="GK68" i="23"/>
  <c r="GK59" i="23"/>
  <c r="GK57" i="23"/>
  <c r="GK78" i="23"/>
  <c r="GK65" i="23"/>
  <c r="GK69" i="23"/>
  <c r="GK66" i="23"/>
  <c r="GK61" i="23"/>
  <c r="GK51" i="23"/>
  <c r="GK62" i="23"/>
  <c r="GK60" i="23"/>
  <c r="GK58" i="23"/>
  <c r="GK50" i="23"/>
  <c r="GK56" i="23"/>
  <c r="GK54" i="23"/>
  <c r="GK49" i="23"/>
  <c r="GK47" i="23"/>
  <c r="GK79" i="23"/>
  <c r="GK55" i="23"/>
  <c r="GK48" i="23"/>
  <c r="GK46" i="23"/>
  <c r="GK40" i="23"/>
  <c r="GK43" i="23"/>
  <c r="GK42" i="23"/>
  <c r="GK37" i="23"/>
  <c r="GK35" i="23"/>
  <c r="GK75" i="23"/>
  <c r="GK74" i="23"/>
  <c r="GK53" i="23"/>
  <c r="GK44" i="23"/>
  <c r="GK32" i="23"/>
  <c r="GK31" i="23"/>
  <c r="GK36" i="23"/>
  <c r="GK23" i="23"/>
  <c r="GK38" i="23"/>
  <c r="GK20" i="23"/>
  <c r="GK67" i="23"/>
  <c r="GK45" i="23"/>
  <c r="GK34" i="23"/>
  <c r="GK27" i="23"/>
  <c r="GK25" i="23"/>
  <c r="GK39" i="23"/>
  <c r="GK30" i="23"/>
  <c r="GK26" i="23"/>
  <c r="GK24" i="23"/>
  <c r="GK18" i="23"/>
  <c r="GK8" i="23"/>
  <c r="GL2" i="23"/>
  <c r="GK22" i="23"/>
  <c r="GK7" i="23"/>
  <c r="GK29" i="23"/>
  <c r="GK15" i="23"/>
  <c r="GK13" i="23"/>
  <c r="GK5" i="23"/>
  <c r="GK10" i="23"/>
  <c r="GK17" i="23"/>
  <c r="GK9" i="23"/>
  <c r="GK52" i="23"/>
  <c r="GK33" i="23"/>
  <c r="GK16" i="23"/>
  <c r="GK14" i="23"/>
  <c r="GK41" i="23"/>
  <c r="GK11" i="23"/>
  <c r="GK19" i="23"/>
  <c r="GK12" i="23"/>
  <c r="GK28" i="23"/>
  <c r="GK6" i="23"/>
  <c r="GK4" i="23"/>
  <c r="GK21" i="23"/>
  <c r="GL173" i="23" l="1"/>
  <c r="GL131" i="23"/>
  <c r="GL210" i="23"/>
  <c r="GL207" i="23"/>
  <c r="GL116" i="23"/>
  <c r="GL124" i="23"/>
  <c r="GL146" i="23"/>
  <c r="GL130" i="23"/>
  <c r="GL122" i="23"/>
  <c r="GL166" i="23"/>
  <c r="GL197" i="23"/>
  <c r="GL128" i="23"/>
  <c r="GL170" i="23"/>
  <c r="GL164" i="23"/>
  <c r="GL115" i="23"/>
  <c r="GL205" i="23"/>
  <c r="GL204" i="23"/>
  <c r="GL206" i="23"/>
  <c r="GL211" i="23"/>
  <c r="GL192" i="23"/>
  <c r="GL203" i="23"/>
  <c r="GL208" i="23"/>
  <c r="GL209" i="23"/>
  <c r="GL193" i="23"/>
  <c r="GL196" i="23"/>
  <c r="GL194" i="23"/>
  <c r="GL195" i="23"/>
  <c r="GL201" i="23"/>
  <c r="GL181" i="23"/>
  <c r="GL187" i="23"/>
  <c r="GL182" i="23"/>
  <c r="GL198" i="23"/>
  <c r="GL200" i="23"/>
  <c r="GL189" i="23"/>
  <c r="GL171" i="23"/>
  <c r="GL183" i="23"/>
  <c r="GL178" i="23"/>
  <c r="GL186" i="23"/>
  <c r="GL172" i="23"/>
  <c r="GL177" i="23"/>
  <c r="GL212" i="23"/>
  <c r="GL161" i="23"/>
  <c r="GL167" i="23"/>
  <c r="GL153" i="23"/>
  <c r="GL154" i="23"/>
  <c r="GL174" i="23"/>
  <c r="GL156" i="23"/>
  <c r="GL188" i="23"/>
  <c r="GL162" i="23"/>
  <c r="GL148" i="23"/>
  <c r="GL141" i="23"/>
  <c r="GL149" i="23"/>
  <c r="GL138" i="23"/>
  <c r="GL144" i="23"/>
  <c r="GL126" i="23"/>
  <c r="GL155" i="23"/>
  <c r="GL157" i="23"/>
  <c r="GL137" i="23"/>
  <c r="GL134" i="23"/>
  <c r="GL176" i="23"/>
  <c r="GL160" i="23"/>
  <c r="GL142" i="23"/>
  <c r="GL140" i="23"/>
  <c r="GL184" i="23"/>
  <c r="GL190" i="23"/>
  <c r="GL123" i="23"/>
  <c r="GL175" i="23"/>
  <c r="GL159" i="23"/>
  <c r="GL168" i="23"/>
  <c r="GL139" i="23"/>
  <c r="GL127" i="23"/>
  <c r="GL132" i="23"/>
  <c r="GL185" i="23"/>
  <c r="GL150" i="23"/>
  <c r="GL129" i="23"/>
  <c r="GL118" i="23"/>
  <c r="GL119" i="23"/>
  <c r="GL135" i="23"/>
  <c r="GL199" i="23"/>
  <c r="GL163" i="23"/>
  <c r="GL151" i="23"/>
  <c r="GL152" i="23"/>
  <c r="GL117" i="23"/>
  <c r="GL120" i="23"/>
  <c r="GL179" i="23"/>
  <c r="GL165" i="23"/>
  <c r="GL145" i="23"/>
  <c r="GL133" i="23"/>
  <c r="GL121" i="23"/>
  <c r="GL143" i="23"/>
  <c r="GL180" i="23"/>
  <c r="GL158" i="23"/>
  <c r="GL202" i="23"/>
  <c r="GL169" i="23"/>
  <c r="GL147" i="23"/>
  <c r="GL136" i="23"/>
  <c r="GL191" i="23"/>
  <c r="GL125" i="23"/>
  <c r="GL114" i="23"/>
  <c r="GL113" i="23"/>
  <c r="GL112" i="23"/>
  <c r="GL110" i="23"/>
  <c r="GL109" i="23"/>
  <c r="GL108" i="23"/>
  <c r="GL106" i="23"/>
  <c r="GL105" i="23"/>
  <c r="GL111" i="23"/>
  <c r="GL107" i="23"/>
  <c r="GL104" i="23"/>
  <c r="GL102" i="23"/>
  <c r="GL100" i="23"/>
  <c r="GL99" i="23"/>
  <c r="GL103" i="23"/>
  <c r="GL97" i="23"/>
  <c r="GL95" i="23"/>
  <c r="GL94" i="23"/>
  <c r="GL98" i="23"/>
  <c r="GL96" i="23"/>
  <c r="GL91" i="23"/>
  <c r="GL90" i="23"/>
  <c r="GL93" i="23"/>
  <c r="GL87" i="23"/>
  <c r="GL92" i="23"/>
  <c r="GL84" i="23"/>
  <c r="GL83" i="23"/>
  <c r="GL82" i="23"/>
  <c r="GL81" i="23"/>
  <c r="GL80" i="23"/>
  <c r="GL77" i="23"/>
  <c r="GL86" i="23"/>
  <c r="GL85" i="23"/>
  <c r="GL79" i="23"/>
  <c r="GL74" i="23"/>
  <c r="GL101" i="23"/>
  <c r="GL88" i="23"/>
  <c r="GL73" i="23"/>
  <c r="GL72" i="23"/>
  <c r="GL68" i="23"/>
  <c r="GL78" i="23"/>
  <c r="GL65" i="23"/>
  <c r="GL64" i="23"/>
  <c r="GL71" i="23"/>
  <c r="GL69" i="23"/>
  <c r="GL66" i="23"/>
  <c r="GL61" i="23"/>
  <c r="GL56" i="23"/>
  <c r="GL89" i="23"/>
  <c r="GL55" i="23"/>
  <c r="GL62" i="23"/>
  <c r="GL54" i="23"/>
  <c r="GL59" i="23"/>
  <c r="GL49" i="23"/>
  <c r="GL47" i="23"/>
  <c r="GL67" i="23"/>
  <c r="GL44" i="23"/>
  <c r="GL58" i="23"/>
  <c r="GL52" i="23"/>
  <c r="GL51" i="23"/>
  <c r="GL43" i="23"/>
  <c r="GL60" i="23"/>
  <c r="GL42" i="23"/>
  <c r="GL37" i="23"/>
  <c r="GL75" i="23"/>
  <c r="GL53" i="23"/>
  <c r="GL32" i="23"/>
  <c r="GL39" i="23"/>
  <c r="GL46" i="23"/>
  <c r="GL38" i="23"/>
  <c r="GL36" i="23"/>
  <c r="GL57" i="23"/>
  <c r="GL76" i="23"/>
  <c r="GL70" i="23"/>
  <c r="GL48" i="23"/>
  <c r="GL20" i="23"/>
  <c r="GL45" i="23"/>
  <c r="GL34" i="23"/>
  <c r="GL27" i="23"/>
  <c r="GL25" i="23"/>
  <c r="GL35" i="23"/>
  <c r="GL33" i="23"/>
  <c r="GL22" i="23"/>
  <c r="GL21" i="23"/>
  <c r="GL31" i="23"/>
  <c r="GL29" i="23"/>
  <c r="GL24" i="23"/>
  <c r="GL15" i="23"/>
  <c r="GL13" i="23"/>
  <c r="GL5" i="23"/>
  <c r="GL19" i="23"/>
  <c r="GL12" i="23"/>
  <c r="GL4" i="23"/>
  <c r="GL50" i="23"/>
  <c r="GL26" i="23"/>
  <c r="GL10" i="23"/>
  <c r="GL23" i="23"/>
  <c r="GL17" i="23"/>
  <c r="GL7" i="23"/>
  <c r="GL28" i="23"/>
  <c r="GL40" i="23"/>
  <c r="GL16" i="23"/>
  <c r="GL14" i="23"/>
  <c r="GL6" i="23"/>
  <c r="GL63" i="23"/>
  <c r="GL41" i="23"/>
  <c r="GL11" i="23"/>
  <c r="GL9" i="23"/>
  <c r="GL18" i="23"/>
  <c r="GL8" i="23"/>
  <c r="GM2" i="23"/>
  <c r="GL30" i="23"/>
  <c r="GM210" i="23" l="1"/>
  <c r="GM126" i="23"/>
  <c r="GM200" i="23"/>
  <c r="GM173" i="23"/>
  <c r="GM117" i="23"/>
  <c r="GM127" i="23"/>
  <c r="GM146" i="23"/>
  <c r="GM152" i="23"/>
  <c r="GM142" i="23"/>
  <c r="GM149" i="23"/>
  <c r="GM194" i="23"/>
  <c r="GM192" i="23"/>
  <c r="GM133" i="23"/>
  <c r="GM193" i="23"/>
  <c r="GM129" i="23"/>
  <c r="GM177" i="23"/>
  <c r="GM208" i="23"/>
  <c r="GM203" i="23"/>
  <c r="GM209" i="23"/>
  <c r="GM206" i="23"/>
  <c r="GM212" i="23"/>
  <c r="GM197" i="23"/>
  <c r="GM184" i="23"/>
  <c r="GM198" i="23"/>
  <c r="GM201" i="23"/>
  <c r="GM186" i="23"/>
  <c r="GM204" i="23"/>
  <c r="GM211" i="23"/>
  <c r="GM181" i="23"/>
  <c r="GM195" i="23"/>
  <c r="GM205" i="23"/>
  <c r="GM196" i="23"/>
  <c r="GM207" i="23"/>
  <c r="GM182" i="23"/>
  <c r="GM189" i="23"/>
  <c r="GM176" i="23"/>
  <c r="GM199" i="23"/>
  <c r="GM174" i="23"/>
  <c r="GM160" i="23"/>
  <c r="GM171" i="23"/>
  <c r="GM163" i="23"/>
  <c r="GM166" i="23"/>
  <c r="GM156" i="23"/>
  <c r="GM165" i="23"/>
  <c r="GM154" i="23"/>
  <c r="GM162" i="23"/>
  <c r="GM190" i="23"/>
  <c r="GM155" i="23"/>
  <c r="GM153" i="23"/>
  <c r="GM140" i="23"/>
  <c r="GM185" i="23"/>
  <c r="GM188" i="23"/>
  <c r="GM150" i="23"/>
  <c r="GM141" i="23"/>
  <c r="GM175" i="23"/>
  <c r="GM168" i="23"/>
  <c r="GM148" i="23"/>
  <c r="GM145" i="23"/>
  <c r="GM161" i="23"/>
  <c r="GM167" i="23"/>
  <c r="GM183" i="23"/>
  <c r="GM164" i="23"/>
  <c r="GM151" i="23"/>
  <c r="GM138" i="23"/>
  <c r="GM179" i="23"/>
  <c r="GM143" i="23"/>
  <c r="GM120" i="23"/>
  <c r="GM123" i="23"/>
  <c r="GM128" i="23"/>
  <c r="GM134" i="23"/>
  <c r="GM132" i="23"/>
  <c r="GM139" i="23"/>
  <c r="GM118" i="23"/>
  <c r="GM122" i="23"/>
  <c r="GM124" i="23"/>
  <c r="GM131" i="23"/>
  <c r="GM116" i="23"/>
  <c r="GM157" i="23"/>
  <c r="GM135" i="23"/>
  <c r="GM144" i="23"/>
  <c r="GM130" i="23"/>
  <c r="GM115" i="23"/>
  <c r="GM187" i="23"/>
  <c r="GM172" i="23"/>
  <c r="GM159" i="23"/>
  <c r="GM137" i="23"/>
  <c r="GM121" i="23"/>
  <c r="GM178" i="23"/>
  <c r="GM119" i="23"/>
  <c r="GM170" i="23"/>
  <c r="GM136" i="23"/>
  <c r="GM180" i="23"/>
  <c r="GM202" i="23"/>
  <c r="GM114" i="23"/>
  <c r="GM191" i="23"/>
  <c r="GM147" i="23"/>
  <c r="GM158" i="23"/>
  <c r="GM169" i="23"/>
  <c r="GM125" i="23"/>
  <c r="GM113" i="23"/>
  <c r="GM112" i="23"/>
  <c r="GM110" i="23"/>
  <c r="GM107" i="23"/>
  <c r="GM109" i="23"/>
  <c r="GM100" i="23"/>
  <c r="GM108" i="23"/>
  <c r="GM105" i="23"/>
  <c r="GM103" i="23"/>
  <c r="GM111" i="23"/>
  <c r="GM97" i="23"/>
  <c r="GM95" i="23"/>
  <c r="GM96" i="23"/>
  <c r="GM101" i="23"/>
  <c r="GM102" i="23"/>
  <c r="GM98" i="23"/>
  <c r="GM90" i="23"/>
  <c r="GM104" i="23"/>
  <c r="GM91" i="23"/>
  <c r="GM88" i="23"/>
  <c r="GM85" i="23"/>
  <c r="GM84" i="23"/>
  <c r="GM92" i="23"/>
  <c r="GM93" i="23"/>
  <c r="GM89" i="23"/>
  <c r="GM106" i="23"/>
  <c r="GM99" i="23"/>
  <c r="GM86" i="23"/>
  <c r="GM82" i="23"/>
  <c r="GM80" i="23"/>
  <c r="GM83" i="23"/>
  <c r="GM81" i="23"/>
  <c r="GM77" i="23"/>
  <c r="GM79" i="23"/>
  <c r="GM71" i="23"/>
  <c r="GM78" i="23"/>
  <c r="GM70" i="23"/>
  <c r="GM72" i="23"/>
  <c r="GM87" i="23"/>
  <c r="GM73" i="23"/>
  <c r="GM94" i="23"/>
  <c r="GM75" i="23"/>
  <c r="GM74" i="23"/>
  <c r="GM66" i="23"/>
  <c r="GM69" i="23"/>
  <c r="GM65" i="23"/>
  <c r="GM61" i="23"/>
  <c r="GM56" i="23"/>
  <c r="GM67" i="23"/>
  <c r="GM53" i="23"/>
  <c r="GM63" i="23"/>
  <c r="GM52" i="23"/>
  <c r="GM59" i="23"/>
  <c r="GM49" i="23"/>
  <c r="GM47" i="23"/>
  <c r="GM50" i="23"/>
  <c r="GM41" i="23"/>
  <c r="GM40" i="23"/>
  <c r="GM55" i="23"/>
  <c r="GM43" i="23"/>
  <c r="GM44" i="23"/>
  <c r="GM39" i="23"/>
  <c r="GM57" i="23"/>
  <c r="GM45" i="23"/>
  <c r="GM34" i="23"/>
  <c r="GM48" i="23"/>
  <c r="GM33" i="23"/>
  <c r="GM64" i="23"/>
  <c r="GM76" i="23"/>
  <c r="GM60" i="23"/>
  <c r="GM38" i="23"/>
  <c r="GM27" i="23"/>
  <c r="GM25" i="23"/>
  <c r="GM51" i="23"/>
  <c r="GM35" i="23"/>
  <c r="GM22" i="23"/>
  <c r="GM29" i="23"/>
  <c r="GM19" i="23"/>
  <c r="GM62" i="23"/>
  <c r="GM28" i="23"/>
  <c r="GM18" i="23"/>
  <c r="GM26" i="23"/>
  <c r="GM10" i="23"/>
  <c r="GM30" i="23"/>
  <c r="GM58" i="23"/>
  <c r="GM23" i="23"/>
  <c r="GM20" i="23"/>
  <c r="GM17" i="23"/>
  <c r="GM7" i="23"/>
  <c r="GM32" i="23"/>
  <c r="GM54" i="23"/>
  <c r="GM12" i="23"/>
  <c r="GM4" i="23"/>
  <c r="GM9" i="23"/>
  <c r="GM11" i="23"/>
  <c r="GM42" i="23"/>
  <c r="GM37" i="23"/>
  <c r="GM21" i="23"/>
  <c r="GM31" i="23"/>
  <c r="GM16" i="23"/>
  <c r="GM5" i="23"/>
  <c r="GM46" i="23"/>
  <c r="GM8" i="23"/>
  <c r="GM15" i="23"/>
  <c r="GM24" i="23"/>
  <c r="GM13" i="23"/>
  <c r="GN2" i="23"/>
  <c r="GM68" i="23"/>
  <c r="GM6" i="23"/>
  <c r="GM36" i="23"/>
  <c r="GM14" i="23"/>
  <c r="GN127" i="23" l="1"/>
  <c r="GN151" i="23"/>
  <c r="GN128" i="23"/>
  <c r="GN170" i="23"/>
  <c r="GN120" i="23"/>
  <c r="GN164" i="23"/>
  <c r="GN117" i="23"/>
  <c r="GN186" i="23"/>
  <c r="GN157" i="23"/>
  <c r="GN133" i="23"/>
  <c r="GN149" i="23"/>
  <c r="GN143" i="23"/>
  <c r="GN182" i="23"/>
  <c r="GN211" i="23"/>
  <c r="GN209" i="23"/>
  <c r="GN174" i="23"/>
  <c r="GN197" i="23"/>
  <c r="GN210" i="23"/>
  <c r="GN208" i="23"/>
  <c r="GN144" i="23"/>
  <c r="GN212" i="23"/>
  <c r="GN196" i="23"/>
  <c r="GN193" i="23"/>
  <c r="GN181" i="23"/>
  <c r="GN203" i="23"/>
  <c r="GN205" i="23"/>
  <c r="GN195" i="23"/>
  <c r="GN185" i="23"/>
  <c r="GN207" i="23"/>
  <c r="GN206" i="23"/>
  <c r="GN200" i="23"/>
  <c r="GN204" i="23"/>
  <c r="GN192" i="23"/>
  <c r="GN199" i="23"/>
  <c r="GN171" i="23"/>
  <c r="GN194" i="23"/>
  <c r="GN187" i="23"/>
  <c r="GN190" i="23"/>
  <c r="GN201" i="23"/>
  <c r="GN173" i="23"/>
  <c r="GN198" i="23"/>
  <c r="GN189" i="23"/>
  <c r="GN163" i="23"/>
  <c r="GN155" i="23"/>
  <c r="GN154" i="23"/>
  <c r="GN176" i="23"/>
  <c r="GN160" i="23"/>
  <c r="GN168" i="23"/>
  <c r="GN188" i="23"/>
  <c r="GN150" i="23"/>
  <c r="GN152" i="23"/>
  <c r="GN179" i="23"/>
  <c r="GN161" i="23"/>
  <c r="GN142" i="23"/>
  <c r="GN159" i="23"/>
  <c r="GN130" i="23"/>
  <c r="GN135" i="23"/>
  <c r="GN177" i="23"/>
  <c r="GN153" i="23"/>
  <c r="GN137" i="23"/>
  <c r="GN140" i="23"/>
  <c r="GN175" i="23"/>
  <c r="GN139" i="23"/>
  <c r="GN146" i="23"/>
  <c r="GN126" i="23"/>
  <c r="GN129" i="23"/>
  <c r="GN172" i="23"/>
  <c r="GN167" i="23"/>
  <c r="GN145" i="23"/>
  <c r="GN119" i="23"/>
  <c r="GN134" i="23"/>
  <c r="GN115" i="23"/>
  <c r="GN116" i="23"/>
  <c r="GN123" i="23"/>
  <c r="GN122" i="23"/>
  <c r="GN121" i="23"/>
  <c r="GN184" i="23"/>
  <c r="GN183" i="23"/>
  <c r="GN178" i="23"/>
  <c r="GN156" i="23"/>
  <c r="GN131" i="23"/>
  <c r="GN148" i="23"/>
  <c r="GN162" i="23"/>
  <c r="GN118" i="23"/>
  <c r="GN165" i="23"/>
  <c r="GN138" i="23"/>
  <c r="GN166" i="23"/>
  <c r="GN141" i="23"/>
  <c r="GN124" i="23"/>
  <c r="GN132" i="23"/>
  <c r="GN136" i="23"/>
  <c r="GN158" i="23"/>
  <c r="GN191" i="23"/>
  <c r="GN125" i="23"/>
  <c r="GN147" i="23"/>
  <c r="GN114" i="23"/>
  <c r="GN180" i="23"/>
  <c r="GN202" i="23"/>
  <c r="GN169" i="23"/>
  <c r="GN111" i="23"/>
  <c r="GN113" i="23"/>
  <c r="GN110" i="23"/>
  <c r="GN108" i="23"/>
  <c r="GN109" i="23"/>
  <c r="GN112" i="23"/>
  <c r="GN105" i="23"/>
  <c r="GN106" i="23"/>
  <c r="GN103" i="23"/>
  <c r="GN101" i="23"/>
  <c r="GN100" i="23"/>
  <c r="GN107" i="23"/>
  <c r="GN104" i="23"/>
  <c r="GN96" i="23"/>
  <c r="GN93" i="23"/>
  <c r="GN91" i="23"/>
  <c r="GN99" i="23"/>
  <c r="GN94" i="23"/>
  <c r="GN92" i="23"/>
  <c r="GN95" i="23"/>
  <c r="GN90" i="23"/>
  <c r="GN98" i="23"/>
  <c r="GN89" i="23"/>
  <c r="GN97" i="23"/>
  <c r="GN87" i="23"/>
  <c r="GN83" i="23"/>
  <c r="GN82" i="23"/>
  <c r="GN80" i="23"/>
  <c r="GN79" i="23"/>
  <c r="GN102" i="23"/>
  <c r="GN86" i="23"/>
  <c r="GN85" i="23"/>
  <c r="GN76" i="23"/>
  <c r="GN75" i="23"/>
  <c r="GN81" i="23"/>
  <c r="GN77" i="23"/>
  <c r="GN73" i="23"/>
  <c r="GN74" i="23"/>
  <c r="GN88" i="23"/>
  <c r="GN84" i="23"/>
  <c r="GN63" i="23"/>
  <c r="GN78" i="23"/>
  <c r="GN70" i="23"/>
  <c r="GN62" i="23"/>
  <c r="GN71" i="23"/>
  <c r="GN69" i="23"/>
  <c r="GN66" i="23"/>
  <c r="GN56" i="23"/>
  <c r="GN67" i="23"/>
  <c r="GN60" i="23"/>
  <c r="GN58" i="23"/>
  <c r="GN50" i="23"/>
  <c r="GN59" i="23"/>
  <c r="GN57" i="23"/>
  <c r="GN65" i="23"/>
  <c r="GN48" i="23"/>
  <c r="GN46" i="23"/>
  <c r="GN68" i="23"/>
  <c r="GN53" i="23"/>
  <c r="GN45" i="23"/>
  <c r="GN44" i="23"/>
  <c r="GN39" i="23"/>
  <c r="GN47" i="23"/>
  <c r="GN34" i="23"/>
  <c r="GN64" i="23"/>
  <c r="GN51" i="23"/>
  <c r="GN49" i="23"/>
  <c r="GN31" i="23"/>
  <c r="GN41" i="23"/>
  <c r="GN30" i="23"/>
  <c r="GN55" i="23"/>
  <c r="GN54" i="23"/>
  <c r="GN72" i="23"/>
  <c r="GN61" i="23"/>
  <c r="GN35" i="23"/>
  <c r="GN22" i="23"/>
  <c r="GN43" i="23"/>
  <c r="GN33" i="23"/>
  <c r="GN29" i="23"/>
  <c r="GN19" i="23"/>
  <c r="GN37" i="23"/>
  <c r="GN32" i="23"/>
  <c r="GN26" i="23"/>
  <c r="GN24" i="23"/>
  <c r="GN52" i="23"/>
  <c r="GN42" i="23"/>
  <c r="GN23" i="23"/>
  <c r="GN38" i="23"/>
  <c r="GN20" i="23"/>
  <c r="GN17" i="23"/>
  <c r="GN7" i="23"/>
  <c r="GN12" i="23"/>
  <c r="GN4" i="23"/>
  <c r="GN14" i="23"/>
  <c r="GN28" i="23"/>
  <c r="GN9" i="23"/>
  <c r="GN16" i="23"/>
  <c r="GN6" i="23"/>
  <c r="GN27" i="23"/>
  <c r="GN21" i="23"/>
  <c r="GN8" i="23"/>
  <c r="GO2" i="23"/>
  <c r="GN36" i="23"/>
  <c r="GN18" i="23"/>
  <c r="GN15" i="23"/>
  <c r="GN13" i="23"/>
  <c r="GN40" i="23"/>
  <c r="GN25" i="23"/>
  <c r="GN5" i="23"/>
  <c r="GN11" i="23"/>
  <c r="GN10" i="23"/>
  <c r="GO167" i="23" l="1"/>
  <c r="GO164" i="23"/>
  <c r="GO185" i="23"/>
  <c r="GO152" i="23"/>
  <c r="GO193" i="23"/>
  <c r="GO145" i="23"/>
  <c r="GO173" i="23"/>
  <c r="GO196" i="23"/>
  <c r="GO192" i="23"/>
  <c r="GO207" i="23"/>
  <c r="GO197" i="23"/>
  <c r="GO204" i="23"/>
  <c r="GO208" i="23"/>
  <c r="GO205" i="23"/>
  <c r="GO211" i="23"/>
  <c r="GO199" i="23"/>
  <c r="GO203" i="23"/>
  <c r="GO209" i="23"/>
  <c r="GO206" i="23"/>
  <c r="GO210" i="23"/>
  <c r="GO194" i="23"/>
  <c r="GO200" i="23"/>
  <c r="GO212" i="23"/>
  <c r="GO195" i="23"/>
  <c r="GO124" i="23"/>
  <c r="GO201" i="23"/>
  <c r="GO188" i="23"/>
  <c r="GO170" i="23"/>
  <c r="GO198" i="23"/>
  <c r="GO186" i="23"/>
  <c r="GO184" i="23"/>
  <c r="GO172" i="23"/>
  <c r="GO177" i="23"/>
  <c r="GO183" i="23"/>
  <c r="GO163" i="23"/>
  <c r="GO187" i="23"/>
  <c r="GO190" i="23"/>
  <c r="GO162" i="23"/>
  <c r="GO182" i="23"/>
  <c r="GO155" i="23"/>
  <c r="GO149" i="23"/>
  <c r="GO141" i="23"/>
  <c r="GO181" i="23"/>
  <c r="GO150" i="23"/>
  <c r="GO156" i="23"/>
  <c r="GO153" i="23"/>
  <c r="GO137" i="23"/>
  <c r="GO178" i="23"/>
  <c r="GO176" i="23"/>
  <c r="GO179" i="23"/>
  <c r="GO161" i="23"/>
  <c r="GO157" i="23"/>
  <c r="GO126" i="23"/>
  <c r="GO135" i="23"/>
  <c r="GO174" i="23"/>
  <c r="GO159" i="23"/>
  <c r="GO143" i="23"/>
  <c r="GO175" i="23"/>
  <c r="GO168" i="23"/>
  <c r="GO154" i="23"/>
  <c r="GO148" i="23"/>
  <c r="GO144" i="23"/>
  <c r="GO127" i="23"/>
  <c r="GO129" i="23"/>
  <c r="GO142" i="23"/>
  <c r="GO140" i="23"/>
  <c r="GO122" i="23"/>
  <c r="GO130" i="23"/>
  <c r="GO116" i="23"/>
  <c r="GO123" i="23"/>
  <c r="GO165" i="23"/>
  <c r="GO115" i="23"/>
  <c r="GO151" i="23"/>
  <c r="GO118" i="23"/>
  <c r="GO189" i="23"/>
  <c r="GO166" i="23"/>
  <c r="GO138" i="23"/>
  <c r="GO119" i="23"/>
  <c r="GO128" i="23"/>
  <c r="GO160" i="23"/>
  <c r="GO131" i="23"/>
  <c r="GO120" i="23"/>
  <c r="GO132" i="23"/>
  <c r="GO133" i="23"/>
  <c r="GO146" i="23"/>
  <c r="GO117" i="23"/>
  <c r="GO139" i="23"/>
  <c r="GO121" i="23"/>
  <c r="GO134" i="23"/>
  <c r="GO171" i="23"/>
  <c r="GO125" i="23"/>
  <c r="GO114" i="23"/>
  <c r="GO136" i="23"/>
  <c r="GO169" i="23"/>
  <c r="GO158" i="23"/>
  <c r="GO191" i="23"/>
  <c r="GO180" i="23"/>
  <c r="GO147" i="23"/>
  <c r="GO202" i="23"/>
  <c r="GO112" i="23"/>
  <c r="GO111" i="23"/>
  <c r="GO113" i="23"/>
  <c r="GO108" i="23"/>
  <c r="GO107" i="23"/>
  <c r="GO105" i="23"/>
  <c r="GO109" i="23"/>
  <c r="GO110" i="23"/>
  <c r="GO104" i="23"/>
  <c r="GO102" i="23"/>
  <c r="GO106" i="23"/>
  <c r="GO103" i="23"/>
  <c r="GO101" i="23"/>
  <c r="GO99" i="23"/>
  <c r="GO98" i="23"/>
  <c r="GO100" i="23"/>
  <c r="GO94" i="23"/>
  <c r="GO93" i="23"/>
  <c r="GO96" i="23"/>
  <c r="GO90" i="23"/>
  <c r="GO89" i="23"/>
  <c r="GO91" i="23"/>
  <c r="GO92" i="23"/>
  <c r="GO95" i="23"/>
  <c r="GO87" i="23"/>
  <c r="GO97" i="23"/>
  <c r="GO86" i="23"/>
  <c r="GO88" i="23"/>
  <c r="GO85" i="23"/>
  <c r="GO76" i="23"/>
  <c r="GO73" i="23"/>
  <c r="GO72" i="23"/>
  <c r="GO74" i="23"/>
  <c r="GO84" i="23"/>
  <c r="GO75" i="23"/>
  <c r="GO68" i="23"/>
  <c r="GO80" i="23"/>
  <c r="GO71" i="23"/>
  <c r="GO67" i="23"/>
  <c r="GO83" i="23"/>
  <c r="GO82" i="23"/>
  <c r="GO81" i="23"/>
  <c r="GO60" i="23"/>
  <c r="GO58" i="23"/>
  <c r="GO62" i="23"/>
  <c r="GO55" i="23"/>
  <c r="GO64" i="23"/>
  <c r="GO54" i="23"/>
  <c r="GO65" i="23"/>
  <c r="GO50" i="23"/>
  <c r="GO48" i="23"/>
  <c r="GO46" i="23"/>
  <c r="GO61" i="23"/>
  <c r="GO51" i="23"/>
  <c r="GO43" i="23"/>
  <c r="GO78" i="23"/>
  <c r="GO70" i="23"/>
  <c r="GO57" i="23"/>
  <c r="GO42" i="23"/>
  <c r="GO56" i="23"/>
  <c r="GO53" i="23"/>
  <c r="GO47" i="23"/>
  <c r="GO77" i="23"/>
  <c r="GO49" i="23"/>
  <c r="GO45" i="23"/>
  <c r="GO31" i="23"/>
  <c r="GO63" i="23"/>
  <c r="GO38" i="23"/>
  <c r="GO36" i="23"/>
  <c r="GO66" i="23"/>
  <c r="GO59" i="23"/>
  <c r="GO52" i="23"/>
  <c r="GO40" i="23"/>
  <c r="GO37" i="23"/>
  <c r="GO35" i="23"/>
  <c r="GO34" i="23"/>
  <c r="GO33" i="23"/>
  <c r="GO29" i="23"/>
  <c r="GO19" i="23"/>
  <c r="GO32" i="23"/>
  <c r="GO26" i="23"/>
  <c r="GO24" i="23"/>
  <c r="GO41" i="23"/>
  <c r="GO30" i="23"/>
  <c r="GO21" i="23"/>
  <c r="GO44" i="23"/>
  <c r="GO20" i="23"/>
  <c r="GO23" i="23"/>
  <c r="GO12" i="23"/>
  <c r="GO4" i="23"/>
  <c r="GO25" i="23"/>
  <c r="GO28" i="23"/>
  <c r="GO9" i="23"/>
  <c r="GO11" i="23"/>
  <c r="GO79" i="23"/>
  <c r="GO22" i="23"/>
  <c r="GO16" i="23"/>
  <c r="GO14" i="23"/>
  <c r="GO6" i="23"/>
  <c r="GO18" i="23"/>
  <c r="GO15" i="23"/>
  <c r="GO13" i="23"/>
  <c r="GO5" i="23"/>
  <c r="GO39" i="23"/>
  <c r="GO7" i="23"/>
  <c r="GO10" i="23"/>
  <c r="GO8" i="23"/>
  <c r="GO17" i="23"/>
  <c r="GP2" i="23"/>
  <c r="GO27" i="23"/>
  <c r="GO69" i="23"/>
  <c r="GP168" i="23" l="1"/>
  <c r="GP209" i="23"/>
  <c r="GP132" i="23"/>
  <c r="GP206" i="23"/>
  <c r="GP194" i="23"/>
  <c r="GP200" i="23"/>
  <c r="GP179" i="23"/>
  <c r="GP142" i="23"/>
  <c r="GP127" i="23"/>
  <c r="GP126" i="23"/>
  <c r="GP176" i="23"/>
  <c r="GP189" i="23"/>
  <c r="GP199" i="23"/>
  <c r="GP208" i="23"/>
  <c r="GP164" i="23"/>
  <c r="GP211" i="23"/>
  <c r="GP149" i="23"/>
  <c r="GP207" i="23"/>
  <c r="GP144" i="23"/>
  <c r="GP145" i="23"/>
  <c r="GP201" i="23"/>
  <c r="GP204" i="23"/>
  <c r="GP205" i="23"/>
  <c r="GP210" i="23"/>
  <c r="GP192" i="23"/>
  <c r="GP203" i="23"/>
  <c r="GP197" i="23"/>
  <c r="GP195" i="23"/>
  <c r="GP198" i="23"/>
  <c r="GP186" i="23"/>
  <c r="GP187" i="23"/>
  <c r="GP196" i="23"/>
  <c r="GP181" i="23"/>
  <c r="GP182" i="23"/>
  <c r="GP190" i="23"/>
  <c r="GP171" i="23"/>
  <c r="GP150" i="23"/>
  <c r="GP155" i="23"/>
  <c r="GP162" i="23"/>
  <c r="GP165" i="23"/>
  <c r="GP212" i="23"/>
  <c r="GP170" i="23"/>
  <c r="GP161" i="23"/>
  <c r="GP163" i="23"/>
  <c r="GP156" i="23"/>
  <c r="GP183" i="23"/>
  <c r="GP172" i="23"/>
  <c r="GP175" i="23"/>
  <c r="GP177" i="23"/>
  <c r="GP173" i="23"/>
  <c r="GP154" i="23"/>
  <c r="GP148" i="23"/>
  <c r="GP151" i="23"/>
  <c r="GP141" i="23"/>
  <c r="GP167" i="23"/>
  <c r="GP152" i="23"/>
  <c r="GP188" i="23"/>
  <c r="GP166" i="23"/>
  <c r="GP178" i="23"/>
  <c r="GP139" i="23"/>
  <c r="GP128" i="23"/>
  <c r="GP129" i="23"/>
  <c r="GP185" i="23"/>
  <c r="GP174" i="23"/>
  <c r="GP137" i="23"/>
  <c r="GP160" i="23"/>
  <c r="GP140" i="23"/>
  <c r="GP131" i="23"/>
  <c r="GP118" i="23"/>
  <c r="GP115" i="23"/>
  <c r="GP146" i="23"/>
  <c r="GP135" i="23"/>
  <c r="GP133" i="23"/>
  <c r="GP120" i="23"/>
  <c r="GP123" i="23"/>
  <c r="GP138" i="23"/>
  <c r="GP122" i="23"/>
  <c r="GP193" i="23"/>
  <c r="GP157" i="23"/>
  <c r="GP159" i="23"/>
  <c r="GP134" i="23"/>
  <c r="GP153" i="23"/>
  <c r="GP184" i="23"/>
  <c r="GP116" i="23"/>
  <c r="GP124" i="23"/>
  <c r="GP119" i="23"/>
  <c r="GP143" i="23"/>
  <c r="GP117" i="23"/>
  <c r="GP130" i="23"/>
  <c r="GP121" i="23"/>
  <c r="GP147" i="23"/>
  <c r="GP114" i="23"/>
  <c r="GP191" i="23"/>
  <c r="GP158" i="23"/>
  <c r="GP136" i="23"/>
  <c r="GP125" i="23"/>
  <c r="GP169" i="23"/>
  <c r="GP202" i="23"/>
  <c r="GP180" i="23"/>
  <c r="GP112" i="23"/>
  <c r="GP113" i="23"/>
  <c r="GP110" i="23"/>
  <c r="GP111" i="23"/>
  <c r="GP108" i="23"/>
  <c r="GP106" i="23"/>
  <c r="GP104" i="23"/>
  <c r="GP102" i="23"/>
  <c r="GP101" i="23"/>
  <c r="GP98" i="23"/>
  <c r="GP99" i="23"/>
  <c r="GP109" i="23"/>
  <c r="GP97" i="23"/>
  <c r="GP95" i="23"/>
  <c r="GP94" i="23"/>
  <c r="GP92" i="23"/>
  <c r="GP100" i="23"/>
  <c r="GP105" i="23"/>
  <c r="GP83" i="23"/>
  <c r="GP103" i="23"/>
  <c r="GP89" i="23"/>
  <c r="GP93" i="23"/>
  <c r="GP91" i="23"/>
  <c r="GP88" i="23"/>
  <c r="GP96" i="23"/>
  <c r="GP82" i="23"/>
  <c r="GP80" i="23"/>
  <c r="GP107" i="23"/>
  <c r="GP81" i="23"/>
  <c r="GP79" i="23"/>
  <c r="GP90" i="23"/>
  <c r="GP86" i="23"/>
  <c r="GP85" i="23"/>
  <c r="GP76" i="23"/>
  <c r="GP78" i="23"/>
  <c r="GP70" i="23"/>
  <c r="GP84" i="23"/>
  <c r="GP77" i="23"/>
  <c r="GP87" i="23"/>
  <c r="GP75" i="23"/>
  <c r="GP69" i="23"/>
  <c r="GP65" i="23"/>
  <c r="GP64" i="23"/>
  <c r="GP73" i="23"/>
  <c r="GP67" i="23"/>
  <c r="GP60" i="23"/>
  <c r="GP58" i="23"/>
  <c r="GP62" i="23"/>
  <c r="GP55" i="23"/>
  <c r="GP52" i="23"/>
  <c r="GP68" i="23"/>
  <c r="GP61" i="23"/>
  <c r="GP51" i="23"/>
  <c r="GP50" i="23"/>
  <c r="GP48" i="23"/>
  <c r="GP46" i="23"/>
  <c r="GP72" i="23"/>
  <c r="GP63" i="23"/>
  <c r="GP66" i="23"/>
  <c r="GP54" i="23"/>
  <c r="GP49" i="23"/>
  <c r="GP47" i="23"/>
  <c r="GP45" i="23"/>
  <c r="GP74" i="23"/>
  <c r="GP57" i="23"/>
  <c r="GP38" i="23"/>
  <c r="GP36" i="23"/>
  <c r="GP33" i="23"/>
  <c r="GP42" i="23"/>
  <c r="GP32" i="23"/>
  <c r="GP53" i="23"/>
  <c r="GP43" i="23"/>
  <c r="GP26" i="23"/>
  <c r="GP24" i="23"/>
  <c r="GP41" i="23"/>
  <c r="GP37" i="23"/>
  <c r="GP30" i="23"/>
  <c r="GP21" i="23"/>
  <c r="GP40" i="23"/>
  <c r="GP31" i="23"/>
  <c r="GP28" i="23"/>
  <c r="GP18" i="23"/>
  <c r="GP27" i="23"/>
  <c r="GP25" i="23"/>
  <c r="GP34" i="23"/>
  <c r="GP9" i="23"/>
  <c r="GP71" i="23"/>
  <c r="GQ2" i="23"/>
  <c r="GP56" i="23"/>
  <c r="GP22" i="23"/>
  <c r="GP16" i="23"/>
  <c r="GP14" i="23"/>
  <c r="GP6" i="23"/>
  <c r="GP8" i="23"/>
  <c r="GP19" i="23"/>
  <c r="GP11" i="23"/>
  <c r="GP35" i="23"/>
  <c r="GP39" i="23"/>
  <c r="GP10" i="23"/>
  <c r="GP17" i="23"/>
  <c r="GP20" i="23"/>
  <c r="GP5" i="23"/>
  <c r="GP13" i="23"/>
  <c r="GP12" i="23"/>
  <c r="GP44" i="23"/>
  <c r="GP23" i="23"/>
  <c r="GP29" i="23"/>
  <c r="GP59" i="23"/>
  <c r="GP4" i="23"/>
  <c r="GP15" i="23"/>
  <c r="GP7" i="23"/>
  <c r="GQ115" i="23" l="1"/>
  <c r="GQ189" i="23"/>
  <c r="GQ206" i="23"/>
  <c r="GQ210" i="23"/>
  <c r="GQ128" i="23"/>
  <c r="GQ196" i="23"/>
  <c r="GQ176" i="23"/>
  <c r="GQ161" i="23"/>
  <c r="GQ124" i="23"/>
  <c r="GQ131" i="23"/>
  <c r="GQ183" i="23"/>
  <c r="GQ159" i="23"/>
  <c r="GQ173" i="23"/>
  <c r="GQ129" i="23"/>
  <c r="GQ193" i="23"/>
  <c r="GQ127" i="23"/>
  <c r="GQ178" i="23"/>
  <c r="GQ166" i="23"/>
  <c r="GQ194" i="23"/>
  <c r="GQ205" i="23"/>
  <c r="GQ208" i="23"/>
  <c r="GQ164" i="23"/>
  <c r="GQ197" i="23"/>
  <c r="GQ200" i="23"/>
  <c r="GQ204" i="23"/>
  <c r="GQ195" i="23"/>
  <c r="GQ207" i="23"/>
  <c r="GQ181" i="23"/>
  <c r="GQ187" i="23"/>
  <c r="GQ212" i="23"/>
  <c r="GQ192" i="23"/>
  <c r="GQ203" i="23"/>
  <c r="GQ209" i="23"/>
  <c r="GQ211" i="23"/>
  <c r="GQ184" i="23"/>
  <c r="GQ186" i="23"/>
  <c r="GQ199" i="23"/>
  <c r="GQ201" i="23"/>
  <c r="GQ185" i="23"/>
  <c r="GQ188" i="23"/>
  <c r="GQ182" i="23"/>
  <c r="GQ172" i="23"/>
  <c r="GQ150" i="23"/>
  <c r="GQ154" i="23"/>
  <c r="GQ190" i="23"/>
  <c r="GQ165" i="23"/>
  <c r="GQ168" i="23"/>
  <c r="GQ153" i="23"/>
  <c r="GQ198" i="23"/>
  <c r="GQ174" i="23"/>
  <c r="GQ175" i="23"/>
  <c r="GQ179" i="23"/>
  <c r="GQ170" i="23"/>
  <c r="GQ151" i="23"/>
  <c r="GQ142" i="23"/>
  <c r="GQ167" i="23"/>
  <c r="GQ160" i="23"/>
  <c r="GQ148" i="23"/>
  <c r="GQ138" i="23"/>
  <c r="GQ139" i="23"/>
  <c r="GQ157" i="23"/>
  <c r="GQ141" i="23"/>
  <c r="GQ144" i="23"/>
  <c r="GQ134" i="23"/>
  <c r="GQ156" i="23"/>
  <c r="GQ145" i="23"/>
  <c r="GQ121" i="23"/>
  <c r="GQ122" i="23"/>
  <c r="GQ163" i="23"/>
  <c r="GQ152" i="23"/>
  <c r="GQ137" i="23"/>
  <c r="GQ126" i="23"/>
  <c r="GQ118" i="23"/>
  <c r="GQ149" i="23"/>
  <c r="GQ140" i="23"/>
  <c r="GQ132" i="23"/>
  <c r="GQ177" i="23"/>
  <c r="GQ146" i="23"/>
  <c r="GQ130" i="23"/>
  <c r="GQ117" i="23"/>
  <c r="GQ171" i="23"/>
  <c r="GQ143" i="23"/>
  <c r="GQ119" i="23"/>
  <c r="GQ120" i="23"/>
  <c r="GQ123" i="23"/>
  <c r="GQ133" i="23"/>
  <c r="GQ135" i="23"/>
  <c r="GQ162" i="23"/>
  <c r="GQ155" i="23"/>
  <c r="GQ116" i="23"/>
  <c r="GQ202" i="23"/>
  <c r="GQ125" i="23"/>
  <c r="GQ147" i="23"/>
  <c r="GQ191" i="23"/>
  <c r="GQ169" i="23"/>
  <c r="GQ158" i="23"/>
  <c r="GQ136" i="23"/>
  <c r="GQ114" i="23"/>
  <c r="GQ180" i="23"/>
  <c r="GQ113" i="23"/>
  <c r="GQ110" i="23"/>
  <c r="GQ109" i="23"/>
  <c r="GQ107" i="23"/>
  <c r="GQ111" i="23"/>
  <c r="GQ106" i="23"/>
  <c r="GQ112" i="23"/>
  <c r="GQ108" i="23"/>
  <c r="GQ102" i="23"/>
  <c r="GQ96" i="23"/>
  <c r="GQ99" i="23"/>
  <c r="GQ97" i="23"/>
  <c r="GQ95" i="23"/>
  <c r="GQ105" i="23"/>
  <c r="GQ104" i="23"/>
  <c r="GQ98" i="23"/>
  <c r="GQ91" i="23"/>
  <c r="GQ92" i="23"/>
  <c r="GQ94" i="23"/>
  <c r="GQ103" i="23"/>
  <c r="GQ101" i="23"/>
  <c r="GQ93" i="23"/>
  <c r="GQ89" i="23"/>
  <c r="GQ88" i="23"/>
  <c r="GQ86" i="23"/>
  <c r="GQ84" i="23"/>
  <c r="GQ78" i="23"/>
  <c r="GQ87" i="23"/>
  <c r="GQ75" i="23"/>
  <c r="GQ81" i="23"/>
  <c r="GQ74" i="23"/>
  <c r="GQ68" i="23"/>
  <c r="GQ100" i="23"/>
  <c r="GQ69" i="23"/>
  <c r="GQ76" i="23"/>
  <c r="GQ62" i="23"/>
  <c r="GQ79" i="23"/>
  <c r="GQ72" i="23"/>
  <c r="GQ80" i="23"/>
  <c r="GQ90" i="23"/>
  <c r="GQ63" i="23"/>
  <c r="GQ59" i="23"/>
  <c r="GQ57" i="23"/>
  <c r="GQ77" i="23"/>
  <c r="GQ70" i="23"/>
  <c r="GQ66" i="23"/>
  <c r="GQ65" i="23"/>
  <c r="GQ56" i="23"/>
  <c r="GQ67" i="23"/>
  <c r="GQ61" i="23"/>
  <c r="GQ51" i="23"/>
  <c r="GQ83" i="23"/>
  <c r="GQ55" i="23"/>
  <c r="GQ53" i="23"/>
  <c r="GQ52" i="23"/>
  <c r="GQ45" i="23"/>
  <c r="GQ64" i="23"/>
  <c r="GQ60" i="23"/>
  <c r="GQ44" i="23"/>
  <c r="GQ82" i="23"/>
  <c r="GQ49" i="23"/>
  <c r="GQ38" i="23"/>
  <c r="GQ36" i="23"/>
  <c r="GQ33" i="23"/>
  <c r="GQ85" i="23"/>
  <c r="GQ58" i="23"/>
  <c r="GQ54" i="23"/>
  <c r="GQ41" i="23"/>
  <c r="GQ30" i="23"/>
  <c r="GQ50" i="23"/>
  <c r="GQ43" i="23"/>
  <c r="GQ39" i="23"/>
  <c r="GQ71" i="23"/>
  <c r="GQ37" i="23"/>
  <c r="GQ32" i="23"/>
  <c r="GQ21" i="23"/>
  <c r="GQ40" i="23"/>
  <c r="GQ31" i="23"/>
  <c r="GQ28" i="23"/>
  <c r="GQ18" i="23"/>
  <c r="GQ23" i="23"/>
  <c r="GQ46" i="23"/>
  <c r="GQ22" i="23"/>
  <c r="GQ48" i="23"/>
  <c r="GQ16" i="23"/>
  <c r="GQ14" i="23"/>
  <c r="GQ6" i="23"/>
  <c r="GQ13" i="23"/>
  <c r="GQ19" i="23"/>
  <c r="GQ11" i="23"/>
  <c r="GQ5" i="23"/>
  <c r="GQ35" i="23"/>
  <c r="GQ25" i="23"/>
  <c r="GQ8" i="23"/>
  <c r="GR2" i="23"/>
  <c r="GQ47" i="23"/>
  <c r="GQ27" i="23"/>
  <c r="GQ15" i="23"/>
  <c r="GQ42" i="23"/>
  <c r="GQ17" i="23"/>
  <c r="GQ7" i="23"/>
  <c r="GQ73" i="23"/>
  <c r="GQ29" i="23"/>
  <c r="GQ24" i="23"/>
  <c r="GQ20" i="23"/>
  <c r="GQ12" i="23"/>
  <c r="GQ26" i="23"/>
  <c r="GQ10" i="23"/>
  <c r="GQ4" i="23"/>
  <c r="GQ9" i="23"/>
  <c r="GQ34" i="23"/>
  <c r="GR201" i="23" l="1"/>
  <c r="GR144" i="23"/>
  <c r="GR115" i="23"/>
  <c r="GR134" i="23"/>
  <c r="GR189" i="23"/>
  <c r="GR148" i="23"/>
  <c r="GR151" i="23"/>
  <c r="GR131" i="23"/>
  <c r="GR127" i="23"/>
  <c r="GR138" i="23"/>
  <c r="GR170" i="23"/>
  <c r="GR168" i="23"/>
  <c r="GR149" i="23"/>
  <c r="GR178" i="23"/>
  <c r="GR208" i="23"/>
  <c r="GR164" i="23"/>
  <c r="GR197" i="23"/>
  <c r="GR209" i="23"/>
  <c r="GR200" i="23"/>
  <c r="GR212" i="23"/>
  <c r="GR204" i="23"/>
  <c r="GR203" i="23"/>
  <c r="GR166" i="23"/>
  <c r="GR205" i="23"/>
  <c r="GR211" i="23"/>
  <c r="GR195" i="23"/>
  <c r="GR192" i="23"/>
  <c r="GR207" i="23"/>
  <c r="GR210" i="23"/>
  <c r="GR206" i="23"/>
  <c r="GR199" i="23"/>
  <c r="GR198" i="23"/>
  <c r="GR194" i="23"/>
  <c r="GR196" i="23"/>
  <c r="GR186" i="23"/>
  <c r="GR187" i="23"/>
  <c r="GR184" i="23"/>
  <c r="GR188" i="23"/>
  <c r="GR190" i="23"/>
  <c r="GR174" i="23"/>
  <c r="GR193" i="23"/>
  <c r="GR185" i="23"/>
  <c r="GR175" i="23"/>
  <c r="GR176" i="23"/>
  <c r="GR179" i="23"/>
  <c r="GR160" i="23"/>
  <c r="GR173" i="23"/>
  <c r="GR163" i="23"/>
  <c r="GR161" i="23"/>
  <c r="GR167" i="23"/>
  <c r="GR156" i="23"/>
  <c r="GR183" i="23"/>
  <c r="GR162" i="23"/>
  <c r="GR157" i="23"/>
  <c r="GR139" i="23"/>
  <c r="GR172" i="23"/>
  <c r="GR150" i="23"/>
  <c r="GR141" i="23"/>
  <c r="GR171" i="23"/>
  <c r="GR165" i="23"/>
  <c r="GR154" i="23"/>
  <c r="GR140" i="23"/>
  <c r="GR143" i="23"/>
  <c r="GR146" i="23"/>
  <c r="GR177" i="23"/>
  <c r="GR142" i="23"/>
  <c r="GR126" i="23"/>
  <c r="GR155" i="23"/>
  <c r="GR130" i="23"/>
  <c r="GR132" i="23"/>
  <c r="GR117" i="23"/>
  <c r="GR120" i="23"/>
  <c r="GR181" i="23"/>
  <c r="GR182" i="23"/>
  <c r="GR129" i="23"/>
  <c r="GR121" i="23"/>
  <c r="GR119" i="23"/>
  <c r="GR123" i="23"/>
  <c r="GR152" i="23"/>
  <c r="GR133" i="23"/>
  <c r="GR116" i="23"/>
  <c r="GR135" i="23"/>
  <c r="GR122" i="23"/>
  <c r="GR128" i="23"/>
  <c r="GR137" i="23"/>
  <c r="GR159" i="23"/>
  <c r="GR118" i="23"/>
  <c r="GR124" i="23"/>
  <c r="GR145" i="23"/>
  <c r="GR153" i="23"/>
  <c r="GR158" i="23"/>
  <c r="GR169" i="23"/>
  <c r="GR202" i="23"/>
  <c r="GR191" i="23"/>
  <c r="GR136" i="23"/>
  <c r="GR125" i="23"/>
  <c r="GR147" i="23"/>
  <c r="GR180" i="23"/>
  <c r="GR114" i="23"/>
  <c r="GR111" i="23"/>
  <c r="GR113" i="23"/>
  <c r="GR112" i="23"/>
  <c r="GR107" i="23"/>
  <c r="GR108" i="23"/>
  <c r="GR110" i="23"/>
  <c r="GR105" i="23"/>
  <c r="GR103" i="23"/>
  <c r="GR101" i="23"/>
  <c r="GR106" i="23"/>
  <c r="GR109" i="23"/>
  <c r="GR98" i="23"/>
  <c r="GR100" i="23"/>
  <c r="GR97" i="23"/>
  <c r="GR102" i="23"/>
  <c r="GR93" i="23"/>
  <c r="GR92" i="23"/>
  <c r="GR99" i="23"/>
  <c r="GR89" i="23"/>
  <c r="GR88" i="23"/>
  <c r="GR94" i="23"/>
  <c r="GR104" i="23"/>
  <c r="GR95" i="23"/>
  <c r="GR86" i="23"/>
  <c r="GR90" i="23"/>
  <c r="GR85" i="23"/>
  <c r="GR91" i="23"/>
  <c r="GR96" i="23"/>
  <c r="GR87" i="23"/>
  <c r="GR83" i="23"/>
  <c r="GR78" i="23"/>
  <c r="GR75" i="23"/>
  <c r="GR72" i="23"/>
  <c r="GR82" i="23"/>
  <c r="GR80" i="23"/>
  <c r="GR79" i="23"/>
  <c r="GR71" i="23"/>
  <c r="GR69" i="23"/>
  <c r="GR84" i="23"/>
  <c r="GR76" i="23"/>
  <c r="GR70" i="23"/>
  <c r="GR67" i="23"/>
  <c r="GR77" i="23"/>
  <c r="GR73" i="23"/>
  <c r="GR66" i="23"/>
  <c r="GR81" i="23"/>
  <c r="GR62" i="23"/>
  <c r="GR63" i="23"/>
  <c r="GR59" i="23"/>
  <c r="GR57" i="23"/>
  <c r="GR74" i="23"/>
  <c r="GR54" i="23"/>
  <c r="GR53" i="23"/>
  <c r="GR65" i="23"/>
  <c r="GR61" i="23"/>
  <c r="GR51" i="23"/>
  <c r="GR55" i="23"/>
  <c r="GR52" i="23"/>
  <c r="GR58" i="23"/>
  <c r="GR42" i="23"/>
  <c r="GR56" i="23"/>
  <c r="GR41" i="23"/>
  <c r="GR64" i="23"/>
  <c r="GR30" i="23"/>
  <c r="GR46" i="23"/>
  <c r="GR40" i="23"/>
  <c r="GR37" i="23"/>
  <c r="GR35" i="23"/>
  <c r="GR68" i="23"/>
  <c r="GR44" i="23"/>
  <c r="GR34" i="23"/>
  <c r="GR45" i="23"/>
  <c r="GR31" i="23"/>
  <c r="GR28" i="23"/>
  <c r="GR23" i="23"/>
  <c r="GR39" i="23"/>
  <c r="GR20" i="23"/>
  <c r="GR36" i="23"/>
  <c r="GR29" i="23"/>
  <c r="GR19" i="23"/>
  <c r="GR50" i="23"/>
  <c r="GR22" i="23"/>
  <c r="GR11" i="23"/>
  <c r="GR10" i="23"/>
  <c r="GR25" i="23"/>
  <c r="GR8" i="23"/>
  <c r="GS2" i="23"/>
  <c r="GR47" i="23"/>
  <c r="GR32" i="23"/>
  <c r="GR27" i="23"/>
  <c r="GR15" i="23"/>
  <c r="GR13" i="23"/>
  <c r="GR5" i="23"/>
  <c r="GR60" i="23"/>
  <c r="GR49" i="23"/>
  <c r="GR33" i="23"/>
  <c r="GR24" i="23"/>
  <c r="GR12" i="23"/>
  <c r="GR4" i="23"/>
  <c r="GR43" i="23"/>
  <c r="GR26" i="23"/>
  <c r="GR16" i="23"/>
  <c r="GR18" i="23"/>
  <c r="GR38" i="23"/>
  <c r="GR6" i="23"/>
  <c r="GR48" i="23"/>
  <c r="GR14" i="23"/>
  <c r="GR7" i="23"/>
  <c r="GR21" i="23"/>
  <c r="GR17" i="23"/>
  <c r="GR9" i="23"/>
  <c r="GS198" i="23" l="1"/>
  <c r="GS166" i="23"/>
  <c r="GS134" i="23"/>
  <c r="GS173" i="23"/>
  <c r="GS124" i="23"/>
  <c r="GS170" i="23"/>
  <c r="GS123" i="23"/>
  <c r="GS135" i="23"/>
  <c r="GS115" i="23"/>
  <c r="GS129" i="23"/>
  <c r="GS152" i="23"/>
  <c r="GS149" i="23"/>
  <c r="GS143" i="23"/>
  <c r="GS144" i="23"/>
  <c r="GS203" i="23"/>
  <c r="GS189" i="23"/>
  <c r="GS212" i="23"/>
  <c r="GS205" i="23"/>
  <c r="GS211" i="23"/>
  <c r="GS121" i="23"/>
  <c r="GS146" i="23"/>
  <c r="GS206" i="23"/>
  <c r="GS195" i="23"/>
  <c r="GS200" i="23"/>
  <c r="GS197" i="23"/>
  <c r="GS204" i="23"/>
  <c r="GS196" i="23"/>
  <c r="GS181" i="23"/>
  <c r="GS210" i="23"/>
  <c r="GS194" i="23"/>
  <c r="GS199" i="23"/>
  <c r="GS193" i="23"/>
  <c r="GS201" i="23"/>
  <c r="GS209" i="23"/>
  <c r="GS208" i="23"/>
  <c r="GS185" i="23"/>
  <c r="GS171" i="23"/>
  <c r="GS192" i="23"/>
  <c r="GS183" i="23"/>
  <c r="GS172" i="23"/>
  <c r="GS186" i="23"/>
  <c r="GS176" i="23"/>
  <c r="GS187" i="23"/>
  <c r="GS163" i="23"/>
  <c r="GS159" i="23"/>
  <c r="GS161" i="23"/>
  <c r="GS154" i="23"/>
  <c r="GS207" i="23"/>
  <c r="GS190" i="23"/>
  <c r="GS167" i="23"/>
  <c r="GS164" i="23"/>
  <c r="GS165" i="23"/>
  <c r="GS155" i="23"/>
  <c r="GS188" i="23"/>
  <c r="GS179" i="23"/>
  <c r="GS157" i="23"/>
  <c r="GS137" i="23"/>
  <c r="GS182" i="23"/>
  <c r="GS162" i="23"/>
  <c r="GS160" i="23"/>
  <c r="GS156" i="23"/>
  <c r="GS127" i="23"/>
  <c r="GS174" i="23"/>
  <c r="GS148" i="23"/>
  <c r="GS151" i="23"/>
  <c r="GS138" i="23"/>
  <c r="GS177" i="23"/>
  <c r="GS150" i="23"/>
  <c r="GS153" i="23"/>
  <c r="GS118" i="23"/>
  <c r="GS141" i="23"/>
  <c r="GS133" i="23"/>
  <c r="GS175" i="23"/>
  <c r="GS132" i="23"/>
  <c r="GS131" i="23"/>
  <c r="GS122" i="23"/>
  <c r="GS128" i="23"/>
  <c r="GS168" i="23"/>
  <c r="GS126" i="23"/>
  <c r="GS120" i="23"/>
  <c r="GS178" i="23"/>
  <c r="GS139" i="23"/>
  <c r="GS142" i="23"/>
  <c r="GS140" i="23"/>
  <c r="GS145" i="23"/>
  <c r="GS130" i="23"/>
  <c r="GS116" i="23"/>
  <c r="GS117" i="23"/>
  <c r="GS184" i="23"/>
  <c r="GS119" i="23"/>
  <c r="GS202" i="23"/>
  <c r="GS180" i="23"/>
  <c r="GS169" i="23"/>
  <c r="GS114" i="23"/>
  <c r="GS136" i="23"/>
  <c r="GS147" i="23"/>
  <c r="GS125" i="23"/>
  <c r="GS191" i="23"/>
  <c r="GS158" i="23"/>
  <c r="GS112" i="23"/>
  <c r="GS109" i="23"/>
  <c r="GS108" i="23"/>
  <c r="GS107" i="23"/>
  <c r="GS106" i="23"/>
  <c r="GS113" i="23"/>
  <c r="GS105" i="23"/>
  <c r="GS104" i="23"/>
  <c r="GS103" i="23"/>
  <c r="GS102" i="23"/>
  <c r="GS101" i="23"/>
  <c r="GS111" i="23"/>
  <c r="GS100" i="23"/>
  <c r="GS99" i="23"/>
  <c r="GS110" i="23"/>
  <c r="GS94" i="23"/>
  <c r="GS93" i="23"/>
  <c r="GS96" i="23"/>
  <c r="GS95" i="23"/>
  <c r="GS91" i="23"/>
  <c r="GS88" i="23"/>
  <c r="GS98" i="23"/>
  <c r="GS92" i="23"/>
  <c r="GS97" i="23"/>
  <c r="GS87" i="23"/>
  <c r="GS86" i="23"/>
  <c r="GS81" i="23"/>
  <c r="GS90" i="23"/>
  <c r="GS89" i="23"/>
  <c r="GS77" i="23"/>
  <c r="GS83" i="23"/>
  <c r="GS76" i="23"/>
  <c r="GS69" i="23"/>
  <c r="GS70" i="23"/>
  <c r="GS82" i="23"/>
  <c r="GS71" i="23"/>
  <c r="GS64" i="23"/>
  <c r="GS74" i="23"/>
  <c r="GS63" i="23"/>
  <c r="GS59" i="23"/>
  <c r="GS57" i="23"/>
  <c r="GS79" i="23"/>
  <c r="GS75" i="23"/>
  <c r="GS72" i="23"/>
  <c r="GS61" i="23"/>
  <c r="GS51" i="23"/>
  <c r="GS85" i="23"/>
  <c r="GS60" i="23"/>
  <c r="GS58" i="23"/>
  <c r="GS50" i="23"/>
  <c r="GS67" i="23"/>
  <c r="GS55" i="23"/>
  <c r="GS52" i="23"/>
  <c r="GS53" i="23"/>
  <c r="GS84" i="23"/>
  <c r="GS80" i="23"/>
  <c r="GS49" i="23"/>
  <c r="GS47" i="23"/>
  <c r="GS48" i="23"/>
  <c r="GS46" i="23"/>
  <c r="GS78" i="23"/>
  <c r="GS54" i="23"/>
  <c r="GS41" i="23"/>
  <c r="GS40" i="23"/>
  <c r="GS37" i="23"/>
  <c r="GS35" i="23"/>
  <c r="GS73" i="23"/>
  <c r="GS65" i="23"/>
  <c r="GS32" i="23"/>
  <c r="GS31" i="23"/>
  <c r="GS66" i="23"/>
  <c r="GS56" i="23"/>
  <c r="GS68" i="23"/>
  <c r="GS30" i="23"/>
  <c r="GS23" i="23"/>
  <c r="GS39" i="23"/>
  <c r="GS20" i="23"/>
  <c r="GS27" i="23"/>
  <c r="GS25" i="23"/>
  <c r="GS38" i="23"/>
  <c r="GS34" i="23"/>
  <c r="GS26" i="23"/>
  <c r="GS24" i="23"/>
  <c r="GS28" i="23"/>
  <c r="GS19" i="23"/>
  <c r="GS8" i="23"/>
  <c r="GT2" i="23"/>
  <c r="GS21" i="23"/>
  <c r="GS17" i="23"/>
  <c r="GS45" i="23"/>
  <c r="GS15" i="23"/>
  <c r="GS13" i="23"/>
  <c r="GS5" i="23"/>
  <c r="GS18" i="23"/>
  <c r="GS62" i="23"/>
  <c r="GS10" i="23"/>
  <c r="GS7" i="23"/>
  <c r="GS43" i="23"/>
  <c r="GS36" i="23"/>
  <c r="GS29" i="23"/>
  <c r="GS9" i="23"/>
  <c r="GS44" i="23"/>
  <c r="GS16" i="23"/>
  <c r="GS14" i="23"/>
  <c r="GS42" i="23"/>
  <c r="GS12" i="23"/>
  <c r="GS6" i="23"/>
  <c r="GS11" i="23"/>
  <c r="GS4" i="23"/>
  <c r="GS22" i="23"/>
  <c r="GS33" i="23"/>
  <c r="GT154" i="23" l="1"/>
  <c r="GT124" i="23"/>
  <c r="GT138" i="23"/>
  <c r="GT198" i="23"/>
  <c r="GT117" i="23"/>
  <c r="GT166" i="23"/>
  <c r="GT210" i="23"/>
  <c r="GT146" i="23"/>
  <c r="GT115" i="23"/>
  <c r="GT134" i="23"/>
  <c r="GT157" i="23"/>
  <c r="GT139" i="23"/>
  <c r="GT203" i="23"/>
  <c r="GT199" i="23"/>
  <c r="GT127" i="23"/>
  <c r="GT201" i="23"/>
  <c r="GT204" i="23"/>
  <c r="GT209" i="23"/>
  <c r="GT212" i="23"/>
  <c r="GT192" i="23"/>
  <c r="GT164" i="23"/>
  <c r="GT193" i="23"/>
  <c r="GT196" i="23"/>
  <c r="GT207" i="23"/>
  <c r="GT195" i="23"/>
  <c r="GT197" i="23"/>
  <c r="GT205" i="23"/>
  <c r="GT194" i="23"/>
  <c r="GT200" i="23"/>
  <c r="GT206" i="23"/>
  <c r="GT181" i="23"/>
  <c r="GT185" i="23"/>
  <c r="GT183" i="23"/>
  <c r="GT211" i="23"/>
  <c r="GT188" i="23"/>
  <c r="GT208" i="23"/>
  <c r="GT159" i="23"/>
  <c r="GT189" i="23"/>
  <c r="GT171" i="23"/>
  <c r="GT179" i="23"/>
  <c r="GT162" i="23"/>
  <c r="GT156" i="23"/>
  <c r="GT174" i="23"/>
  <c r="GT175" i="23"/>
  <c r="GT177" i="23"/>
  <c r="GT187" i="23"/>
  <c r="GT163" i="23"/>
  <c r="GT167" i="23"/>
  <c r="GT176" i="23"/>
  <c r="GT160" i="23"/>
  <c r="GT165" i="23"/>
  <c r="GT184" i="23"/>
  <c r="GT172" i="23"/>
  <c r="GT151" i="23"/>
  <c r="GT143" i="23"/>
  <c r="GT150" i="23"/>
  <c r="GT140" i="23"/>
  <c r="GT128" i="23"/>
  <c r="GT161" i="23"/>
  <c r="GT137" i="23"/>
  <c r="GT144" i="23"/>
  <c r="GT168" i="23"/>
  <c r="GT126" i="23"/>
  <c r="GT132" i="23"/>
  <c r="GT186" i="23"/>
  <c r="GT190" i="23"/>
  <c r="GT119" i="23"/>
  <c r="GT122" i="23"/>
  <c r="GT155" i="23"/>
  <c r="GT129" i="23"/>
  <c r="GT173" i="23"/>
  <c r="GT148" i="23"/>
  <c r="GT120" i="23"/>
  <c r="GT142" i="23"/>
  <c r="GT135" i="23"/>
  <c r="GT116" i="23"/>
  <c r="GT118" i="23"/>
  <c r="GT182" i="23"/>
  <c r="GT153" i="23"/>
  <c r="GT121" i="23"/>
  <c r="GT149" i="23"/>
  <c r="GT131" i="23"/>
  <c r="GT141" i="23"/>
  <c r="GT152" i="23"/>
  <c r="GT123" i="23"/>
  <c r="GT145" i="23"/>
  <c r="GT170" i="23"/>
  <c r="GT178" i="23"/>
  <c r="GT130" i="23"/>
  <c r="GT133" i="23"/>
  <c r="GT158" i="23"/>
  <c r="GT180" i="23"/>
  <c r="GT169" i="23"/>
  <c r="GT202" i="23"/>
  <c r="GT125" i="23"/>
  <c r="GT147" i="23"/>
  <c r="GT191" i="23"/>
  <c r="GT136" i="23"/>
  <c r="GT114" i="23"/>
  <c r="GT113" i="23"/>
  <c r="GT112" i="23"/>
  <c r="GT110" i="23"/>
  <c r="GT111" i="23"/>
  <c r="GT109" i="23"/>
  <c r="GT108" i="23"/>
  <c r="GT106" i="23"/>
  <c r="GT105" i="23"/>
  <c r="GT107" i="23"/>
  <c r="GT104" i="23"/>
  <c r="GT102" i="23"/>
  <c r="GT99" i="23"/>
  <c r="GT98" i="23"/>
  <c r="GT95" i="23"/>
  <c r="GT103" i="23"/>
  <c r="GT94" i="23"/>
  <c r="GT92" i="23"/>
  <c r="GT91" i="23"/>
  <c r="GT100" i="23"/>
  <c r="GT90" i="23"/>
  <c r="GT101" i="23"/>
  <c r="GT93" i="23"/>
  <c r="GT96" i="23"/>
  <c r="GT87" i="23"/>
  <c r="GT97" i="23"/>
  <c r="GT86" i="23"/>
  <c r="GT84" i="23"/>
  <c r="GT89" i="23"/>
  <c r="GT77" i="23"/>
  <c r="GT74" i="23"/>
  <c r="GT85" i="23"/>
  <c r="GT73" i="23"/>
  <c r="GT76" i="23"/>
  <c r="GT70" i="23"/>
  <c r="GT88" i="23"/>
  <c r="GT82" i="23"/>
  <c r="GT71" i="23"/>
  <c r="GT83" i="23"/>
  <c r="GT80" i="23"/>
  <c r="GT78" i="23"/>
  <c r="GT81" i="23"/>
  <c r="GT68" i="23"/>
  <c r="GT63" i="23"/>
  <c r="GT79" i="23"/>
  <c r="GT75" i="23"/>
  <c r="GT72" i="23"/>
  <c r="GT61" i="23"/>
  <c r="GT65" i="23"/>
  <c r="GT64" i="23"/>
  <c r="GT56" i="23"/>
  <c r="GT67" i="23"/>
  <c r="GT55" i="23"/>
  <c r="GT53" i="23"/>
  <c r="GT58" i="23"/>
  <c r="GT49" i="23"/>
  <c r="GT47" i="23"/>
  <c r="GT69" i="23"/>
  <c r="GT54" i="23"/>
  <c r="GT44" i="23"/>
  <c r="GT62" i="23"/>
  <c r="GT59" i="23"/>
  <c r="GT50" i="23"/>
  <c r="GT43" i="23"/>
  <c r="GT57" i="23"/>
  <c r="GT41" i="23"/>
  <c r="GT40" i="23"/>
  <c r="GT37" i="23"/>
  <c r="GT51" i="23"/>
  <c r="GT46" i="23"/>
  <c r="GT32" i="23"/>
  <c r="GT48" i="23"/>
  <c r="GT42" i="23"/>
  <c r="GT39" i="23"/>
  <c r="GT60" i="23"/>
  <c r="GT45" i="23"/>
  <c r="GT38" i="23"/>
  <c r="GT36" i="23"/>
  <c r="GT52" i="23"/>
  <c r="GT20" i="23"/>
  <c r="GT27" i="23"/>
  <c r="GT25" i="23"/>
  <c r="GT66" i="23"/>
  <c r="GT22" i="23"/>
  <c r="GT35" i="23"/>
  <c r="GT33" i="23"/>
  <c r="GT21" i="23"/>
  <c r="GT15" i="23"/>
  <c r="GT13" i="23"/>
  <c r="GT5" i="23"/>
  <c r="GT10" i="23"/>
  <c r="GT12" i="23"/>
  <c r="GT30" i="23"/>
  <c r="GT18" i="23"/>
  <c r="GT17" i="23"/>
  <c r="GT7" i="23"/>
  <c r="GT4" i="23"/>
  <c r="GT26" i="23"/>
  <c r="GT16" i="23"/>
  <c r="GT14" i="23"/>
  <c r="GT6" i="23"/>
  <c r="GT34" i="23"/>
  <c r="GT31" i="23"/>
  <c r="GT23" i="23"/>
  <c r="GT11" i="23"/>
  <c r="GT29" i="23"/>
  <c r="GT24" i="23"/>
  <c r="GT19" i="23"/>
  <c r="GU2" i="23"/>
  <c r="GT28" i="23"/>
  <c r="GT8" i="23"/>
  <c r="GT9" i="23"/>
  <c r="GU149" i="23" l="1"/>
  <c r="GU131" i="23"/>
  <c r="GU133" i="23"/>
  <c r="GU152" i="23"/>
  <c r="GU121" i="23"/>
  <c r="GU193" i="23"/>
  <c r="GU151" i="23"/>
  <c r="GU166" i="23"/>
  <c r="GU122" i="23"/>
  <c r="GU196" i="23"/>
  <c r="GU155" i="23"/>
  <c r="GU205" i="23"/>
  <c r="GU128" i="23"/>
  <c r="GU201" i="23"/>
  <c r="GU145" i="23"/>
  <c r="GU176" i="23"/>
  <c r="GU207" i="23"/>
  <c r="GU117" i="23"/>
  <c r="GU143" i="23"/>
  <c r="GU210" i="23"/>
  <c r="GU195" i="23"/>
  <c r="GU168" i="23"/>
  <c r="GU206" i="23"/>
  <c r="GU194" i="23"/>
  <c r="GU199" i="23"/>
  <c r="GU203" i="23"/>
  <c r="GU208" i="23"/>
  <c r="GU204" i="23"/>
  <c r="GU209" i="23"/>
  <c r="GU212" i="23"/>
  <c r="GU192" i="23"/>
  <c r="GU200" i="23"/>
  <c r="GU183" i="23"/>
  <c r="GU185" i="23"/>
  <c r="GU211" i="23"/>
  <c r="GU188" i="23"/>
  <c r="GU184" i="23"/>
  <c r="GU182" i="23"/>
  <c r="GU172" i="23"/>
  <c r="GU173" i="23"/>
  <c r="GU186" i="23"/>
  <c r="GU181" i="23"/>
  <c r="GU187" i="23"/>
  <c r="GU189" i="23"/>
  <c r="GU160" i="23"/>
  <c r="GU164" i="23"/>
  <c r="GU148" i="23"/>
  <c r="GU178" i="23"/>
  <c r="GU161" i="23"/>
  <c r="GU163" i="23"/>
  <c r="GU154" i="23"/>
  <c r="GU174" i="23"/>
  <c r="GU153" i="23"/>
  <c r="GU156" i="23"/>
  <c r="GU190" i="23"/>
  <c r="GU167" i="23"/>
  <c r="GU157" i="23"/>
  <c r="GU138" i="23"/>
  <c r="GU177" i="23"/>
  <c r="GU139" i="23"/>
  <c r="GU198" i="23"/>
  <c r="GU140" i="23"/>
  <c r="GU162" i="23"/>
  <c r="GU141" i="23"/>
  <c r="GU137" i="23"/>
  <c r="GU144" i="23"/>
  <c r="GU175" i="23"/>
  <c r="GU127" i="23"/>
  <c r="GU134" i="23"/>
  <c r="GU171" i="23"/>
  <c r="GU150" i="23"/>
  <c r="GU142" i="23"/>
  <c r="GU126" i="23"/>
  <c r="GU129" i="23"/>
  <c r="GU118" i="23"/>
  <c r="GU116" i="23"/>
  <c r="GU119" i="23"/>
  <c r="GU124" i="23"/>
  <c r="GU146" i="23"/>
  <c r="GU197" i="23"/>
  <c r="GU135" i="23"/>
  <c r="GU170" i="23"/>
  <c r="GU130" i="23"/>
  <c r="GU132" i="23"/>
  <c r="GU115" i="23"/>
  <c r="GU123" i="23"/>
  <c r="GU159" i="23"/>
  <c r="GU179" i="23"/>
  <c r="GU120" i="23"/>
  <c r="GU165" i="23"/>
  <c r="GU169" i="23"/>
  <c r="GU136" i="23"/>
  <c r="GU125" i="23"/>
  <c r="GU114" i="23"/>
  <c r="GU202" i="23"/>
  <c r="GU180" i="23"/>
  <c r="GU147" i="23"/>
  <c r="GU158" i="23"/>
  <c r="GU191" i="23"/>
  <c r="GU113" i="23"/>
  <c r="GU111" i="23"/>
  <c r="GU112" i="23"/>
  <c r="GU110" i="23"/>
  <c r="GU107" i="23"/>
  <c r="GU100" i="23"/>
  <c r="GU109" i="23"/>
  <c r="GU108" i="23"/>
  <c r="GU105" i="23"/>
  <c r="GU102" i="23"/>
  <c r="GU104" i="23"/>
  <c r="GU101" i="23"/>
  <c r="GU99" i="23"/>
  <c r="GU97" i="23"/>
  <c r="GU95" i="23"/>
  <c r="GU103" i="23"/>
  <c r="GU93" i="23"/>
  <c r="GU89" i="23"/>
  <c r="GU85" i="23"/>
  <c r="GU98" i="23"/>
  <c r="GU84" i="23"/>
  <c r="GU96" i="23"/>
  <c r="GU87" i="23"/>
  <c r="GU94" i="23"/>
  <c r="GU82" i="23"/>
  <c r="GU80" i="23"/>
  <c r="GU77" i="23"/>
  <c r="GU88" i="23"/>
  <c r="GU81" i="23"/>
  <c r="GU79" i="23"/>
  <c r="GU71" i="23"/>
  <c r="GU78" i="23"/>
  <c r="GU70" i="23"/>
  <c r="GU86" i="23"/>
  <c r="GU83" i="23"/>
  <c r="GU106" i="23"/>
  <c r="GU72" i="23"/>
  <c r="GU66" i="23"/>
  <c r="GU75" i="23"/>
  <c r="GU65" i="23"/>
  <c r="GU90" i="23"/>
  <c r="GU61" i="23"/>
  <c r="GU74" i="23"/>
  <c r="GU64" i="23"/>
  <c r="GU56" i="23"/>
  <c r="GU68" i="23"/>
  <c r="GU53" i="23"/>
  <c r="GU92" i="23"/>
  <c r="GU76" i="23"/>
  <c r="GU73" i="23"/>
  <c r="GU69" i="23"/>
  <c r="GU62" i="23"/>
  <c r="GU52" i="23"/>
  <c r="GU58" i="23"/>
  <c r="GU49" i="23"/>
  <c r="GU47" i="23"/>
  <c r="GU63" i="23"/>
  <c r="GU54" i="23"/>
  <c r="GU60" i="23"/>
  <c r="GU57" i="23"/>
  <c r="GU41" i="23"/>
  <c r="GU40" i="23"/>
  <c r="GU51" i="23"/>
  <c r="GU46" i="23"/>
  <c r="GU48" i="23"/>
  <c r="GU42" i="23"/>
  <c r="GU39" i="23"/>
  <c r="GU43" i="23"/>
  <c r="GU34" i="23"/>
  <c r="GU67" i="23"/>
  <c r="GU33" i="23"/>
  <c r="GU55" i="23"/>
  <c r="GU91" i="23"/>
  <c r="GU27" i="23"/>
  <c r="GU25" i="23"/>
  <c r="GU22" i="23"/>
  <c r="GU59" i="23"/>
  <c r="GU50" i="23"/>
  <c r="GU44" i="23"/>
  <c r="GU29" i="23"/>
  <c r="GU19" i="23"/>
  <c r="GU28" i="23"/>
  <c r="GU18" i="23"/>
  <c r="GU45" i="23"/>
  <c r="GU10" i="23"/>
  <c r="GU9" i="23"/>
  <c r="GU35" i="23"/>
  <c r="GU32" i="23"/>
  <c r="GU30" i="23"/>
  <c r="GU17" i="23"/>
  <c r="GU7" i="23"/>
  <c r="GU24" i="23"/>
  <c r="GU21" i="23"/>
  <c r="GU12" i="23"/>
  <c r="GU4" i="23"/>
  <c r="GU37" i="23"/>
  <c r="GU31" i="23"/>
  <c r="GU23" i="23"/>
  <c r="GU20" i="23"/>
  <c r="GU11" i="23"/>
  <c r="GU38" i="23"/>
  <c r="GU5" i="23"/>
  <c r="GU8" i="23"/>
  <c r="GV2" i="23"/>
  <c r="GU14" i="23"/>
  <c r="GU13" i="23"/>
  <c r="GU6" i="23"/>
  <c r="GU36" i="23"/>
  <c r="GU15" i="23"/>
  <c r="GU26" i="23"/>
  <c r="GU16" i="23"/>
  <c r="GV212" i="23" l="1"/>
  <c r="GV189" i="23"/>
  <c r="GV129" i="23"/>
  <c r="GV176" i="23"/>
  <c r="GV115" i="23"/>
  <c r="GV185" i="23"/>
  <c r="GV197" i="23"/>
  <c r="GV200" i="23"/>
  <c r="GV170" i="23"/>
  <c r="GV127" i="23"/>
  <c r="GV134" i="23"/>
  <c r="GV123" i="23"/>
  <c r="GV146" i="23"/>
  <c r="GV149" i="23"/>
  <c r="GV164" i="23"/>
  <c r="GV175" i="23"/>
  <c r="GV145" i="23"/>
  <c r="GV131" i="23"/>
  <c r="GV211" i="23"/>
  <c r="GV208" i="23"/>
  <c r="GV209" i="23"/>
  <c r="GV199" i="23"/>
  <c r="GV204" i="23"/>
  <c r="GV207" i="23"/>
  <c r="GV128" i="23"/>
  <c r="GV198" i="23"/>
  <c r="GV205" i="23"/>
  <c r="GV193" i="23"/>
  <c r="GV194" i="23"/>
  <c r="GV192" i="23"/>
  <c r="GV210" i="23"/>
  <c r="GV187" i="23"/>
  <c r="GV184" i="23"/>
  <c r="GV196" i="23"/>
  <c r="GV186" i="23"/>
  <c r="GV181" i="23"/>
  <c r="GV195" i="23"/>
  <c r="GV177" i="23"/>
  <c r="GV206" i="23"/>
  <c r="GV183" i="23"/>
  <c r="GV188" i="23"/>
  <c r="GV171" i="23"/>
  <c r="GV166" i="23"/>
  <c r="GV190" i="23"/>
  <c r="GV167" i="23"/>
  <c r="GV156" i="23"/>
  <c r="GV201" i="23"/>
  <c r="GV172" i="23"/>
  <c r="GV179" i="23"/>
  <c r="GV165" i="23"/>
  <c r="GV148" i="23"/>
  <c r="GV168" i="23"/>
  <c r="GV141" i="23"/>
  <c r="GV174" i="23"/>
  <c r="GV155" i="23"/>
  <c r="GV153" i="23"/>
  <c r="GV138" i="23"/>
  <c r="GV154" i="23"/>
  <c r="GV157" i="23"/>
  <c r="GV182" i="23"/>
  <c r="GV163" i="23"/>
  <c r="GV139" i="23"/>
  <c r="GV142" i="23"/>
  <c r="GV144" i="23"/>
  <c r="GV126" i="23"/>
  <c r="GV173" i="23"/>
  <c r="GV178" i="23"/>
  <c r="GV160" i="23"/>
  <c r="GV151" i="23"/>
  <c r="GV137" i="23"/>
  <c r="GV140" i="23"/>
  <c r="GV130" i="23"/>
  <c r="GV150" i="23"/>
  <c r="GV122" i="23"/>
  <c r="GV132" i="23"/>
  <c r="GV116" i="23"/>
  <c r="GV120" i="23"/>
  <c r="GV162" i="23"/>
  <c r="GV135" i="23"/>
  <c r="GV118" i="23"/>
  <c r="GV119" i="23"/>
  <c r="GV121" i="23"/>
  <c r="GV124" i="23"/>
  <c r="GV152" i="23"/>
  <c r="GV143" i="23"/>
  <c r="GV133" i="23"/>
  <c r="GV161" i="23"/>
  <c r="GV117" i="23"/>
  <c r="GV159" i="23"/>
  <c r="GV202" i="23"/>
  <c r="GV158" i="23"/>
  <c r="GV136" i="23"/>
  <c r="GV114" i="23"/>
  <c r="GV191" i="23"/>
  <c r="GV169" i="23"/>
  <c r="GV203" i="23"/>
  <c r="GV147" i="23"/>
  <c r="GV125" i="23"/>
  <c r="GV180" i="23"/>
  <c r="GV112" i="23"/>
  <c r="GV111" i="23"/>
  <c r="GV113" i="23"/>
  <c r="GV108" i="23"/>
  <c r="GV105" i="23"/>
  <c r="GV104" i="23"/>
  <c r="GV109" i="23"/>
  <c r="GV100" i="23"/>
  <c r="GV110" i="23"/>
  <c r="GV107" i="23"/>
  <c r="GV101" i="23"/>
  <c r="GV99" i="23"/>
  <c r="GV106" i="23"/>
  <c r="GV96" i="23"/>
  <c r="GV94" i="23"/>
  <c r="GV95" i="23"/>
  <c r="GV98" i="23"/>
  <c r="GV97" i="23"/>
  <c r="GV102" i="23"/>
  <c r="GV103" i="23"/>
  <c r="GV90" i="23"/>
  <c r="GV88" i="23"/>
  <c r="GV92" i="23"/>
  <c r="GV93" i="23"/>
  <c r="GV89" i="23"/>
  <c r="GV85" i="23"/>
  <c r="GV87" i="23"/>
  <c r="GV81" i="23"/>
  <c r="GV79" i="23"/>
  <c r="GV84" i="23"/>
  <c r="GV83" i="23"/>
  <c r="GV82" i="23"/>
  <c r="GV80" i="23"/>
  <c r="GV76" i="23"/>
  <c r="GV75" i="23"/>
  <c r="GV86" i="23"/>
  <c r="GV71" i="23"/>
  <c r="GV78" i="23"/>
  <c r="GV72" i="23"/>
  <c r="GV73" i="23"/>
  <c r="GV63" i="23"/>
  <c r="GV69" i="23"/>
  <c r="GV62" i="23"/>
  <c r="GV74" i="23"/>
  <c r="GV64" i="23"/>
  <c r="GV56" i="23"/>
  <c r="GV68" i="23"/>
  <c r="GV65" i="23"/>
  <c r="GV91" i="23"/>
  <c r="GV66" i="23"/>
  <c r="GV60" i="23"/>
  <c r="GV58" i="23"/>
  <c r="GV50" i="23"/>
  <c r="GV59" i="23"/>
  <c r="GV57" i="23"/>
  <c r="GV54" i="23"/>
  <c r="GV48" i="23"/>
  <c r="GV46" i="23"/>
  <c r="GV51" i="23"/>
  <c r="GV45" i="23"/>
  <c r="GV77" i="23"/>
  <c r="GV42" i="23"/>
  <c r="GV39" i="23"/>
  <c r="GV43" i="23"/>
  <c r="GV34" i="23"/>
  <c r="GV44" i="23"/>
  <c r="GV31" i="23"/>
  <c r="GV61" i="23"/>
  <c r="GV55" i="23"/>
  <c r="GV47" i="23"/>
  <c r="GV30" i="23"/>
  <c r="GV70" i="23"/>
  <c r="GV41" i="23"/>
  <c r="GV40" i="23"/>
  <c r="GV22" i="23"/>
  <c r="GV67" i="23"/>
  <c r="GV29" i="23"/>
  <c r="GV19" i="23"/>
  <c r="GV36" i="23"/>
  <c r="GV26" i="23"/>
  <c r="GV24" i="23"/>
  <c r="GV32" i="23"/>
  <c r="GV23" i="23"/>
  <c r="GV35" i="23"/>
  <c r="GV25" i="23"/>
  <c r="GV17" i="23"/>
  <c r="GV7" i="23"/>
  <c r="GV16" i="23"/>
  <c r="GV6" i="23"/>
  <c r="GV27" i="23"/>
  <c r="GV21" i="23"/>
  <c r="GV18" i="23"/>
  <c r="GV12" i="23"/>
  <c r="GV4" i="23"/>
  <c r="GV33" i="23"/>
  <c r="GV53" i="23"/>
  <c r="GV9" i="23"/>
  <c r="GV14" i="23"/>
  <c r="GV52" i="23"/>
  <c r="GV38" i="23"/>
  <c r="GV8" i="23"/>
  <c r="GW2" i="23"/>
  <c r="GV28" i="23"/>
  <c r="GV15" i="23"/>
  <c r="GV13" i="23"/>
  <c r="GV11" i="23"/>
  <c r="GV37" i="23"/>
  <c r="GV10" i="23"/>
  <c r="GV49" i="23"/>
  <c r="GV5" i="23"/>
  <c r="GV20" i="23"/>
  <c r="GW124" i="23" l="1"/>
  <c r="GW149" i="23"/>
  <c r="GW115" i="23"/>
  <c r="GW201" i="23"/>
  <c r="GW138" i="23"/>
  <c r="GW117" i="23"/>
  <c r="GW167" i="23"/>
  <c r="GW170" i="23"/>
  <c r="GW173" i="23"/>
  <c r="GW197" i="23"/>
  <c r="GW127" i="23"/>
  <c r="GW164" i="23"/>
  <c r="GW150" i="23"/>
  <c r="GW179" i="23"/>
  <c r="GW151" i="23"/>
  <c r="GW193" i="23"/>
  <c r="GW155" i="23"/>
  <c r="GW194" i="23"/>
  <c r="GW168" i="23"/>
  <c r="GW195" i="23"/>
  <c r="GW129" i="23"/>
  <c r="GW192" i="23"/>
  <c r="GW211" i="23"/>
  <c r="GW205" i="23"/>
  <c r="GW206" i="23"/>
  <c r="GW207" i="23"/>
  <c r="GW212" i="23"/>
  <c r="GW146" i="23"/>
  <c r="GW209" i="23"/>
  <c r="GW203" i="23"/>
  <c r="GW208" i="23"/>
  <c r="GW198" i="23"/>
  <c r="GW199" i="23"/>
  <c r="GW210" i="23"/>
  <c r="GW200" i="23"/>
  <c r="GW204" i="23"/>
  <c r="GW186" i="23"/>
  <c r="GW183" i="23"/>
  <c r="GW181" i="23"/>
  <c r="GW187" i="23"/>
  <c r="GW188" i="23"/>
  <c r="GW190" i="23"/>
  <c r="GW172" i="23"/>
  <c r="GW171" i="23"/>
  <c r="GW175" i="23"/>
  <c r="GW182" i="23"/>
  <c r="GW176" i="23"/>
  <c r="GW162" i="23"/>
  <c r="GW159" i="23"/>
  <c r="GW165" i="23"/>
  <c r="GW154" i="23"/>
  <c r="GW178" i="23"/>
  <c r="GW160" i="23"/>
  <c r="GW185" i="23"/>
  <c r="GW148" i="23"/>
  <c r="GW184" i="23"/>
  <c r="GW161" i="23"/>
  <c r="GW141" i="23"/>
  <c r="GW153" i="23"/>
  <c r="GW139" i="23"/>
  <c r="GW140" i="23"/>
  <c r="GW152" i="23"/>
  <c r="GW144" i="23"/>
  <c r="GW196" i="23"/>
  <c r="GW128" i="23"/>
  <c r="GW118" i="23"/>
  <c r="GW123" i="23"/>
  <c r="GW116" i="23"/>
  <c r="GW122" i="23"/>
  <c r="GW157" i="23"/>
  <c r="GW126" i="23"/>
  <c r="GW135" i="23"/>
  <c r="GW177" i="23"/>
  <c r="GW166" i="23"/>
  <c r="GW163" i="23"/>
  <c r="GW143" i="23"/>
  <c r="GW133" i="23"/>
  <c r="GW131" i="23"/>
  <c r="GW120" i="23"/>
  <c r="GW189" i="23"/>
  <c r="GW174" i="23"/>
  <c r="GW142" i="23"/>
  <c r="GW132" i="23"/>
  <c r="GW121" i="23"/>
  <c r="GW156" i="23"/>
  <c r="GW145" i="23"/>
  <c r="GW137" i="23"/>
  <c r="GW134" i="23"/>
  <c r="GW119" i="23"/>
  <c r="GW130" i="23"/>
  <c r="GW136" i="23"/>
  <c r="GW180" i="23"/>
  <c r="GW147" i="23"/>
  <c r="GW191" i="23"/>
  <c r="GW114" i="23"/>
  <c r="GW169" i="23"/>
  <c r="GW158" i="23"/>
  <c r="GW125" i="23"/>
  <c r="GW202" i="23"/>
  <c r="GW112" i="23"/>
  <c r="GW111" i="23"/>
  <c r="GW113" i="23"/>
  <c r="GW108" i="23"/>
  <c r="GW110" i="23"/>
  <c r="GW107" i="23"/>
  <c r="GW105" i="23"/>
  <c r="GW104" i="23"/>
  <c r="GW102" i="23"/>
  <c r="GW103" i="23"/>
  <c r="GW101" i="23"/>
  <c r="GW109" i="23"/>
  <c r="GW99" i="23"/>
  <c r="GW106" i="23"/>
  <c r="GW98" i="23"/>
  <c r="GW94" i="23"/>
  <c r="GW93" i="23"/>
  <c r="GW95" i="23"/>
  <c r="GW97" i="23"/>
  <c r="GW96" i="23"/>
  <c r="GW90" i="23"/>
  <c r="GW89" i="23"/>
  <c r="GW91" i="23"/>
  <c r="GW87" i="23"/>
  <c r="GW86" i="23"/>
  <c r="GW100" i="23"/>
  <c r="GW88" i="23"/>
  <c r="GW83" i="23"/>
  <c r="GW81" i="23"/>
  <c r="GW79" i="23"/>
  <c r="GW84" i="23"/>
  <c r="GW82" i="23"/>
  <c r="GW80" i="23"/>
  <c r="GW76" i="23"/>
  <c r="GW92" i="23"/>
  <c r="GW73" i="23"/>
  <c r="GW72" i="23"/>
  <c r="GW78" i="23"/>
  <c r="GW74" i="23"/>
  <c r="GW68" i="23"/>
  <c r="GW85" i="23"/>
  <c r="GW67" i="23"/>
  <c r="GW75" i="23"/>
  <c r="GW65" i="23"/>
  <c r="GW66" i="23"/>
  <c r="GW60" i="23"/>
  <c r="GW58" i="23"/>
  <c r="GW55" i="23"/>
  <c r="GW71" i="23"/>
  <c r="GW54" i="23"/>
  <c r="GW63" i="23"/>
  <c r="GW69" i="23"/>
  <c r="GW57" i="23"/>
  <c r="GW48" i="23"/>
  <c r="GW46" i="23"/>
  <c r="GW77" i="23"/>
  <c r="GW43" i="23"/>
  <c r="GW52" i="23"/>
  <c r="GW42" i="23"/>
  <c r="GW64" i="23"/>
  <c r="GW44" i="23"/>
  <c r="GW31" i="23"/>
  <c r="GW70" i="23"/>
  <c r="GW62" i="23"/>
  <c r="GW59" i="23"/>
  <c r="GW50" i="23"/>
  <c r="GW38" i="23"/>
  <c r="GW36" i="23"/>
  <c r="GW56" i="23"/>
  <c r="GW53" i="23"/>
  <c r="GW49" i="23"/>
  <c r="GW37" i="23"/>
  <c r="GW35" i="23"/>
  <c r="GW61" i="23"/>
  <c r="GW51" i="23"/>
  <c r="GW39" i="23"/>
  <c r="GW29" i="23"/>
  <c r="GW19" i="23"/>
  <c r="GW26" i="23"/>
  <c r="GW24" i="23"/>
  <c r="GW21" i="23"/>
  <c r="GW47" i="23"/>
  <c r="GW45" i="23"/>
  <c r="GW30" i="23"/>
  <c r="GW20" i="23"/>
  <c r="GW32" i="23"/>
  <c r="GW27" i="23"/>
  <c r="GW18" i="23"/>
  <c r="GW12" i="23"/>
  <c r="GW4" i="23"/>
  <c r="GW9" i="23"/>
  <c r="GW11" i="23"/>
  <c r="GW33" i="23"/>
  <c r="GW16" i="23"/>
  <c r="GW14" i="23"/>
  <c r="GW6" i="23"/>
  <c r="GW40" i="23"/>
  <c r="GW41" i="23"/>
  <c r="GW34" i="23"/>
  <c r="GW28" i="23"/>
  <c r="GW15" i="23"/>
  <c r="GW13" i="23"/>
  <c r="GW5" i="23"/>
  <c r="GW22" i="23"/>
  <c r="GW25" i="23"/>
  <c r="GW8" i="23"/>
  <c r="GX2" i="23"/>
  <c r="GW23" i="23"/>
  <c r="GW7" i="23"/>
  <c r="GW17" i="23"/>
  <c r="GW10" i="23"/>
  <c r="GX197" i="23" l="1"/>
  <c r="GX207" i="23"/>
  <c r="GX164" i="23"/>
  <c r="GX179" i="23"/>
  <c r="GX121" i="23"/>
  <c r="GX148" i="23"/>
  <c r="GX159" i="23"/>
  <c r="GX117" i="23"/>
  <c r="GX127" i="23"/>
  <c r="GX174" i="23"/>
  <c r="GX167" i="23"/>
  <c r="GX205" i="23"/>
  <c r="GX152" i="23"/>
  <c r="GX211" i="23"/>
  <c r="GX204" i="23"/>
  <c r="GX166" i="23"/>
  <c r="GX208" i="23"/>
  <c r="GX212" i="23"/>
  <c r="GX181" i="23"/>
  <c r="GX209" i="23"/>
  <c r="GX206" i="23"/>
  <c r="GX195" i="23"/>
  <c r="GX193" i="23"/>
  <c r="GX199" i="23"/>
  <c r="GX198" i="23"/>
  <c r="GX184" i="23"/>
  <c r="GX203" i="23"/>
  <c r="GX200" i="23"/>
  <c r="GX210" i="23"/>
  <c r="GX192" i="23"/>
  <c r="GX194" i="23"/>
  <c r="GX186" i="23"/>
  <c r="GX185" i="23"/>
  <c r="GX196" i="23"/>
  <c r="GX187" i="23"/>
  <c r="GX201" i="23"/>
  <c r="GX183" i="23"/>
  <c r="GX182" i="23"/>
  <c r="GX177" i="23"/>
  <c r="GX178" i="23"/>
  <c r="GX168" i="23"/>
  <c r="GX172" i="23"/>
  <c r="GX175" i="23"/>
  <c r="GX176" i="23"/>
  <c r="GX154" i="23"/>
  <c r="GX162" i="23"/>
  <c r="GX150" i="23"/>
  <c r="GX155" i="23"/>
  <c r="GX173" i="23"/>
  <c r="GX156" i="23"/>
  <c r="GX153" i="23"/>
  <c r="GX137" i="23"/>
  <c r="GX188" i="23"/>
  <c r="GX190" i="23"/>
  <c r="GX161" i="23"/>
  <c r="GX151" i="23"/>
  <c r="GX138" i="23"/>
  <c r="GX170" i="23"/>
  <c r="GX163" i="23"/>
  <c r="GX142" i="23"/>
  <c r="GX143" i="23"/>
  <c r="GX145" i="23"/>
  <c r="GX130" i="23"/>
  <c r="GX189" i="23"/>
  <c r="GX165" i="23"/>
  <c r="GX141" i="23"/>
  <c r="GX139" i="23"/>
  <c r="GX146" i="23"/>
  <c r="GX126" i="23"/>
  <c r="GX132" i="23"/>
  <c r="GX133" i="23"/>
  <c r="GX116" i="23"/>
  <c r="GX123" i="23"/>
  <c r="GX171" i="23"/>
  <c r="GX118" i="23"/>
  <c r="GX115" i="23"/>
  <c r="GX124" i="23"/>
  <c r="GX149" i="23"/>
  <c r="GX128" i="23"/>
  <c r="GX122" i="23"/>
  <c r="GX135" i="23"/>
  <c r="GX119" i="23"/>
  <c r="GX134" i="23"/>
  <c r="GX144" i="23"/>
  <c r="GX120" i="23"/>
  <c r="GX140" i="23"/>
  <c r="GX157" i="23"/>
  <c r="GX131" i="23"/>
  <c r="GX129" i="23"/>
  <c r="GX160" i="23"/>
  <c r="GX114" i="23"/>
  <c r="GX202" i="23"/>
  <c r="GX136" i="23"/>
  <c r="GX158" i="23"/>
  <c r="GX169" i="23"/>
  <c r="GX180" i="23"/>
  <c r="GX191" i="23"/>
  <c r="GX147" i="23"/>
  <c r="GX125" i="23"/>
  <c r="GX113" i="23"/>
  <c r="GX107" i="23"/>
  <c r="GX112" i="23"/>
  <c r="GX109" i="23"/>
  <c r="GX111" i="23"/>
  <c r="GX110" i="23"/>
  <c r="GX108" i="23"/>
  <c r="GX101" i="23"/>
  <c r="GX104" i="23"/>
  <c r="GX105" i="23"/>
  <c r="GX103" i="23"/>
  <c r="GX100" i="23"/>
  <c r="GX97" i="23"/>
  <c r="GX98" i="23"/>
  <c r="GX96" i="23"/>
  <c r="GX106" i="23"/>
  <c r="GX99" i="23"/>
  <c r="GX91" i="23"/>
  <c r="GX90" i="23"/>
  <c r="GX83" i="23"/>
  <c r="GX94" i="23"/>
  <c r="GX82" i="23"/>
  <c r="GX80" i="23"/>
  <c r="GX92" i="23"/>
  <c r="GX86" i="23"/>
  <c r="GX81" i="23"/>
  <c r="GX79" i="23"/>
  <c r="GX102" i="23"/>
  <c r="GX89" i="23"/>
  <c r="GX87" i="23"/>
  <c r="GX84" i="23"/>
  <c r="GX76" i="23"/>
  <c r="GX95" i="23"/>
  <c r="GX88" i="23"/>
  <c r="GX93" i="23"/>
  <c r="GX78" i="23"/>
  <c r="GX70" i="23"/>
  <c r="GX77" i="23"/>
  <c r="GX72" i="23"/>
  <c r="GX74" i="23"/>
  <c r="GX73" i="23"/>
  <c r="GX65" i="23"/>
  <c r="GX64" i="23"/>
  <c r="GX68" i="23"/>
  <c r="GX66" i="23"/>
  <c r="GX60" i="23"/>
  <c r="GX58" i="23"/>
  <c r="GX55" i="23"/>
  <c r="GX67" i="23"/>
  <c r="GX52" i="23"/>
  <c r="GX63" i="23"/>
  <c r="GX61" i="23"/>
  <c r="GX51" i="23"/>
  <c r="GX69" i="23"/>
  <c r="GX57" i="23"/>
  <c r="GX48" i="23"/>
  <c r="GX46" i="23"/>
  <c r="GX71" i="23"/>
  <c r="GX59" i="23"/>
  <c r="GX56" i="23"/>
  <c r="GX50" i="23"/>
  <c r="GX75" i="23"/>
  <c r="GX53" i="23"/>
  <c r="GX49" i="23"/>
  <c r="GX47" i="23"/>
  <c r="GX54" i="23"/>
  <c r="GX44" i="23"/>
  <c r="GX43" i="23"/>
  <c r="GX85" i="23"/>
  <c r="GX62" i="23"/>
  <c r="GX38" i="23"/>
  <c r="GX36" i="23"/>
  <c r="GX45" i="23"/>
  <c r="GX33" i="23"/>
  <c r="GX41" i="23"/>
  <c r="GX40" i="23"/>
  <c r="GX32" i="23"/>
  <c r="GX26" i="23"/>
  <c r="GX24" i="23"/>
  <c r="GX21" i="23"/>
  <c r="GX42" i="23"/>
  <c r="GX35" i="23"/>
  <c r="GX34" i="23"/>
  <c r="GX28" i="23"/>
  <c r="GX18" i="23"/>
  <c r="GX37" i="23"/>
  <c r="GX31" i="23"/>
  <c r="GX27" i="23"/>
  <c r="GX25" i="23"/>
  <c r="GX30" i="23"/>
  <c r="GX9" i="23"/>
  <c r="GX29" i="23"/>
  <c r="GX16" i="23"/>
  <c r="GX14" i="23"/>
  <c r="GX6" i="23"/>
  <c r="GX20" i="23"/>
  <c r="GX11" i="23"/>
  <c r="GX23" i="23"/>
  <c r="GX8" i="23"/>
  <c r="GY2" i="23"/>
  <c r="GX22" i="23"/>
  <c r="GX10" i="23"/>
  <c r="GX19" i="23"/>
  <c r="GX17" i="23"/>
  <c r="GX15" i="23"/>
  <c r="GX13" i="23"/>
  <c r="GX4" i="23"/>
  <c r="GX7" i="23"/>
  <c r="GX12" i="23"/>
  <c r="GX5" i="23"/>
  <c r="GX39" i="23"/>
  <c r="GY145" i="23" l="1"/>
  <c r="GY122" i="23"/>
  <c r="GY165" i="23"/>
  <c r="GY121" i="23"/>
  <c r="GY152" i="23"/>
  <c r="GY134" i="23"/>
  <c r="GY149" i="23"/>
  <c r="GY116" i="23"/>
  <c r="GY164" i="23"/>
  <c r="GY182" i="23"/>
  <c r="GY124" i="23"/>
  <c r="GY175" i="23"/>
  <c r="GY144" i="23"/>
  <c r="GY211" i="23"/>
  <c r="GY205" i="23"/>
  <c r="GY206" i="23"/>
  <c r="GY208" i="23"/>
  <c r="GY203" i="23"/>
  <c r="GY207" i="23"/>
  <c r="GY173" i="23"/>
  <c r="GY204" i="23"/>
  <c r="GY192" i="23"/>
  <c r="GY197" i="23"/>
  <c r="GY210" i="23"/>
  <c r="GY170" i="23"/>
  <c r="GY212" i="23"/>
  <c r="GY195" i="23"/>
  <c r="GY198" i="23"/>
  <c r="GY201" i="23"/>
  <c r="GY199" i="23"/>
  <c r="GY194" i="23"/>
  <c r="GY209" i="23"/>
  <c r="GY184" i="23"/>
  <c r="GY196" i="23"/>
  <c r="GY185" i="23"/>
  <c r="GY181" i="23"/>
  <c r="GY193" i="23"/>
  <c r="GY183" i="23"/>
  <c r="GY190" i="23"/>
  <c r="GY186" i="23"/>
  <c r="GY200" i="23"/>
  <c r="GY188" i="23"/>
  <c r="GY171" i="23"/>
  <c r="GY162" i="23"/>
  <c r="GY163" i="23"/>
  <c r="GY168" i="23"/>
  <c r="GY156" i="23"/>
  <c r="GY174" i="23"/>
  <c r="GY172" i="23"/>
  <c r="GY161" i="23"/>
  <c r="GY159" i="23"/>
  <c r="GY151" i="23"/>
  <c r="GY176" i="23"/>
  <c r="GY167" i="23"/>
  <c r="GY150" i="23"/>
  <c r="GY137" i="23"/>
  <c r="GY142" i="23"/>
  <c r="GY140" i="23"/>
  <c r="GY178" i="23"/>
  <c r="GY138" i="23"/>
  <c r="GY128" i="23"/>
  <c r="GY154" i="23"/>
  <c r="GY133" i="23"/>
  <c r="GY189" i="23"/>
  <c r="GY177" i="23"/>
  <c r="GY153" i="23"/>
  <c r="GY139" i="23"/>
  <c r="GY146" i="23"/>
  <c r="GY187" i="23"/>
  <c r="GY127" i="23"/>
  <c r="GY123" i="23"/>
  <c r="GY166" i="23"/>
  <c r="GY130" i="23"/>
  <c r="GY129" i="23"/>
  <c r="GY118" i="23"/>
  <c r="GY117" i="23"/>
  <c r="GY157" i="23"/>
  <c r="GY135" i="23"/>
  <c r="GY132" i="23"/>
  <c r="GY115" i="23"/>
  <c r="GY155" i="23"/>
  <c r="GY131" i="23"/>
  <c r="GY160" i="23"/>
  <c r="GY141" i="23"/>
  <c r="GY120" i="23"/>
  <c r="GY148" i="23"/>
  <c r="GY119" i="23"/>
  <c r="GY143" i="23"/>
  <c r="GY179" i="23"/>
  <c r="GY126" i="23"/>
  <c r="GY136" i="23"/>
  <c r="GY125" i="23"/>
  <c r="GY114" i="23"/>
  <c r="GY180" i="23"/>
  <c r="GY158" i="23"/>
  <c r="GY202" i="23"/>
  <c r="GY147" i="23"/>
  <c r="GY191" i="23"/>
  <c r="GY169" i="23"/>
  <c r="GY113" i="23"/>
  <c r="GY111" i="23"/>
  <c r="GY110" i="23"/>
  <c r="GY109" i="23"/>
  <c r="GY108" i="23"/>
  <c r="GY106" i="23"/>
  <c r="GY105" i="23"/>
  <c r="GY112" i="23"/>
  <c r="GY103" i="23"/>
  <c r="GY101" i="23"/>
  <c r="GY104" i="23"/>
  <c r="GY100" i="23"/>
  <c r="GY96" i="23"/>
  <c r="GY102" i="23"/>
  <c r="GY95" i="23"/>
  <c r="GY98" i="23"/>
  <c r="GY93" i="23"/>
  <c r="GY92" i="23"/>
  <c r="GY91" i="23"/>
  <c r="GY99" i="23"/>
  <c r="GY107" i="23"/>
  <c r="GY97" i="23"/>
  <c r="GY94" i="23"/>
  <c r="GY85" i="23"/>
  <c r="GY87" i="23"/>
  <c r="GY88" i="23"/>
  <c r="GY82" i="23"/>
  <c r="GY80" i="23"/>
  <c r="GY83" i="23"/>
  <c r="GY78" i="23"/>
  <c r="GY75" i="23"/>
  <c r="GY90" i="23"/>
  <c r="GY86" i="23"/>
  <c r="GY74" i="23"/>
  <c r="GY73" i="23"/>
  <c r="GY68" i="23"/>
  <c r="GY89" i="23"/>
  <c r="GY79" i="23"/>
  <c r="GY77" i="23"/>
  <c r="GY69" i="23"/>
  <c r="GY62" i="23"/>
  <c r="GY71" i="23"/>
  <c r="GY70" i="23"/>
  <c r="GY72" i="23"/>
  <c r="GY67" i="23"/>
  <c r="GY59" i="23"/>
  <c r="GY57" i="23"/>
  <c r="GY56" i="23"/>
  <c r="GY81" i="23"/>
  <c r="GY84" i="23"/>
  <c r="GY60" i="23"/>
  <c r="GY50" i="23"/>
  <c r="GY66" i="23"/>
  <c r="GY64" i="23"/>
  <c r="GY45" i="23"/>
  <c r="GY76" i="23"/>
  <c r="GY61" i="23"/>
  <c r="GY55" i="23"/>
  <c r="GY44" i="23"/>
  <c r="GY48" i="23"/>
  <c r="GY38" i="23"/>
  <c r="GY36" i="23"/>
  <c r="GY65" i="23"/>
  <c r="GY63" i="23"/>
  <c r="GY58" i="23"/>
  <c r="GY33" i="23"/>
  <c r="GY52" i="23"/>
  <c r="GY30" i="23"/>
  <c r="GY39" i="23"/>
  <c r="GY54" i="23"/>
  <c r="GY53" i="23"/>
  <c r="GY21" i="23"/>
  <c r="GY42" i="23"/>
  <c r="GY35" i="23"/>
  <c r="GY34" i="23"/>
  <c r="GY28" i="23"/>
  <c r="GY18" i="23"/>
  <c r="GY23" i="23"/>
  <c r="GY49" i="23"/>
  <c r="GY43" i="23"/>
  <c r="GY22" i="23"/>
  <c r="GY51" i="23"/>
  <c r="GY16" i="23"/>
  <c r="GY14" i="23"/>
  <c r="GY6" i="23"/>
  <c r="GY15" i="23"/>
  <c r="GY13" i="23"/>
  <c r="GY47" i="23"/>
  <c r="GY11" i="23"/>
  <c r="GY46" i="23"/>
  <c r="GY37" i="23"/>
  <c r="GY40" i="23"/>
  <c r="GY29" i="23"/>
  <c r="GY24" i="23"/>
  <c r="GY20" i="23"/>
  <c r="GY8" i="23"/>
  <c r="GZ2" i="23"/>
  <c r="GY26" i="23"/>
  <c r="GY5" i="23"/>
  <c r="GY19" i="23"/>
  <c r="GY17" i="23"/>
  <c r="GY7" i="23"/>
  <c r="GY25" i="23"/>
  <c r="GY12" i="23"/>
  <c r="GY41" i="23"/>
  <c r="GY31" i="23"/>
  <c r="GY27" i="23"/>
  <c r="GY4" i="23"/>
  <c r="GY32" i="23"/>
  <c r="GY9" i="23"/>
  <c r="GY10" i="23"/>
  <c r="GZ145" i="23" l="1"/>
  <c r="GZ176" i="23"/>
  <c r="GZ139" i="23"/>
  <c r="GZ189" i="23"/>
  <c r="GZ127" i="23"/>
  <c r="GZ164" i="23"/>
  <c r="GZ123" i="23"/>
  <c r="GZ149" i="23"/>
  <c r="GZ128" i="23"/>
  <c r="GZ144" i="23"/>
  <c r="GZ193" i="23"/>
  <c r="GZ192" i="23"/>
  <c r="GZ200" i="23"/>
  <c r="GZ166" i="23"/>
  <c r="GZ194" i="23"/>
  <c r="GZ209" i="23"/>
  <c r="GZ204" i="23"/>
  <c r="GZ207" i="23"/>
  <c r="GZ206" i="23"/>
  <c r="GZ211" i="23"/>
  <c r="GZ210" i="23"/>
  <c r="GZ208" i="23"/>
  <c r="GZ212" i="23"/>
  <c r="GZ195" i="23"/>
  <c r="GZ198" i="23"/>
  <c r="GZ199" i="23"/>
  <c r="GZ181" i="23"/>
  <c r="GZ182" i="23"/>
  <c r="GZ187" i="23"/>
  <c r="GZ205" i="23"/>
  <c r="GZ201" i="23"/>
  <c r="GZ203" i="23"/>
  <c r="GZ185" i="23"/>
  <c r="GZ171" i="23"/>
  <c r="GZ173" i="23"/>
  <c r="GZ190" i="23"/>
  <c r="GZ155" i="23"/>
  <c r="GZ172" i="23"/>
  <c r="GZ165" i="23"/>
  <c r="GZ178" i="23"/>
  <c r="GZ186" i="23"/>
  <c r="GZ175" i="23"/>
  <c r="GZ162" i="23"/>
  <c r="GZ161" i="23"/>
  <c r="GZ148" i="23"/>
  <c r="GZ151" i="23"/>
  <c r="GZ153" i="23"/>
  <c r="GZ141" i="23"/>
  <c r="GZ197" i="23"/>
  <c r="GZ184" i="23"/>
  <c r="GZ179" i="23"/>
  <c r="GZ167" i="23"/>
  <c r="GZ196" i="23"/>
  <c r="GZ177" i="23"/>
  <c r="GZ174" i="23"/>
  <c r="GZ188" i="23"/>
  <c r="GZ160" i="23"/>
  <c r="GZ154" i="23"/>
  <c r="GZ137" i="23"/>
  <c r="GZ135" i="23"/>
  <c r="GZ129" i="23"/>
  <c r="GZ168" i="23"/>
  <c r="GZ146" i="23"/>
  <c r="GZ126" i="23"/>
  <c r="GZ132" i="23"/>
  <c r="GZ118" i="23"/>
  <c r="GZ156" i="23"/>
  <c r="GZ140" i="23"/>
  <c r="GZ134" i="23"/>
  <c r="GZ115" i="23"/>
  <c r="GZ170" i="23"/>
  <c r="GZ163" i="23"/>
  <c r="GZ116" i="23"/>
  <c r="GZ157" i="23"/>
  <c r="GZ138" i="23"/>
  <c r="GZ143" i="23"/>
  <c r="GZ122" i="23"/>
  <c r="GZ150" i="23"/>
  <c r="GZ119" i="23"/>
  <c r="GZ121" i="23"/>
  <c r="GZ120" i="23"/>
  <c r="GZ142" i="23"/>
  <c r="GZ124" i="23"/>
  <c r="GZ159" i="23"/>
  <c r="GZ130" i="23"/>
  <c r="GZ131" i="23"/>
  <c r="GZ133" i="23"/>
  <c r="GZ117" i="23"/>
  <c r="GZ183" i="23"/>
  <c r="GZ152" i="23"/>
  <c r="GZ180" i="23"/>
  <c r="GZ158" i="23"/>
  <c r="GZ202" i="23"/>
  <c r="GZ191" i="23"/>
  <c r="GZ147" i="23"/>
  <c r="GZ114" i="23"/>
  <c r="GZ136" i="23"/>
  <c r="GZ125" i="23"/>
  <c r="GZ169" i="23"/>
  <c r="GZ111" i="23"/>
  <c r="GZ112" i="23"/>
  <c r="GZ107" i="23"/>
  <c r="GZ113" i="23"/>
  <c r="GZ110" i="23"/>
  <c r="GZ109" i="23"/>
  <c r="GZ103" i="23"/>
  <c r="GZ101" i="23"/>
  <c r="GZ106" i="23"/>
  <c r="GZ98" i="23"/>
  <c r="GZ104" i="23"/>
  <c r="GZ102" i="23"/>
  <c r="GZ97" i="23"/>
  <c r="GZ100" i="23"/>
  <c r="GZ108" i="23"/>
  <c r="GZ105" i="23"/>
  <c r="GZ93" i="23"/>
  <c r="GZ92" i="23"/>
  <c r="GZ96" i="23"/>
  <c r="GZ89" i="23"/>
  <c r="GZ99" i="23"/>
  <c r="GZ94" i="23"/>
  <c r="GZ88" i="23"/>
  <c r="GZ91" i="23"/>
  <c r="GZ86" i="23"/>
  <c r="GZ85" i="23"/>
  <c r="GZ90" i="23"/>
  <c r="GZ84" i="23"/>
  <c r="GZ95" i="23"/>
  <c r="GZ83" i="23"/>
  <c r="GZ78" i="23"/>
  <c r="GZ75" i="23"/>
  <c r="GZ72" i="23"/>
  <c r="GZ71" i="23"/>
  <c r="GZ69" i="23"/>
  <c r="GZ82" i="23"/>
  <c r="GZ74" i="23"/>
  <c r="GZ80" i="23"/>
  <c r="GZ79" i="23"/>
  <c r="GZ77" i="23"/>
  <c r="GZ67" i="23"/>
  <c r="GZ76" i="23"/>
  <c r="GZ66" i="23"/>
  <c r="GZ59" i="23"/>
  <c r="GZ57" i="23"/>
  <c r="GZ70" i="23"/>
  <c r="GZ62" i="23"/>
  <c r="GZ54" i="23"/>
  <c r="GZ64" i="23"/>
  <c r="GZ53" i="23"/>
  <c r="GZ60" i="23"/>
  <c r="GZ50" i="23"/>
  <c r="GZ56" i="23"/>
  <c r="GZ73" i="23"/>
  <c r="GZ68" i="23"/>
  <c r="GZ51" i="23"/>
  <c r="GZ42" i="23"/>
  <c r="GZ65" i="23"/>
  <c r="GZ41" i="23"/>
  <c r="GZ81" i="23"/>
  <c r="GZ63" i="23"/>
  <c r="GZ58" i="23"/>
  <c r="GZ52" i="23"/>
  <c r="GZ45" i="23"/>
  <c r="GZ30" i="23"/>
  <c r="GZ47" i="23"/>
  <c r="GZ37" i="23"/>
  <c r="GZ35" i="23"/>
  <c r="GZ34" i="23"/>
  <c r="GZ87" i="23"/>
  <c r="GZ28" i="23"/>
  <c r="GZ18" i="23"/>
  <c r="GZ44" i="23"/>
  <c r="GZ36" i="23"/>
  <c r="GZ23" i="23"/>
  <c r="GZ38" i="23"/>
  <c r="GZ33" i="23"/>
  <c r="GZ32" i="23"/>
  <c r="GZ20" i="23"/>
  <c r="GZ48" i="23"/>
  <c r="GZ40" i="23"/>
  <c r="GZ29" i="23"/>
  <c r="GZ19" i="23"/>
  <c r="GZ21" i="23"/>
  <c r="GZ11" i="23"/>
  <c r="GZ55" i="23"/>
  <c r="GZ24" i="23"/>
  <c r="GZ8" i="23"/>
  <c r="HA2" i="23"/>
  <c r="GZ39" i="23"/>
  <c r="GZ46" i="23"/>
  <c r="GZ26" i="23"/>
  <c r="GZ15" i="23"/>
  <c r="GZ13" i="23"/>
  <c r="GZ5" i="23"/>
  <c r="GZ49" i="23"/>
  <c r="GZ31" i="23"/>
  <c r="GZ10" i="23"/>
  <c r="GZ61" i="23"/>
  <c r="GZ25" i="23"/>
  <c r="GZ12" i="23"/>
  <c r="GZ4" i="23"/>
  <c r="GZ27" i="23"/>
  <c r="GZ43" i="23"/>
  <c r="GZ9" i="23"/>
  <c r="GZ17" i="23"/>
  <c r="GZ6" i="23"/>
  <c r="GZ22" i="23"/>
  <c r="GZ7" i="23"/>
  <c r="GZ14" i="23"/>
  <c r="GZ16" i="23"/>
  <c r="HA187" i="23" l="1"/>
  <c r="HA128" i="23"/>
  <c r="HA207" i="23"/>
  <c r="HA124" i="23"/>
  <c r="HA116" i="23"/>
  <c r="HA174" i="23"/>
  <c r="HA123" i="23"/>
  <c r="HA190" i="23"/>
  <c r="HA200" i="23"/>
  <c r="HA201" i="23"/>
  <c r="HA115" i="23"/>
  <c r="HA194" i="23"/>
  <c r="HA189" i="23"/>
  <c r="HA199" i="23"/>
  <c r="HA193" i="23"/>
  <c r="HA211" i="23"/>
  <c r="HA208" i="23"/>
  <c r="HA206" i="23"/>
  <c r="HA126" i="23"/>
  <c r="HA204" i="23"/>
  <c r="HA210" i="23"/>
  <c r="HA196" i="23"/>
  <c r="HA164" i="23"/>
  <c r="HA209" i="23"/>
  <c r="HA203" i="23"/>
  <c r="HA198" i="23"/>
  <c r="HA205" i="23"/>
  <c r="HA197" i="23"/>
  <c r="HA195" i="23"/>
  <c r="HA184" i="23"/>
  <c r="HA192" i="23"/>
  <c r="HA212" i="23"/>
  <c r="HA186" i="23"/>
  <c r="HA182" i="23"/>
  <c r="HA181" i="23"/>
  <c r="HA177" i="23"/>
  <c r="HA175" i="23"/>
  <c r="HA176" i="23"/>
  <c r="HA168" i="23"/>
  <c r="HA154" i="23"/>
  <c r="HA171" i="23"/>
  <c r="HA161" i="23"/>
  <c r="HA170" i="23"/>
  <c r="HA179" i="23"/>
  <c r="HA160" i="23"/>
  <c r="HA152" i="23"/>
  <c r="HA137" i="23"/>
  <c r="HA178" i="23"/>
  <c r="HA167" i="23"/>
  <c r="HA165" i="23"/>
  <c r="HA142" i="23"/>
  <c r="HA185" i="23"/>
  <c r="HA188" i="23"/>
  <c r="HA148" i="23"/>
  <c r="HA183" i="23"/>
  <c r="HA162" i="23"/>
  <c r="HA155" i="23"/>
  <c r="HA127" i="23"/>
  <c r="HA172" i="23"/>
  <c r="HA156" i="23"/>
  <c r="HA130" i="23"/>
  <c r="HA135" i="23"/>
  <c r="HA134" i="23"/>
  <c r="HA140" i="23"/>
  <c r="HA129" i="23"/>
  <c r="HA166" i="23"/>
  <c r="HA157" i="23"/>
  <c r="HA139" i="23"/>
  <c r="HA133" i="23"/>
  <c r="HA138" i="23"/>
  <c r="HA145" i="23"/>
  <c r="HA131" i="23"/>
  <c r="HA122" i="23"/>
  <c r="HA173" i="23"/>
  <c r="HA163" i="23"/>
  <c r="HA151" i="23"/>
  <c r="HA121" i="23"/>
  <c r="HA132" i="23"/>
  <c r="HA159" i="23"/>
  <c r="HA149" i="23"/>
  <c r="HA143" i="23"/>
  <c r="HA118" i="23"/>
  <c r="HA141" i="23"/>
  <c r="HA146" i="23"/>
  <c r="HA120" i="23"/>
  <c r="HA153" i="23"/>
  <c r="HA117" i="23"/>
  <c r="HA119" i="23"/>
  <c r="HA144" i="23"/>
  <c r="HA150" i="23"/>
  <c r="HA125" i="23"/>
  <c r="HA147" i="23"/>
  <c r="HA191" i="23"/>
  <c r="HA136" i="23"/>
  <c r="HA114" i="23"/>
  <c r="HA202" i="23"/>
  <c r="HA180" i="23"/>
  <c r="HA169" i="23"/>
  <c r="HA158" i="23"/>
  <c r="HA113" i="23"/>
  <c r="HA110" i="23"/>
  <c r="HA112" i="23"/>
  <c r="HA111" i="23"/>
  <c r="HA109" i="23"/>
  <c r="HA107" i="23"/>
  <c r="HA105" i="23"/>
  <c r="HA100" i="23"/>
  <c r="HA108" i="23"/>
  <c r="HA103" i="23"/>
  <c r="HA99" i="23"/>
  <c r="HA98" i="23"/>
  <c r="HA97" i="23"/>
  <c r="HA106" i="23"/>
  <c r="HA101" i="23"/>
  <c r="HA95" i="23"/>
  <c r="HA104" i="23"/>
  <c r="HA92" i="23"/>
  <c r="HA102" i="23"/>
  <c r="HA93" i="23"/>
  <c r="HA94" i="23"/>
  <c r="HA90" i="23"/>
  <c r="HA89" i="23"/>
  <c r="HA88" i="23"/>
  <c r="HA83" i="23"/>
  <c r="HA81" i="23"/>
  <c r="HA91" i="23"/>
  <c r="HA96" i="23"/>
  <c r="HA85" i="23"/>
  <c r="HA77" i="23"/>
  <c r="HA79" i="23"/>
  <c r="HA76" i="23"/>
  <c r="HA80" i="23"/>
  <c r="HA69" i="23"/>
  <c r="HA75" i="23"/>
  <c r="HA64" i="23"/>
  <c r="HA84" i="23"/>
  <c r="HA63" i="23"/>
  <c r="HA67" i="23"/>
  <c r="HA59" i="23"/>
  <c r="HA57" i="23"/>
  <c r="HA70" i="23"/>
  <c r="HA62" i="23"/>
  <c r="HA61" i="23"/>
  <c r="HA51" i="23"/>
  <c r="HA78" i="23"/>
  <c r="HA65" i="23"/>
  <c r="HA60" i="23"/>
  <c r="HA58" i="23"/>
  <c r="HA50" i="23"/>
  <c r="HA56" i="23"/>
  <c r="HA73" i="23"/>
  <c r="HA72" i="23"/>
  <c r="HA71" i="23"/>
  <c r="HA68" i="23"/>
  <c r="HA66" i="23"/>
  <c r="HA87" i="23"/>
  <c r="HA74" i="23"/>
  <c r="HA52" i="23"/>
  <c r="HA49" i="23"/>
  <c r="HA47" i="23"/>
  <c r="HA82" i="23"/>
  <c r="HA54" i="23"/>
  <c r="HA48" i="23"/>
  <c r="HA46" i="23"/>
  <c r="HA86" i="23"/>
  <c r="HA45" i="23"/>
  <c r="HA37" i="23"/>
  <c r="HA35" i="23"/>
  <c r="HA40" i="23"/>
  <c r="HA32" i="23"/>
  <c r="HA43" i="23"/>
  <c r="HA42" i="23"/>
  <c r="HA31" i="23"/>
  <c r="HA53" i="23"/>
  <c r="HA44" i="23"/>
  <c r="HA36" i="23"/>
  <c r="HA34" i="23"/>
  <c r="HA23" i="23"/>
  <c r="HA38" i="23"/>
  <c r="HA33" i="23"/>
  <c r="HA20" i="23"/>
  <c r="HA27" i="23"/>
  <c r="HA25" i="23"/>
  <c r="HA55" i="23"/>
  <c r="HA41" i="23"/>
  <c r="HA39" i="23"/>
  <c r="HA26" i="23"/>
  <c r="HA24" i="23"/>
  <c r="HA8" i="23"/>
  <c r="HB2" i="23"/>
  <c r="HA7" i="23"/>
  <c r="HA29" i="23"/>
  <c r="HA15" i="23"/>
  <c r="HA13" i="23"/>
  <c r="HA5" i="23"/>
  <c r="HA17" i="23"/>
  <c r="HA10" i="23"/>
  <c r="HA22" i="23"/>
  <c r="HA9" i="23"/>
  <c r="HA16" i="23"/>
  <c r="HA14" i="23"/>
  <c r="HA19" i="23"/>
  <c r="HA6" i="23"/>
  <c r="HA4" i="23"/>
  <c r="HA28" i="23"/>
  <c r="HA18" i="23"/>
  <c r="HA11" i="23"/>
  <c r="HA30" i="23"/>
  <c r="HA21" i="23"/>
  <c r="HA12" i="23"/>
  <c r="HB197" i="23" l="1"/>
  <c r="HB170" i="23"/>
  <c r="HB173" i="23"/>
  <c r="HB127" i="23"/>
  <c r="HB166" i="23"/>
  <c r="HB131" i="23"/>
  <c r="HB134" i="23"/>
  <c r="HB115" i="23"/>
  <c r="HB193" i="23"/>
  <c r="HB144" i="23"/>
  <c r="HB174" i="23"/>
  <c r="HB203" i="23"/>
  <c r="HB208" i="23"/>
  <c r="HB212" i="23"/>
  <c r="HB195" i="23"/>
  <c r="HB207" i="23"/>
  <c r="HB196" i="23"/>
  <c r="HB209" i="23"/>
  <c r="HB211" i="23"/>
  <c r="HB210" i="23"/>
  <c r="HB206" i="23"/>
  <c r="HB194" i="23"/>
  <c r="HB186" i="23"/>
  <c r="HB199" i="23"/>
  <c r="HB201" i="23"/>
  <c r="HB204" i="23"/>
  <c r="HB205" i="23"/>
  <c r="HB187" i="23"/>
  <c r="HB200" i="23"/>
  <c r="HB183" i="23"/>
  <c r="HB184" i="23"/>
  <c r="HB189" i="23"/>
  <c r="HB190" i="23"/>
  <c r="HB198" i="23"/>
  <c r="HB172" i="23"/>
  <c r="HB179" i="23"/>
  <c r="HB162" i="23"/>
  <c r="HB159" i="23"/>
  <c r="HB154" i="23"/>
  <c r="HB188" i="23"/>
  <c r="HB178" i="23"/>
  <c r="HB160" i="23"/>
  <c r="HB177" i="23"/>
  <c r="HB168" i="23"/>
  <c r="HB155" i="23"/>
  <c r="HB192" i="23"/>
  <c r="HB157" i="23"/>
  <c r="HB181" i="23"/>
  <c r="HB176" i="23"/>
  <c r="HB153" i="23"/>
  <c r="HB175" i="23"/>
  <c r="HB164" i="23"/>
  <c r="HB165" i="23"/>
  <c r="HB167" i="23"/>
  <c r="HB150" i="23"/>
  <c r="HB148" i="23"/>
  <c r="HB140" i="23"/>
  <c r="HB142" i="23"/>
  <c r="HB152" i="23"/>
  <c r="HB141" i="23"/>
  <c r="HB138" i="23"/>
  <c r="HB143" i="23"/>
  <c r="HB126" i="23"/>
  <c r="HB130" i="23"/>
  <c r="HB149" i="23"/>
  <c r="HB136" i="23"/>
  <c r="HB145" i="23"/>
  <c r="HB135" i="23"/>
  <c r="HB128" i="23"/>
  <c r="HB133" i="23"/>
  <c r="HB161" i="23"/>
  <c r="HB139" i="23"/>
  <c r="HB122" i="23"/>
  <c r="HB163" i="23"/>
  <c r="HB146" i="23"/>
  <c r="HB119" i="23"/>
  <c r="HB120" i="23"/>
  <c r="HB123" i="23"/>
  <c r="HB116" i="23"/>
  <c r="HB185" i="23"/>
  <c r="HB151" i="23"/>
  <c r="HB171" i="23"/>
  <c r="HB129" i="23"/>
  <c r="HB121" i="23"/>
  <c r="HB132" i="23"/>
  <c r="HB182" i="23"/>
  <c r="HB118" i="23"/>
  <c r="HB137" i="23"/>
  <c r="HB156" i="23"/>
  <c r="HB124" i="23"/>
  <c r="HB117" i="23"/>
  <c r="HB202" i="23"/>
  <c r="HB169" i="23"/>
  <c r="HB158" i="23"/>
  <c r="HB125" i="23"/>
  <c r="HB114" i="23"/>
  <c r="HB191" i="23"/>
  <c r="HB147" i="23"/>
  <c r="HB180" i="23"/>
  <c r="HB113" i="23"/>
  <c r="HB112" i="23"/>
  <c r="HB110" i="23"/>
  <c r="HB109" i="23"/>
  <c r="HB108" i="23"/>
  <c r="HB111" i="23"/>
  <c r="HB107" i="23"/>
  <c r="HB106" i="23"/>
  <c r="HB105" i="23"/>
  <c r="HB104" i="23"/>
  <c r="HB102" i="23"/>
  <c r="HB99" i="23"/>
  <c r="HB103" i="23"/>
  <c r="HB95" i="23"/>
  <c r="HB94" i="23"/>
  <c r="HB101" i="23"/>
  <c r="HB91" i="23"/>
  <c r="HB90" i="23"/>
  <c r="HB97" i="23"/>
  <c r="HB92" i="23"/>
  <c r="HB96" i="23"/>
  <c r="HB100" i="23"/>
  <c r="HB89" i="23"/>
  <c r="HB88" i="23"/>
  <c r="HB87" i="23"/>
  <c r="HB86" i="23"/>
  <c r="HB93" i="23"/>
  <c r="HB85" i="23"/>
  <c r="HB77" i="23"/>
  <c r="HB98" i="23"/>
  <c r="HB74" i="23"/>
  <c r="HB84" i="23"/>
  <c r="HB82" i="23"/>
  <c r="HB81" i="23"/>
  <c r="HB80" i="23"/>
  <c r="HB73" i="23"/>
  <c r="HB83" i="23"/>
  <c r="HB79" i="23"/>
  <c r="HB69" i="23"/>
  <c r="HB75" i="23"/>
  <c r="HB70" i="23"/>
  <c r="HB72" i="23"/>
  <c r="HB68" i="23"/>
  <c r="HB62" i="23"/>
  <c r="HB61" i="23"/>
  <c r="HB71" i="23"/>
  <c r="HB63" i="23"/>
  <c r="HB56" i="23"/>
  <c r="HB66" i="23"/>
  <c r="HB55" i="23"/>
  <c r="HB64" i="23"/>
  <c r="HB59" i="23"/>
  <c r="HB52" i="23"/>
  <c r="HB51" i="23"/>
  <c r="HB49" i="23"/>
  <c r="HB47" i="23"/>
  <c r="HB53" i="23"/>
  <c r="HB44" i="23"/>
  <c r="HB67" i="23"/>
  <c r="HB58" i="23"/>
  <c r="HB43" i="23"/>
  <c r="HB65" i="23"/>
  <c r="HB37" i="23"/>
  <c r="HB50" i="23"/>
  <c r="HB40" i="23"/>
  <c r="HB32" i="23"/>
  <c r="HB76" i="23"/>
  <c r="HB41" i="23"/>
  <c r="HB39" i="23"/>
  <c r="HB46" i="23"/>
  <c r="HB38" i="23"/>
  <c r="HB36" i="23"/>
  <c r="HB57" i="23"/>
  <c r="HB42" i="23"/>
  <c r="HB35" i="23"/>
  <c r="HB33" i="23"/>
  <c r="HB20" i="23"/>
  <c r="HB27" i="23"/>
  <c r="HB25" i="23"/>
  <c r="HB31" i="23"/>
  <c r="HB30" i="23"/>
  <c r="HB22" i="23"/>
  <c r="HB54" i="23"/>
  <c r="HB21" i="23"/>
  <c r="HB29" i="23"/>
  <c r="HB24" i="23"/>
  <c r="HB15" i="23"/>
  <c r="HB13" i="23"/>
  <c r="HB5" i="23"/>
  <c r="HB12" i="23"/>
  <c r="HB26" i="23"/>
  <c r="HB10" i="23"/>
  <c r="HB4" i="23"/>
  <c r="HB78" i="23"/>
  <c r="HB60" i="23"/>
  <c r="HB23" i="23"/>
  <c r="HB17" i="23"/>
  <c r="HB7" i="23"/>
  <c r="HB28" i="23"/>
  <c r="HB19" i="23"/>
  <c r="HB16" i="23"/>
  <c r="HB14" i="23"/>
  <c r="HB6" i="23"/>
  <c r="HB48" i="23"/>
  <c r="HB18" i="23"/>
  <c r="HB11" i="23"/>
  <c r="HC2" i="23"/>
  <c r="HB9" i="23"/>
  <c r="HB8" i="23"/>
  <c r="HB34" i="23"/>
  <c r="HB45" i="23"/>
  <c r="HC132" i="23" l="1"/>
  <c r="HC210" i="23"/>
  <c r="HC205" i="23"/>
  <c r="HC129" i="23"/>
  <c r="HC201" i="23"/>
  <c r="HC116" i="23"/>
  <c r="HC146" i="23"/>
  <c r="HC139" i="23"/>
  <c r="HC122" i="23"/>
  <c r="HC138" i="23"/>
  <c r="HC211" i="23"/>
  <c r="HC127" i="23"/>
  <c r="HC149" i="23"/>
  <c r="HC183" i="23"/>
  <c r="HC178" i="23"/>
  <c r="HC131" i="23"/>
  <c r="HC166" i="23"/>
  <c r="HC173" i="23"/>
  <c r="HC154" i="23"/>
  <c r="HC200" i="23"/>
  <c r="HC212" i="23"/>
  <c r="HC207" i="23"/>
  <c r="HC206" i="23"/>
  <c r="HC209" i="23"/>
  <c r="HC195" i="23"/>
  <c r="HC198" i="23"/>
  <c r="HC192" i="23"/>
  <c r="HC190" i="23"/>
  <c r="HC189" i="23"/>
  <c r="HC196" i="23"/>
  <c r="HC184" i="23"/>
  <c r="HC186" i="23"/>
  <c r="HC204" i="23"/>
  <c r="HC193" i="23"/>
  <c r="HC197" i="23"/>
  <c r="HC194" i="23"/>
  <c r="HC208" i="23"/>
  <c r="HC199" i="23"/>
  <c r="HC187" i="23"/>
  <c r="HC182" i="23"/>
  <c r="HC172" i="23"/>
  <c r="HC170" i="23"/>
  <c r="HC185" i="23"/>
  <c r="HC161" i="23"/>
  <c r="HC164" i="23"/>
  <c r="HC163" i="23"/>
  <c r="HC153" i="23"/>
  <c r="HC188" i="23"/>
  <c r="HC171" i="23"/>
  <c r="HC159" i="23"/>
  <c r="HC148" i="23"/>
  <c r="HC176" i="23"/>
  <c r="HC168" i="23"/>
  <c r="HC175" i="23"/>
  <c r="HC150" i="23"/>
  <c r="HC140" i="23"/>
  <c r="HC179" i="23"/>
  <c r="HC157" i="23"/>
  <c r="HC142" i="23"/>
  <c r="HC203" i="23"/>
  <c r="HC177" i="23"/>
  <c r="HC167" i="23"/>
  <c r="HC152" i="23"/>
  <c r="HC143" i="23"/>
  <c r="HC145" i="23"/>
  <c r="HC181" i="23"/>
  <c r="HC141" i="23"/>
  <c r="HC144" i="23"/>
  <c r="HC165" i="23"/>
  <c r="HC156" i="23"/>
  <c r="HC124" i="23"/>
  <c r="HC155" i="23"/>
  <c r="HC133" i="23"/>
  <c r="HC174" i="23"/>
  <c r="HC160" i="23"/>
  <c r="HC137" i="23"/>
  <c r="HC126" i="23"/>
  <c r="HC135" i="23"/>
  <c r="HC151" i="23"/>
  <c r="HC115" i="23"/>
  <c r="HC128" i="23"/>
  <c r="HC120" i="23"/>
  <c r="HC134" i="23"/>
  <c r="HC118" i="23"/>
  <c r="HC123" i="23"/>
  <c r="HC130" i="23"/>
  <c r="HC119" i="23"/>
  <c r="HC121" i="23"/>
  <c r="HC162" i="23"/>
  <c r="HC117" i="23"/>
  <c r="HC169" i="23"/>
  <c r="HC136" i="23"/>
  <c r="HC114" i="23"/>
  <c r="HC202" i="23"/>
  <c r="HC191" i="23"/>
  <c r="HC125" i="23"/>
  <c r="HC158" i="23"/>
  <c r="HC180" i="23"/>
  <c r="HC147" i="23"/>
  <c r="HC113" i="23"/>
  <c r="HC111" i="23"/>
  <c r="HC110" i="23"/>
  <c r="HC112" i="23"/>
  <c r="HC108" i="23"/>
  <c r="HC109" i="23"/>
  <c r="HC105" i="23"/>
  <c r="HC100" i="23"/>
  <c r="HC106" i="23"/>
  <c r="HC103" i="23"/>
  <c r="HC101" i="23"/>
  <c r="HC107" i="23"/>
  <c r="HC104" i="23"/>
  <c r="HC102" i="23"/>
  <c r="HC93" i="23"/>
  <c r="HC92" i="23"/>
  <c r="HC97" i="23"/>
  <c r="HC96" i="23"/>
  <c r="HC85" i="23"/>
  <c r="HC95" i="23"/>
  <c r="HC90" i="23"/>
  <c r="HC84" i="23"/>
  <c r="HC89" i="23"/>
  <c r="HC88" i="23"/>
  <c r="HC86" i="23"/>
  <c r="HC87" i="23"/>
  <c r="HC82" i="23"/>
  <c r="HC80" i="23"/>
  <c r="HC77" i="23"/>
  <c r="HC98" i="23"/>
  <c r="HC71" i="23"/>
  <c r="HC99" i="23"/>
  <c r="HC91" i="23"/>
  <c r="HC78" i="23"/>
  <c r="HC70" i="23"/>
  <c r="HC75" i="23"/>
  <c r="HC94" i="23"/>
  <c r="HC81" i="23"/>
  <c r="HC66" i="23"/>
  <c r="HC73" i="23"/>
  <c r="HC65" i="23"/>
  <c r="HC79" i="23"/>
  <c r="HC61" i="23"/>
  <c r="HC63" i="23"/>
  <c r="HC56" i="23"/>
  <c r="HC76" i="23"/>
  <c r="HC69" i="23"/>
  <c r="HC53" i="23"/>
  <c r="HC68" i="23"/>
  <c r="HC52" i="23"/>
  <c r="HC72" i="23"/>
  <c r="HC64" i="23"/>
  <c r="HC59" i="23"/>
  <c r="HC51" i="23"/>
  <c r="HC49" i="23"/>
  <c r="HC47" i="23"/>
  <c r="HC83" i="23"/>
  <c r="HC74" i="23"/>
  <c r="HC62" i="23"/>
  <c r="HC55" i="23"/>
  <c r="HC41" i="23"/>
  <c r="HC40" i="23"/>
  <c r="HC50" i="23"/>
  <c r="HC39" i="23"/>
  <c r="HC34" i="23"/>
  <c r="HC54" i="23"/>
  <c r="HC48" i="23"/>
  <c r="HC44" i="23"/>
  <c r="HC33" i="23"/>
  <c r="HC67" i="23"/>
  <c r="HC38" i="23"/>
  <c r="HC27" i="23"/>
  <c r="HC25" i="23"/>
  <c r="HC32" i="23"/>
  <c r="HC31" i="23"/>
  <c r="HC30" i="23"/>
  <c r="HC22" i="23"/>
  <c r="HC46" i="23"/>
  <c r="HC29" i="23"/>
  <c r="HC19" i="23"/>
  <c r="HC60" i="23"/>
  <c r="HC28" i="23"/>
  <c r="HC18" i="23"/>
  <c r="HC58" i="23"/>
  <c r="HC26" i="23"/>
  <c r="HC10" i="23"/>
  <c r="HC43" i="23"/>
  <c r="HC42" i="23"/>
  <c r="HC23" i="23"/>
  <c r="HC20" i="23"/>
  <c r="HC17" i="23"/>
  <c r="HC7" i="23"/>
  <c r="HC37" i="23"/>
  <c r="HC12" i="23"/>
  <c r="HC4" i="23"/>
  <c r="HC36" i="23"/>
  <c r="HC9" i="23"/>
  <c r="HC11" i="23"/>
  <c r="HC57" i="23"/>
  <c r="HC45" i="23"/>
  <c r="HC21" i="23"/>
  <c r="HC35" i="23"/>
  <c r="HC13" i="23"/>
  <c r="HC15" i="23"/>
  <c r="HC5" i="23"/>
  <c r="HC6" i="23"/>
  <c r="HC24" i="23"/>
  <c r="HC14" i="23"/>
  <c r="HC16" i="23"/>
  <c r="HC8" i="23"/>
  <c r="HD2" i="23"/>
  <c r="HD117" i="23" l="1"/>
  <c r="HD144" i="23"/>
  <c r="HD143" i="23"/>
  <c r="HD146" i="23"/>
  <c r="HD171" i="23"/>
  <c r="HD133" i="23"/>
  <c r="HD182" i="23"/>
  <c r="HD168" i="23"/>
  <c r="HD188" i="23"/>
  <c r="HD115" i="23"/>
  <c r="HD166" i="23"/>
  <c r="HD116" i="23"/>
  <c r="HD170" i="23"/>
  <c r="HD129" i="23"/>
  <c r="HD173" i="23"/>
  <c r="HD197" i="23"/>
  <c r="HD157" i="23"/>
  <c r="HD198" i="23"/>
  <c r="HD200" i="23"/>
  <c r="HD161" i="23"/>
  <c r="HD164" i="23"/>
  <c r="HD194" i="23"/>
  <c r="HD183" i="23"/>
  <c r="HD189" i="23"/>
  <c r="HD204" i="23"/>
  <c r="HD208" i="23"/>
  <c r="HD212" i="23"/>
  <c r="HD149" i="23"/>
  <c r="HD206" i="23"/>
  <c r="HD209" i="23"/>
  <c r="HD195" i="23"/>
  <c r="HD196" i="23"/>
  <c r="HD211" i="23"/>
  <c r="HD184" i="23"/>
  <c r="HD192" i="23"/>
  <c r="HD205" i="23"/>
  <c r="HD210" i="23"/>
  <c r="HD193" i="23"/>
  <c r="HD201" i="23"/>
  <c r="HD186" i="23"/>
  <c r="HD174" i="23"/>
  <c r="HD181" i="23"/>
  <c r="HD203" i="23"/>
  <c r="HD187" i="23"/>
  <c r="HD156" i="23"/>
  <c r="HD154" i="23"/>
  <c r="HD148" i="23"/>
  <c r="HD199" i="23"/>
  <c r="HD178" i="23"/>
  <c r="HD165" i="23"/>
  <c r="HD190" i="23"/>
  <c r="HD177" i="23"/>
  <c r="HD163" i="23"/>
  <c r="HD179" i="23"/>
  <c r="HD176" i="23"/>
  <c r="HD160" i="23"/>
  <c r="HD185" i="23"/>
  <c r="HD150" i="23"/>
  <c r="HD142" i="23"/>
  <c r="HD153" i="23"/>
  <c r="HD139" i="23"/>
  <c r="HD140" i="23"/>
  <c r="HD126" i="23"/>
  <c r="HD162" i="23"/>
  <c r="HD155" i="23"/>
  <c r="HD159" i="23"/>
  <c r="HD128" i="23"/>
  <c r="HD151" i="23"/>
  <c r="HD119" i="23"/>
  <c r="HD132" i="23"/>
  <c r="HD121" i="23"/>
  <c r="HD122" i="23"/>
  <c r="HD135" i="23"/>
  <c r="HD120" i="23"/>
  <c r="HD124" i="23"/>
  <c r="HD118" i="23"/>
  <c r="HD207" i="23"/>
  <c r="HD167" i="23"/>
  <c r="HD152" i="23"/>
  <c r="HD130" i="23"/>
  <c r="HD172" i="23"/>
  <c r="HD175" i="23"/>
  <c r="HD127" i="23"/>
  <c r="HD137" i="23"/>
  <c r="HD141" i="23"/>
  <c r="HD145" i="23"/>
  <c r="HD138" i="23"/>
  <c r="HD131" i="23"/>
  <c r="HD134" i="23"/>
  <c r="HD123" i="23"/>
  <c r="HD169" i="23"/>
  <c r="HD180" i="23"/>
  <c r="HD136" i="23"/>
  <c r="HD147" i="23"/>
  <c r="HD114" i="23"/>
  <c r="HD202" i="23"/>
  <c r="HD125" i="23"/>
  <c r="HD158" i="23"/>
  <c r="HD191" i="23"/>
  <c r="HD113" i="23"/>
  <c r="HD111" i="23"/>
  <c r="HD112" i="23"/>
  <c r="HD109" i="23"/>
  <c r="HD108" i="23"/>
  <c r="HD106" i="23"/>
  <c r="HD107" i="23"/>
  <c r="HD104" i="23"/>
  <c r="HD102" i="23"/>
  <c r="HD105" i="23"/>
  <c r="HD110" i="23"/>
  <c r="HD98" i="23"/>
  <c r="HD97" i="23"/>
  <c r="HD101" i="23"/>
  <c r="HD96" i="23"/>
  <c r="HD100" i="23"/>
  <c r="HD94" i="23"/>
  <c r="HD103" i="23"/>
  <c r="HD92" i="23"/>
  <c r="HD91" i="23"/>
  <c r="HD90" i="23"/>
  <c r="HD89" i="23"/>
  <c r="HD88" i="23"/>
  <c r="HD86" i="23"/>
  <c r="HD87" i="23"/>
  <c r="HD84" i="23"/>
  <c r="HD95" i="23"/>
  <c r="HD93" i="23"/>
  <c r="HD85" i="23"/>
  <c r="HD79" i="23"/>
  <c r="HD76" i="23"/>
  <c r="HD83" i="23"/>
  <c r="HD75" i="23"/>
  <c r="HD77" i="23"/>
  <c r="HD81" i="23"/>
  <c r="HD70" i="23"/>
  <c r="HD99" i="23"/>
  <c r="HD71" i="23"/>
  <c r="HD63" i="23"/>
  <c r="HD78" i="23"/>
  <c r="HD74" i="23"/>
  <c r="HD62" i="23"/>
  <c r="HD56" i="23"/>
  <c r="HD69" i="23"/>
  <c r="HD73" i="23"/>
  <c r="HD64" i="23"/>
  <c r="HD60" i="23"/>
  <c r="HD58" i="23"/>
  <c r="HD50" i="23"/>
  <c r="HD82" i="23"/>
  <c r="HD72" i="23"/>
  <c r="HD67" i="23"/>
  <c r="HD59" i="23"/>
  <c r="HD57" i="23"/>
  <c r="HD68" i="23"/>
  <c r="HD66" i="23"/>
  <c r="HD52" i="23"/>
  <c r="HD80" i="23"/>
  <c r="HD55" i="23"/>
  <c r="HD53" i="23"/>
  <c r="HD54" i="23"/>
  <c r="HD48" i="23"/>
  <c r="HD46" i="23"/>
  <c r="HD45" i="23"/>
  <c r="HD40" i="23"/>
  <c r="HD39" i="23"/>
  <c r="HD47" i="23"/>
  <c r="HD41" i="23"/>
  <c r="HD34" i="23"/>
  <c r="HD61" i="23"/>
  <c r="HD49" i="23"/>
  <c r="HD42" i="23"/>
  <c r="HD31" i="23"/>
  <c r="HD51" i="23"/>
  <c r="HD30" i="23"/>
  <c r="HD32" i="23"/>
  <c r="HD22" i="23"/>
  <c r="HD29" i="23"/>
  <c r="HD19" i="23"/>
  <c r="HD65" i="23"/>
  <c r="HD43" i="23"/>
  <c r="HD37" i="23"/>
  <c r="HD26" i="23"/>
  <c r="HD24" i="23"/>
  <c r="HD23" i="23"/>
  <c r="HD20" i="23"/>
  <c r="HD17" i="23"/>
  <c r="HD7" i="23"/>
  <c r="HD14" i="23"/>
  <c r="HD33" i="23"/>
  <c r="HD12" i="23"/>
  <c r="HD4" i="23"/>
  <c r="HD36" i="23"/>
  <c r="HD28" i="23"/>
  <c r="HD9" i="23"/>
  <c r="HD16" i="23"/>
  <c r="HD6" i="23"/>
  <c r="HD44" i="23"/>
  <c r="HD27" i="23"/>
  <c r="HD21" i="23"/>
  <c r="HD18" i="23"/>
  <c r="HD8" i="23"/>
  <c r="HE2" i="23"/>
  <c r="HD35" i="23"/>
  <c r="HD15" i="23"/>
  <c r="HD13" i="23"/>
  <c r="HD38" i="23"/>
  <c r="HD5" i="23"/>
  <c r="HD10" i="23"/>
  <c r="HD11" i="23"/>
  <c r="HD25" i="23"/>
  <c r="HE157" i="23" l="1"/>
  <c r="HE152" i="23"/>
  <c r="HE206" i="23"/>
  <c r="HE122" i="23"/>
  <c r="HE115" i="23"/>
  <c r="HE131" i="23"/>
  <c r="HE127" i="23"/>
  <c r="HE124" i="23"/>
  <c r="HE164" i="23"/>
  <c r="HE117" i="23"/>
  <c r="HE201" i="23"/>
  <c r="HE149" i="23"/>
  <c r="HE134" i="23"/>
  <c r="HE151" i="23"/>
  <c r="HE176" i="23"/>
  <c r="HE145" i="23"/>
  <c r="HE204" i="23"/>
  <c r="HE139" i="23"/>
  <c r="HE200" i="23"/>
  <c r="HE209" i="23"/>
  <c r="HE210" i="23"/>
  <c r="HE203" i="23"/>
  <c r="HE207" i="23"/>
  <c r="HE197" i="23"/>
  <c r="HE205" i="23"/>
  <c r="HE212" i="23"/>
  <c r="HE192" i="23"/>
  <c r="HE194" i="23"/>
  <c r="HE211" i="23"/>
  <c r="HE193" i="23"/>
  <c r="HE181" i="23"/>
  <c r="HE195" i="23"/>
  <c r="HE208" i="23"/>
  <c r="HE187" i="23"/>
  <c r="HE198" i="23"/>
  <c r="HE196" i="23"/>
  <c r="HE199" i="23"/>
  <c r="HE189" i="23"/>
  <c r="HE172" i="23"/>
  <c r="HE190" i="23"/>
  <c r="HE171" i="23"/>
  <c r="HE175" i="23"/>
  <c r="HE183" i="23"/>
  <c r="HE188" i="23"/>
  <c r="HE184" i="23"/>
  <c r="HE170" i="23"/>
  <c r="HE160" i="23"/>
  <c r="HE168" i="23"/>
  <c r="HE156" i="23"/>
  <c r="HE185" i="23"/>
  <c r="HE155" i="23"/>
  <c r="HE154" i="23"/>
  <c r="HE159" i="23"/>
  <c r="HE163" i="23"/>
  <c r="HE166" i="23"/>
  <c r="HE173" i="23"/>
  <c r="HE153" i="23"/>
  <c r="HE182" i="23"/>
  <c r="HE174" i="23"/>
  <c r="HE177" i="23"/>
  <c r="HE146" i="23"/>
  <c r="HE144" i="23"/>
  <c r="HE148" i="23"/>
  <c r="HE141" i="23"/>
  <c r="HE140" i="23"/>
  <c r="HE130" i="23"/>
  <c r="HE128" i="23"/>
  <c r="HE161" i="23"/>
  <c r="HE167" i="23"/>
  <c r="HE133" i="23"/>
  <c r="HE150" i="23"/>
  <c r="HE137" i="23"/>
  <c r="HE118" i="23"/>
  <c r="HE186" i="23"/>
  <c r="HE116" i="23"/>
  <c r="HE162" i="23"/>
  <c r="HE129" i="23"/>
  <c r="HE120" i="23"/>
  <c r="HE119" i="23"/>
  <c r="HE138" i="23"/>
  <c r="HE135" i="23"/>
  <c r="HE179" i="23"/>
  <c r="HE165" i="23"/>
  <c r="HE142" i="23"/>
  <c r="HE132" i="23"/>
  <c r="HE121" i="23"/>
  <c r="HE178" i="23"/>
  <c r="HE123" i="23"/>
  <c r="HE126" i="23"/>
  <c r="HE143" i="23"/>
  <c r="HE169" i="23"/>
  <c r="HE114" i="23"/>
  <c r="HE158" i="23"/>
  <c r="HE136" i="23"/>
  <c r="HE180" i="23"/>
  <c r="HE147" i="23"/>
  <c r="HE202" i="23"/>
  <c r="HE191" i="23"/>
  <c r="HE125" i="23"/>
  <c r="HE112" i="23"/>
  <c r="HE111" i="23"/>
  <c r="HE113" i="23"/>
  <c r="HE108" i="23"/>
  <c r="HE107" i="23"/>
  <c r="HE105" i="23"/>
  <c r="HE104" i="23"/>
  <c r="HE102" i="23"/>
  <c r="HE103" i="23"/>
  <c r="HE101" i="23"/>
  <c r="HE106" i="23"/>
  <c r="HE100" i="23"/>
  <c r="HE99" i="23"/>
  <c r="HE98" i="23"/>
  <c r="HE110" i="23"/>
  <c r="HE94" i="23"/>
  <c r="HE93" i="23"/>
  <c r="HE95" i="23"/>
  <c r="HE90" i="23"/>
  <c r="HE89" i="23"/>
  <c r="HE97" i="23"/>
  <c r="HE96" i="23"/>
  <c r="HE88" i="23"/>
  <c r="HE87" i="23"/>
  <c r="HE86" i="23"/>
  <c r="HE92" i="23"/>
  <c r="HE79" i="23"/>
  <c r="HE76" i="23"/>
  <c r="HE81" i="23"/>
  <c r="HE73" i="23"/>
  <c r="HE72" i="23"/>
  <c r="HE70" i="23"/>
  <c r="HE71" i="23"/>
  <c r="HE68" i="23"/>
  <c r="HE109" i="23"/>
  <c r="HE91" i="23"/>
  <c r="HE82" i="23"/>
  <c r="HE69" i="23"/>
  <c r="HE67" i="23"/>
  <c r="HE63" i="23"/>
  <c r="HE64" i="23"/>
  <c r="HE60" i="23"/>
  <c r="HE58" i="23"/>
  <c r="HE84" i="23"/>
  <c r="HE77" i="23"/>
  <c r="HE65" i="23"/>
  <c r="HE55" i="23"/>
  <c r="HE83" i="23"/>
  <c r="HE80" i="23"/>
  <c r="HE74" i="23"/>
  <c r="HE54" i="23"/>
  <c r="HE53" i="23"/>
  <c r="HE62" i="23"/>
  <c r="HE48" i="23"/>
  <c r="HE46" i="23"/>
  <c r="HE85" i="23"/>
  <c r="HE78" i="23"/>
  <c r="HE61" i="23"/>
  <c r="HE43" i="23"/>
  <c r="HE57" i="23"/>
  <c r="HE50" i="23"/>
  <c r="HE42" i="23"/>
  <c r="HE75" i="23"/>
  <c r="HE52" i="23"/>
  <c r="HE47" i="23"/>
  <c r="HE41" i="23"/>
  <c r="HE59" i="23"/>
  <c r="HE49" i="23"/>
  <c r="HE31" i="23"/>
  <c r="HE66" i="23"/>
  <c r="HE38" i="23"/>
  <c r="HE36" i="23"/>
  <c r="HE45" i="23"/>
  <c r="HE37" i="23"/>
  <c r="HE35" i="23"/>
  <c r="HE56" i="23"/>
  <c r="HE30" i="23"/>
  <c r="HE29" i="23"/>
  <c r="HE19" i="23"/>
  <c r="HE26" i="23"/>
  <c r="HE24" i="23"/>
  <c r="HE21" i="23"/>
  <c r="HE20" i="23"/>
  <c r="HE33" i="23"/>
  <c r="HE23" i="23"/>
  <c r="HE12" i="23"/>
  <c r="HE4" i="23"/>
  <c r="HE11" i="23"/>
  <c r="HE40" i="23"/>
  <c r="HE28" i="23"/>
  <c r="HE9" i="23"/>
  <c r="HE25" i="23"/>
  <c r="HE39" i="23"/>
  <c r="HE22" i="23"/>
  <c r="HE16" i="23"/>
  <c r="HE14" i="23"/>
  <c r="HE6" i="23"/>
  <c r="HE34" i="23"/>
  <c r="HE15" i="23"/>
  <c r="HE13" i="23"/>
  <c r="HE5" i="23"/>
  <c r="HE32" i="23"/>
  <c r="HE17" i="23"/>
  <c r="HE18" i="23"/>
  <c r="HE7" i="23"/>
  <c r="HE51" i="23"/>
  <c r="HE44" i="23"/>
  <c r="HE27" i="23"/>
  <c r="HE10" i="23"/>
  <c r="HE8" i="23"/>
  <c r="HF2" i="23"/>
  <c r="HF211" i="23" l="1"/>
  <c r="HF118" i="23"/>
  <c r="HF128" i="23"/>
  <c r="HF129" i="23"/>
  <c r="HF164" i="23"/>
  <c r="HF115" i="23"/>
  <c r="HF206" i="23"/>
  <c r="HF143" i="23"/>
  <c r="HF120" i="23"/>
  <c r="HF132" i="23"/>
  <c r="HF149" i="23"/>
  <c r="HF162" i="23"/>
  <c r="HF210" i="23"/>
  <c r="HF131" i="23"/>
  <c r="HF124" i="23"/>
  <c r="HF152" i="23"/>
  <c r="HF146" i="23"/>
  <c r="HF176" i="23"/>
  <c r="HF170" i="23"/>
  <c r="HF194" i="23"/>
  <c r="HF197" i="23"/>
  <c r="HF199" i="23"/>
  <c r="HF127" i="23"/>
  <c r="HF212" i="23"/>
  <c r="HF209" i="23"/>
  <c r="HF203" i="23"/>
  <c r="HF207" i="23"/>
  <c r="HF205" i="23"/>
  <c r="HF193" i="23"/>
  <c r="HF208" i="23"/>
  <c r="HF184" i="23"/>
  <c r="HF196" i="23"/>
  <c r="HF192" i="23"/>
  <c r="HF168" i="23"/>
  <c r="HF195" i="23"/>
  <c r="HF204" i="23"/>
  <c r="HF198" i="23"/>
  <c r="HF185" i="23"/>
  <c r="HF181" i="23"/>
  <c r="HF188" i="23"/>
  <c r="HF190" i="23"/>
  <c r="HF189" i="23"/>
  <c r="HF187" i="23"/>
  <c r="HF200" i="23"/>
  <c r="HF183" i="23"/>
  <c r="HF172" i="23"/>
  <c r="HF178" i="23"/>
  <c r="HF150" i="23"/>
  <c r="HF154" i="23"/>
  <c r="HF182" i="23"/>
  <c r="HF163" i="23"/>
  <c r="HF177" i="23"/>
  <c r="HF156" i="23"/>
  <c r="HF174" i="23"/>
  <c r="HF161" i="23"/>
  <c r="HF179" i="23"/>
  <c r="HF165" i="23"/>
  <c r="HF139" i="23"/>
  <c r="HF140" i="23"/>
  <c r="HF159" i="23"/>
  <c r="HF157" i="23"/>
  <c r="HF160" i="23"/>
  <c r="HF167" i="23"/>
  <c r="HF151" i="23"/>
  <c r="HF138" i="23"/>
  <c r="HF141" i="23"/>
  <c r="HF171" i="23"/>
  <c r="HF173" i="23"/>
  <c r="HF155" i="23"/>
  <c r="HF142" i="23"/>
  <c r="HF126" i="23"/>
  <c r="HF130" i="23"/>
  <c r="HF135" i="23"/>
  <c r="HF116" i="23"/>
  <c r="HF175" i="23"/>
  <c r="HF166" i="23"/>
  <c r="HF144" i="23"/>
  <c r="HF122" i="23"/>
  <c r="HF148" i="23"/>
  <c r="HF121" i="23"/>
  <c r="HF134" i="23"/>
  <c r="HF137" i="23"/>
  <c r="HF117" i="23"/>
  <c r="HF201" i="23"/>
  <c r="HF123" i="23"/>
  <c r="HF186" i="23"/>
  <c r="HF153" i="23"/>
  <c r="HF133" i="23"/>
  <c r="HF145" i="23"/>
  <c r="HF119" i="23"/>
  <c r="HF114" i="23"/>
  <c r="HF191" i="23"/>
  <c r="HF169" i="23"/>
  <c r="HF125" i="23"/>
  <c r="HF180" i="23"/>
  <c r="HF147" i="23"/>
  <c r="HF202" i="23"/>
  <c r="HF158" i="23"/>
  <c r="HF136" i="23"/>
  <c r="HF111" i="23"/>
  <c r="HF113" i="23"/>
  <c r="HF112" i="23"/>
  <c r="HF108" i="23"/>
  <c r="HF110" i="23"/>
  <c r="HF107" i="23"/>
  <c r="HF106" i="23"/>
  <c r="HF109" i="23"/>
  <c r="HF102" i="23"/>
  <c r="HF99" i="23"/>
  <c r="HF104" i="23"/>
  <c r="HF100" i="23"/>
  <c r="HF101" i="23"/>
  <c r="HF95" i="23"/>
  <c r="HF103" i="23"/>
  <c r="HF98" i="23"/>
  <c r="HF105" i="23"/>
  <c r="HF96" i="23"/>
  <c r="HF94" i="23"/>
  <c r="HF93" i="23"/>
  <c r="HF89" i="23"/>
  <c r="HF83" i="23"/>
  <c r="HF87" i="23"/>
  <c r="HF91" i="23"/>
  <c r="HF82" i="23"/>
  <c r="HF80" i="23"/>
  <c r="HF85" i="23"/>
  <c r="HF81" i="23"/>
  <c r="HF79" i="23"/>
  <c r="HF92" i="23"/>
  <c r="HF76" i="23"/>
  <c r="HF78" i="23"/>
  <c r="HF70" i="23"/>
  <c r="HF77" i="23"/>
  <c r="HF88" i="23"/>
  <c r="HF71" i="23"/>
  <c r="HF72" i="23"/>
  <c r="HF65" i="23"/>
  <c r="HF97" i="23"/>
  <c r="HF90" i="23"/>
  <c r="HF64" i="23"/>
  <c r="HF69" i="23"/>
  <c r="HF60" i="23"/>
  <c r="HF58" i="23"/>
  <c r="HF84" i="23"/>
  <c r="HF73" i="23"/>
  <c r="HF55" i="23"/>
  <c r="HF66" i="23"/>
  <c r="HF52" i="23"/>
  <c r="HF86" i="23"/>
  <c r="HF75" i="23"/>
  <c r="HF62" i="23"/>
  <c r="HF61" i="23"/>
  <c r="HF51" i="23"/>
  <c r="HF74" i="23"/>
  <c r="HF48" i="23"/>
  <c r="HF46" i="23"/>
  <c r="HF54" i="23"/>
  <c r="HF63" i="23"/>
  <c r="HF49" i="23"/>
  <c r="HF47" i="23"/>
  <c r="HF59" i="23"/>
  <c r="HF42" i="23"/>
  <c r="HF38" i="23"/>
  <c r="HF36" i="23"/>
  <c r="HF67" i="23"/>
  <c r="HF53" i="23"/>
  <c r="HF44" i="23"/>
  <c r="HF43" i="23"/>
  <c r="HF33" i="23"/>
  <c r="HF57" i="23"/>
  <c r="HF32" i="23"/>
  <c r="HF31" i="23"/>
  <c r="HF26" i="23"/>
  <c r="HF24" i="23"/>
  <c r="HF50" i="23"/>
  <c r="HF37" i="23"/>
  <c r="HF21" i="23"/>
  <c r="HF45" i="23"/>
  <c r="HF28" i="23"/>
  <c r="HF18" i="23"/>
  <c r="HF68" i="23"/>
  <c r="HF35" i="23"/>
  <c r="HF34" i="23"/>
  <c r="HF27" i="23"/>
  <c r="HF25" i="23"/>
  <c r="HF56" i="23"/>
  <c r="HF40" i="23"/>
  <c r="HF9" i="23"/>
  <c r="HF39" i="23"/>
  <c r="HF22" i="23"/>
  <c r="HF16" i="23"/>
  <c r="HF14" i="23"/>
  <c r="HF6" i="23"/>
  <c r="HF41" i="23"/>
  <c r="HF8" i="23"/>
  <c r="HG2" i="23"/>
  <c r="HF19" i="23"/>
  <c r="HF11" i="23"/>
  <c r="HF10" i="23"/>
  <c r="HF30" i="23"/>
  <c r="HF17" i="23"/>
  <c r="HF7" i="23"/>
  <c r="HF23" i="23"/>
  <c r="HF13" i="23"/>
  <c r="HF4" i="23"/>
  <c r="HF29" i="23"/>
  <c r="HF15" i="23"/>
  <c r="HF5" i="23"/>
  <c r="HF12" i="23"/>
  <c r="HF20" i="23"/>
  <c r="HG124" i="23" l="1"/>
  <c r="HG128" i="23"/>
  <c r="HG145" i="23"/>
  <c r="HG121" i="23"/>
  <c r="HG129" i="23"/>
  <c r="HG135" i="23"/>
  <c r="HG127" i="23"/>
  <c r="HG164" i="23"/>
  <c r="HG166" i="23"/>
  <c r="HG178" i="23"/>
  <c r="HG205" i="23"/>
  <c r="HG209" i="23"/>
  <c r="HG203" i="23"/>
  <c r="HG212" i="23"/>
  <c r="HG204" i="23"/>
  <c r="HG206" i="23"/>
  <c r="HG196" i="23"/>
  <c r="HG194" i="23"/>
  <c r="HG210" i="23"/>
  <c r="HG192" i="23"/>
  <c r="HG193" i="23"/>
  <c r="HG189" i="23"/>
  <c r="HG199" i="23"/>
  <c r="HG201" i="23"/>
  <c r="HG197" i="23"/>
  <c r="HG181" i="23"/>
  <c r="HG187" i="23"/>
  <c r="HG195" i="23"/>
  <c r="HG186" i="23"/>
  <c r="HG211" i="23"/>
  <c r="HG207" i="23"/>
  <c r="HG200" i="23"/>
  <c r="HG184" i="23"/>
  <c r="HG208" i="23"/>
  <c r="HG183" i="23"/>
  <c r="HG172" i="23"/>
  <c r="HG185" i="23"/>
  <c r="HG188" i="23"/>
  <c r="HG182" i="23"/>
  <c r="HG171" i="23"/>
  <c r="HG175" i="23"/>
  <c r="HG173" i="23"/>
  <c r="HG176" i="23"/>
  <c r="HG179" i="23"/>
  <c r="HG163" i="23"/>
  <c r="HG160" i="23"/>
  <c r="HG167" i="23"/>
  <c r="HG165" i="23"/>
  <c r="HG177" i="23"/>
  <c r="HG161" i="23"/>
  <c r="HG150" i="23"/>
  <c r="HG148" i="23"/>
  <c r="HG168" i="23"/>
  <c r="HG139" i="23"/>
  <c r="HG140" i="23"/>
  <c r="HG162" i="23"/>
  <c r="HG156" i="23"/>
  <c r="HG152" i="23"/>
  <c r="HG142" i="23"/>
  <c r="HG146" i="23"/>
  <c r="HG132" i="23"/>
  <c r="HG198" i="23"/>
  <c r="HG174" i="23"/>
  <c r="HG155" i="23"/>
  <c r="HG143" i="23"/>
  <c r="HG144" i="23"/>
  <c r="HG133" i="23"/>
  <c r="HG115" i="23"/>
  <c r="HG149" i="23"/>
  <c r="HG126" i="23"/>
  <c r="HG130" i="23"/>
  <c r="HG120" i="23"/>
  <c r="HG117" i="23"/>
  <c r="HG122" i="23"/>
  <c r="HG190" i="23"/>
  <c r="HG119" i="23"/>
  <c r="HG123" i="23"/>
  <c r="HG134" i="23"/>
  <c r="HG170" i="23"/>
  <c r="HG137" i="23"/>
  <c r="HG138" i="23"/>
  <c r="HG159" i="23"/>
  <c r="HG153" i="23"/>
  <c r="HG141" i="23"/>
  <c r="HG154" i="23"/>
  <c r="HG118" i="23"/>
  <c r="HG157" i="23"/>
  <c r="HG116" i="23"/>
  <c r="HG151" i="23"/>
  <c r="HG131" i="23"/>
  <c r="HG191" i="23"/>
  <c r="HG169" i="23"/>
  <c r="HG114" i="23"/>
  <c r="HG147" i="23"/>
  <c r="HG202" i="23"/>
  <c r="HG158" i="23"/>
  <c r="HG136" i="23"/>
  <c r="HG180" i="23"/>
  <c r="HG125" i="23"/>
  <c r="HG113" i="23"/>
  <c r="HG112" i="23"/>
  <c r="HG110" i="23"/>
  <c r="HG109" i="23"/>
  <c r="HG106" i="23"/>
  <c r="HG108" i="23"/>
  <c r="HG107" i="23"/>
  <c r="HG104" i="23"/>
  <c r="HG105" i="23"/>
  <c r="HG111" i="23"/>
  <c r="HG102" i="23"/>
  <c r="HG99" i="23"/>
  <c r="HG96" i="23"/>
  <c r="HG103" i="23"/>
  <c r="HG95" i="23"/>
  <c r="HG94" i="23"/>
  <c r="HG100" i="23"/>
  <c r="HG97" i="23"/>
  <c r="HG91" i="23"/>
  <c r="HG101" i="23"/>
  <c r="HG93" i="23"/>
  <c r="HG98" i="23"/>
  <c r="HG90" i="23"/>
  <c r="HG92" i="23"/>
  <c r="HG83" i="23"/>
  <c r="HG79" i="23"/>
  <c r="HG81" i="23"/>
  <c r="HG78" i="23"/>
  <c r="HG86" i="23"/>
  <c r="HG84" i="23"/>
  <c r="HG82" i="23"/>
  <c r="HG80" i="23"/>
  <c r="HG75" i="23"/>
  <c r="HG87" i="23"/>
  <c r="HG74" i="23"/>
  <c r="HG68" i="23"/>
  <c r="HG89" i="23"/>
  <c r="HG72" i="23"/>
  <c r="HG85" i="23"/>
  <c r="HG76" i="23"/>
  <c r="HG73" i="23"/>
  <c r="HG62" i="23"/>
  <c r="HG70" i="23"/>
  <c r="HG64" i="23"/>
  <c r="HG88" i="23"/>
  <c r="HG77" i="23"/>
  <c r="HG71" i="23"/>
  <c r="HG66" i="23"/>
  <c r="HG65" i="23"/>
  <c r="HG59" i="23"/>
  <c r="HG57" i="23"/>
  <c r="HG56" i="23"/>
  <c r="HG55" i="23"/>
  <c r="HG54" i="23"/>
  <c r="HG61" i="23"/>
  <c r="HG67" i="23"/>
  <c r="HG45" i="23"/>
  <c r="HG60" i="23"/>
  <c r="HG51" i="23"/>
  <c r="HG44" i="23"/>
  <c r="HG49" i="23"/>
  <c r="HG42" i="23"/>
  <c r="HG38" i="23"/>
  <c r="HG36" i="23"/>
  <c r="HG53" i="23"/>
  <c r="HG43" i="23"/>
  <c r="HG33" i="23"/>
  <c r="HG30" i="23"/>
  <c r="HG40" i="23"/>
  <c r="HG39" i="23"/>
  <c r="HG63" i="23"/>
  <c r="HG52" i="23"/>
  <c r="HG69" i="23"/>
  <c r="HG50" i="23"/>
  <c r="HG37" i="23"/>
  <c r="HG21" i="23"/>
  <c r="HG46" i="23"/>
  <c r="HG28" i="23"/>
  <c r="HG18" i="23"/>
  <c r="HG23" i="23"/>
  <c r="HG58" i="23"/>
  <c r="HG22" i="23"/>
  <c r="HG47" i="23"/>
  <c r="HG16" i="23"/>
  <c r="HG14" i="23"/>
  <c r="HG6" i="23"/>
  <c r="HG5" i="23"/>
  <c r="HG19" i="23"/>
  <c r="HG11" i="23"/>
  <c r="HG27" i="23"/>
  <c r="HG15" i="23"/>
  <c r="HG41" i="23"/>
  <c r="HG34" i="23"/>
  <c r="HG31" i="23"/>
  <c r="HG25" i="23"/>
  <c r="HG8" i="23"/>
  <c r="HH2" i="23"/>
  <c r="HG13" i="23"/>
  <c r="HG48" i="23"/>
  <c r="HG35" i="23"/>
  <c r="HG32" i="23"/>
  <c r="HG17" i="23"/>
  <c r="HG7" i="23"/>
  <c r="HG29" i="23"/>
  <c r="HG24" i="23"/>
  <c r="HG20" i="23"/>
  <c r="HG12" i="23"/>
  <c r="HG9" i="23"/>
  <c r="HG10" i="23"/>
  <c r="HG26" i="23"/>
  <c r="HG4" i="23"/>
  <c r="HH204" i="23" l="1"/>
  <c r="HH149" i="23"/>
  <c r="HH126" i="23"/>
  <c r="HH192" i="23"/>
  <c r="HH211" i="23"/>
  <c r="HH140" i="23"/>
  <c r="HH115" i="23"/>
  <c r="HH127" i="23"/>
  <c r="HH151" i="23"/>
  <c r="HH157" i="23"/>
  <c r="HH152" i="23"/>
  <c r="HH130" i="23"/>
  <c r="HH170" i="23"/>
  <c r="HH117" i="23"/>
  <c r="HH203" i="23"/>
  <c r="HH199" i="23"/>
  <c r="HH121" i="23"/>
  <c r="HH164" i="23"/>
  <c r="HH208" i="23"/>
  <c r="HH146" i="23"/>
  <c r="HH197" i="23"/>
  <c r="HH210" i="23"/>
  <c r="HH205" i="23"/>
  <c r="HH206" i="23"/>
  <c r="HH195" i="23"/>
  <c r="HH209" i="23"/>
  <c r="HH194" i="23"/>
  <c r="HH212" i="23"/>
  <c r="HH186" i="23"/>
  <c r="HH182" i="23"/>
  <c r="HH200" i="23"/>
  <c r="HH198" i="23"/>
  <c r="HH184" i="23"/>
  <c r="HH207" i="23"/>
  <c r="HH201" i="23"/>
  <c r="HH187" i="23"/>
  <c r="HH185" i="23"/>
  <c r="HH183" i="23"/>
  <c r="HH193" i="23"/>
  <c r="HH196" i="23"/>
  <c r="HH190" i="23"/>
  <c r="HH173" i="23"/>
  <c r="HH181" i="23"/>
  <c r="HH171" i="23"/>
  <c r="HH167" i="23"/>
  <c r="HH159" i="23"/>
  <c r="HH168" i="23"/>
  <c r="HH176" i="23"/>
  <c r="HH148" i="23"/>
  <c r="HH141" i="23"/>
  <c r="HH163" i="23"/>
  <c r="HH155" i="23"/>
  <c r="HH188" i="23"/>
  <c r="HH165" i="23"/>
  <c r="HH137" i="23"/>
  <c r="HH139" i="23"/>
  <c r="HH177" i="23"/>
  <c r="HH162" i="23"/>
  <c r="HH154" i="23"/>
  <c r="HH172" i="23"/>
  <c r="HH135" i="23"/>
  <c r="HH145" i="23"/>
  <c r="HH128" i="23"/>
  <c r="HH118" i="23"/>
  <c r="HH122" i="23"/>
  <c r="HH175" i="23"/>
  <c r="HH160" i="23"/>
  <c r="HH166" i="23"/>
  <c r="HH153" i="23"/>
  <c r="HH161" i="23"/>
  <c r="HH150" i="23"/>
  <c r="HH142" i="23"/>
  <c r="HH116" i="23"/>
  <c r="HH189" i="23"/>
  <c r="HH178" i="23"/>
  <c r="HH179" i="23"/>
  <c r="HH156" i="23"/>
  <c r="HH133" i="23"/>
  <c r="HH143" i="23"/>
  <c r="HH134" i="23"/>
  <c r="HH174" i="23"/>
  <c r="HH129" i="23"/>
  <c r="HH120" i="23"/>
  <c r="HH124" i="23"/>
  <c r="HH138" i="23"/>
  <c r="HH144" i="23"/>
  <c r="HH119" i="23"/>
  <c r="HH123" i="23"/>
  <c r="HH131" i="23"/>
  <c r="HH132" i="23"/>
  <c r="HH202" i="23"/>
  <c r="HH147" i="23"/>
  <c r="HH191" i="23"/>
  <c r="HH169" i="23"/>
  <c r="HH125" i="23"/>
  <c r="HH180" i="23"/>
  <c r="HH114" i="23"/>
  <c r="HH136" i="23"/>
  <c r="HH158" i="23"/>
  <c r="HH111" i="23"/>
  <c r="HH113" i="23"/>
  <c r="HH112" i="23"/>
  <c r="HH107" i="23"/>
  <c r="HH110" i="23"/>
  <c r="HH103" i="23"/>
  <c r="HH101" i="23"/>
  <c r="HH109" i="23"/>
  <c r="HH105" i="23"/>
  <c r="HH98" i="23"/>
  <c r="HH108" i="23"/>
  <c r="HH97" i="23"/>
  <c r="HH102" i="23"/>
  <c r="HH106" i="23"/>
  <c r="HH93" i="23"/>
  <c r="HH92" i="23"/>
  <c r="HH100" i="23"/>
  <c r="HH95" i="23"/>
  <c r="HH104" i="23"/>
  <c r="HH99" i="23"/>
  <c r="HH96" i="23"/>
  <c r="HH89" i="23"/>
  <c r="HH88" i="23"/>
  <c r="HH94" i="23"/>
  <c r="HH90" i="23"/>
  <c r="HH91" i="23"/>
  <c r="HH86" i="23"/>
  <c r="HH85" i="23"/>
  <c r="HH81" i="23"/>
  <c r="HH78" i="23"/>
  <c r="HH84" i="23"/>
  <c r="HH82" i="23"/>
  <c r="HH80" i="23"/>
  <c r="HH75" i="23"/>
  <c r="HH72" i="23"/>
  <c r="HH71" i="23"/>
  <c r="HH69" i="23"/>
  <c r="HH76" i="23"/>
  <c r="HH73" i="23"/>
  <c r="HH74" i="23"/>
  <c r="HH67" i="23"/>
  <c r="HH87" i="23"/>
  <c r="HH83" i="23"/>
  <c r="HH77" i="23"/>
  <c r="HH66" i="23"/>
  <c r="HH65" i="23"/>
  <c r="HH59" i="23"/>
  <c r="HH57" i="23"/>
  <c r="HH68" i="23"/>
  <c r="HH54" i="23"/>
  <c r="HH63" i="23"/>
  <c r="HH53" i="23"/>
  <c r="HH62" i="23"/>
  <c r="HH61" i="23"/>
  <c r="HH70" i="23"/>
  <c r="HH58" i="23"/>
  <c r="HH50" i="23"/>
  <c r="HH42" i="23"/>
  <c r="HH56" i="23"/>
  <c r="HH52" i="23"/>
  <c r="HH41" i="23"/>
  <c r="HH43" i="23"/>
  <c r="HH44" i="23"/>
  <c r="HH30" i="23"/>
  <c r="HH60" i="23"/>
  <c r="HH55" i="23"/>
  <c r="HH46" i="23"/>
  <c r="HH37" i="23"/>
  <c r="HH35" i="23"/>
  <c r="HH79" i="23"/>
  <c r="HH34" i="23"/>
  <c r="HH64" i="23"/>
  <c r="HH28" i="23"/>
  <c r="HH18" i="23"/>
  <c r="HH45" i="23"/>
  <c r="HH23" i="23"/>
  <c r="HH48" i="23"/>
  <c r="HH47" i="23"/>
  <c r="HH40" i="23"/>
  <c r="HH39" i="23"/>
  <c r="HH20" i="23"/>
  <c r="HH51" i="23"/>
  <c r="HH36" i="23"/>
  <c r="HH33" i="23"/>
  <c r="HH32" i="23"/>
  <c r="HH29" i="23"/>
  <c r="HH19" i="23"/>
  <c r="HH22" i="23"/>
  <c r="HH11" i="23"/>
  <c r="HH31" i="23"/>
  <c r="HH25" i="23"/>
  <c r="HH8" i="23"/>
  <c r="HI2" i="23"/>
  <c r="HH38" i="23"/>
  <c r="HH10" i="23"/>
  <c r="HH49" i="23"/>
  <c r="HH27" i="23"/>
  <c r="HH15" i="23"/>
  <c r="HH13" i="23"/>
  <c r="HH5" i="23"/>
  <c r="HH24" i="23"/>
  <c r="HH12" i="23"/>
  <c r="HH4" i="23"/>
  <c r="HH26" i="23"/>
  <c r="HH9" i="23"/>
  <c r="HH16" i="23"/>
  <c r="HH14" i="23"/>
  <c r="HH7" i="23"/>
  <c r="HH17" i="23"/>
  <c r="HH21" i="23"/>
  <c r="HH6" i="23"/>
  <c r="HI170" i="23" l="1"/>
  <c r="HI144" i="23"/>
  <c r="HI173" i="23"/>
  <c r="HI161" i="23"/>
  <c r="HI117" i="23"/>
  <c r="HI164" i="23"/>
  <c r="HI145" i="23"/>
  <c r="HI193" i="23"/>
  <c r="HI211" i="23"/>
  <c r="HI152" i="23"/>
  <c r="HI168" i="23"/>
  <c r="HI199" i="23"/>
  <c r="HI166" i="23"/>
  <c r="HI208" i="23"/>
  <c r="HI149" i="23"/>
  <c r="HI134" i="23"/>
  <c r="HI124" i="23"/>
  <c r="HI203" i="23"/>
  <c r="HI204" i="23"/>
  <c r="HI212" i="23"/>
  <c r="HI198" i="23"/>
  <c r="HI194" i="23"/>
  <c r="HI210" i="23"/>
  <c r="HI200" i="23"/>
  <c r="HI184" i="23"/>
  <c r="HI201" i="23"/>
  <c r="HI192" i="23"/>
  <c r="HI209" i="23"/>
  <c r="HI195" i="23"/>
  <c r="HI205" i="23"/>
  <c r="HI206" i="23"/>
  <c r="HI197" i="23"/>
  <c r="HI187" i="23"/>
  <c r="HI196" i="23"/>
  <c r="HI207" i="23"/>
  <c r="HI186" i="23"/>
  <c r="HI183" i="23"/>
  <c r="HI181" i="23"/>
  <c r="HI189" i="23"/>
  <c r="HI172" i="23"/>
  <c r="HI182" i="23"/>
  <c r="HI167" i="23"/>
  <c r="HI159" i="23"/>
  <c r="HI160" i="23"/>
  <c r="HI163" i="23"/>
  <c r="HI165" i="23"/>
  <c r="HI185" i="23"/>
  <c r="HI176" i="23"/>
  <c r="HI155" i="23"/>
  <c r="HI175" i="23"/>
  <c r="HI177" i="23"/>
  <c r="HI188" i="23"/>
  <c r="HI190" i="23"/>
  <c r="HI174" i="23"/>
  <c r="HI178" i="23"/>
  <c r="HI141" i="23"/>
  <c r="HI156" i="23"/>
  <c r="HI138" i="23"/>
  <c r="HI162" i="23"/>
  <c r="HI157" i="23"/>
  <c r="HI151" i="23"/>
  <c r="HI139" i="23"/>
  <c r="HI140" i="23"/>
  <c r="HI148" i="23"/>
  <c r="HI142" i="23"/>
  <c r="HI135" i="23"/>
  <c r="HI132" i="23"/>
  <c r="HI171" i="23"/>
  <c r="HI131" i="23"/>
  <c r="HI116" i="23"/>
  <c r="HI123" i="23"/>
  <c r="HI122" i="23"/>
  <c r="HI146" i="23"/>
  <c r="HI127" i="23"/>
  <c r="HI118" i="23"/>
  <c r="HI143" i="23"/>
  <c r="HI120" i="23"/>
  <c r="HI128" i="23"/>
  <c r="HI129" i="23"/>
  <c r="HI150" i="23"/>
  <c r="HI130" i="23"/>
  <c r="HI115" i="23"/>
  <c r="HI121" i="23"/>
  <c r="HI119" i="23"/>
  <c r="HI126" i="23"/>
  <c r="HI154" i="23"/>
  <c r="HI153" i="23"/>
  <c r="HI179" i="23"/>
  <c r="HI137" i="23"/>
  <c r="HI133" i="23"/>
  <c r="HI191" i="23"/>
  <c r="HI158" i="23"/>
  <c r="HI114" i="23"/>
  <c r="HI169" i="23"/>
  <c r="HI136" i="23"/>
  <c r="HI180" i="23"/>
  <c r="HI147" i="23"/>
  <c r="HI125" i="23"/>
  <c r="HI202" i="23"/>
  <c r="HI113" i="23"/>
  <c r="HI111" i="23"/>
  <c r="HI112" i="23"/>
  <c r="HI110" i="23"/>
  <c r="HI108" i="23"/>
  <c r="HI107" i="23"/>
  <c r="HI105" i="23"/>
  <c r="HI109" i="23"/>
  <c r="HI106" i="23"/>
  <c r="HI101" i="23"/>
  <c r="HI100" i="23"/>
  <c r="HI104" i="23"/>
  <c r="HI103" i="23"/>
  <c r="HI102" i="23"/>
  <c r="HI99" i="23"/>
  <c r="HI97" i="23"/>
  <c r="HI96" i="23"/>
  <c r="HI92" i="23"/>
  <c r="HI94" i="23"/>
  <c r="HI93" i="23"/>
  <c r="HI90" i="23"/>
  <c r="HI98" i="23"/>
  <c r="HI91" i="23"/>
  <c r="HI81" i="23"/>
  <c r="HI88" i="23"/>
  <c r="HI87" i="23"/>
  <c r="HI86" i="23"/>
  <c r="HI84" i="23"/>
  <c r="HI82" i="23"/>
  <c r="HI80" i="23"/>
  <c r="HI83" i="23"/>
  <c r="HI77" i="23"/>
  <c r="HI89" i="23"/>
  <c r="HI85" i="23"/>
  <c r="HI76" i="23"/>
  <c r="HI73" i="23"/>
  <c r="HI72" i="23"/>
  <c r="HI74" i="23"/>
  <c r="HI95" i="23"/>
  <c r="HI69" i="23"/>
  <c r="HI64" i="23"/>
  <c r="HI79" i="23"/>
  <c r="HI75" i="23"/>
  <c r="HI70" i="23"/>
  <c r="HI63" i="23"/>
  <c r="HI71" i="23"/>
  <c r="HI66" i="23"/>
  <c r="HI59" i="23"/>
  <c r="HI57" i="23"/>
  <c r="HI68" i="23"/>
  <c r="HI78" i="23"/>
  <c r="HI67" i="23"/>
  <c r="HI61" i="23"/>
  <c r="HI51" i="23"/>
  <c r="HI60" i="23"/>
  <c r="HI58" i="23"/>
  <c r="HI50" i="23"/>
  <c r="HI65" i="23"/>
  <c r="HI49" i="23"/>
  <c r="HI47" i="23"/>
  <c r="HI53" i="23"/>
  <c r="HI48" i="23"/>
  <c r="HI46" i="23"/>
  <c r="HI62" i="23"/>
  <c r="HI44" i="23"/>
  <c r="HI55" i="23"/>
  <c r="HI37" i="23"/>
  <c r="HI35" i="23"/>
  <c r="HI56" i="23"/>
  <c r="HI45" i="23"/>
  <c r="HI32" i="23"/>
  <c r="HI41" i="23"/>
  <c r="HI31" i="23"/>
  <c r="HI52" i="23"/>
  <c r="HI23" i="23"/>
  <c r="HI43" i="23"/>
  <c r="HI40" i="23"/>
  <c r="HI39" i="23"/>
  <c r="HI20" i="23"/>
  <c r="HI27" i="23"/>
  <c r="HI25" i="23"/>
  <c r="HI38" i="23"/>
  <c r="HI26" i="23"/>
  <c r="HI24" i="23"/>
  <c r="HI28" i="23"/>
  <c r="HI19" i="23"/>
  <c r="HI8" i="23"/>
  <c r="HJ2" i="23"/>
  <c r="HI54" i="23"/>
  <c r="HI36" i="23"/>
  <c r="HI34" i="23"/>
  <c r="HI15" i="23"/>
  <c r="HI13" i="23"/>
  <c r="HI5" i="23"/>
  <c r="HI42" i="23"/>
  <c r="HI10" i="23"/>
  <c r="HI21" i="23"/>
  <c r="HI18" i="23"/>
  <c r="HI17" i="23"/>
  <c r="HI7" i="23"/>
  <c r="HI30" i="23"/>
  <c r="HI29" i="23"/>
  <c r="HI9" i="23"/>
  <c r="HI16" i="23"/>
  <c r="HI14" i="23"/>
  <c r="HI33" i="23"/>
  <c r="HI12" i="23"/>
  <c r="HI22" i="23"/>
  <c r="HI11" i="23"/>
  <c r="HI6" i="23"/>
  <c r="HI4" i="23"/>
  <c r="HJ134" i="23" l="1"/>
  <c r="HJ197" i="23"/>
  <c r="HJ126" i="23"/>
  <c r="HJ192" i="23"/>
  <c r="HJ212" i="23"/>
  <c r="HJ166" i="23"/>
  <c r="HJ159" i="23"/>
  <c r="HJ164" i="23"/>
  <c r="HJ128" i="23"/>
  <c r="HJ144" i="23"/>
  <c r="HJ168" i="23"/>
  <c r="HJ188" i="23"/>
  <c r="HJ187" i="23"/>
  <c r="HJ204" i="23"/>
  <c r="HJ207" i="23"/>
  <c r="HJ210" i="23"/>
  <c r="HJ142" i="23"/>
  <c r="HJ209" i="23"/>
  <c r="HJ203" i="23"/>
  <c r="HJ206" i="23"/>
  <c r="HJ198" i="23"/>
  <c r="HJ195" i="23"/>
  <c r="HJ205" i="23"/>
  <c r="HJ194" i="23"/>
  <c r="HJ186" i="23"/>
  <c r="HJ208" i="23"/>
  <c r="HJ181" i="23"/>
  <c r="HJ211" i="23"/>
  <c r="HJ201" i="23"/>
  <c r="HJ183" i="23"/>
  <c r="HJ172" i="23"/>
  <c r="HJ171" i="23"/>
  <c r="HJ200" i="23"/>
  <c r="HJ182" i="23"/>
  <c r="HJ184" i="23"/>
  <c r="HJ189" i="23"/>
  <c r="HJ190" i="23"/>
  <c r="HJ177" i="23"/>
  <c r="HJ170" i="23"/>
  <c r="HJ196" i="23"/>
  <c r="HJ193" i="23"/>
  <c r="HJ174" i="23"/>
  <c r="HJ185" i="23"/>
  <c r="HJ165" i="23"/>
  <c r="HJ154" i="23"/>
  <c r="HJ160" i="23"/>
  <c r="HJ156" i="23"/>
  <c r="HJ176" i="23"/>
  <c r="HJ173" i="23"/>
  <c r="HJ153" i="23"/>
  <c r="HJ155" i="23"/>
  <c r="HJ199" i="23"/>
  <c r="HJ150" i="23"/>
  <c r="HJ138" i="23"/>
  <c r="HJ140" i="23"/>
  <c r="HJ178" i="23"/>
  <c r="HJ162" i="23"/>
  <c r="HJ163" i="23"/>
  <c r="HJ130" i="23"/>
  <c r="HJ175" i="23"/>
  <c r="HJ148" i="23"/>
  <c r="HJ139" i="23"/>
  <c r="HJ143" i="23"/>
  <c r="HJ135" i="23"/>
  <c r="HJ119" i="23"/>
  <c r="HJ149" i="23"/>
  <c r="HJ145" i="23"/>
  <c r="HJ161" i="23"/>
  <c r="HJ157" i="23"/>
  <c r="HJ141" i="23"/>
  <c r="HJ127" i="23"/>
  <c r="HJ115" i="23"/>
  <c r="HJ124" i="23"/>
  <c r="HJ151" i="23"/>
  <c r="HJ121" i="23"/>
  <c r="HJ133" i="23"/>
  <c r="HJ118" i="23"/>
  <c r="HJ167" i="23"/>
  <c r="HJ131" i="23"/>
  <c r="HJ132" i="23"/>
  <c r="HJ120" i="23"/>
  <c r="HJ146" i="23"/>
  <c r="HJ122" i="23"/>
  <c r="HJ179" i="23"/>
  <c r="HJ152" i="23"/>
  <c r="HJ116" i="23"/>
  <c r="HJ123" i="23"/>
  <c r="HJ117" i="23"/>
  <c r="HJ137" i="23"/>
  <c r="HJ129" i="23"/>
  <c r="HJ202" i="23"/>
  <c r="HJ169" i="23"/>
  <c r="HJ147" i="23"/>
  <c r="HJ136" i="23"/>
  <c r="HJ180" i="23"/>
  <c r="HJ125" i="23"/>
  <c r="HJ191" i="23"/>
  <c r="HJ158" i="23"/>
  <c r="HJ114" i="23"/>
  <c r="HJ113" i="23"/>
  <c r="HJ112" i="23"/>
  <c r="HJ111" i="23"/>
  <c r="HJ110" i="23"/>
  <c r="HJ109" i="23"/>
  <c r="HJ108" i="23"/>
  <c r="HJ106" i="23"/>
  <c r="HJ105" i="23"/>
  <c r="HJ107" i="23"/>
  <c r="HJ104" i="23"/>
  <c r="HJ102" i="23"/>
  <c r="HJ103" i="23"/>
  <c r="HJ101" i="23"/>
  <c r="HJ100" i="23"/>
  <c r="HJ99" i="23"/>
  <c r="HJ95" i="23"/>
  <c r="HJ97" i="23"/>
  <c r="HJ94" i="23"/>
  <c r="HJ96" i="23"/>
  <c r="HJ98" i="23"/>
  <c r="HJ91" i="23"/>
  <c r="HJ93" i="23"/>
  <c r="HJ90" i="23"/>
  <c r="HJ87" i="23"/>
  <c r="HJ92" i="23"/>
  <c r="HJ85" i="23"/>
  <c r="HJ83" i="23"/>
  <c r="HJ89" i="23"/>
  <c r="HJ84" i="23"/>
  <c r="HJ86" i="23"/>
  <c r="HJ77" i="23"/>
  <c r="HJ74" i="23"/>
  <c r="HJ88" i="23"/>
  <c r="HJ79" i="23"/>
  <c r="HJ73" i="23"/>
  <c r="HJ81" i="23"/>
  <c r="HJ76" i="23"/>
  <c r="HJ69" i="23"/>
  <c r="HJ78" i="23"/>
  <c r="HJ80" i="23"/>
  <c r="HJ71" i="23"/>
  <c r="HJ68" i="23"/>
  <c r="HJ67" i="23"/>
  <c r="HJ61" i="23"/>
  <c r="HJ62" i="23"/>
  <c r="HJ56" i="23"/>
  <c r="HJ55" i="23"/>
  <c r="HJ70" i="23"/>
  <c r="HJ65" i="23"/>
  <c r="HJ58" i="23"/>
  <c r="HJ50" i="23"/>
  <c r="HJ49" i="23"/>
  <c r="HJ47" i="23"/>
  <c r="HJ44" i="23"/>
  <c r="HJ59" i="23"/>
  <c r="HJ43" i="23"/>
  <c r="HJ53" i="23"/>
  <c r="HJ37" i="23"/>
  <c r="HJ66" i="23"/>
  <c r="HJ60" i="23"/>
  <c r="HJ46" i="23"/>
  <c r="HJ45" i="23"/>
  <c r="HJ32" i="23"/>
  <c r="HJ51" i="23"/>
  <c r="HJ48" i="23"/>
  <c r="HJ40" i="23"/>
  <c r="HJ39" i="23"/>
  <c r="HJ52" i="23"/>
  <c r="HJ38" i="23"/>
  <c r="HJ36" i="23"/>
  <c r="HJ75" i="23"/>
  <c r="HJ63" i="23"/>
  <c r="HJ72" i="23"/>
  <c r="HJ20" i="23"/>
  <c r="HJ27" i="23"/>
  <c r="HJ25" i="23"/>
  <c r="HJ64" i="23"/>
  <c r="HJ41" i="23"/>
  <c r="HJ34" i="23"/>
  <c r="HJ22" i="23"/>
  <c r="HJ57" i="23"/>
  <c r="HJ42" i="23"/>
  <c r="HJ31" i="23"/>
  <c r="HJ30" i="23"/>
  <c r="HJ21" i="23"/>
  <c r="HJ54" i="23"/>
  <c r="HJ15" i="23"/>
  <c r="HJ13" i="23"/>
  <c r="HJ5" i="23"/>
  <c r="HJ4" i="23"/>
  <c r="HJ82" i="23"/>
  <c r="HJ10" i="23"/>
  <c r="HJ18" i="23"/>
  <c r="HJ17" i="23"/>
  <c r="HJ7" i="23"/>
  <c r="HJ12" i="23"/>
  <c r="HJ26" i="23"/>
  <c r="HJ16" i="23"/>
  <c r="HJ14" i="23"/>
  <c r="HJ6" i="23"/>
  <c r="HJ33" i="23"/>
  <c r="HJ23" i="23"/>
  <c r="HJ11" i="23"/>
  <c r="HJ8" i="23"/>
  <c r="HK2" i="23"/>
  <c r="HJ29" i="23"/>
  <c r="HJ24" i="23"/>
  <c r="HJ9" i="23"/>
  <c r="HJ28" i="23"/>
  <c r="HJ35" i="23"/>
  <c r="HJ19" i="23"/>
  <c r="HK173" i="23" l="1"/>
  <c r="HK126" i="23"/>
  <c r="HK185" i="23"/>
  <c r="HK128" i="23"/>
  <c r="HK127" i="23"/>
  <c r="HK193" i="23"/>
  <c r="HK166" i="23"/>
  <c r="HK149" i="23"/>
  <c r="HK145" i="23"/>
  <c r="HK189" i="23"/>
  <c r="HK211" i="23"/>
  <c r="HK203" i="23"/>
  <c r="HK210" i="23"/>
  <c r="HK204" i="23"/>
  <c r="HK205" i="23"/>
  <c r="HK207" i="23"/>
  <c r="HK195" i="23"/>
  <c r="HK208" i="23"/>
  <c r="HK199" i="23"/>
  <c r="HK209" i="23"/>
  <c r="HK198" i="23"/>
  <c r="HK184" i="23"/>
  <c r="HK206" i="23"/>
  <c r="HK186" i="23"/>
  <c r="HK187" i="23"/>
  <c r="HK196" i="23"/>
  <c r="HK192" i="23"/>
  <c r="HK194" i="23"/>
  <c r="HK200" i="23"/>
  <c r="HK170" i="23"/>
  <c r="HK190" i="23"/>
  <c r="HK175" i="23"/>
  <c r="HK160" i="23"/>
  <c r="HK181" i="23"/>
  <c r="HK172" i="23"/>
  <c r="HK161" i="23"/>
  <c r="HK167" i="23"/>
  <c r="HK168" i="23"/>
  <c r="HK148" i="23"/>
  <c r="HK188" i="23"/>
  <c r="HK165" i="23"/>
  <c r="HK150" i="23"/>
  <c r="HK154" i="23"/>
  <c r="HK163" i="23"/>
  <c r="HK201" i="23"/>
  <c r="HK183" i="23"/>
  <c r="HK179" i="23"/>
  <c r="HK152" i="23"/>
  <c r="HK153" i="23"/>
  <c r="HK139" i="23"/>
  <c r="HK142" i="23"/>
  <c r="HK171" i="23"/>
  <c r="HK138" i="23"/>
  <c r="HK137" i="23"/>
  <c r="HK146" i="23"/>
  <c r="HK197" i="23"/>
  <c r="HK176" i="23"/>
  <c r="HK164" i="23"/>
  <c r="HK141" i="23"/>
  <c r="HK130" i="23"/>
  <c r="HK129" i="23"/>
  <c r="HK174" i="23"/>
  <c r="HK177" i="23"/>
  <c r="HK162" i="23"/>
  <c r="HK157" i="23"/>
  <c r="HK212" i="23"/>
  <c r="HK156" i="23"/>
  <c r="HK132" i="23"/>
  <c r="HK131" i="23"/>
  <c r="HK133" i="23"/>
  <c r="HK118" i="23"/>
  <c r="HK117" i="23"/>
  <c r="HK182" i="23"/>
  <c r="HK151" i="23"/>
  <c r="HK135" i="23"/>
  <c r="HK120" i="23"/>
  <c r="HK159" i="23"/>
  <c r="HK155" i="23"/>
  <c r="HK143" i="23"/>
  <c r="HK115" i="23"/>
  <c r="HK116" i="23"/>
  <c r="HK121" i="23"/>
  <c r="HK178" i="23"/>
  <c r="HK134" i="23"/>
  <c r="HK123" i="23"/>
  <c r="HK144" i="23"/>
  <c r="HK122" i="23"/>
  <c r="HK124" i="23"/>
  <c r="HK119" i="23"/>
  <c r="HK140" i="23"/>
  <c r="HK125" i="23"/>
  <c r="HK169" i="23"/>
  <c r="HK180" i="23"/>
  <c r="HK147" i="23"/>
  <c r="HK114" i="23"/>
  <c r="HK191" i="23"/>
  <c r="HK136" i="23"/>
  <c r="HK158" i="23"/>
  <c r="HK202" i="23"/>
  <c r="HK113" i="23"/>
  <c r="HK112" i="23"/>
  <c r="HK111" i="23"/>
  <c r="HK109" i="23"/>
  <c r="HK110" i="23"/>
  <c r="HK100" i="23"/>
  <c r="HK106" i="23"/>
  <c r="HK105" i="23"/>
  <c r="HK107" i="23"/>
  <c r="HK104" i="23"/>
  <c r="HK102" i="23"/>
  <c r="HK101" i="23"/>
  <c r="HK98" i="23"/>
  <c r="HK103" i="23"/>
  <c r="HK99" i="23"/>
  <c r="HK97" i="23"/>
  <c r="HK108" i="23"/>
  <c r="HK94" i="23"/>
  <c r="HK91" i="23"/>
  <c r="HK95" i="23"/>
  <c r="HK85" i="23"/>
  <c r="HK88" i="23"/>
  <c r="HK84" i="23"/>
  <c r="HK92" i="23"/>
  <c r="HK82" i="23"/>
  <c r="HK80" i="23"/>
  <c r="HK93" i="23"/>
  <c r="HK86" i="23"/>
  <c r="HK77" i="23"/>
  <c r="HK83" i="23"/>
  <c r="HK71" i="23"/>
  <c r="HK78" i="23"/>
  <c r="HK70" i="23"/>
  <c r="HK68" i="23"/>
  <c r="HK89" i="23"/>
  <c r="HK74" i="23"/>
  <c r="HK69" i="23"/>
  <c r="HK66" i="23"/>
  <c r="HK65" i="23"/>
  <c r="HK73" i="23"/>
  <c r="HK67" i="23"/>
  <c r="HK61" i="23"/>
  <c r="HK76" i="23"/>
  <c r="HK62" i="23"/>
  <c r="HK56" i="23"/>
  <c r="HK87" i="23"/>
  <c r="HK53" i="23"/>
  <c r="HK81" i="23"/>
  <c r="HK64" i="23"/>
  <c r="HK52" i="23"/>
  <c r="HK96" i="23"/>
  <c r="HK58" i="23"/>
  <c r="HK50" i="23"/>
  <c r="HK49" i="23"/>
  <c r="HK47" i="23"/>
  <c r="HK79" i="23"/>
  <c r="HK75" i="23"/>
  <c r="HK63" i="23"/>
  <c r="HK60" i="23"/>
  <c r="HK57" i="23"/>
  <c r="HK51" i="23"/>
  <c r="HK41" i="23"/>
  <c r="HK55" i="23"/>
  <c r="HK54" i="23"/>
  <c r="HK40" i="23"/>
  <c r="HK46" i="23"/>
  <c r="HK45" i="23"/>
  <c r="HK48" i="23"/>
  <c r="HK39" i="23"/>
  <c r="HK72" i="23"/>
  <c r="HK34" i="23"/>
  <c r="HK90" i="23"/>
  <c r="HK42" i="23"/>
  <c r="HK33" i="23"/>
  <c r="HK43" i="23"/>
  <c r="HK27" i="23"/>
  <c r="HK25" i="23"/>
  <c r="HK59" i="23"/>
  <c r="HK22" i="23"/>
  <c r="HK35" i="23"/>
  <c r="HK29" i="23"/>
  <c r="HK19" i="23"/>
  <c r="HK44" i="23"/>
  <c r="HK28" i="23"/>
  <c r="HK18" i="23"/>
  <c r="HK36" i="23"/>
  <c r="HK31" i="23"/>
  <c r="HK10" i="23"/>
  <c r="HK9" i="23"/>
  <c r="HK37" i="23"/>
  <c r="HK17" i="23"/>
  <c r="HK7" i="23"/>
  <c r="HK38" i="23"/>
  <c r="HK21" i="23"/>
  <c r="HK12" i="23"/>
  <c r="HK4" i="23"/>
  <c r="HK24" i="23"/>
  <c r="HK23" i="23"/>
  <c r="HK20" i="23"/>
  <c r="HK11" i="23"/>
  <c r="HK14" i="23"/>
  <c r="HK30" i="23"/>
  <c r="HK32" i="23"/>
  <c r="HK15" i="23"/>
  <c r="HK5" i="23"/>
  <c r="HK16" i="23"/>
  <c r="HK8" i="23"/>
  <c r="HL2" i="23"/>
  <c r="HK6" i="23"/>
  <c r="HK26" i="23"/>
  <c r="HK13" i="23"/>
  <c r="HL176" i="23" l="1"/>
  <c r="HL131" i="23"/>
  <c r="HL181" i="23"/>
  <c r="HL123" i="23"/>
  <c r="HL210" i="23"/>
  <c r="HL148" i="23"/>
  <c r="HL115" i="23"/>
  <c r="HL127" i="23"/>
  <c r="HL120" i="23"/>
  <c r="HL121" i="23"/>
  <c r="HL174" i="23"/>
  <c r="HL201" i="23"/>
  <c r="HL185" i="23"/>
  <c r="HL207" i="23"/>
  <c r="HL151" i="23"/>
  <c r="HL200" i="23"/>
  <c r="HL211" i="23"/>
  <c r="HL189" i="23"/>
  <c r="HL203" i="23"/>
  <c r="HL190" i="23"/>
  <c r="HL208" i="23"/>
  <c r="HL195" i="23"/>
  <c r="HL196" i="23"/>
  <c r="HL193" i="23"/>
  <c r="HL130" i="23"/>
  <c r="HL143" i="23"/>
  <c r="HL198" i="23"/>
  <c r="HL204" i="23"/>
  <c r="HL206" i="23"/>
  <c r="HL212" i="23"/>
  <c r="HL205" i="23"/>
  <c r="HL209" i="23"/>
  <c r="HL199" i="23"/>
  <c r="HL187" i="23"/>
  <c r="HL194" i="23"/>
  <c r="HL184" i="23"/>
  <c r="HL188" i="23"/>
  <c r="HL177" i="23"/>
  <c r="HL183" i="23"/>
  <c r="HL171" i="23"/>
  <c r="HL173" i="23"/>
  <c r="HL160" i="23"/>
  <c r="HL166" i="23"/>
  <c r="HL175" i="23"/>
  <c r="HL179" i="23"/>
  <c r="HL159" i="23"/>
  <c r="HL163" i="23"/>
  <c r="HL150" i="23"/>
  <c r="HL192" i="23"/>
  <c r="HL197" i="23"/>
  <c r="HL155" i="23"/>
  <c r="HL167" i="23"/>
  <c r="HL149" i="23"/>
  <c r="HL168" i="23"/>
  <c r="HL153" i="23"/>
  <c r="HL170" i="23"/>
  <c r="HL178" i="23"/>
  <c r="HL161" i="23"/>
  <c r="HL157" i="23"/>
  <c r="HL182" i="23"/>
  <c r="HL154" i="23"/>
  <c r="HL141" i="23"/>
  <c r="HL140" i="23"/>
  <c r="HL144" i="23"/>
  <c r="HL138" i="23"/>
  <c r="HL137" i="23"/>
  <c r="HL135" i="23"/>
  <c r="HL128" i="23"/>
  <c r="HL132" i="23"/>
  <c r="HL145" i="23"/>
  <c r="HL129" i="23"/>
  <c r="HL118" i="23"/>
  <c r="HL122" i="23"/>
  <c r="HL124" i="23"/>
  <c r="HL134" i="23"/>
  <c r="HL156" i="23"/>
  <c r="HL152" i="23"/>
  <c r="HL139" i="23"/>
  <c r="HL142" i="23"/>
  <c r="HL146" i="23"/>
  <c r="HL116" i="23"/>
  <c r="HL165" i="23"/>
  <c r="HL162" i="23"/>
  <c r="HL133" i="23"/>
  <c r="HL117" i="23"/>
  <c r="HL186" i="23"/>
  <c r="HL172" i="23"/>
  <c r="HL164" i="23"/>
  <c r="HL126" i="23"/>
  <c r="HL119" i="23"/>
  <c r="HL136" i="23"/>
  <c r="HL191" i="23"/>
  <c r="HL114" i="23"/>
  <c r="HL158" i="23"/>
  <c r="HL180" i="23"/>
  <c r="HL202" i="23"/>
  <c r="HL147" i="23"/>
  <c r="HL169" i="23"/>
  <c r="HL125" i="23"/>
  <c r="HL110" i="23"/>
  <c r="HL107" i="23"/>
  <c r="HL108" i="23"/>
  <c r="HL113" i="23"/>
  <c r="HL106" i="23"/>
  <c r="HL111" i="23"/>
  <c r="HL101" i="23"/>
  <c r="HL109" i="23"/>
  <c r="HL100" i="23"/>
  <c r="HL104" i="23"/>
  <c r="HL103" i="23"/>
  <c r="HL99" i="23"/>
  <c r="HL96" i="23"/>
  <c r="HL102" i="23"/>
  <c r="HL112" i="23"/>
  <c r="HL98" i="23"/>
  <c r="HL92" i="23"/>
  <c r="HL95" i="23"/>
  <c r="HL89" i="23"/>
  <c r="HL91" i="23"/>
  <c r="HL86" i="23"/>
  <c r="HL90" i="23"/>
  <c r="HL83" i="23"/>
  <c r="HL105" i="23"/>
  <c r="HL94" i="23"/>
  <c r="HL87" i="23"/>
  <c r="HL76" i="23"/>
  <c r="HL81" i="23"/>
  <c r="HL75" i="23"/>
  <c r="HL85" i="23"/>
  <c r="HL78" i="23"/>
  <c r="HL84" i="23"/>
  <c r="HL63" i="23"/>
  <c r="HL72" i="23"/>
  <c r="HL62" i="23"/>
  <c r="HL88" i="23"/>
  <c r="HL77" i="23"/>
  <c r="HL68" i="23"/>
  <c r="HL56" i="23"/>
  <c r="HL60" i="23"/>
  <c r="HL58" i="23"/>
  <c r="HL50" i="23"/>
  <c r="HL97" i="23"/>
  <c r="HL79" i="23"/>
  <c r="HL70" i="23"/>
  <c r="HL65" i="23"/>
  <c r="HL59" i="23"/>
  <c r="HL57" i="23"/>
  <c r="HL80" i="23"/>
  <c r="HL73" i="23"/>
  <c r="HL71" i="23"/>
  <c r="HL67" i="23"/>
  <c r="HL51" i="23"/>
  <c r="HL52" i="23"/>
  <c r="HL48" i="23"/>
  <c r="HL46" i="23"/>
  <c r="HL66" i="23"/>
  <c r="HL64" i="23"/>
  <c r="HL45" i="23"/>
  <c r="HL74" i="23"/>
  <c r="HL55" i="23"/>
  <c r="HL39" i="23"/>
  <c r="HL61" i="23"/>
  <c r="HL40" i="23"/>
  <c r="HL34" i="23"/>
  <c r="HL54" i="23"/>
  <c r="HL31" i="23"/>
  <c r="HL69" i="23"/>
  <c r="HL47" i="23"/>
  <c r="HL43" i="23"/>
  <c r="HL30" i="23"/>
  <c r="HL93" i="23"/>
  <c r="HL22" i="23"/>
  <c r="HL41" i="23"/>
  <c r="HL35" i="23"/>
  <c r="HL29" i="23"/>
  <c r="HL19" i="23"/>
  <c r="HL49" i="23"/>
  <c r="HL36" i="23"/>
  <c r="HL33" i="23"/>
  <c r="HL26" i="23"/>
  <c r="HL24" i="23"/>
  <c r="HL23" i="23"/>
  <c r="HL82" i="23"/>
  <c r="HL37" i="23"/>
  <c r="HL25" i="23"/>
  <c r="HL17" i="23"/>
  <c r="HL7" i="23"/>
  <c r="HL32" i="23"/>
  <c r="HL16" i="23"/>
  <c r="HL6" i="23"/>
  <c r="HL53" i="23"/>
  <c r="HL42" i="23"/>
  <c r="HL38" i="23"/>
  <c r="HL27" i="23"/>
  <c r="HL21" i="23"/>
  <c r="HL18" i="23"/>
  <c r="HL12" i="23"/>
  <c r="HL4" i="23"/>
  <c r="HL14" i="23"/>
  <c r="HL9" i="23"/>
  <c r="HL44" i="23"/>
  <c r="HL8" i="23"/>
  <c r="HM2" i="23"/>
  <c r="HL28" i="23"/>
  <c r="HL15" i="23"/>
  <c r="HL13" i="23"/>
  <c r="HL5" i="23"/>
  <c r="HL10" i="23"/>
  <c r="HL11" i="23"/>
  <c r="HL20" i="23"/>
  <c r="HM194" i="23" l="1"/>
  <c r="HM143" i="23"/>
  <c r="HM206" i="23"/>
  <c r="HM203" i="23"/>
  <c r="HM151" i="23"/>
  <c r="HM170" i="23"/>
  <c r="HM149" i="23"/>
  <c r="HM115" i="23"/>
  <c r="HM138" i="23"/>
  <c r="HM134" i="23"/>
  <c r="HM159" i="23"/>
  <c r="HM200" i="23"/>
  <c r="HM209" i="23"/>
  <c r="HM124" i="23"/>
  <c r="HM135" i="23"/>
  <c r="HM197" i="23"/>
  <c r="HM131" i="23"/>
  <c r="HM146" i="23"/>
  <c r="HM173" i="23"/>
  <c r="HM205" i="23"/>
  <c r="HM129" i="23"/>
  <c r="HM201" i="23"/>
  <c r="HM212" i="23"/>
  <c r="HM211" i="23"/>
  <c r="HM164" i="23"/>
  <c r="HM207" i="23"/>
  <c r="HM195" i="23"/>
  <c r="HM204" i="23"/>
  <c r="HM210" i="23"/>
  <c r="HM196" i="23"/>
  <c r="HM192" i="23"/>
  <c r="HM199" i="23"/>
  <c r="HM193" i="23"/>
  <c r="HM181" i="23"/>
  <c r="HM188" i="23"/>
  <c r="HM189" i="23"/>
  <c r="HM208" i="23"/>
  <c r="HM198" i="23"/>
  <c r="HM190" i="23"/>
  <c r="HM186" i="23"/>
  <c r="HM171" i="23"/>
  <c r="HM162" i="23"/>
  <c r="HM161" i="23"/>
  <c r="HM165" i="23"/>
  <c r="HM184" i="23"/>
  <c r="HM168" i="23"/>
  <c r="HM148" i="23"/>
  <c r="HM185" i="23"/>
  <c r="HM182" i="23"/>
  <c r="HM172" i="23"/>
  <c r="HM175" i="23"/>
  <c r="HM150" i="23"/>
  <c r="HM187" i="23"/>
  <c r="HM178" i="23"/>
  <c r="HM167" i="23"/>
  <c r="HM163" i="23"/>
  <c r="HM157" i="23"/>
  <c r="HM137" i="23"/>
  <c r="HM183" i="23"/>
  <c r="HM156" i="23"/>
  <c r="HM153" i="23"/>
  <c r="HM141" i="23"/>
  <c r="HM126" i="23"/>
  <c r="HM128" i="23"/>
  <c r="HM179" i="23"/>
  <c r="HM152" i="23"/>
  <c r="HM145" i="23"/>
  <c r="HM174" i="23"/>
  <c r="HM127" i="23"/>
  <c r="HM139" i="23"/>
  <c r="HM177" i="23"/>
  <c r="HM133" i="23"/>
  <c r="HM123" i="23"/>
  <c r="HM166" i="23"/>
  <c r="HM116" i="23"/>
  <c r="HM122" i="23"/>
  <c r="HM120" i="23"/>
  <c r="HM130" i="23"/>
  <c r="HM176" i="23"/>
  <c r="HM132" i="23"/>
  <c r="HM121" i="23"/>
  <c r="HM142" i="23"/>
  <c r="HM160" i="23"/>
  <c r="HM118" i="23"/>
  <c r="HM140" i="23"/>
  <c r="HM117" i="23"/>
  <c r="HM155" i="23"/>
  <c r="HM154" i="23"/>
  <c r="HM144" i="23"/>
  <c r="HM119" i="23"/>
  <c r="HM202" i="23"/>
  <c r="HM191" i="23"/>
  <c r="HM114" i="23"/>
  <c r="HM169" i="23"/>
  <c r="HM158" i="23"/>
  <c r="HM180" i="23"/>
  <c r="HM147" i="23"/>
  <c r="HM136" i="23"/>
  <c r="HM125" i="23"/>
  <c r="HM112" i="23"/>
  <c r="HM111" i="23"/>
  <c r="HM110" i="23"/>
  <c r="HM108" i="23"/>
  <c r="HM107" i="23"/>
  <c r="HM105" i="23"/>
  <c r="HM113" i="23"/>
  <c r="HM109" i="23"/>
  <c r="HM104" i="23"/>
  <c r="HM102" i="23"/>
  <c r="HM103" i="23"/>
  <c r="HM101" i="23"/>
  <c r="HM99" i="23"/>
  <c r="HM98" i="23"/>
  <c r="HM106" i="23"/>
  <c r="HM100" i="23"/>
  <c r="HM97" i="23"/>
  <c r="HM94" i="23"/>
  <c r="HM93" i="23"/>
  <c r="HM90" i="23"/>
  <c r="HM89" i="23"/>
  <c r="HM95" i="23"/>
  <c r="HM92" i="23"/>
  <c r="HM87" i="23"/>
  <c r="HM86" i="23"/>
  <c r="HM91" i="23"/>
  <c r="HM88" i="23"/>
  <c r="HM84" i="23"/>
  <c r="HM96" i="23"/>
  <c r="HM76" i="23"/>
  <c r="HM79" i="23"/>
  <c r="HM73" i="23"/>
  <c r="HM82" i="23"/>
  <c r="HM80" i="23"/>
  <c r="HM72" i="23"/>
  <c r="HM85" i="23"/>
  <c r="HM78" i="23"/>
  <c r="HM75" i="23"/>
  <c r="HM70" i="23"/>
  <c r="HM67" i="23"/>
  <c r="HM62" i="23"/>
  <c r="HM60" i="23"/>
  <c r="HM58" i="23"/>
  <c r="HM74" i="23"/>
  <c r="HM63" i="23"/>
  <c r="HM55" i="23"/>
  <c r="HM69" i="23"/>
  <c r="HM66" i="23"/>
  <c r="HM54" i="23"/>
  <c r="HM83" i="23"/>
  <c r="HM65" i="23"/>
  <c r="HM51" i="23"/>
  <c r="HM77" i="23"/>
  <c r="HM57" i="23"/>
  <c r="HM52" i="23"/>
  <c r="HM48" i="23"/>
  <c r="HM46" i="23"/>
  <c r="HM53" i="23"/>
  <c r="HM43" i="23"/>
  <c r="HM42" i="23"/>
  <c r="HM61" i="23"/>
  <c r="HM40" i="23"/>
  <c r="HM56" i="23"/>
  <c r="HM31" i="23"/>
  <c r="HM68" i="23"/>
  <c r="HM41" i="23"/>
  <c r="HM38" i="23"/>
  <c r="HM36" i="23"/>
  <c r="HM71" i="23"/>
  <c r="HM64" i="23"/>
  <c r="HM50" i="23"/>
  <c r="HM49" i="23"/>
  <c r="HM44" i="23"/>
  <c r="HM37" i="23"/>
  <c r="HM35" i="23"/>
  <c r="HM81" i="23"/>
  <c r="HM59" i="23"/>
  <c r="HM45" i="23"/>
  <c r="HM39" i="23"/>
  <c r="HM29" i="23"/>
  <c r="HM19" i="23"/>
  <c r="HM47" i="23"/>
  <c r="HM34" i="23"/>
  <c r="HM33" i="23"/>
  <c r="HM26" i="23"/>
  <c r="HM24" i="23"/>
  <c r="HM32" i="23"/>
  <c r="HM21" i="23"/>
  <c r="HM20" i="23"/>
  <c r="HM27" i="23"/>
  <c r="HM18" i="23"/>
  <c r="HM12" i="23"/>
  <c r="HM4" i="23"/>
  <c r="HM9" i="23"/>
  <c r="HM11" i="23"/>
  <c r="HM16" i="23"/>
  <c r="HM14" i="23"/>
  <c r="HM6" i="23"/>
  <c r="HM30" i="23"/>
  <c r="HM28" i="23"/>
  <c r="HM15" i="23"/>
  <c r="HM13" i="23"/>
  <c r="HM5" i="23"/>
  <c r="HM22" i="23"/>
  <c r="HM23" i="23"/>
  <c r="HM10" i="23"/>
  <c r="HN2" i="23"/>
  <c r="HM17" i="23"/>
  <c r="HM8" i="23"/>
  <c r="HM25" i="23"/>
  <c r="HM7" i="23"/>
  <c r="HN210" i="23" l="1"/>
  <c r="HN200" i="23"/>
  <c r="HN196" i="23"/>
  <c r="HN189" i="23"/>
  <c r="HN164" i="23"/>
  <c r="HN174" i="23"/>
  <c r="HN194" i="23"/>
  <c r="HN117" i="23"/>
  <c r="HN146" i="23"/>
  <c r="HN179" i="23"/>
  <c r="HN144" i="23"/>
  <c r="HN124" i="23"/>
  <c r="HN149" i="23"/>
  <c r="HN170" i="23"/>
  <c r="HN157" i="23"/>
  <c r="HN193" i="23"/>
  <c r="HN198" i="23"/>
  <c r="HN127" i="23"/>
  <c r="HN115" i="23"/>
  <c r="HN129" i="23"/>
  <c r="HN166" i="23"/>
  <c r="HN138" i="23"/>
  <c r="HN182" i="23"/>
  <c r="HN178" i="23"/>
  <c r="HN201" i="23"/>
  <c r="HN204" i="23"/>
  <c r="HN209" i="23"/>
  <c r="HN203" i="23"/>
  <c r="HN192" i="23"/>
  <c r="HN212" i="23"/>
  <c r="HN207" i="23"/>
  <c r="HN208" i="23"/>
  <c r="HN184" i="23"/>
  <c r="HN176" i="23"/>
  <c r="HN211" i="23"/>
  <c r="HN195" i="23"/>
  <c r="HN197" i="23"/>
  <c r="HN186" i="23"/>
  <c r="HN199" i="23"/>
  <c r="HN206" i="23"/>
  <c r="HN205" i="23"/>
  <c r="HN172" i="23"/>
  <c r="HN190" i="23"/>
  <c r="HN171" i="23"/>
  <c r="HN160" i="23"/>
  <c r="HN161" i="23"/>
  <c r="HN163" i="23"/>
  <c r="HN183" i="23"/>
  <c r="HN168" i="23"/>
  <c r="HN173" i="23"/>
  <c r="HN165" i="23"/>
  <c r="HN150" i="23"/>
  <c r="HN167" i="23"/>
  <c r="HN148" i="23"/>
  <c r="HN185" i="23"/>
  <c r="HN142" i="23"/>
  <c r="HN181" i="23"/>
  <c r="HN137" i="23"/>
  <c r="HN140" i="23"/>
  <c r="HN130" i="23"/>
  <c r="HN153" i="23"/>
  <c r="HN152" i="23"/>
  <c r="HN187" i="23"/>
  <c r="HN155" i="23"/>
  <c r="HN126" i="23"/>
  <c r="HN132" i="23"/>
  <c r="HN175" i="23"/>
  <c r="HN131" i="23"/>
  <c r="HN116" i="23"/>
  <c r="HN122" i="23"/>
  <c r="HN188" i="23"/>
  <c r="HN162" i="23"/>
  <c r="HN135" i="23"/>
  <c r="HN121" i="23"/>
  <c r="HN154" i="23"/>
  <c r="HN119" i="23"/>
  <c r="HN134" i="23"/>
  <c r="HN156" i="23"/>
  <c r="HN141" i="23"/>
  <c r="HN145" i="23"/>
  <c r="HN177" i="23"/>
  <c r="HN120" i="23"/>
  <c r="HN139" i="23"/>
  <c r="HN151" i="23"/>
  <c r="HN133" i="23"/>
  <c r="HN159" i="23"/>
  <c r="HN123" i="23"/>
  <c r="HN118" i="23"/>
  <c r="HN128" i="23"/>
  <c r="HN143" i="23"/>
  <c r="HN191" i="23"/>
  <c r="HN169" i="23"/>
  <c r="HN158" i="23"/>
  <c r="HN136" i="23"/>
  <c r="HN180" i="23"/>
  <c r="HN114" i="23"/>
  <c r="HN202" i="23"/>
  <c r="HN147" i="23"/>
  <c r="HN125" i="23"/>
  <c r="HN113" i="23"/>
  <c r="HN109" i="23"/>
  <c r="HN108" i="23"/>
  <c r="HN111" i="23"/>
  <c r="HN110" i="23"/>
  <c r="HN106" i="23"/>
  <c r="HN105" i="23"/>
  <c r="HN112" i="23"/>
  <c r="HN107" i="23"/>
  <c r="HN103" i="23"/>
  <c r="HN101" i="23"/>
  <c r="HN100" i="23"/>
  <c r="HN104" i="23"/>
  <c r="HN102" i="23"/>
  <c r="HN98" i="23"/>
  <c r="HN93" i="23"/>
  <c r="HN96" i="23"/>
  <c r="HN95" i="23"/>
  <c r="HN92" i="23"/>
  <c r="HN88" i="23"/>
  <c r="HN99" i="23"/>
  <c r="HN97" i="23"/>
  <c r="HN91" i="23"/>
  <c r="HN90" i="23"/>
  <c r="HN83" i="23"/>
  <c r="HN86" i="23"/>
  <c r="HN87" i="23"/>
  <c r="HN82" i="23"/>
  <c r="HN80" i="23"/>
  <c r="HN94" i="23"/>
  <c r="HN81" i="23"/>
  <c r="HN79" i="23"/>
  <c r="HN76" i="23"/>
  <c r="HN85" i="23"/>
  <c r="HN78" i="23"/>
  <c r="HN70" i="23"/>
  <c r="HN77" i="23"/>
  <c r="HN84" i="23"/>
  <c r="HN75" i="23"/>
  <c r="HN71" i="23"/>
  <c r="HN68" i="23"/>
  <c r="HN65" i="23"/>
  <c r="HN74" i="23"/>
  <c r="HN73" i="23"/>
  <c r="HN69" i="23"/>
  <c r="HN64" i="23"/>
  <c r="HN60" i="23"/>
  <c r="HN58" i="23"/>
  <c r="HN63" i="23"/>
  <c r="HN55" i="23"/>
  <c r="HN72" i="23"/>
  <c r="HN52" i="23"/>
  <c r="HN61" i="23"/>
  <c r="HN51" i="23"/>
  <c r="HN89" i="23"/>
  <c r="HN67" i="23"/>
  <c r="HN57" i="23"/>
  <c r="HN48" i="23"/>
  <c r="HN46" i="23"/>
  <c r="HN53" i="23"/>
  <c r="HN59" i="23"/>
  <c r="HN56" i="23"/>
  <c r="HN49" i="23"/>
  <c r="HN47" i="23"/>
  <c r="HN66" i="23"/>
  <c r="HN54" i="23"/>
  <c r="HN41" i="23"/>
  <c r="HN38" i="23"/>
  <c r="HN36" i="23"/>
  <c r="HN33" i="23"/>
  <c r="HN32" i="23"/>
  <c r="HN50" i="23"/>
  <c r="HN62" i="23"/>
  <c r="HN40" i="23"/>
  <c r="HN35" i="23"/>
  <c r="HN34" i="23"/>
  <c r="HN26" i="23"/>
  <c r="HN24" i="23"/>
  <c r="HN21" i="23"/>
  <c r="HN30" i="23"/>
  <c r="HN28" i="23"/>
  <c r="HN18" i="23"/>
  <c r="HN37" i="23"/>
  <c r="HN27" i="23"/>
  <c r="HN25" i="23"/>
  <c r="HN42" i="23"/>
  <c r="HN39" i="23"/>
  <c r="HN9" i="23"/>
  <c r="HN20" i="23"/>
  <c r="HN16" i="23"/>
  <c r="HN14" i="23"/>
  <c r="HN6" i="23"/>
  <c r="HN8" i="23"/>
  <c r="HN44" i="23"/>
  <c r="HN43" i="23"/>
  <c r="HN11" i="23"/>
  <c r="HN29" i="23"/>
  <c r="HN23" i="23"/>
  <c r="HO2" i="23"/>
  <c r="HN45" i="23"/>
  <c r="HN22" i="23"/>
  <c r="HN10" i="23"/>
  <c r="HN19" i="23"/>
  <c r="HN17" i="23"/>
  <c r="HN15" i="23"/>
  <c r="HN12" i="23"/>
  <c r="HN5" i="23"/>
  <c r="HN4" i="23"/>
  <c r="HN13" i="23"/>
  <c r="HN7" i="23"/>
  <c r="HN31" i="23"/>
  <c r="HO176" i="23" l="1"/>
  <c r="HO152" i="23"/>
  <c r="HO122" i="23"/>
  <c r="HO144" i="23"/>
  <c r="HO115" i="23"/>
  <c r="HO121" i="23"/>
  <c r="HO123" i="23"/>
  <c r="HO131" i="23"/>
  <c r="HO127" i="23"/>
  <c r="HO132" i="23"/>
  <c r="HO134" i="23"/>
  <c r="HO149" i="23"/>
  <c r="HO203" i="23"/>
  <c r="HO200" i="23"/>
  <c r="HO211" i="23"/>
  <c r="HO210" i="23"/>
  <c r="HO205" i="23"/>
  <c r="HO164" i="23"/>
  <c r="HO182" i="23"/>
  <c r="HO208" i="23"/>
  <c r="HO207" i="23"/>
  <c r="HO204" i="23"/>
  <c r="HO206" i="23"/>
  <c r="HO192" i="23"/>
  <c r="HO195" i="23"/>
  <c r="HO173" i="23"/>
  <c r="HO193" i="23"/>
  <c r="HO189" i="23"/>
  <c r="HO209" i="23"/>
  <c r="HO201" i="23"/>
  <c r="HO196" i="23"/>
  <c r="HO198" i="23"/>
  <c r="HO184" i="23"/>
  <c r="HO186" i="23"/>
  <c r="HO185" i="23"/>
  <c r="HO212" i="23"/>
  <c r="HO172" i="23"/>
  <c r="HO175" i="23"/>
  <c r="HO181" i="23"/>
  <c r="HO187" i="23"/>
  <c r="HO188" i="23"/>
  <c r="HO174" i="23"/>
  <c r="HO199" i="23"/>
  <c r="HO170" i="23"/>
  <c r="HO165" i="23"/>
  <c r="HO156" i="23"/>
  <c r="HO190" i="23"/>
  <c r="HO167" i="23"/>
  <c r="HO153" i="23"/>
  <c r="HO155" i="23"/>
  <c r="HO171" i="23"/>
  <c r="HO160" i="23"/>
  <c r="HO168" i="23"/>
  <c r="HO154" i="23"/>
  <c r="HO142" i="23"/>
  <c r="HO157" i="23"/>
  <c r="HO141" i="23"/>
  <c r="HO140" i="23"/>
  <c r="HO143" i="23"/>
  <c r="HO146" i="23"/>
  <c r="HO177" i="23"/>
  <c r="HO194" i="23"/>
  <c r="HO162" i="23"/>
  <c r="HO163" i="23"/>
  <c r="HO166" i="23"/>
  <c r="HO145" i="23"/>
  <c r="HO137" i="23"/>
  <c r="HO130" i="23"/>
  <c r="HO117" i="23"/>
  <c r="HO124" i="23"/>
  <c r="HO150" i="23"/>
  <c r="HO139" i="23"/>
  <c r="HO138" i="23"/>
  <c r="HO183" i="23"/>
  <c r="HO129" i="23"/>
  <c r="HO133" i="23"/>
  <c r="HO120" i="23"/>
  <c r="HO197" i="23"/>
  <c r="HO179" i="23"/>
  <c r="HO178" i="23"/>
  <c r="HO161" i="23"/>
  <c r="HO159" i="23"/>
  <c r="HO128" i="23"/>
  <c r="HO119" i="23"/>
  <c r="HO116" i="23"/>
  <c r="HO135" i="23"/>
  <c r="HO118" i="23"/>
  <c r="HO148" i="23"/>
  <c r="HO151" i="23"/>
  <c r="HO126" i="23"/>
  <c r="HO191" i="23"/>
  <c r="HO180" i="23"/>
  <c r="HO147" i="23"/>
  <c r="HO202" i="23"/>
  <c r="HO136" i="23"/>
  <c r="HO114" i="23"/>
  <c r="HO158" i="23"/>
  <c r="HO169" i="23"/>
  <c r="HO125" i="23"/>
  <c r="HO113" i="23"/>
  <c r="HO110" i="23"/>
  <c r="HO112" i="23"/>
  <c r="HO109" i="23"/>
  <c r="HO106" i="23"/>
  <c r="HO111" i="23"/>
  <c r="HO107" i="23"/>
  <c r="HO104" i="23"/>
  <c r="HO102" i="23"/>
  <c r="HO103" i="23"/>
  <c r="HO98" i="23"/>
  <c r="HO96" i="23"/>
  <c r="HO105" i="23"/>
  <c r="HO95" i="23"/>
  <c r="HO108" i="23"/>
  <c r="HO94" i="23"/>
  <c r="HO97" i="23"/>
  <c r="HO91" i="23"/>
  <c r="HO92" i="23"/>
  <c r="HO93" i="23"/>
  <c r="HO86" i="23"/>
  <c r="HO100" i="23"/>
  <c r="HO88" i="23"/>
  <c r="HO87" i="23"/>
  <c r="HO99" i="23"/>
  <c r="HO89" i="23"/>
  <c r="HO85" i="23"/>
  <c r="HO79" i="23"/>
  <c r="HO78" i="23"/>
  <c r="HO90" i="23"/>
  <c r="HO75" i="23"/>
  <c r="HO84" i="23"/>
  <c r="HO74" i="23"/>
  <c r="HO71" i="23"/>
  <c r="HO70" i="23"/>
  <c r="HO68" i="23"/>
  <c r="HO101" i="23"/>
  <c r="HO82" i="23"/>
  <c r="HO77" i="23"/>
  <c r="HO62" i="23"/>
  <c r="HO81" i="23"/>
  <c r="HO76" i="23"/>
  <c r="HO63" i="23"/>
  <c r="HO72" i="23"/>
  <c r="HO64" i="23"/>
  <c r="HO59" i="23"/>
  <c r="HO57" i="23"/>
  <c r="HO67" i="23"/>
  <c r="HO56" i="23"/>
  <c r="HO53" i="23"/>
  <c r="HO52" i="23"/>
  <c r="HO60" i="23"/>
  <c r="HO54" i="23"/>
  <c r="HO45" i="23"/>
  <c r="HO69" i="23"/>
  <c r="HO61" i="23"/>
  <c r="HO50" i="23"/>
  <c r="HO44" i="23"/>
  <c r="HO48" i="23"/>
  <c r="HO41" i="23"/>
  <c r="HO38" i="23"/>
  <c r="HO36" i="23"/>
  <c r="HO73" i="23"/>
  <c r="HO51" i="23"/>
  <c r="HO33" i="23"/>
  <c r="HO42" i="23"/>
  <c r="HO30" i="23"/>
  <c r="HO58" i="23"/>
  <c r="HO39" i="23"/>
  <c r="HO83" i="23"/>
  <c r="HO80" i="23"/>
  <c r="HO47" i="23"/>
  <c r="HO46" i="23"/>
  <c r="HO21" i="23"/>
  <c r="HO66" i="23"/>
  <c r="HO65" i="23"/>
  <c r="HO49" i="23"/>
  <c r="HO32" i="23"/>
  <c r="HO28" i="23"/>
  <c r="HO18" i="23"/>
  <c r="HO31" i="23"/>
  <c r="HO23" i="23"/>
  <c r="HO22" i="23"/>
  <c r="HO55" i="23"/>
  <c r="HO34" i="23"/>
  <c r="HO16" i="23"/>
  <c r="HO14" i="23"/>
  <c r="HO6" i="23"/>
  <c r="HO35" i="23"/>
  <c r="HO43" i="23"/>
  <c r="HO11" i="23"/>
  <c r="HO13" i="23"/>
  <c r="HO29" i="23"/>
  <c r="HO24" i="23"/>
  <c r="HO20" i="23"/>
  <c r="HO8" i="23"/>
  <c r="HP2" i="23"/>
  <c r="HO26" i="23"/>
  <c r="HO15" i="23"/>
  <c r="HO5" i="23"/>
  <c r="HO19" i="23"/>
  <c r="HO17" i="23"/>
  <c r="HO7" i="23"/>
  <c r="HO25" i="23"/>
  <c r="HO12" i="23"/>
  <c r="HO37" i="23"/>
  <c r="HO27" i="23"/>
  <c r="HO4" i="23"/>
  <c r="HO10" i="23"/>
  <c r="HO9" i="23"/>
  <c r="HO40" i="23"/>
  <c r="HP131" i="23" l="1"/>
  <c r="HP165" i="23"/>
  <c r="HP179" i="23"/>
  <c r="HP117" i="23"/>
  <c r="HP128" i="23"/>
  <c r="HP164" i="23"/>
  <c r="HP122" i="23"/>
  <c r="HP152" i="23"/>
  <c r="HP132" i="23"/>
  <c r="HP129" i="23"/>
  <c r="HP139" i="23"/>
  <c r="HP201" i="23"/>
  <c r="HP198" i="23"/>
  <c r="HP204" i="23"/>
  <c r="HP211" i="23"/>
  <c r="HP145" i="23"/>
  <c r="HP212" i="23"/>
  <c r="HP210" i="23"/>
  <c r="HP203" i="23"/>
  <c r="HP209" i="23"/>
  <c r="HP205" i="23"/>
  <c r="HP207" i="23"/>
  <c r="HP200" i="23"/>
  <c r="HP195" i="23"/>
  <c r="HP194" i="23"/>
  <c r="HP196" i="23"/>
  <c r="HP197" i="23"/>
  <c r="HP178" i="23"/>
  <c r="HP193" i="23"/>
  <c r="HP192" i="23"/>
  <c r="HP186" i="23"/>
  <c r="HP185" i="23"/>
  <c r="HP181" i="23"/>
  <c r="HP187" i="23"/>
  <c r="HP189" i="23"/>
  <c r="HP166" i="23"/>
  <c r="HP208" i="23"/>
  <c r="HP206" i="23"/>
  <c r="HP182" i="23"/>
  <c r="HP174" i="23"/>
  <c r="HP176" i="23"/>
  <c r="HP160" i="23"/>
  <c r="HP154" i="23"/>
  <c r="HP173" i="23"/>
  <c r="HP168" i="23"/>
  <c r="HP184" i="23"/>
  <c r="HP177" i="23"/>
  <c r="HP163" i="23"/>
  <c r="HP161" i="23"/>
  <c r="HP151" i="23"/>
  <c r="HP188" i="23"/>
  <c r="HP157" i="23"/>
  <c r="HP170" i="23"/>
  <c r="HP162" i="23"/>
  <c r="HP159" i="23"/>
  <c r="HP150" i="23"/>
  <c r="HP155" i="23"/>
  <c r="HP140" i="23"/>
  <c r="HP142" i="23"/>
  <c r="HP190" i="23"/>
  <c r="HP156" i="23"/>
  <c r="HP135" i="23"/>
  <c r="HP146" i="23"/>
  <c r="HP148" i="23"/>
  <c r="HP149" i="23"/>
  <c r="HP153" i="23"/>
  <c r="HP143" i="23"/>
  <c r="HP130" i="23"/>
  <c r="HP199" i="23"/>
  <c r="HP175" i="23"/>
  <c r="HP134" i="23"/>
  <c r="HP116" i="23"/>
  <c r="HP123" i="23"/>
  <c r="HP167" i="23"/>
  <c r="HP137" i="23"/>
  <c r="HP138" i="23"/>
  <c r="HP144" i="23"/>
  <c r="HP118" i="23"/>
  <c r="HP119" i="23"/>
  <c r="HP183" i="23"/>
  <c r="HP141" i="23"/>
  <c r="HP124" i="23"/>
  <c r="HP171" i="23"/>
  <c r="HP126" i="23"/>
  <c r="HP133" i="23"/>
  <c r="HP115" i="23"/>
  <c r="HP172" i="23"/>
  <c r="HP121" i="23"/>
  <c r="HP120" i="23"/>
  <c r="HP127" i="23"/>
  <c r="HP136" i="23"/>
  <c r="HP191" i="23"/>
  <c r="HP169" i="23"/>
  <c r="HP147" i="23"/>
  <c r="HP180" i="23"/>
  <c r="HP125" i="23"/>
  <c r="HP202" i="23"/>
  <c r="HP158" i="23"/>
  <c r="HP114" i="23"/>
  <c r="HP111" i="23"/>
  <c r="HP107" i="23"/>
  <c r="HP113" i="23"/>
  <c r="HP110" i="23"/>
  <c r="HP112" i="23"/>
  <c r="HP109" i="23"/>
  <c r="HP106" i="23"/>
  <c r="HP103" i="23"/>
  <c r="HP101" i="23"/>
  <c r="HP108" i="23"/>
  <c r="HP98" i="23"/>
  <c r="HP105" i="23"/>
  <c r="HP97" i="23"/>
  <c r="HP104" i="23"/>
  <c r="HP99" i="23"/>
  <c r="HP93" i="23"/>
  <c r="HP92" i="23"/>
  <c r="HP94" i="23"/>
  <c r="HP95" i="23"/>
  <c r="HP89" i="23"/>
  <c r="HP88" i="23"/>
  <c r="HP86" i="23"/>
  <c r="HP96" i="23"/>
  <c r="HP85" i="23"/>
  <c r="HP100" i="23"/>
  <c r="HP87" i="23"/>
  <c r="HP102" i="23"/>
  <c r="HP83" i="23"/>
  <c r="HP79" i="23"/>
  <c r="HP78" i="23"/>
  <c r="HP90" i="23"/>
  <c r="HP75" i="23"/>
  <c r="HP81" i="23"/>
  <c r="HP72" i="23"/>
  <c r="HP71" i="23"/>
  <c r="HP69" i="23"/>
  <c r="HP84" i="23"/>
  <c r="HP70" i="23"/>
  <c r="HP68" i="23"/>
  <c r="HP82" i="23"/>
  <c r="HP77" i="23"/>
  <c r="HP80" i="23"/>
  <c r="HP67" i="23"/>
  <c r="HP76" i="23"/>
  <c r="HP66" i="23"/>
  <c r="HP91" i="23"/>
  <c r="HP74" i="23"/>
  <c r="HP64" i="23"/>
  <c r="HP59" i="23"/>
  <c r="HP57" i="23"/>
  <c r="HP65" i="23"/>
  <c r="HP54" i="23"/>
  <c r="HP73" i="23"/>
  <c r="HP53" i="23"/>
  <c r="HP60" i="23"/>
  <c r="HP63" i="23"/>
  <c r="HP56" i="23"/>
  <c r="HP55" i="23"/>
  <c r="HP42" i="23"/>
  <c r="HP62" i="23"/>
  <c r="HP41" i="23"/>
  <c r="HP51" i="23"/>
  <c r="HP30" i="23"/>
  <c r="HP47" i="23"/>
  <c r="HP43" i="23"/>
  <c r="HP37" i="23"/>
  <c r="HP35" i="23"/>
  <c r="HP45" i="23"/>
  <c r="HP40" i="23"/>
  <c r="HP34" i="23"/>
  <c r="HP61" i="23"/>
  <c r="HP58" i="23"/>
  <c r="HP49" i="23"/>
  <c r="HP33" i="23"/>
  <c r="HP32" i="23"/>
  <c r="HP28" i="23"/>
  <c r="HP18" i="23"/>
  <c r="HP48" i="23"/>
  <c r="HP36" i="23"/>
  <c r="HP31" i="23"/>
  <c r="HP23" i="23"/>
  <c r="HP44" i="23"/>
  <c r="HP38" i="23"/>
  <c r="HP20" i="23"/>
  <c r="HP29" i="23"/>
  <c r="HP19" i="23"/>
  <c r="HP21" i="23"/>
  <c r="HP11" i="23"/>
  <c r="HP10" i="23"/>
  <c r="HP46" i="23"/>
  <c r="HP24" i="23"/>
  <c r="HP8" i="23"/>
  <c r="HQ2" i="23"/>
  <c r="HP26" i="23"/>
  <c r="HP15" i="23"/>
  <c r="HP13" i="23"/>
  <c r="HP5" i="23"/>
  <c r="HP25" i="23"/>
  <c r="HP12" i="23"/>
  <c r="HP4" i="23"/>
  <c r="HP27" i="23"/>
  <c r="HP22" i="23"/>
  <c r="HP17" i="23"/>
  <c r="HP7" i="23"/>
  <c r="HP14" i="23"/>
  <c r="HP16" i="23"/>
  <c r="HP6" i="23"/>
  <c r="HP52" i="23"/>
  <c r="HP9" i="23"/>
  <c r="HP50" i="23"/>
  <c r="HP39" i="23"/>
  <c r="HQ156" i="23" l="1"/>
  <c r="HQ200" i="23"/>
  <c r="HQ192" i="23"/>
  <c r="HQ185" i="23"/>
  <c r="HQ146" i="23"/>
  <c r="HQ188" i="23"/>
  <c r="HQ142" i="23"/>
  <c r="HQ189" i="23"/>
  <c r="HQ123" i="23"/>
  <c r="HQ115" i="23"/>
  <c r="HQ170" i="23"/>
  <c r="HQ124" i="23"/>
  <c r="HQ129" i="23"/>
  <c r="HQ145" i="23"/>
  <c r="HQ164" i="23"/>
  <c r="HQ209" i="23"/>
  <c r="HQ203" i="23"/>
  <c r="HQ149" i="23"/>
  <c r="HQ194" i="23"/>
  <c r="HQ207" i="23"/>
  <c r="HQ204" i="23"/>
  <c r="HQ208" i="23"/>
  <c r="HQ211" i="23"/>
  <c r="HQ206" i="23"/>
  <c r="HQ173" i="23"/>
  <c r="HQ210" i="23"/>
  <c r="HQ195" i="23"/>
  <c r="HQ197" i="23"/>
  <c r="HQ186" i="23"/>
  <c r="HQ205" i="23"/>
  <c r="HQ196" i="23"/>
  <c r="HQ181" i="23"/>
  <c r="HQ193" i="23"/>
  <c r="HQ187" i="23"/>
  <c r="HQ212" i="23"/>
  <c r="HQ201" i="23"/>
  <c r="HQ198" i="23"/>
  <c r="HQ182" i="23"/>
  <c r="HQ199" i="23"/>
  <c r="HQ183" i="23"/>
  <c r="HQ184" i="23"/>
  <c r="HQ190" i="23"/>
  <c r="HQ150" i="23"/>
  <c r="HQ172" i="23"/>
  <c r="HQ176" i="23"/>
  <c r="HQ179" i="23"/>
  <c r="HQ159" i="23"/>
  <c r="HQ174" i="23"/>
  <c r="HQ160" i="23"/>
  <c r="HQ166" i="23"/>
  <c r="HQ163" i="23"/>
  <c r="HQ167" i="23"/>
  <c r="HQ155" i="23"/>
  <c r="HQ162" i="23"/>
  <c r="HQ157" i="23"/>
  <c r="HQ151" i="23"/>
  <c r="HQ140" i="23"/>
  <c r="HQ178" i="23"/>
  <c r="HQ165" i="23"/>
  <c r="HQ148" i="23"/>
  <c r="HQ130" i="23"/>
  <c r="HQ175" i="23"/>
  <c r="HQ171" i="23"/>
  <c r="HQ152" i="23"/>
  <c r="HQ141" i="23"/>
  <c r="HQ131" i="23"/>
  <c r="HQ126" i="23"/>
  <c r="HQ127" i="23"/>
  <c r="HQ132" i="23"/>
  <c r="HQ168" i="23"/>
  <c r="HQ161" i="23"/>
  <c r="HQ135" i="23"/>
  <c r="HQ120" i="23"/>
  <c r="HQ121" i="23"/>
  <c r="HQ143" i="23"/>
  <c r="HQ138" i="23"/>
  <c r="HQ139" i="23"/>
  <c r="HQ134" i="23"/>
  <c r="HQ119" i="23"/>
  <c r="HQ154" i="23"/>
  <c r="HQ118" i="23"/>
  <c r="HQ117" i="23"/>
  <c r="HQ137" i="23"/>
  <c r="HQ144" i="23"/>
  <c r="HQ133" i="23"/>
  <c r="HQ122" i="23"/>
  <c r="HQ153" i="23"/>
  <c r="HQ177" i="23"/>
  <c r="HQ128" i="23"/>
  <c r="HQ116" i="23"/>
  <c r="HQ191" i="23"/>
  <c r="HQ125" i="23"/>
  <c r="HQ136" i="23"/>
  <c r="HQ169" i="23"/>
  <c r="HQ147" i="23"/>
  <c r="HQ114" i="23"/>
  <c r="HQ202" i="23"/>
  <c r="HQ180" i="23"/>
  <c r="HQ158" i="23"/>
  <c r="HQ112" i="23"/>
  <c r="HQ111" i="23"/>
  <c r="HQ110" i="23"/>
  <c r="HQ113" i="23"/>
  <c r="HQ109" i="23"/>
  <c r="HQ108" i="23"/>
  <c r="HQ104" i="23"/>
  <c r="HQ103" i="23"/>
  <c r="HQ107" i="23"/>
  <c r="HQ99" i="23"/>
  <c r="HQ100" i="23"/>
  <c r="HQ106" i="23"/>
  <c r="HQ94" i="23"/>
  <c r="HQ95" i="23"/>
  <c r="HQ105" i="23"/>
  <c r="HQ101" i="23"/>
  <c r="HQ98" i="23"/>
  <c r="HQ90" i="23"/>
  <c r="HQ89" i="23"/>
  <c r="HQ92" i="23"/>
  <c r="HQ88" i="23"/>
  <c r="HQ102" i="23"/>
  <c r="HQ93" i="23"/>
  <c r="HQ81" i="23"/>
  <c r="HQ97" i="23"/>
  <c r="HQ85" i="23"/>
  <c r="HQ87" i="23"/>
  <c r="HQ91" i="23"/>
  <c r="HQ82" i="23"/>
  <c r="HQ80" i="23"/>
  <c r="HQ77" i="23"/>
  <c r="HQ83" i="23"/>
  <c r="HQ76" i="23"/>
  <c r="HQ75" i="23"/>
  <c r="HQ71" i="23"/>
  <c r="HQ79" i="23"/>
  <c r="HQ73" i="23"/>
  <c r="HQ72" i="23"/>
  <c r="HQ64" i="23"/>
  <c r="HQ86" i="23"/>
  <c r="HQ63" i="23"/>
  <c r="HQ84" i="23"/>
  <c r="HQ74" i="23"/>
  <c r="HQ59" i="23"/>
  <c r="HQ57" i="23"/>
  <c r="HQ78" i="23"/>
  <c r="HQ65" i="23"/>
  <c r="HQ66" i="23"/>
  <c r="HQ61" i="23"/>
  <c r="HQ51" i="23"/>
  <c r="HQ62" i="23"/>
  <c r="HQ60" i="23"/>
  <c r="HQ58" i="23"/>
  <c r="HQ50" i="23"/>
  <c r="HQ70" i="23"/>
  <c r="HQ56" i="23"/>
  <c r="HQ55" i="23"/>
  <c r="HQ54" i="23"/>
  <c r="HQ49" i="23"/>
  <c r="HQ47" i="23"/>
  <c r="HQ68" i="23"/>
  <c r="HQ48" i="23"/>
  <c r="HQ46" i="23"/>
  <c r="HQ67" i="23"/>
  <c r="HQ43" i="23"/>
  <c r="HQ42" i="23"/>
  <c r="HQ37" i="23"/>
  <c r="HQ35" i="23"/>
  <c r="HQ44" i="23"/>
  <c r="HQ32" i="23"/>
  <c r="HQ31" i="23"/>
  <c r="HQ96" i="23"/>
  <c r="HQ41" i="23"/>
  <c r="HQ36" i="23"/>
  <c r="HQ23" i="23"/>
  <c r="HQ38" i="23"/>
  <c r="HQ30" i="23"/>
  <c r="HQ20" i="23"/>
  <c r="HQ69" i="23"/>
  <c r="HQ53" i="23"/>
  <c r="HQ52" i="23"/>
  <c r="HQ27" i="23"/>
  <c r="HQ25" i="23"/>
  <c r="HQ39" i="23"/>
  <c r="HQ26" i="23"/>
  <c r="HQ24" i="23"/>
  <c r="HQ8" i="23"/>
  <c r="HR2" i="23"/>
  <c r="HQ17" i="23"/>
  <c r="HQ29" i="23"/>
  <c r="HQ15" i="23"/>
  <c r="HQ13" i="23"/>
  <c r="HQ5" i="23"/>
  <c r="HQ22" i="23"/>
  <c r="HQ7" i="23"/>
  <c r="HQ10" i="23"/>
  <c r="HQ33" i="23"/>
  <c r="HQ9" i="23"/>
  <c r="HQ40" i="23"/>
  <c r="HQ16" i="23"/>
  <c r="HQ14" i="23"/>
  <c r="HQ18" i="23"/>
  <c r="HQ4" i="23"/>
  <c r="HQ21" i="23"/>
  <c r="HQ11" i="23"/>
  <c r="HQ34" i="23"/>
  <c r="HQ28" i="23"/>
  <c r="HQ12" i="23"/>
  <c r="HQ6" i="23"/>
  <c r="HQ45" i="23"/>
  <c r="HQ19" i="23"/>
  <c r="HR207" i="23" l="1"/>
  <c r="HR150" i="23"/>
  <c r="HR127" i="23"/>
  <c r="HR196" i="23"/>
  <c r="HR148" i="23"/>
  <c r="HR128" i="23"/>
  <c r="HR115" i="23"/>
  <c r="HR117" i="23"/>
  <c r="HR152" i="23"/>
  <c r="HR199" i="23"/>
  <c r="HR170" i="23"/>
  <c r="HR146" i="23"/>
  <c r="HR174" i="23"/>
  <c r="HR124" i="23"/>
  <c r="HR168" i="23"/>
  <c r="HR192" i="23"/>
  <c r="HR166" i="23"/>
  <c r="HR197" i="23"/>
  <c r="HR195" i="23"/>
  <c r="HR208" i="23"/>
  <c r="HR164" i="23"/>
  <c r="HR138" i="23"/>
  <c r="HR204" i="23"/>
  <c r="HR203" i="23"/>
  <c r="HR210" i="23"/>
  <c r="HR206" i="23"/>
  <c r="HR201" i="23"/>
  <c r="HR193" i="23"/>
  <c r="HR200" i="23"/>
  <c r="HR194" i="23"/>
  <c r="HR212" i="23"/>
  <c r="HR198" i="23"/>
  <c r="HR209" i="23"/>
  <c r="HR182" i="23"/>
  <c r="HR211" i="23"/>
  <c r="HR187" i="23"/>
  <c r="HR188" i="23"/>
  <c r="HR171" i="23"/>
  <c r="HR184" i="23"/>
  <c r="HR189" i="23"/>
  <c r="HR190" i="23"/>
  <c r="HR183" i="23"/>
  <c r="HR156" i="23"/>
  <c r="HR181" i="23"/>
  <c r="HR185" i="23"/>
  <c r="HR173" i="23"/>
  <c r="HR160" i="23"/>
  <c r="HR163" i="23"/>
  <c r="HR175" i="23"/>
  <c r="HR176" i="23"/>
  <c r="HR157" i="23"/>
  <c r="HR177" i="23"/>
  <c r="HR139" i="23"/>
  <c r="HR140" i="23"/>
  <c r="HR179" i="23"/>
  <c r="HR153" i="23"/>
  <c r="HR154" i="23"/>
  <c r="HR142" i="23"/>
  <c r="HR172" i="23"/>
  <c r="HR178" i="23"/>
  <c r="HR151" i="23"/>
  <c r="HR144" i="23"/>
  <c r="HR145" i="23"/>
  <c r="HR141" i="23"/>
  <c r="HR159" i="23"/>
  <c r="HR131" i="23"/>
  <c r="HR116" i="23"/>
  <c r="HR186" i="23"/>
  <c r="HR133" i="23"/>
  <c r="HR149" i="23"/>
  <c r="HR135" i="23"/>
  <c r="HR121" i="23"/>
  <c r="HR161" i="23"/>
  <c r="HR155" i="23"/>
  <c r="HR130" i="23"/>
  <c r="HR134" i="23"/>
  <c r="HR205" i="23"/>
  <c r="HR119" i="23"/>
  <c r="HR122" i="23"/>
  <c r="HR167" i="23"/>
  <c r="HR123" i="23"/>
  <c r="HR143" i="23"/>
  <c r="HR126" i="23"/>
  <c r="HR120" i="23"/>
  <c r="HR132" i="23"/>
  <c r="HR165" i="23"/>
  <c r="HR118" i="23"/>
  <c r="HR162" i="23"/>
  <c r="HR137" i="23"/>
  <c r="HR129" i="23"/>
  <c r="HR158" i="23"/>
  <c r="HR125" i="23"/>
  <c r="HR136" i="23"/>
  <c r="HR114" i="23"/>
  <c r="HR191" i="23"/>
  <c r="HR169" i="23"/>
  <c r="HR180" i="23"/>
  <c r="HR202" i="23"/>
  <c r="HR147" i="23"/>
  <c r="HR113" i="23"/>
  <c r="HR112" i="23"/>
  <c r="HR110" i="23"/>
  <c r="HR109" i="23"/>
  <c r="HR111" i="23"/>
  <c r="HR108" i="23"/>
  <c r="HR106" i="23"/>
  <c r="HR105" i="23"/>
  <c r="HR104" i="23"/>
  <c r="HR102" i="23"/>
  <c r="HR99" i="23"/>
  <c r="HR107" i="23"/>
  <c r="HR95" i="23"/>
  <c r="HR101" i="23"/>
  <c r="HR94" i="23"/>
  <c r="HR96" i="23"/>
  <c r="HR91" i="23"/>
  <c r="HR100" i="23"/>
  <c r="HR92" i="23"/>
  <c r="HR90" i="23"/>
  <c r="HR87" i="23"/>
  <c r="HR93" i="23"/>
  <c r="HR89" i="23"/>
  <c r="HR98" i="23"/>
  <c r="HR84" i="23"/>
  <c r="HR85" i="23"/>
  <c r="HR82" i="23"/>
  <c r="HR81" i="23"/>
  <c r="HR80" i="23"/>
  <c r="HR77" i="23"/>
  <c r="HR74" i="23"/>
  <c r="HR97" i="23"/>
  <c r="HR73" i="23"/>
  <c r="HR79" i="23"/>
  <c r="HR72" i="23"/>
  <c r="HR83" i="23"/>
  <c r="HR69" i="23"/>
  <c r="HR88" i="23"/>
  <c r="HR78" i="23"/>
  <c r="HR65" i="23"/>
  <c r="HR64" i="23"/>
  <c r="HR66" i="23"/>
  <c r="HR61" i="23"/>
  <c r="HR75" i="23"/>
  <c r="HR56" i="23"/>
  <c r="HR71" i="23"/>
  <c r="HR68" i="23"/>
  <c r="HR55" i="23"/>
  <c r="HR63" i="23"/>
  <c r="HR54" i="23"/>
  <c r="HR59" i="23"/>
  <c r="HR49" i="23"/>
  <c r="HR47" i="23"/>
  <c r="HR103" i="23"/>
  <c r="HR86" i="23"/>
  <c r="HR44" i="23"/>
  <c r="HR58" i="23"/>
  <c r="HR52" i="23"/>
  <c r="HR51" i="23"/>
  <c r="HR43" i="23"/>
  <c r="HR67" i="23"/>
  <c r="HR60" i="23"/>
  <c r="HR42" i="23"/>
  <c r="HR37" i="23"/>
  <c r="HR76" i="23"/>
  <c r="HR70" i="23"/>
  <c r="HR32" i="23"/>
  <c r="HR50" i="23"/>
  <c r="HR39" i="23"/>
  <c r="HR53" i="23"/>
  <c r="HR46" i="23"/>
  <c r="HR38" i="23"/>
  <c r="HR36" i="23"/>
  <c r="HR48" i="23"/>
  <c r="HR31" i="23"/>
  <c r="HR30" i="23"/>
  <c r="HR20" i="23"/>
  <c r="HR27" i="23"/>
  <c r="HR25" i="23"/>
  <c r="HR22" i="23"/>
  <c r="HR45" i="23"/>
  <c r="HR40" i="23"/>
  <c r="HR34" i="23"/>
  <c r="HR21" i="23"/>
  <c r="HR29" i="23"/>
  <c r="HR24" i="23"/>
  <c r="HR15" i="23"/>
  <c r="HR13" i="23"/>
  <c r="HR5" i="23"/>
  <c r="HR19" i="23"/>
  <c r="HR62" i="23"/>
  <c r="HR41" i="23"/>
  <c r="HR26" i="23"/>
  <c r="HR10" i="23"/>
  <c r="HR28" i="23"/>
  <c r="HR12" i="23"/>
  <c r="HR35" i="23"/>
  <c r="HR23" i="23"/>
  <c r="HR17" i="23"/>
  <c r="HR7" i="23"/>
  <c r="HR4" i="23"/>
  <c r="HR57" i="23"/>
  <c r="HR16" i="23"/>
  <c r="HR14" i="23"/>
  <c r="HR6" i="23"/>
  <c r="HR18" i="23"/>
  <c r="HR11" i="23"/>
  <c r="HR8" i="23"/>
  <c r="HS2" i="23"/>
  <c r="HR9" i="23"/>
  <c r="HR33" i="23"/>
  <c r="HS127" i="23" l="1"/>
  <c r="HS200" i="23"/>
  <c r="HS168" i="23"/>
  <c r="HS206" i="23"/>
  <c r="HS193" i="23"/>
  <c r="HS152" i="23"/>
  <c r="HS163" i="23"/>
  <c r="HS144" i="23"/>
  <c r="HS183" i="23"/>
  <c r="HS166" i="23"/>
  <c r="HS195" i="23"/>
  <c r="HS175" i="23"/>
  <c r="HS204" i="23"/>
  <c r="HS211" i="23"/>
  <c r="HS207" i="23"/>
  <c r="HS209" i="23"/>
  <c r="HS197" i="23"/>
  <c r="HS201" i="23"/>
  <c r="HS192" i="23"/>
  <c r="HS198" i="23"/>
  <c r="HS149" i="23"/>
  <c r="HS205" i="23"/>
  <c r="HS210" i="23"/>
  <c r="HS199" i="23"/>
  <c r="HS208" i="23"/>
  <c r="HS203" i="23"/>
  <c r="HS186" i="23"/>
  <c r="HS188" i="23"/>
  <c r="HS190" i="23"/>
  <c r="HS189" i="23"/>
  <c r="HS172" i="23"/>
  <c r="HS187" i="23"/>
  <c r="HS174" i="23"/>
  <c r="HS196" i="23"/>
  <c r="HS194" i="23"/>
  <c r="HS177" i="23"/>
  <c r="HS150" i="23"/>
  <c r="HS184" i="23"/>
  <c r="HS171" i="23"/>
  <c r="HS179" i="23"/>
  <c r="HS155" i="23"/>
  <c r="HS173" i="23"/>
  <c r="HS160" i="23"/>
  <c r="HS156" i="23"/>
  <c r="HS185" i="23"/>
  <c r="HS161" i="23"/>
  <c r="HS167" i="23"/>
  <c r="HS159" i="23"/>
  <c r="HS137" i="23"/>
  <c r="HS140" i="23"/>
  <c r="HS164" i="23"/>
  <c r="HS151" i="23"/>
  <c r="HS139" i="23"/>
  <c r="HS133" i="23"/>
  <c r="HS154" i="23"/>
  <c r="HS148" i="23"/>
  <c r="HS142" i="23"/>
  <c r="HS126" i="23"/>
  <c r="HS176" i="23"/>
  <c r="HS165" i="23"/>
  <c r="HS162" i="23"/>
  <c r="HS135" i="23"/>
  <c r="HS134" i="23"/>
  <c r="HS182" i="23"/>
  <c r="HS178" i="23"/>
  <c r="HS157" i="23"/>
  <c r="HS129" i="23"/>
  <c r="HS118" i="23"/>
  <c r="HS120" i="23"/>
  <c r="HS212" i="23"/>
  <c r="HS143" i="23"/>
  <c r="HS115" i="23"/>
  <c r="HS153" i="23"/>
  <c r="HS141" i="23"/>
  <c r="HS119" i="23"/>
  <c r="HS121" i="23"/>
  <c r="HS170" i="23"/>
  <c r="HS145" i="23"/>
  <c r="HS128" i="23"/>
  <c r="HS123" i="23"/>
  <c r="HS146" i="23"/>
  <c r="HS138" i="23"/>
  <c r="HS130" i="23"/>
  <c r="HS116" i="23"/>
  <c r="HS117" i="23"/>
  <c r="HS122" i="23"/>
  <c r="HS124" i="23"/>
  <c r="HS131" i="23"/>
  <c r="HS132" i="23"/>
  <c r="HS181" i="23"/>
  <c r="HS191" i="23"/>
  <c r="HS136" i="23"/>
  <c r="HS169" i="23"/>
  <c r="HS158" i="23"/>
  <c r="HS202" i="23"/>
  <c r="HS180" i="23"/>
  <c r="HS125" i="23"/>
  <c r="HS114" i="23"/>
  <c r="HS147" i="23"/>
  <c r="HS113" i="23"/>
  <c r="HS110" i="23"/>
  <c r="HS107" i="23"/>
  <c r="HS111" i="23"/>
  <c r="HS108" i="23"/>
  <c r="HS100" i="23"/>
  <c r="HS106" i="23"/>
  <c r="HS109" i="23"/>
  <c r="HS102" i="23"/>
  <c r="HS97" i="23"/>
  <c r="HS112" i="23"/>
  <c r="HS95" i="23"/>
  <c r="HS105" i="23"/>
  <c r="HS96" i="23"/>
  <c r="HS99" i="23"/>
  <c r="HS98" i="23"/>
  <c r="HS90" i="23"/>
  <c r="HS93" i="23"/>
  <c r="HS91" i="23"/>
  <c r="HS85" i="23"/>
  <c r="HS94" i="23"/>
  <c r="HS84" i="23"/>
  <c r="HS89" i="23"/>
  <c r="HS83" i="23"/>
  <c r="HS104" i="23"/>
  <c r="HS101" i="23"/>
  <c r="HS86" i="23"/>
  <c r="HS82" i="23"/>
  <c r="HS80" i="23"/>
  <c r="HS87" i="23"/>
  <c r="HS81" i="23"/>
  <c r="HS77" i="23"/>
  <c r="HS88" i="23"/>
  <c r="HS71" i="23"/>
  <c r="HS103" i="23"/>
  <c r="HS79" i="23"/>
  <c r="HS78" i="23"/>
  <c r="HS70" i="23"/>
  <c r="HS68" i="23"/>
  <c r="HS72" i="23"/>
  <c r="HS73" i="23"/>
  <c r="HS69" i="23"/>
  <c r="HS74" i="23"/>
  <c r="HS66" i="23"/>
  <c r="HS65" i="23"/>
  <c r="HS61" i="23"/>
  <c r="HS75" i="23"/>
  <c r="HS56" i="23"/>
  <c r="HS67" i="23"/>
  <c r="HS53" i="23"/>
  <c r="HS63" i="23"/>
  <c r="HS52" i="23"/>
  <c r="HS59" i="23"/>
  <c r="HS55" i="23"/>
  <c r="HS49" i="23"/>
  <c r="HS47" i="23"/>
  <c r="HS76" i="23"/>
  <c r="HS50" i="23"/>
  <c r="HS41" i="23"/>
  <c r="HS92" i="23"/>
  <c r="HS40" i="23"/>
  <c r="HS54" i="23"/>
  <c r="HS43" i="23"/>
  <c r="HS44" i="23"/>
  <c r="HS39" i="23"/>
  <c r="HS57" i="23"/>
  <c r="HS45" i="23"/>
  <c r="HS34" i="23"/>
  <c r="HS62" i="23"/>
  <c r="HS48" i="23"/>
  <c r="HS33" i="23"/>
  <c r="HS51" i="23"/>
  <c r="HS60" i="23"/>
  <c r="HS38" i="23"/>
  <c r="HS27" i="23"/>
  <c r="HS25" i="23"/>
  <c r="HS64" i="23"/>
  <c r="HS22" i="23"/>
  <c r="HS42" i="23"/>
  <c r="HS29" i="23"/>
  <c r="HS19" i="23"/>
  <c r="HS35" i="23"/>
  <c r="HS28" i="23"/>
  <c r="HS18" i="23"/>
  <c r="HS46" i="23"/>
  <c r="HS26" i="23"/>
  <c r="HS10" i="23"/>
  <c r="HS23" i="23"/>
  <c r="HS20" i="23"/>
  <c r="HS17" i="23"/>
  <c r="HS7" i="23"/>
  <c r="HS32" i="23"/>
  <c r="HS30" i="23"/>
  <c r="HS12" i="23"/>
  <c r="HS4" i="23"/>
  <c r="HS9" i="23"/>
  <c r="HS11" i="23"/>
  <c r="HS37" i="23"/>
  <c r="HS31" i="23"/>
  <c r="HS21" i="23"/>
  <c r="HS24" i="23"/>
  <c r="HS8" i="23"/>
  <c r="HT2" i="23"/>
  <c r="HS36" i="23"/>
  <c r="HS13" i="23"/>
  <c r="HS16" i="23"/>
  <c r="HS6" i="23"/>
  <c r="HS58" i="23"/>
  <c r="HS15" i="23"/>
  <c r="HS14" i="23"/>
  <c r="HS5" i="23"/>
  <c r="HT199" i="23" l="1"/>
  <c r="HT127" i="23"/>
  <c r="HT170" i="23"/>
  <c r="HT149" i="23"/>
  <c r="HT121" i="23"/>
  <c r="HT117" i="23"/>
  <c r="HT166" i="23"/>
  <c r="HT164" i="23"/>
  <c r="HT144" i="23"/>
  <c r="HT197" i="23"/>
  <c r="HT128" i="23"/>
  <c r="HT208" i="23"/>
  <c r="HT203" i="23"/>
  <c r="HT145" i="23"/>
  <c r="HT204" i="23"/>
  <c r="HT174" i="23"/>
  <c r="HT134" i="23"/>
  <c r="HT209" i="23"/>
  <c r="HT207" i="23"/>
  <c r="HT212" i="23"/>
  <c r="HT195" i="23"/>
  <c r="HT192" i="23"/>
  <c r="HT194" i="23"/>
  <c r="HT193" i="23"/>
  <c r="HT211" i="23"/>
  <c r="HT206" i="23"/>
  <c r="HT210" i="23"/>
  <c r="HT201" i="23"/>
  <c r="HT165" i="23"/>
  <c r="HT200" i="23"/>
  <c r="HT198" i="23"/>
  <c r="HT181" i="23"/>
  <c r="HT184" i="23"/>
  <c r="HT185" i="23"/>
  <c r="HT182" i="23"/>
  <c r="HT190" i="23"/>
  <c r="HT186" i="23"/>
  <c r="HT189" i="23"/>
  <c r="HT175" i="23"/>
  <c r="HT172" i="23"/>
  <c r="HT176" i="23"/>
  <c r="HT179" i="23"/>
  <c r="HT167" i="23"/>
  <c r="HT196" i="23"/>
  <c r="HT183" i="23"/>
  <c r="HT177" i="23"/>
  <c r="HT178" i="23"/>
  <c r="HT159" i="23"/>
  <c r="HT155" i="23"/>
  <c r="HT205" i="23"/>
  <c r="HT160" i="23"/>
  <c r="HT187" i="23"/>
  <c r="HT188" i="23"/>
  <c r="HT171" i="23"/>
  <c r="HT150" i="23"/>
  <c r="HT153" i="23"/>
  <c r="HT138" i="23"/>
  <c r="HT161" i="23"/>
  <c r="HT141" i="23"/>
  <c r="HT139" i="23"/>
  <c r="HT162" i="23"/>
  <c r="HT168" i="23"/>
  <c r="HT130" i="23"/>
  <c r="HT129" i="23"/>
  <c r="HT154" i="23"/>
  <c r="HT148" i="23"/>
  <c r="HT157" i="23"/>
  <c r="HT133" i="23"/>
  <c r="HT152" i="23"/>
  <c r="HT140" i="23"/>
  <c r="HT142" i="23"/>
  <c r="HT135" i="23"/>
  <c r="HT120" i="23"/>
  <c r="HT122" i="23"/>
  <c r="HT163" i="23"/>
  <c r="HT143" i="23"/>
  <c r="HT132" i="23"/>
  <c r="HT119" i="23"/>
  <c r="HT118" i="23"/>
  <c r="HT116" i="23"/>
  <c r="HT124" i="23"/>
  <c r="HT156" i="23"/>
  <c r="HT146" i="23"/>
  <c r="HT151" i="23"/>
  <c r="HT137" i="23"/>
  <c r="HT131" i="23"/>
  <c r="HT126" i="23"/>
  <c r="HT115" i="23"/>
  <c r="HT123" i="23"/>
  <c r="HT173" i="23"/>
  <c r="HT136" i="23"/>
  <c r="HT180" i="23"/>
  <c r="HT191" i="23"/>
  <c r="HT114" i="23"/>
  <c r="HT125" i="23"/>
  <c r="HT158" i="23"/>
  <c r="HT169" i="23"/>
  <c r="HT202" i="23"/>
  <c r="HT147" i="23"/>
  <c r="HT111" i="23"/>
  <c r="HT112" i="23"/>
  <c r="HT108" i="23"/>
  <c r="HT113" i="23"/>
  <c r="HT107" i="23"/>
  <c r="HT105" i="23"/>
  <c r="HT106" i="23"/>
  <c r="HT110" i="23"/>
  <c r="HT109" i="23"/>
  <c r="HT103" i="23"/>
  <c r="HT101" i="23"/>
  <c r="HT100" i="23"/>
  <c r="HT102" i="23"/>
  <c r="HT96" i="23"/>
  <c r="HT97" i="23"/>
  <c r="HT93" i="23"/>
  <c r="HT90" i="23"/>
  <c r="HT91" i="23"/>
  <c r="HT92" i="23"/>
  <c r="HT88" i="23"/>
  <c r="HT99" i="23"/>
  <c r="HT87" i="23"/>
  <c r="HT98" i="23"/>
  <c r="HT82" i="23"/>
  <c r="HT80" i="23"/>
  <c r="HT94" i="23"/>
  <c r="HT89" i="23"/>
  <c r="HT84" i="23"/>
  <c r="HT76" i="23"/>
  <c r="HT86" i="23"/>
  <c r="HT75" i="23"/>
  <c r="HT79" i="23"/>
  <c r="HT77" i="23"/>
  <c r="HT73" i="23"/>
  <c r="HT69" i="23"/>
  <c r="HT95" i="23"/>
  <c r="HT83" i="23"/>
  <c r="HT74" i="23"/>
  <c r="HT63" i="23"/>
  <c r="HT104" i="23"/>
  <c r="HT78" i="23"/>
  <c r="HT70" i="23"/>
  <c r="HT68" i="23"/>
  <c r="HT62" i="23"/>
  <c r="HT72" i="23"/>
  <c r="HT66" i="23"/>
  <c r="HT56" i="23"/>
  <c r="HT67" i="23"/>
  <c r="HT85" i="23"/>
  <c r="HT60" i="23"/>
  <c r="HT58" i="23"/>
  <c r="HT50" i="23"/>
  <c r="HT59" i="23"/>
  <c r="HT57" i="23"/>
  <c r="HT64" i="23"/>
  <c r="HT48" i="23"/>
  <c r="HT46" i="23"/>
  <c r="HT81" i="23"/>
  <c r="HT53" i="23"/>
  <c r="HT45" i="23"/>
  <c r="HT44" i="23"/>
  <c r="HT39" i="23"/>
  <c r="HT47" i="23"/>
  <c r="HT34" i="23"/>
  <c r="HT52" i="23"/>
  <c r="HT49" i="23"/>
  <c r="HT40" i="23"/>
  <c r="HT31" i="23"/>
  <c r="HT65" i="23"/>
  <c r="HT41" i="23"/>
  <c r="HT30" i="23"/>
  <c r="HT71" i="23"/>
  <c r="HT61" i="23"/>
  <c r="HT22" i="23"/>
  <c r="HT42" i="23"/>
  <c r="HT29" i="23"/>
  <c r="HT19" i="23"/>
  <c r="HT54" i="23"/>
  <c r="HT37" i="23"/>
  <c r="HT26" i="23"/>
  <c r="HT24" i="23"/>
  <c r="HT43" i="23"/>
  <c r="HT33" i="23"/>
  <c r="HT23" i="23"/>
  <c r="HT38" i="23"/>
  <c r="HT20" i="23"/>
  <c r="HT17" i="23"/>
  <c r="HT7" i="23"/>
  <c r="HT35" i="23"/>
  <c r="HT32" i="23"/>
  <c r="HT12" i="23"/>
  <c r="HT4" i="23"/>
  <c r="HT28" i="23"/>
  <c r="HT9" i="23"/>
  <c r="HT16" i="23"/>
  <c r="HT14" i="23"/>
  <c r="HT6" i="23"/>
  <c r="HT27" i="23"/>
  <c r="HT21" i="23"/>
  <c r="HT18" i="23"/>
  <c r="HT8" i="23"/>
  <c r="HU2" i="23"/>
  <c r="HT51" i="23"/>
  <c r="HT36" i="23"/>
  <c r="HT15" i="23"/>
  <c r="HT13" i="23"/>
  <c r="HT11" i="23"/>
  <c r="HT25" i="23"/>
  <c r="HT5" i="23"/>
  <c r="HT55" i="23"/>
  <c r="HT10" i="23"/>
  <c r="HU139" i="23" l="1"/>
  <c r="HU182" i="23"/>
  <c r="HU135" i="23"/>
  <c r="HU149" i="23"/>
  <c r="HU145" i="23"/>
  <c r="HU212" i="23"/>
  <c r="HU122" i="23"/>
  <c r="HU130" i="23"/>
  <c r="HU173" i="23"/>
  <c r="HU124" i="23"/>
  <c r="HU193" i="23"/>
  <c r="HU123" i="23"/>
  <c r="HU134" i="23"/>
  <c r="HU208" i="23"/>
  <c r="HU205" i="23"/>
  <c r="HU206" i="23"/>
  <c r="HU207" i="23"/>
  <c r="HU140" i="23"/>
  <c r="HU210" i="23"/>
  <c r="HU192" i="23"/>
  <c r="HU203" i="23"/>
  <c r="HU194" i="23"/>
  <c r="HU201" i="23"/>
  <c r="HU196" i="23"/>
  <c r="HU181" i="23"/>
  <c r="HU209" i="23"/>
  <c r="HU195" i="23"/>
  <c r="HU126" i="23"/>
  <c r="HU204" i="23"/>
  <c r="HU199" i="23"/>
  <c r="HU186" i="23"/>
  <c r="HU211" i="23"/>
  <c r="HU185" i="23"/>
  <c r="HU190" i="23"/>
  <c r="HU189" i="23"/>
  <c r="HU174" i="23"/>
  <c r="HU198" i="23"/>
  <c r="HU200" i="23"/>
  <c r="HU175" i="23"/>
  <c r="HU170" i="23"/>
  <c r="HU164" i="23"/>
  <c r="HU168" i="23"/>
  <c r="HU148" i="23"/>
  <c r="HU171" i="23"/>
  <c r="HU178" i="23"/>
  <c r="HU167" i="23"/>
  <c r="HU166" i="23"/>
  <c r="HU179" i="23"/>
  <c r="HU183" i="23"/>
  <c r="HU188" i="23"/>
  <c r="HU172" i="23"/>
  <c r="HU161" i="23"/>
  <c r="HU138" i="23"/>
  <c r="HU184" i="23"/>
  <c r="HU176" i="23"/>
  <c r="HU163" i="23"/>
  <c r="HU165" i="23"/>
  <c r="HU155" i="23"/>
  <c r="HU154" i="23"/>
  <c r="HU151" i="23"/>
  <c r="HU153" i="23"/>
  <c r="HU157" i="23"/>
  <c r="HU142" i="23"/>
  <c r="HU197" i="23"/>
  <c r="HU177" i="23"/>
  <c r="HU159" i="23"/>
  <c r="HU143" i="23"/>
  <c r="HU146" i="23"/>
  <c r="HU152" i="23"/>
  <c r="HU137" i="23"/>
  <c r="HU162" i="23"/>
  <c r="HU131" i="23"/>
  <c r="HU133" i="23"/>
  <c r="HU119" i="23"/>
  <c r="HU117" i="23"/>
  <c r="HU156" i="23"/>
  <c r="HU120" i="23"/>
  <c r="HU116" i="23"/>
  <c r="HU187" i="23"/>
  <c r="HU127" i="23"/>
  <c r="HU132" i="23"/>
  <c r="HU115" i="23"/>
  <c r="HU121" i="23"/>
  <c r="HU160" i="23"/>
  <c r="HU129" i="23"/>
  <c r="HU128" i="23"/>
  <c r="HU118" i="23"/>
  <c r="HU150" i="23"/>
  <c r="HU144" i="23"/>
  <c r="HU141" i="23"/>
  <c r="HU147" i="23"/>
  <c r="HU136" i="23"/>
  <c r="HU180" i="23"/>
  <c r="HU202" i="23"/>
  <c r="HU158" i="23"/>
  <c r="HU191" i="23"/>
  <c r="HU114" i="23"/>
  <c r="HU169" i="23"/>
  <c r="HU125" i="23"/>
  <c r="HU112" i="23"/>
  <c r="HU111" i="23"/>
  <c r="HU113" i="23"/>
  <c r="HU108" i="23"/>
  <c r="HU107" i="23"/>
  <c r="HU105" i="23"/>
  <c r="HU109" i="23"/>
  <c r="HU104" i="23"/>
  <c r="HU102" i="23"/>
  <c r="HU106" i="23"/>
  <c r="HU103" i="23"/>
  <c r="HU101" i="23"/>
  <c r="HU110" i="23"/>
  <c r="HU99" i="23"/>
  <c r="HU98" i="23"/>
  <c r="HU94" i="23"/>
  <c r="HU93" i="23"/>
  <c r="HU96" i="23"/>
  <c r="HU97" i="23"/>
  <c r="HU92" i="23"/>
  <c r="HU90" i="23"/>
  <c r="HU89" i="23"/>
  <c r="HU91" i="23"/>
  <c r="HU100" i="23"/>
  <c r="HU87" i="23"/>
  <c r="HU86" i="23"/>
  <c r="HU95" i="23"/>
  <c r="HU85" i="23"/>
  <c r="HU88" i="23"/>
  <c r="HU84" i="23"/>
  <c r="HU76" i="23"/>
  <c r="HU83" i="23"/>
  <c r="HU73" i="23"/>
  <c r="HU72" i="23"/>
  <c r="HU82" i="23"/>
  <c r="HU74" i="23"/>
  <c r="HU80" i="23"/>
  <c r="HU75" i="23"/>
  <c r="HU71" i="23"/>
  <c r="HU67" i="23"/>
  <c r="HU60" i="23"/>
  <c r="HU58" i="23"/>
  <c r="HU81" i="23"/>
  <c r="HU70" i="23"/>
  <c r="HU69" i="23"/>
  <c r="HU62" i="23"/>
  <c r="HU55" i="23"/>
  <c r="HU64" i="23"/>
  <c r="HU54" i="23"/>
  <c r="HU77" i="23"/>
  <c r="HU79" i="23"/>
  <c r="HU78" i="23"/>
  <c r="HU50" i="23"/>
  <c r="HU48" i="23"/>
  <c r="HU46" i="23"/>
  <c r="HU66" i="23"/>
  <c r="HU61" i="23"/>
  <c r="HU51" i="23"/>
  <c r="HU43" i="23"/>
  <c r="HU65" i="23"/>
  <c r="HU57" i="23"/>
  <c r="HU42" i="23"/>
  <c r="HU56" i="23"/>
  <c r="HU47" i="23"/>
  <c r="HU68" i="23"/>
  <c r="HU52" i="23"/>
  <c r="HU49" i="23"/>
  <c r="HU45" i="23"/>
  <c r="HU40" i="23"/>
  <c r="HU31" i="23"/>
  <c r="HU38" i="23"/>
  <c r="HU36" i="23"/>
  <c r="HU63" i="23"/>
  <c r="HU59" i="23"/>
  <c r="HU37" i="23"/>
  <c r="HU35" i="23"/>
  <c r="HU29" i="23"/>
  <c r="HU19" i="23"/>
  <c r="HU53" i="23"/>
  <c r="HU44" i="23"/>
  <c r="HU26" i="23"/>
  <c r="HU24" i="23"/>
  <c r="HU21" i="23"/>
  <c r="HU32" i="23"/>
  <c r="HU20" i="23"/>
  <c r="HU41" i="23"/>
  <c r="HU23" i="23"/>
  <c r="HU12" i="23"/>
  <c r="HU4" i="23"/>
  <c r="HU30" i="23"/>
  <c r="HU28" i="23"/>
  <c r="HU9" i="23"/>
  <c r="HU11" i="23"/>
  <c r="HU22" i="23"/>
  <c r="HU16" i="23"/>
  <c r="HU14" i="23"/>
  <c r="HU6" i="23"/>
  <c r="HU33" i="23"/>
  <c r="HU25" i="23"/>
  <c r="HU15" i="23"/>
  <c r="HU13" i="23"/>
  <c r="HU5" i="23"/>
  <c r="HU39" i="23"/>
  <c r="HU34" i="23"/>
  <c r="HU7" i="23"/>
  <c r="HU27" i="23"/>
  <c r="HU18" i="23"/>
  <c r="HU8" i="23"/>
  <c r="HV2" i="23"/>
  <c r="HU10" i="23"/>
  <c r="HU17" i="23"/>
  <c r="HV143" i="23" l="1"/>
  <c r="HV176" i="23"/>
  <c r="HV206" i="23"/>
  <c r="HV201" i="23"/>
  <c r="HV116" i="23"/>
  <c r="HV189" i="23"/>
  <c r="HV131" i="23"/>
  <c r="HV115" i="23"/>
  <c r="HV183" i="23"/>
  <c r="HV128" i="23"/>
  <c r="HV161" i="23"/>
  <c r="HV130" i="23"/>
  <c r="HV168" i="23"/>
  <c r="HV124" i="23"/>
  <c r="HV166" i="23"/>
  <c r="HV199" i="23"/>
  <c r="HV194" i="23"/>
  <c r="HV209" i="23"/>
  <c r="HV210" i="23"/>
  <c r="HV198" i="23"/>
  <c r="HV204" i="23"/>
  <c r="HV208" i="23"/>
  <c r="HV207" i="23"/>
  <c r="HV196" i="23"/>
  <c r="HV200" i="23"/>
  <c r="HV197" i="23"/>
  <c r="HV164" i="23"/>
  <c r="HV192" i="23"/>
  <c r="HV193" i="23"/>
  <c r="HV205" i="23"/>
  <c r="HV211" i="23"/>
  <c r="HV203" i="23"/>
  <c r="HV195" i="23"/>
  <c r="HV181" i="23"/>
  <c r="HV212" i="23"/>
  <c r="HV182" i="23"/>
  <c r="HV175" i="23"/>
  <c r="HV185" i="23"/>
  <c r="HV167" i="23"/>
  <c r="HV156" i="23"/>
  <c r="HV148" i="23"/>
  <c r="HV174" i="23"/>
  <c r="HV160" i="23"/>
  <c r="HV172" i="23"/>
  <c r="HV184" i="23"/>
  <c r="HV159" i="23"/>
  <c r="HV165" i="23"/>
  <c r="HV150" i="23"/>
  <c r="HV151" i="23"/>
  <c r="HV153" i="23"/>
  <c r="HV188" i="23"/>
  <c r="HV171" i="23"/>
  <c r="HV162" i="23"/>
  <c r="HV149" i="23"/>
  <c r="HV157" i="23"/>
  <c r="HV163" i="23"/>
  <c r="HV154" i="23"/>
  <c r="HV140" i="23"/>
  <c r="HV137" i="23"/>
  <c r="HV187" i="23"/>
  <c r="HV138" i="23"/>
  <c r="HV127" i="23"/>
  <c r="HV170" i="23"/>
  <c r="HV152" i="23"/>
  <c r="HV142" i="23"/>
  <c r="HV117" i="23"/>
  <c r="HV155" i="23"/>
  <c r="HV139" i="23"/>
  <c r="HV126" i="23"/>
  <c r="HV135" i="23"/>
  <c r="HV134" i="23"/>
  <c r="HV121" i="23"/>
  <c r="HV145" i="23"/>
  <c r="HV132" i="23"/>
  <c r="HV129" i="23"/>
  <c r="HV118" i="23"/>
  <c r="HV177" i="23"/>
  <c r="HV146" i="23"/>
  <c r="HV144" i="23"/>
  <c r="HV141" i="23"/>
  <c r="HV133" i="23"/>
  <c r="HV186" i="23"/>
  <c r="HV178" i="23"/>
  <c r="HV173" i="23"/>
  <c r="HV119" i="23"/>
  <c r="HV179" i="23"/>
  <c r="HV123" i="23"/>
  <c r="HV190" i="23"/>
  <c r="HV122" i="23"/>
  <c r="HV120" i="23"/>
  <c r="HV169" i="23"/>
  <c r="HV158" i="23"/>
  <c r="HV191" i="23"/>
  <c r="HV147" i="23"/>
  <c r="HV180" i="23"/>
  <c r="HV114" i="23"/>
  <c r="HV202" i="23"/>
  <c r="HV125" i="23"/>
  <c r="HV136" i="23"/>
  <c r="HV112" i="23"/>
  <c r="HV113" i="23"/>
  <c r="HV110" i="23"/>
  <c r="HV111" i="23"/>
  <c r="HV108" i="23"/>
  <c r="HV107" i="23"/>
  <c r="HV109" i="23"/>
  <c r="HV106" i="23"/>
  <c r="HV105" i="23"/>
  <c r="HV104" i="23"/>
  <c r="HV102" i="23"/>
  <c r="HV100" i="23"/>
  <c r="HV97" i="23"/>
  <c r="HV103" i="23"/>
  <c r="HV98" i="23"/>
  <c r="HV95" i="23"/>
  <c r="HV94" i="23"/>
  <c r="HV93" i="23"/>
  <c r="HV99" i="23"/>
  <c r="HV101" i="23"/>
  <c r="HV83" i="23"/>
  <c r="HV90" i="23"/>
  <c r="HV84" i="23"/>
  <c r="HV82" i="23"/>
  <c r="HV80" i="23"/>
  <c r="HV91" i="23"/>
  <c r="HV81" i="23"/>
  <c r="HV79" i="23"/>
  <c r="HV76" i="23"/>
  <c r="HV89" i="23"/>
  <c r="HV88" i="23"/>
  <c r="HV78" i="23"/>
  <c r="HV70" i="23"/>
  <c r="HV96" i="23"/>
  <c r="HV77" i="23"/>
  <c r="HV65" i="23"/>
  <c r="HV92" i="23"/>
  <c r="HV64" i="23"/>
  <c r="HV75" i="23"/>
  <c r="HV67" i="23"/>
  <c r="HV60" i="23"/>
  <c r="HV58" i="23"/>
  <c r="HV87" i="23"/>
  <c r="HV85" i="23"/>
  <c r="HV69" i="23"/>
  <c r="HV62" i="23"/>
  <c r="HV55" i="23"/>
  <c r="HV52" i="23"/>
  <c r="HV61" i="23"/>
  <c r="HV51" i="23"/>
  <c r="HV50" i="23"/>
  <c r="HV48" i="23"/>
  <c r="HV46" i="23"/>
  <c r="HV86" i="23"/>
  <c r="HV66" i="23"/>
  <c r="HV72" i="23"/>
  <c r="HV71" i="23"/>
  <c r="HV54" i="23"/>
  <c r="HV49" i="23"/>
  <c r="HV47" i="23"/>
  <c r="HV73" i="23"/>
  <c r="HV68" i="23"/>
  <c r="HV45" i="23"/>
  <c r="HV40" i="23"/>
  <c r="HV57" i="23"/>
  <c r="HV38" i="23"/>
  <c r="HV36" i="23"/>
  <c r="HV33" i="23"/>
  <c r="HV42" i="23"/>
  <c r="HV32" i="23"/>
  <c r="HV59" i="23"/>
  <c r="HV53" i="23"/>
  <c r="HV44" i="23"/>
  <c r="HV26" i="23"/>
  <c r="HV24" i="23"/>
  <c r="HV37" i="23"/>
  <c r="HV21" i="23"/>
  <c r="HV63" i="23"/>
  <c r="HV56" i="23"/>
  <c r="HV28" i="23"/>
  <c r="HV18" i="23"/>
  <c r="HV41" i="23"/>
  <c r="HV30" i="23"/>
  <c r="HV27" i="23"/>
  <c r="HV25" i="23"/>
  <c r="HV74" i="23"/>
  <c r="HV43" i="23"/>
  <c r="HV35" i="23"/>
  <c r="HV9" i="23"/>
  <c r="HV8" i="23"/>
  <c r="HW2" i="23"/>
  <c r="HV22" i="23"/>
  <c r="HV16" i="23"/>
  <c r="HV14" i="23"/>
  <c r="HV6" i="23"/>
  <c r="HV19" i="23"/>
  <c r="HV11" i="23"/>
  <c r="HV39" i="23"/>
  <c r="HV34" i="23"/>
  <c r="HV31" i="23"/>
  <c r="HV10" i="23"/>
  <c r="HV17" i="23"/>
  <c r="HV29" i="23"/>
  <c r="HV5" i="23"/>
  <c r="HV12" i="23"/>
  <c r="HV4" i="23"/>
  <c r="HV13" i="23"/>
  <c r="HV7" i="23"/>
  <c r="HV20" i="23"/>
  <c r="HV15" i="23"/>
  <c r="HV23" i="23"/>
  <c r="HW129" i="23" l="1"/>
  <c r="HW166" i="23"/>
  <c r="HW200" i="23"/>
  <c r="HW127" i="23"/>
  <c r="HW173" i="23"/>
  <c r="HW141" i="23"/>
  <c r="HW131" i="23"/>
  <c r="HW121" i="23"/>
  <c r="HW149" i="23"/>
  <c r="HW210" i="23"/>
  <c r="HW170" i="23"/>
  <c r="HW164" i="23"/>
  <c r="HW209" i="23"/>
  <c r="HW153" i="23"/>
  <c r="HW189" i="23"/>
  <c r="HW115" i="23"/>
  <c r="HW197" i="23"/>
  <c r="HW194" i="23"/>
  <c r="HW211" i="23"/>
  <c r="HW208" i="23"/>
  <c r="HW206" i="23"/>
  <c r="HW195" i="23"/>
  <c r="HW212" i="23"/>
  <c r="HW184" i="23"/>
  <c r="HW196" i="23"/>
  <c r="HW199" i="23"/>
  <c r="HW182" i="23"/>
  <c r="HW203" i="23"/>
  <c r="HW192" i="23"/>
  <c r="HW198" i="23"/>
  <c r="HW187" i="23"/>
  <c r="HW186" i="23"/>
  <c r="HW201" i="23"/>
  <c r="HW207" i="23"/>
  <c r="HW204" i="23"/>
  <c r="HW171" i="23"/>
  <c r="HW181" i="23"/>
  <c r="HW165" i="23"/>
  <c r="HW177" i="23"/>
  <c r="HW159" i="23"/>
  <c r="HW154" i="23"/>
  <c r="HW193" i="23"/>
  <c r="HW162" i="23"/>
  <c r="HW179" i="23"/>
  <c r="HW157" i="23"/>
  <c r="HW185" i="23"/>
  <c r="HW137" i="23"/>
  <c r="HW160" i="23"/>
  <c r="HW163" i="23"/>
  <c r="HW152" i="23"/>
  <c r="HW183" i="23"/>
  <c r="HW190" i="23"/>
  <c r="HW168" i="23"/>
  <c r="HW172" i="23"/>
  <c r="HW155" i="23"/>
  <c r="HW126" i="23"/>
  <c r="HW135" i="23"/>
  <c r="HW132" i="23"/>
  <c r="HW205" i="23"/>
  <c r="HW151" i="23"/>
  <c r="HW142" i="23"/>
  <c r="HW143" i="23"/>
  <c r="HW145" i="23"/>
  <c r="HW130" i="23"/>
  <c r="HW133" i="23"/>
  <c r="HW174" i="23"/>
  <c r="HW150" i="23"/>
  <c r="HW175" i="23"/>
  <c r="HW161" i="23"/>
  <c r="HW138" i="23"/>
  <c r="HW119" i="23"/>
  <c r="HW178" i="23"/>
  <c r="HW146" i="23"/>
  <c r="HW128" i="23"/>
  <c r="HW134" i="23"/>
  <c r="HW120" i="23"/>
  <c r="HW176" i="23"/>
  <c r="HW124" i="23"/>
  <c r="HW122" i="23"/>
  <c r="HW148" i="23"/>
  <c r="HW140" i="23"/>
  <c r="HW167" i="23"/>
  <c r="HW123" i="23"/>
  <c r="HW188" i="23"/>
  <c r="HW116" i="23"/>
  <c r="HW139" i="23"/>
  <c r="HW144" i="23"/>
  <c r="HW118" i="23"/>
  <c r="HW117" i="23"/>
  <c r="HW156" i="23"/>
  <c r="HW158" i="23"/>
  <c r="HW114" i="23"/>
  <c r="HW136" i="23"/>
  <c r="HW180" i="23"/>
  <c r="HW202" i="23"/>
  <c r="HW147" i="23"/>
  <c r="HW169" i="23"/>
  <c r="HW125" i="23"/>
  <c r="HW191" i="23"/>
  <c r="HW113" i="23"/>
  <c r="HW110" i="23"/>
  <c r="HW112" i="23"/>
  <c r="HW111" i="23"/>
  <c r="HW109" i="23"/>
  <c r="HW107" i="23"/>
  <c r="HW106" i="23"/>
  <c r="HW108" i="23"/>
  <c r="HW105" i="23"/>
  <c r="HW100" i="23"/>
  <c r="HW102" i="23"/>
  <c r="HW101" i="23"/>
  <c r="HW96" i="23"/>
  <c r="HW104" i="23"/>
  <c r="HW99" i="23"/>
  <c r="HW95" i="23"/>
  <c r="HW97" i="23"/>
  <c r="HW103" i="23"/>
  <c r="HW91" i="23"/>
  <c r="HW93" i="23"/>
  <c r="HW88" i="23"/>
  <c r="HW98" i="23"/>
  <c r="HW89" i="23"/>
  <c r="HW90" i="23"/>
  <c r="HW86" i="23"/>
  <c r="HW92" i="23"/>
  <c r="HW94" i="23"/>
  <c r="HW84" i="23"/>
  <c r="HW83" i="23"/>
  <c r="HW78" i="23"/>
  <c r="HW79" i="23"/>
  <c r="HW75" i="23"/>
  <c r="HW85" i="23"/>
  <c r="HW81" i="23"/>
  <c r="HW74" i="23"/>
  <c r="HW80" i="23"/>
  <c r="HW87" i="23"/>
  <c r="HW76" i="23"/>
  <c r="HW68" i="23"/>
  <c r="HW62" i="23"/>
  <c r="HW72" i="23"/>
  <c r="HW69" i="23"/>
  <c r="HW70" i="23"/>
  <c r="HW82" i="23"/>
  <c r="HW71" i="23"/>
  <c r="HW63" i="23"/>
  <c r="HW59" i="23"/>
  <c r="HW57" i="23"/>
  <c r="HW77" i="23"/>
  <c r="HW66" i="23"/>
  <c r="HW65" i="23"/>
  <c r="HW56" i="23"/>
  <c r="HW64" i="23"/>
  <c r="HW61" i="23"/>
  <c r="HW51" i="23"/>
  <c r="HW53" i="23"/>
  <c r="HW52" i="23"/>
  <c r="HW45" i="23"/>
  <c r="HW73" i="23"/>
  <c r="HW67" i="23"/>
  <c r="HW60" i="23"/>
  <c r="HW44" i="23"/>
  <c r="HW49" i="23"/>
  <c r="HW38" i="23"/>
  <c r="HW36" i="23"/>
  <c r="HW50" i="23"/>
  <c r="HW33" i="23"/>
  <c r="HW58" i="23"/>
  <c r="HW41" i="23"/>
  <c r="HW30" i="23"/>
  <c r="HW55" i="23"/>
  <c r="HW43" i="23"/>
  <c r="HW39" i="23"/>
  <c r="HW54" i="23"/>
  <c r="HW42" i="23"/>
  <c r="HW37" i="23"/>
  <c r="HW21" i="23"/>
  <c r="HW28" i="23"/>
  <c r="HW18" i="23"/>
  <c r="HW35" i="23"/>
  <c r="HW34" i="23"/>
  <c r="HW23" i="23"/>
  <c r="HW46" i="23"/>
  <c r="HW31" i="23"/>
  <c r="HW22" i="23"/>
  <c r="HW32" i="23"/>
  <c r="HW16" i="23"/>
  <c r="HW14" i="23"/>
  <c r="HW6" i="23"/>
  <c r="HW15" i="23"/>
  <c r="HW13" i="23"/>
  <c r="HW19" i="23"/>
  <c r="HW11" i="23"/>
  <c r="HW5" i="23"/>
  <c r="HW25" i="23"/>
  <c r="HW8" i="23"/>
  <c r="HX2" i="23"/>
  <c r="HW27" i="23"/>
  <c r="HW40" i="23"/>
  <c r="HW17" i="23"/>
  <c r="HW7" i="23"/>
  <c r="HW29" i="23"/>
  <c r="HW24" i="23"/>
  <c r="HW20" i="23"/>
  <c r="HW12" i="23"/>
  <c r="HW4" i="23"/>
  <c r="HW26" i="23"/>
  <c r="HW48" i="23"/>
  <c r="HW9" i="23"/>
  <c r="HW10" i="23"/>
  <c r="HW47" i="23"/>
  <c r="HX129" i="23" l="1"/>
  <c r="HX200" i="23"/>
  <c r="HX185" i="23"/>
  <c r="HX201" i="23"/>
  <c r="HX115" i="23"/>
  <c r="HX151" i="23"/>
  <c r="HX170" i="23"/>
  <c r="HX133" i="23"/>
  <c r="HX149" i="23"/>
  <c r="HX127" i="23"/>
  <c r="HX144" i="23"/>
  <c r="HX138" i="23"/>
  <c r="HX122" i="23"/>
  <c r="HX193" i="23"/>
  <c r="HX143" i="23"/>
  <c r="HX164" i="23"/>
  <c r="HX203" i="23"/>
  <c r="HX146" i="23"/>
  <c r="HX206" i="23"/>
  <c r="HX207" i="23"/>
  <c r="HX157" i="23"/>
  <c r="HX205" i="23"/>
  <c r="HX189" i="23"/>
  <c r="HX209" i="23"/>
  <c r="HX212" i="23"/>
  <c r="HX210" i="23"/>
  <c r="HX192" i="23"/>
  <c r="HX190" i="23"/>
  <c r="HX211" i="23"/>
  <c r="HX195" i="23"/>
  <c r="HX198" i="23"/>
  <c r="HX194" i="23"/>
  <c r="HX197" i="23"/>
  <c r="HX199" i="23"/>
  <c r="HX176" i="23"/>
  <c r="HX204" i="23"/>
  <c r="HX181" i="23"/>
  <c r="HX187" i="23"/>
  <c r="HX134" i="23"/>
  <c r="HX184" i="23"/>
  <c r="HX172" i="23"/>
  <c r="HX182" i="23"/>
  <c r="HX196" i="23"/>
  <c r="HX186" i="23"/>
  <c r="HX183" i="23"/>
  <c r="HX171" i="23"/>
  <c r="HX174" i="23"/>
  <c r="HX173" i="23"/>
  <c r="HX179" i="23"/>
  <c r="HX159" i="23"/>
  <c r="HX165" i="23"/>
  <c r="HX188" i="23"/>
  <c r="HX161" i="23"/>
  <c r="HX167" i="23"/>
  <c r="HX148" i="23"/>
  <c r="HX150" i="23"/>
  <c r="HX162" i="23"/>
  <c r="HX168" i="23"/>
  <c r="HX153" i="23"/>
  <c r="HX155" i="23"/>
  <c r="HX137" i="23"/>
  <c r="HX156" i="23"/>
  <c r="HX142" i="23"/>
  <c r="HX208" i="23"/>
  <c r="HX166" i="23"/>
  <c r="HX145" i="23"/>
  <c r="HX126" i="23"/>
  <c r="HX175" i="23"/>
  <c r="HX152" i="23"/>
  <c r="HX177" i="23"/>
  <c r="HX139" i="23"/>
  <c r="HX116" i="23"/>
  <c r="HX123" i="23"/>
  <c r="HX131" i="23"/>
  <c r="HX160" i="23"/>
  <c r="HX140" i="23"/>
  <c r="HX132" i="23"/>
  <c r="HX178" i="23"/>
  <c r="HX163" i="23"/>
  <c r="HX141" i="23"/>
  <c r="HX124" i="23"/>
  <c r="HX130" i="23"/>
  <c r="HX135" i="23"/>
  <c r="HX118" i="23"/>
  <c r="HX120" i="23"/>
  <c r="HX128" i="23"/>
  <c r="HX154" i="23"/>
  <c r="HX121" i="23"/>
  <c r="HX119" i="23"/>
  <c r="HX117" i="23"/>
  <c r="HX147" i="23"/>
  <c r="HX158" i="23"/>
  <c r="HX202" i="23"/>
  <c r="HX125" i="23"/>
  <c r="HX180" i="23"/>
  <c r="HX114" i="23"/>
  <c r="HX136" i="23"/>
  <c r="HX169" i="23"/>
  <c r="HX191" i="23"/>
  <c r="HX111" i="23"/>
  <c r="HX113" i="23"/>
  <c r="HX110" i="23"/>
  <c r="HX107" i="23"/>
  <c r="HX108" i="23"/>
  <c r="HX105" i="23"/>
  <c r="HX103" i="23"/>
  <c r="HX101" i="23"/>
  <c r="HX109" i="23"/>
  <c r="HX112" i="23"/>
  <c r="HX98" i="23"/>
  <c r="HX97" i="23"/>
  <c r="HX100" i="23"/>
  <c r="HX93" i="23"/>
  <c r="HX92" i="23"/>
  <c r="HX99" i="23"/>
  <c r="HX89" i="23"/>
  <c r="HX104" i="23"/>
  <c r="HX102" i="23"/>
  <c r="HX88" i="23"/>
  <c r="HX96" i="23"/>
  <c r="HX94" i="23"/>
  <c r="HX86" i="23"/>
  <c r="HX106" i="23"/>
  <c r="HX95" i="23"/>
  <c r="HX90" i="23"/>
  <c r="HX85" i="23"/>
  <c r="HX87" i="23"/>
  <c r="HX83" i="23"/>
  <c r="HX78" i="23"/>
  <c r="HX91" i="23"/>
  <c r="HX79" i="23"/>
  <c r="HX75" i="23"/>
  <c r="HX72" i="23"/>
  <c r="HX82" i="23"/>
  <c r="HX80" i="23"/>
  <c r="HX71" i="23"/>
  <c r="HX69" i="23"/>
  <c r="HX76" i="23"/>
  <c r="HX68" i="23"/>
  <c r="HX81" i="23"/>
  <c r="HX70" i="23"/>
  <c r="HX67" i="23"/>
  <c r="HX77" i="23"/>
  <c r="HX73" i="23"/>
  <c r="HX66" i="23"/>
  <c r="HX62" i="23"/>
  <c r="HX63" i="23"/>
  <c r="HX59" i="23"/>
  <c r="HX57" i="23"/>
  <c r="HX54" i="23"/>
  <c r="HX53" i="23"/>
  <c r="HX84" i="23"/>
  <c r="HX64" i="23"/>
  <c r="HX61" i="23"/>
  <c r="HX51" i="23"/>
  <c r="HX52" i="23"/>
  <c r="HX58" i="23"/>
  <c r="HX42" i="23"/>
  <c r="HX74" i="23"/>
  <c r="HX56" i="23"/>
  <c r="HX55" i="23"/>
  <c r="HX41" i="23"/>
  <c r="HX50" i="23"/>
  <c r="HX30" i="23"/>
  <c r="HX46" i="23"/>
  <c r="HX37" i="23"/>
  <c r="HX35" i="23"/>
  <c r="HX44" i="23"/>
  <c r="HX34" i="23"/>
  <c r="HX65" i="23"/>
  <c r="HX28" i="23"/>
  <c r="HX18" i="23"/>
  <c r="HX23" i="23"/>
  <c r="HX39" i="23"/>
  <c r="HX20" i="23"/>
  <c r="HX36" i="23"/>
  <c r="HX29" i="23"/>
  <c r="HX19" i="23"/>
  <c r="HX22" i="23"/>
  <c r="HX11" i="23"/>
  <c r="HX60" i="23"/>
  <c r="HX49" i="23"/>
  <c r="HX25" i="23"/>
  <c r="HX8" i="23"/>
  <c r="HY2" i="23"/>
  <c r="HX10" i="23"/>
  <c r="HX33" i="23"/>
  <c r="HX27" i="23"/>
  <c r="HX15" i="23"/>
  <c r="HX13" i="23"/>
  <c r="HX5" i="23"/>
  <c r="HX48" i="23"/>
  <c r="HX45" i="23"/>
  <c r="HX24" i="23"/>
  <c r="HX12" i="23"/>
  <c r="HX4" i="23"/>
  <c r="HX47" i="23"/>
  <c r="HX26" i="23"/>
  <c r="HX32" i="23"/>
  <c r="HX16" i="23"/>
  <c r="HX6" i="23"/>
  <c r="HX7" i="23"/>
  <c r="HX38" i="23"/>
  <c r="HX21" i="23"/>
  <c r="HX9" i="23"/>
  <c r="HX14" i="23"/>
  <c r="HX40" i="23"/>
  <c r="HX31" i="23"/>
  <c r="HX17" i="23"/>
  <c r="HX43" i="23"/>
  <c r="HY124" i="23" l="1"/>
  <c r="HY139" i="23"/>
  <c r="HY146" i="23"/>
  <c r="HY210" i="23"/>
  <c r="HY135" i="23"/>
  <c r="HY190" i="23"/>
  <c r="HY189" i="23"/>
  <c r="HY164" i="23"/>
  <c r="HY186" i="23"/>
  <c r="HY144" i="23"/>
  <c r="HY152" i="23"/>
  <c r="HY117" i="23"/>
  <c r="HY171" i="23"/>
  <c r="HY193" i="23"/>
  <c r="HY175" i="23"/>
  <c r="HY173" i="23"/>
  <c r="HY203" i="23"/>
  <c r="HY201" i="23"/>
  <c r="HY209" i="23"/>
  <c r="HY204" i="23"/>
  <c r="HY206" i="23"/>
  <c r="HY159" i="23"/>
  <c r="HY208" i="23"/>
  <c r="HY205" i="23"/>
  <c r="HY195" i="23"/>
  <c r="HY192" i="23"/>
  <c r="HY211" i="23"/>
  <c r="HY207" i="23"/>
  <c r="HY183" i="23"/>
  <c r="HY198" i="23"/>
  <c r="HY181" i="23"/>
  <c r="HY199" i="23"/>
  <c r="HY197" i="23"/>
  <c r="HY185" i="23"/>
  <c r="HY212" i="23"/>
  <c r="HY196" i="23"/>
  <c r="HY194" i="23"/>
  <c r="HY179" i="23"/>
  <c r="HY167" i="23"/>
  <c r="HY168" i="23"/>
  <c r="HY166" i="23"/>
  <c r="HY172" i="23"/>
  <c r="HY170" i="23"/>
  <c r="HY178" i="23"/>
  <c r="HY162" i="23"/>
  <c r="HY165" i="23"/>
  <c r="HY156" i="23"/>
  <c r="HY148" i="23"/>
  <c r="HY157" i="23"/>
  <c r="HY184" i="23"/>
  <c r="HY182" i="23"/>
  <c r="HY176" i="23"/>
  <c r="HY150" i="23"/>
  <c r="HY140" i="23"/>
  <c r="HY151" i="23"/>
  <c r="HY153" i="23"/>
  <c r="HY174" i="23"/>
  <c r="HY145" i="23"/>
  <c r="HY200" i="23"/>
  <c r="HY187" i="23"/>
  <c r="HY163" i="23"/>
  <c r="HY149" i="23"/>
  <c r="HY131" i="23"/>
  <c r="HY155" i="23"/>
  <c r="HY126" i="23"/>
  <c r="HY138" i="23"/>
  <c r="HY121" i="23"/>
  <c r="HY137" i="23"/>
  <c r="HY154" i="23"/>
  <c r="HY120" i="23"/>
  <c r="HY188" i="23"/>
  <c r="HY142" i="23"/>
  <c r="HY143" i="23"/>
  <c r="HY119" i="23"/>
  <c r="HY141" i="23"/>
  <c r="HY129" i="23"/>
  <c r="HY134" i="23"/>
  <c r="HY118" i="23"/>
  <c r="HY123" i="23"/>
  <c r="HY160" i="23"/>
  <c r="HY133" i="23"/>
  <c r="HY122" i="23"/>
  <c r="HY161" i="23"/>
  <c r="HY130" i="23"/>
  <c r="HY177" i="23"/>
  <c r="HY127" i="23"/>
  <c r="HY115" i="23"/>
  <c r="HY116" i="23"/>
  <c r="HY128" i="23"/>
  <c r="HY132" i="23"/>
  <c r="HY125" i="23"/>
  <c r="HY114" i="23"/>
  <c r="HY136" i="23"/>
  <c r="HY158" i="23"/>
  <c r="HY147" i="23"/>
  <c r="HY180" i="23"/>
  <c r="HY202" i="23"/>
  <c r="HY169" i="23"/>
  <c r="HY191" i="23"/>
  <c r="HY113" i="23"/>
  <c r="HY111" i="23"/>
  <c r="HY112" i="23"/>
  <c r="HY109" i="23"/>
  <c r="HY107" i="23"/>
  <c r="HY106" i="23"/>
  <c r="HY110" i="23"/>
  <c r="HY108" i="23"/>
  <c r="HY105" i="23"/>
  <c r="HY104" i="23"/>
  <c r="HY103" i="23"/>
  <c r="HY102" i="23"/>
  <c r="HY101" i="23"/>
  <c r="HY100" i="23"/>
  <c r="HY99" i="23"/>
  <c r="HY98" i="23"/>
  <c r="HY94" i="23"/>
  <c r="HY93" i="23"/>
  <c r="HY96" i="23"/>
  <c r="HY97" i="23"/>
  <c r="HY92" i="23"/>
  <c r="HY91" i="23"/>
  <c r="HY90" i="23"/>
  <c r="HY95" i="23"/>
  <c r="HY87" i="23"/>
  <c r="HY86" i="23"/>
  <c r="HY81" i="23"/>
  <c r="HY89" i="23"/>
  <c r="HY83" i="23"/>
  <c r="HY88" i="23"/>
  <c r="HY79" i="23"/>
  <c r="HY77" i="23"/>
  <c r="HY76" i="23"/>
  <c r="HY68" i="23"/>
  <c r="HY70" i="23"/>
  <c r="HY71" i="23"/>
  <c r="HY64" i="23"/>
  <c r="HY85" i="23"/>
  <c r="HY84" i="23"/>
  <c r="HY74" i="23"/>
  <c r="HY63" i="23"/>
  <c r="HY69" i="23"/>
  <c r="HY59" i="23"/>
  <c r="HY57" i="23"/>
  <c r="HY82" i="23"/>
  <c r="HY80" i="23"/>
  <c r="HY73" i="23"/>
  <c r="HY61" i="23"/>
  <c r="HY51" i="23"/>
  <c r="HY60" i="23"/>
  <c r="HY58" i="23"/>
  <c r="HY50" i="23"/>
  <c r="HY78" i="23"/>
  <c r="HY66" i="23"/>
  <c r="HY52" i="23"/>
  <c r="HY75" i="23"/>
  <c r="HY53" i="23"/>
  <c r="HY62" i="23"/>
  <c r="HY49" i="23"/>
  <c r="HY47" i="23"/>
  <c r="HY48" i="23"/>
  <c r="HY46" i="23"/>
  <c r="HY72" i="23"/>
  <c r="HY41" i="23"/>
  <c r="HY37" i="23"/>
  <c r="HY35" i="23"/>
  <c r="HY32" i="23"/>
  <c r="HY54" i="23"/>
  <c r="HY40" i="23"/>
  <c r="HY31" i="23"/>
  <c r="HY55" i="23"/>
  <c r="HY23" i="23"/>
  <c r="HY56" i="23"/>
  <c r="HY39" i="23"/>
  <c r="HY34" i="23"/>
  <c r="HY20" i="23"/>
  <c r="HY43" i="23"/>
  <c r="HY33" i="23"/>
  <c r="HY27" i="23"/>
  <c r="HY25" i="23"/>
  <c r="HY38" i="23"/>
  <c r="HY26" i="23"/>
  <c r="HY24" i="23"/>
  <c r="HY67" i="23"/>
  <c r="HY30" i="23"/>
  <c r="HY28" i="23"/>
  <c r="HY19" i="23"/>
  <c r="HY8" i="23"/>
  <c r="HZ2" i="23"/>
  <c r="HY7" i="23"/>
  <c r="HY44" i="23"/>
  <c r="HY15" i="23"/>
  <c r="HY13" i="23"/>
  <c r="HY5" i="23"/>
  <c r="HY17" i="23"/>
  <c r="HY65" i="23"/>
  <c r="HY45" i="23"/>
  <c r="HY10" i="23"/>
  <c r="HY21" i="23"/>
  <c r="HY18" i="23"/>
  <c r="HY36" i="23"/>
  <c r="HY29" i="23"/>
  <c r="HY9" i="23"/>
  <c r="HY16" i="23"/>
  <c r="HY14" i="23"/>
  <c r="HY12" i="23"/>
  <c r="HY4" i="23"/>
  <c r="HY11" i="23"/>
  <c r="HY6" i="23"/>
  <c r="HY42" i="23"/>
  <c r="HY22" i="23"/>
  <c r="HZ133" i="23" l="1"/>
  <c r="HZ115" i="23"/>
  <c r="HZ134" i="23"/>
  <c r="HZ124" i="23"/>
  <c r="HZ131" i="23"/>
  <c r="HZ117" i="23"/>
  <c r="HZ139" i="23"/>
  <c r="HZ152" i="23"/>
  <c r="HZ201" i="23"/>
  <c r="HZ164" i="23"/>
  <c r="HZ157" i="23"/>
  <c r="HZ198" i="23"/>
  <c r="HZ209" i="23"/>
  <c r="HZ205" i="23"/>
  <c r="HZ207" i="23"/>
  <c r="HZ168" i="23"/>
  <c r="HZ206" i="23"/>
  <c r="HZ211" i="23"/>
  <c r="HZ204" i="23"/>
  <c r="HZ188" i="23"/>
  <c r="HZ194" i="23"/>
  <c r="HZ192" i="23"/>
  <c r="HZ208" i="23"/>
  <c r="HZ212" i="23"/>
  <c r="HZ193" i="23"/>
  <c r="HZ196" i="23"/>
  <c r="HZ203" i="23"/>
  <c r="HZ195" i="23"/>
  <c r="HZ186" i="23"/>
  <c r="HZ197" i="23"/>
  <c r="HZ199" i="23"/>
  <c r="HZ182" i="23"/>
  <c r="HZ184" i="23"/>
  <c r="HZ172" i="23"/>
  <c r="HZ181" i="23"/>
  <c r="HZ200" i="23"/>
  <c r="HZ174" i="23"/>
  <c r="HZ175" i="23"/>
  <c r="HZ176" i="23"/>
  <c r="HZ171" i="23"/>
  <c r="HZ173" i="23"/>
  <c r="HZ161" i="23"/>
  <c r="HZ167" i="23"/>
  <c r="HZ210" i="23"/>
  <c r="HZ187" i="23"/>
  <c r="HZ162" i="23"/>
  <c r="HZ165" i="23"/>
  <c r="HZ160" i="23"/>
  <c r="HZ155" i="23"/>
  <c r="HZ177" i="23"/>
  <c r="HZ159" i="23"/>
  <c r="HZ150" i="23"/>
  <c r="HZ156" i="23"/>
  <c r="HZ183" i="23"/>
  <c r="HZ190" i="23"/>
  <c r="HZ163" i="23"/>
  <c r="HZ179" i="23"/>
  <c r="HZ178" i="23"/>
  <c r="HZ142" i="23"/>
  <c r="HZ189" i="23"/>
  <c r="HZ166" i="23"/>
  <c r="HZ148" i="23"/>
  <c r="HZ149" i="23"/>
  <c r="HZ153" i="23"/>
  <c r="HZ141" i="23"/>
  <c r="HZ140" i="23"/>
  <c r="HZ145" i="23"/>
  <c r="HZ146" i="23"/>
  <c r="HZ135" i="23"/>
  <c r="HZ137" i="23"/>
  <c r="HZ138" i="23"/>
  <c r="HZ121" i="23"/>
  <c r="HZ130" i="23"/>
  <c r="HZ144" i="23"/>
  <c r="HZ123" i="23"/>
  <c r="HZ185" i="23"/>
  <c r="HZ127" i="23"/>
  <c r="HZ132" i="23"/>
  <c r="HZ120" i="23"/>
  <c r="HZ126" i="23"/>
  <c r="HZ129" i="23"/>
  <c r="HZ170" i="23"/>
  <c r="HZ151" i="23"/>
  <c r="HZ143" i="23"/>
  <c r="HZ119" i="23"/>
  <c r="HZ122" i="23"/>
  <c r="HZ118" i="23"/>
  <c r="HZ154" i="23"/>
  <c r="HZ128" i="23"/>
  <c r="HZ116" i="23"/>
  <c r="HZ191" i="23"/>
  <c r="HZ158" i="23"/>
  <c r="HZ114" i="23"/>
  <c r="HZ147" i="23"/>
  <c r="HZ125" i="23"/>
  <c r="HZ169" i="23"/>
  <c r="HZ202" i="23"/>
  <c r="HZ180" i="23"/>
  <c r="HZ136" i="23"/>
  <c r="HZ113" i="23"/>
  <c r="HZ112" i="23"/>
  <c r="HZ110" i="23"/>
  <c r="HZ109" i="23"/>
  <c r="HZ108" i="23"/>
  <c r="HZ111" i="23"/>
  <c r="HZ106" i="23"/>
  <c r="HZ105" i="23"/>
  <c r="HZ104" i="23"/>
  <c r="HZ102" i="23"/>
  <c r="HZ107" i="23"/>
  <c r="HZ99" i="23"/>
  <c r="HZ101" i="23"/>
  <c r="HZ98" i="23"/>
  <c r="HZ95" i="23"/>
  <c r="HZ94" i="23"/>
  <c r="HZ91" i="23"/>
  <c r="HZ90" i="23"/>
  <c r="HZ100" i="23"/>
  <c r="HZ97" i="23"/>
  <c r="HZ96" i="23"/>
  <c r="HZ92" i="23"/>
  <c r="HZ103" i="23"/>
  <c r="HZ87" i="23"/>
  <c r="HZ93" i="23"/>
  <c r="HZ86" i="23"/>
  <c r="HZ88" i="23"/>
  <c r="HZ89" i="23"/>
  <c r="HZ77" i="23"/>
  <c r="HZ74" i="23"/>
  <c r="HZ84" i="23"/>
  <c r="HZ73" i="23"/>
  <c r="HZ83" i="23"/>
  <c r="HZ76" i="23"/>
  <c r="HZ70" i="23"/>
  <c r="HZ81" i="23"/>
  <c r="HZ71" i="23"/>
  <c r="HZ78" i="23"/>
  <c r="HZ75" i="23"/>
  <c r="HZ82" i="23"/>
  <c r="HZ85" i="23"/>
  <c r="HZ63" i="23"/>
  <c r="HZ80" i="23"/>
  <c r="HZ61" i="23"/>
  <c r="HZ68" i="23"/>
  <c r="HZ65" i="23"/>
  <c r="HZ64" i="23"/>
  <c r="HZ56" i="23"/>
  <c r="HZ72" i="23"/>
  <c r="HZ67" i="23"/>
  <c r="HZ55" i="23"/>
  <c r="HZ79" i="23"/>
  <c r="HZ53" i="23"/>
  <c r="HZ62" i="23"/>
  <c r="HZ58" i="23"/>
  <c r="HZ49" i="23"/>
  <c r="HZ47" i="23"/>
  <c r="HZ54" i="23"/>
  <c r="HZ44" i="23"/>
  <c r="HZ59" i="23"/>
  <c r="HZ50" i="23"/>
  <c r="HZ43" i="23"/>
  <c r="HZ57" i="23"/>
  <c r="HZ52" i="23"/>
  <c r="HZ41" i="23"/>
  <c r="HZ37" i="23"/>
  <c r="HZ46" i="23"/>
  <c r="HZ32" i="23"/>
  <c r="HZ48" i="23"/>
  <c r="HZ42" i="23"/>
  <c r="HZ39" i="23"/>
  <c r="HZ60" i="23"/>
  <c r="HZ51" i="23"/>
  <c r="HZ45" i="23"/>
  <c r="HZ38" i="23"/>
  <c r="HZ36" i="23"/>
  <c r="HZ69" i="23"/>
  <c r="HZ66" i="23"/>
  <c r="HZ34" i="23"/>
  <c r="HZ20" i="23"/>
  <c r="HZ35" i="23"/>
  <c r="HZ33" i="23"/>
  <c r="HZ27" i="23"/>
  <c r="HZ25" i="23"/>
  <c r="HZ40" i="23"/>
  <c r="HZ22" i="23"/>
  <c r="HZ21" i="23"/>
  <c r="HZ15" i="23"/>
  <c r="HZ13" i="23"/>
  <c r="HZ5" i="23"/>
  <c r="HZ31" i="23"/>
  <c r="HZ12" i="23"/>
  <c r="HZ10" i="23"/>
  <c r="HZ4" i="23"/>
  <c r="HZ18" i="23"/>
  <c r="HZ17" i="23"/>
  <c r="HZ7" i="23"/>
  <c r="HZ26" i="23"/>
  <c r="HZ16" i="23"/>
  <c r="HZ14" i="23"/>
  <c r="HZ6" i="23"/>
  <c r="HZ23" i="23"/>
  <c r="HZ11" i="23"/>
  <c r="HZ28" i="23"/>
  <c r="HZ9" i="23"/>
  <c r="HZ30" i="23"/>
  <c r="HZ19" i="23"/>
  <c r="HZ8" i="23"/>
  <c r="IA2" i="23"/>
  <c r="HZ29" i="23"/>
  <c r="HZ24" i="23"/>
  <c r="IA145" i="23" l="1"/>
  <c r="IA207" i="23"/>
  <c r="IA128" i="23"/>
  <c r="IA173" i="23"/>
  <c r="IA175" i="23"/>
  <c r="IA181" i="23"/>
  <c r="IA178" i="23"/>
  <c r="IA146" i="23"/>
  <c r="IA192" i="23"/>
  <c r="IA149" i="23"/>
  <c r="IA127" i="23"/>
  <c r="IA210" i="23"/>
  <c r="IA121" i="23"/>
  <c r="IA148" i="23"/>
  <c r="IA129" i="23"/>
  <c r="IA185" i="23"/>
  <c r="IA197" i="23"/>
  <c r="IA193" i="23"/>
  <c r="IA166" i="23"/>
  <c r="IA203" i="23"/>
  <c r="IA209" i="23"/>
  <c r="IA204" i="23"/>
  <c r="IA205" i="23"/>
  <c r="IA212" i="23"/>
  <c r="IA208" i="23"/>
  <c r="IA195" i="23"/>
  <c r="IA198" i="23"/>
  <c r="IA196" i="23"/>
  <c r="IA194" i="23"/>
  <c r="IA184" i="23"/>
  <c r="IA186" i="23"/>
  <c r="IA206" i="23"/>
  <c r="IA199" i="23"/>
  <c r="IA201" i="23"/>
  <c r="IA183" i="23"/>
  <c r="IA190" i="23"/>
  <c r="IA174" i="23"/>
  <c r="IA200" i="23"/>
  <c r="IA187" i="23"/>
  <c r="IA189" i="23"/>
  <c r="IA177" i="23"/>
  <c r="IA172" i="23"/>
  <c r="IA161" i="23"/>
  <c r="IA156" i="23"/>
  <c r="IA211" i="23"/>
  <c r="IA167" i="23"/>
  <c r="IA150" i="23"/>
  <c r="IA154" i="23"/>
  <c r="IA176" i="23"/>
  <c r="IA179" i="23"/>
  <c r="IA160" i="23"/>
  <c r="IA152" i="23"/>
  <c r="IA157" i="23"/>
  <c r="IA164" i="23"/>
  <c r="IA155" i="23"/>
  <c r="IA140" i="23"/>
  <c r="IA170" i="23"/>
  <c r="IA168" i="23"/>
  <c r="IA163" i="23"/>
  <c r="IA142" i="23"/>
  <c r="IA188" i="23"/>
  <c r="IA171" i="23"/>
  <c r="IA159" i="23"/>
  <c r="IA137" i="23"/>
  <c r="IA135" i="23"/>
  <c r="IA132" i="23"/>
  <c r="IA134" i="23"/>
  <c r="IA131" i="23"/>
  <c r="IA153" i="23"/>
  <c r="IA138" i="23"/>
  <c r="IA143" i="23"/>
  <c r="IA126" i="23"/>
  <c r="IA130" i="23"/>
  <c r="IA144" i="23"/>
  <c r="IA115" i="23"/>
  <c r="IA117" i="23"/>
  <c r="IA151" i="23"/>
  <c r="IA122" i="23"/>
  <c r="IA119" i="23"/>
  <c r="IA123" i="23"/>
  <c r="IA139" i="23"/>
  <c r="IA133" i="23"/>
  <c r="IA120" i="23"/>
  <c r="IA162" i="23"/>
  <c r="IA165" i="23"/>
  <c r="IA141" i="23"/>
  <c r="IA124" i="23"/>
  <c r="IA118" i="23"/>
  <c r="IA182" i="23"/>
  <c r="IA116" i="23"/>
  <c r="IA147" i="23"/>
  <c r="IA125" i="23"/>
  <c r="IA180" i="23"/>
  <c r="IA169" i="23"/>
  <c r="IA114" i="23"/>
  <c r="IA158" i="23"/>
  <c r="IA136" i="23"/>
  <c r="IA191" i="23"/>
  <c r="IA202" i="23"/>
  <c r="IA113" i="23"/>
  <c r="IA111" i="23"/>
  <c r="IA106" i="23"/>
  <c r="IA112" i="23"/>
  <c r="IA110" i="23"/>
  <c r="IA100" i="23"/>
  <c r="IA108" i="23"/>
  <c r="IA109" i="23"/>
  <c r="IA101" i="23"/>
  <c r="IA105" i="23"/>
  <c r="IA103" i="23"/>
  <c r="IA99" i="23"/>
  <c r="IA98" i="23"/>
  <c r="IA94" i="23"/>
  <c r="IA107" i="23"/>
  <c r="IA95" i="23"/>
  <c r="IA97" i="23"/>
  <c r="IA92" i="23"/>
  <c r="IA96" i="23"/>
  <c r="IA102" i="23"/>
  <c r="IA89" i="23"/>
  <c r="IA85" i="23"/>
  <c r="IA104" i="23"/>
  <c r="IA84" i="23"/>
  <c r="IA87" i="23"/>
  <c r="IA88" i="23"/>
  <c r="IA82" i="23"/>
  <c r="IA80" i="23"/>
  <c r="IA91" i="23"/>
  <c r="IA90" i="23"/>
  <c r="IA77" i="23"/>
  <c r="IA81" i="23"/>
  <c r="IA71" i="23"/>
  <c r="IA78" i="23"/>
  <c r="IA70" i="23"/>
  <c r="IA68" i="23"/>
  <c r="IA75" i="23"/>
  <c r="IA86" i="23"/>
  <c r="IA72" i="23"/>
  <c r="IA69" i="23"/>
  <c r="IA66" i="23"/>
  <c r="IA79" i="23"/>
  <c r="IA65" i="23"/>
  <c r="IA61" i="23"/>
  <c r="IA73" i="23"/>
  <c r="IA64" i="23"/>
  <c r="IA56" i="23"/>
  <c r="IA83" i="23"/>
  <c r="IA53" i="23"/>
  <c r="IA93" i="23"/>
  <c r="IA76" i="23"/>
  <c r="IA74" i="23"/>
  <c r="IA62" i="23"/>
  <c r="IA52" i="23"/>
  <c r="IA58" i="23"/>
  <c r="IA49" i="23"/>
  <c r="IA47" i="23"/>
  <c r="IA54" i="23"/>
  <c r="IA60" i="23"/>
  <c r="IA57" i="23"/>
  <c r="IA41" i="23"/>
  <c r="IA63" i="23"/>
  <c r="IA40" i="23"/>
  <c r="IA46" i="23"/>
  <c r="IA48" i="23"/>
  <c r="IA42" i="23"/>
  <c r="IA39" i="23"/>
  <c r="IA43" i="23"/>
  <c r="IA34" i="23"/>
  <c r="IA33" i="23"/>
  <c r="IA59" i="23"/>
  <c r="IA67" i="23"/>
  <c r="IA35" i="23"/>
  <c r="IA27" i="23"/>
  <c r="IA25" i="23"/>
  <c r="IA22" i="23"/>
  <c r="IA55" i="23"/>
  <c r="IA45" i="23"/>
  <c r="IA32" i="23"/>
  <c r="IA31" i="23"/>
  <c r="IA30" i="23"/>
  <c r="IA29" i="23"/>
  <c r="IA19" i="23"/>
  <c r="IA28" i="23"/>
  <c r="IA18" i="23"/>
  <c r="IA44" i="23"/>
  <c r="IA10" i="23"/>
  <c r="IA9" i="23"/>
  <c r="IA17" i="23"/>
  <c r="IA7" i="23"/>
  <c r="IA24" i="23"/>
  <c r="IA21" i="23"/>
  <c r="IA12" i="23"/>
  <c r="IA4" i="23"/>
  <c r="IA51" i="23"/>
  <c r="IA37" i="23"/>
  <c r="IA23" i="23"/>
  <c r="IA20" i="23"/>
  <c r="IA11" i="23"/>
  <c r="IA50" i="23"/>
  <c r="IA38" i="23"/>
  <c r="IA26" i="23"/>
  <c r="IA36" i="23"/>
  <c r="IA13" i="23"/>
  <c r="IA5" i="23"/>
  <c r="IA14" i="23"/>
  <c r="IA16" i="23"/>
  <c r="IA15" i="23"/>
  <c r="IA8" i="23"/>
  <c r="IB2" i="23"/>
  <c r="IA6" i="23"/>
  <c r="IB121" i="23" l="1"/>
  <c r="IB128" i="23"/>
  <c r="IB122" i="23"/>
  <c r="IB197" i="23"/>
  <c r="IB129" i="23"/>
  <c r="IB115" i="23"/>
  <c r="IB142" i="23"/>
  <c r="IB212" i="23"/>
  <c r="IB131" i="23"/>
  <c r="IB145" i="23"/>
  <c r="IB164" i="23"/>
  <c r="IB170" i="23"/>
  <c r="IB166" i="23"/>
  <c r="IB157" i="23"/>
  <c r="IB176" i="23"/>
  <c r="IB149" i="23"/>
  <c r="IB204" i="23"/>
  <c r="IB134" i="23"/>
  <c r="IB127" i="23"/>
  <c r="IB194" i="23"/>
  <c r="IB200" i="23"/>
  <c r="IB211" i="23"/>
  <c r="IB208" i="23"/>
  <c r="IB189" i="23"/>
  <c r="IB209" i="23"/>
  <c r="IB206" i="23"/>
  <c r="IB192" i="23"/>
  <c r="IB199" i="23"/>
  <c r="IB203" i="23"/>
  <c r="IB195" i="23"/>
  <c r="IB196" i="23"/>
  <c r="IB201" i="23"/>
  <c r="IB210" i="23"/>
  <c r="IB198" i="23"/>
  <c r="IB184" i="23"/>
  <c r="IB205" i="23"/>
  <c r="IB207" i="23"/>
  <c r="IB188" i="23"/>
  <c r="IB190" i="23"/>
  <c r="IB172" i="23"/>
  <c r="IB186" i="23"/>
  <c r="IB183" i="23"/>
  <c r="IB171" i="23"/>
  <c r="IB178" i="23"/>
  <c r="IB163" i="23"/>
  <c r="IB155" i="23"/>
  <c r="IB167" i="23"/>
  <c r="IB177" i="23"/>
  <c r="IB162" i="23"/>
  <c r="IB165" i="23"/>
  <c r="IB179" i="23"/>
  <c r="IB160" i="23"/>
  <c r="IB137" i="23"/>
  <c r="IB185" i="23"/>
  <c r="IB173" i="23"/>
  <c r="IB161" i="23"/>
  <c r="IB153" i="23"/>
  <c r="IB148" i="23"/>
  <c r="IB151" i="23"/>
  <c r="IB139" i="23"/>
  <c r="IB187" i="23"/>
  <c r="IB141" i="23"/>
  <c r="IB132" i="23"/>
  <c r="IB181" i="23"/>
  <c r="IB174" i="23"/>
  <c r="IB152" i="23"/>
  <c r="IB144" i="23"/>
  <c r="IB182" i="23"/>
  <c r="IB143" i="23"/>
  <c r="IB175" i="23"/>
  <c r="IB140" i="23"/>
  <c r="IB118" i="23"/>
  <c r="IB124" i="23"/>
  <c r="IB156" i="23"/>
  <c r="IB116" i="23"/>
  <c r="IB120" i="23"/>
  <c r="IB193" i="23"/>
  <c r="IB168" i="23"/>
  <c r="IB133" i="23"/>
  <c r="IB119" i="23"/>
  <c r="IB159" i="23"/>
  <c r="IB150" i="23"/>
  <c r="IB154" i="23"/>
  <c r="IB146" i="23"/>
  <c r="IB126" i="23"/>
  <c r="IB130" i="23"/>
  <c r="IB117" i="23"/>
  <c r="IB135" i="23"/>
  <c r="IB123" i="23"/>
  <c r="IB138" i="23"/>
  <c r="IB125" i="23"/>
  <c r="IB180" i="23"/>
  <c r="IB169" i="23"/>
  <c r="IB136" i="23"/>
  <c r="IB114" i="23"/>
  <c r="IB191" i="23"/>
  <c r="IB158" i="23"/>
  <c r="IB202" i="23"/>
  <c r="IB147" i="23"/>
  <c r="IB113" i="23"/>
  <c r="IB112" i="23"/>
  <c r="IB111" i="23"/>
  <c r="IB106" i="23"/>
  <c r="IB109" i="23"/>
  <c r="IB107" i="23"/>
  <c r="IB110" i="23"/>
  <c r="IB104" i="23"/>
  <c r="IB105" i="23"/>
  <c r="IB103" i="23"/>
  <c r="IB99" i="23"/>
  <c r="IB108" i="23"/>
  <c r="IB102" i="23"/>
  <c r="IB97" i="23"/>
  <c r="IB96" i="23"/>
  <c r="IB98" i="23"/>
  <c r="IB94" i="23"/>
  <c r="IB95" i="23"/>
  <c r="IB101" i="23"/>
  <c r="IB100" i="23"/>
  <c r="IB92" i="23"/>
  <c r="IB90" i="23"/>
  <c r="IB93" i="23"/>
  <c r="IB88" i="23"/>
  <c r="IB91" i="23"/>
  <c r="IB83" i="23"/>
  <c r="IB85" i="23"/>
  <c r="IB84" i="23"/>
  <c r="IB81" i="23"/>
  <c r="IB86" i="23"/>
  <c r="IB82" i="23"/>
  <c r="IB80" i="23"/>
  <c r="IB76" i="23"/>
  <c r="IB87" i="23"/>
  <c r="IB79" i="23"/>
  <c r="IB75" i="23"/>
  <c r="IB71" i="23"/>
  <c r="IB78" i="23"/>
  <c r="IB72" i="23"/>
  <c r="IB69" i="23"/>
  <c r="IB73" i="23"/>
  <c r="IB63" i="23"/>
  <c r="IB62" i="23"/>
  <c r="IB70" i="23"/>
  <c r="IB64" i="23"/>
  <c r="IB56" i="23"/>
  <c r="IB68" i="23"/>
  <c r="IB65" i="23"/>
  <c r="IB66" i="23"/>
  <c r="IB60" i="23"/>
  <c r="IB58" i="23"/>
  <c r="IB50" i="23"/>
  <c r="IB59" i="23"/>
  <c r="IB57" i="23"/>
  <c r="IB54" i="23"/>
  <c r="IB67" i="23"/>
  <c r="IB55" i="23"/>
  <c r="IB48" i="23"/>
  <c r="IB46" i="23"/>
  <c r="IB51" i="23"/>
  <c r="IB45" i="23"/>
  <c r="IB42" i="23"/>
  <c r="IB39" i="23"/>
  <c r="IB43" i="23"/>
  <c r="IB34" i="23"/>
  <c r="IB53" i="23"/>
  <c r="IB44" i="23"/>
  <c r="IB31" i="23"/>
  <c r="IB89" i="23"/>
  <c r="IB61" i="23"/>
  <c r="IB47" i="23"/>
  <c r="IB30" i="23"/>
  <c r="IB77" i="23"/>
  <c r="IB33" i="23"/>
  <c r="IB22" i="23"/>
  <c r="IB52" i="23"/>
  <c r="IB40" i="23"/>
  <c r="IB32" i="23"/>
  <c r="IB29" i="23"/>
  <c r="IB19" i="23"/>
  <c r="IB36" i="23"/>
  <c r="IB26" i="23"/>
  <c r="IB24" i="23"/>
  <c r="IB23" i="23"/>
  <c r="IB49" i="23"/>
  <c r="IB25" i="23"/>
  <c r="IB17" i="23"/>
  <c r="IB7" i="23"/>
  <c r="IB16" i="23"/>
  <c r="IB14" i="23"/>
  <c r="IB6" i="23"/>
  <c r="IB27" i="23"/>
  <c r="IB21" i="23"/>
  <c r="IB18" i="23"/>
  <c r="IB12" i="23"/>
  <c r="IB4" i="23"/>
  <c r="IB9" i="23"/>
  <c r="IB38" i="23"/>
  <c r="IB8" i="23"/>
  <c r="IC2" i="23"/>
  <c r="IB28" i="23"/>
  <c r="IB15" i="23"/>
  <c r="IB13" i="23"/>
  <c r="IB74" i="23"/>
  <c r="IB11" i="23"/>
  <c r="IB20" i="23"/>
  <c r="IB10" i="23"/>
  <c r="IB37" i="23"/>
  <c r="IB5" i="23"/>
  <c r="IB35" i="23"/>
  <c r="IB41" i="23"/>
  <c r="IC123" i="23" l="1"/>
  <c r="IC115" i="23"/>
  <c r="IC152" i="23"/>
  <c r="IC211" i="23"/>
  <c r="IC117" i="23"/>
  <c r="IC127" i="23"/>
  <c r="IC164" i="23"/>
  <c r="IC173" i="23"/>
  <c r="IC146" i="23"/>
  <c r="IC151" i="23"/>
  <c r="IC170" i="23"/>
  <c r="IC140" i="23"/>
  <c r="IC161" i="23"/>
  <c r="IC116" i="23"/>
  <c r="IC149" i="23"/>
  <c r="IC197" i="23"/>
  <c r="IC209" i="23"/>
  <c r="IC159" i="23"/>
  <c r="IC200" i="23"/>
  <c r="IC203" i="23"/>
  <c r="IC204" i="23"/>
  <c r="IC198" i="23"/>
  <c r="IC206" i="23"/>
  <c r="IC207" i="23"/>
  <c r="IC193" i="23"/>
  <c r="IC196" i="23"/>
  <c r="IC195" i="23"/>
  <c r="IC194" i="23"/>
  <c r="IC192" i="23"/>
  <c r="IC199" i="23"/>
  <c r="IC205" i="23"/>
  <c r="IC212" i="23"/>
  <c r="IC208" i="23"/>
  <c r="IC210" i="23"/>
  <c r="IC181" i="23"/>
  <c r="IC186" i="23"/>
  <c r="IC184" i="23"/>
  <c r="IC187" i="23"/>
  <c r="IC185" i="23"/>
  <c r="IC182" i="23"/>
  <c r="IC189" i="23"/>
  <c r="IC177" i="23"/>
  <c r="IC178" i="23"/>
  <c r="IC163" i="23"/>
  <c r="IC166" i="23"/>
  <c r="IC172" i="23"/>
  <c r="IC150" i="23"/>
  <c r="IC153" i="23"/>
  <c r="IC201" i="23"/>
  <c r="IC171" i="23"/>
  <c r="IC175" i="23"/>
  <c r="IC154" i="23"/>
  <c r="IC183" i="23"/>
  <c r="IC188" i="23"/>
  <c r="IC167" i="23"/>
  <c r="IC168" i="23"/>
  <c r="IC137" i="23"/>
  <c r="IC138" i="23"/>
  <c r="IC165" i="23"/>
  <c r="IC156" i="23"/>
  <c r="IC142" i="23"/>
  <c r="IC190" i="23"/>
  <c r="IC160" i="23"/>
  <c r="IC148" i="23"/>
  <c r="IC157" i="23"/>
  <c r="IC133" i="23"/>
  <c r="IC176" i="23"/>
  <c r="IC162" i="23"/>
  <c r="IC155" i="23"/>
  <c r="IC141" i="23"/>
  <c r="IC139" i="23"/>
  <c r="IC143" i="23"/>
  <c r="IC129" i="23"/>
  <c r="IC124" i="23"/>
  <c r="IC134" i="23"/>
  <c r="IC132" i="23"/>
  <c r="IC121" i="23"/>
  <c r="IC130" i="23"/>
  <c r="IC119" i="23"/>
  <c r="IC135" i="23"/>
  <c r="IC131" i="23"/>
  <c r="IC144" i="23"/>
  <c r="IC174" i="23"/>
  <c r="IC120" i="23"/>
  <c r="IC128" i="23"/>
  <c r="IC122" i="23"/>
  <c r="IC126" i="23"/>
  <c r="IC145" i="23"/>
  <c r="IC118" i="23"/>
  <c r="IC179" i="23"/>
  <c r="IC191" i="23"/>
  <c r="IC136" i="23"/>
  <c r="IC169" i="23"/>
  <c r="IC147" i="23"/>
  <c r="IC125" i="23"/>
  <c r="IC158" i="23"/>
  <c r="IC202" i="23"/>
  <c r="IC180" i="23"/>
  <c r="IC114" i="23"/>
  <c r="IC112" i="23"/>
  <c r="IC111" i="23"/>
  <c r="IC108" i="23"/>
  <c r="IC110" i="23"/>
  <c r="IC107" i="23"/>
  <c r="IC105" i="23"/>
  <c r="IC113" i="23"/>
  <c r="IC106" i="23"/>
  <c r="IC109" i="23"/>
  <c r="IC104" i="23"/>
  <c r="IC102" i="23"/>
  <c r="IC103" i="23"/>
  <c r="IC101" i="23"/>
  <c r="IC99" i="23"/>
  <c r="IC100" i="23"/>
  <c r="IC98" i="23"/>
  <c r="IC94" i="23"/>
  <c r="IC93" i="23"/>
  <c r="IC95" i="23"/>
  <c r="IC96" i="23"/>
  <c r="IC90" i="23"/>
  <c r="IC89" i="23"/>
  <c r="IC97" i="23"/>
  <c r="IC91" i="23"/>
  <c r="IC87" i="23"/>
  <c r="IC88" i="23"/>
  <c r="IC86" i="23"/>
  <c r="IC81" i="23"/>
  <c r="IC82" i="23"/>
  <c r="IC80" i="23"/>
  <c r="IC76" i="23"/>
  <c r="IC85" i="23"/>
  <c r="IC73" i="23"/>
  <c r="IC92" i="23"/>
  <c r="IC83" i="23"/>
  <c r="IC72" i="23"/>
  <c r="IC78" i="23"/>
  <c r="IC75" i="23"/>
  <c r="IC69" i="23"/>
  <c r="IC74" i="23"/>
  <c r="IC68" i="23"/>
  <c r="IC67" i="23"/>
  <c r="IC65" i="23"/>
  <c r="IC71" i="23"/>
  <c r="IC66" i="23"/>
  <c r="IC60" i="23"/>
  <c r="IC58" i="23"/>
  <c r="IC79" i="23"/>
  <c r="IC55" i="23"/>
  <c r="IC54" i="23"/>
  <c r="IC62" i="23"/>
  <c r="IC57" i="23"/>
  <c r="IC48" i="23"/>
  <c r="IC46" i="23"/>
  <c r="IC43" i="23"/>
  <c r="IC52" i="23"/>
  <c r="IC42" i="23"/>
  <c r="IC70" i="23"/>
  <c r="IC53" i="23"/>
  <c r="IC44" i="23"/>
  <c r="IC31" i="23"/>
  <c r="IC59" i="23"/>
  <c r="IC40" i="23"/>
  <c r="IC38" i="23"/>
  <c r="IC36" i="23"/>
  <c r="IC56" i="23"/>
  <c r="IC49" i="23"/>
  <c r="IC37" i="23"/>
  <c r="IC35" i="23"/>
  <c r="IC84" i="23"/>
  <c r="IC77" i="23"/>
  <c r="IC64" i="23"/>
  <c r="IC39" i="23"/>
  <c r="IC32" i="23"/>
  <c r="IC29" i="23"/>
  <c r="IC19" i="23"/>
  <c r="IC63" i="23"/>
  <c r="IC45" i="23"/>
  <c r="IC30" i="23"/>
  <c r="IC26" i="23"/>
  <c r="IC24" i="23"/>
  <c r="IC51" i="23"/>
  <c r="IC21" i="23"/>
  <c r="IC50" i="23"/>
  <c r="IC47" i="23"/>
  <c r="IC20" i="23"/>
  <c r="IC27" i="23"/>
  <c r="IC18" i="23"/>
  <c r="IC12" i="23"/>
  <c r="IC4" i="23"/>
  <c r="IC33" i="23"/>
  <c r="IC9" i="23"/>
  <c r="IC11" i="23"/>
  <c r="IC16" i="23"/>
  <c r="IC14" i="23"/>
  <c r="IC6" i="23"/>
  <c r="IC28" i="23"/>
  <c r="IC15" i="23"/>
  <c r="IC13" i="23"/>
  <c r="IC5" i="23"/>
  <c r="IC41" i="23"/>
  <c r="IC22" i="23"/>
  <c r="IC7" i="23"/>
  <c r="IC34" i="23"/>
  <c r="IC25" i="23"/>
  <c r="IC8" i="23"/>
  <c r="ID2" i="23"/>
  <c r="IC61" i="23"/>
  <c r="IC10" i="23"/>
  <c r="IC17" i="23"/>
  <c r="IC23" i="23"/>
  <c r="ID145" i="23" l="1"/>
  <c r="ID199" i="23"/>
  <c r="ID143" i="23"/>
  <c r="ID207" i="23"/>
  <c r="ID127" i="23"/>
  <c r="ID166" i="23"/>
  <c r="ID152" i="23"/>
  <c r="ID120" i="23"/>
  <c r="ID174" i="23"/>
  <c r="ID130" i="23"/>
  <c r="ID162" i="23"/>
  <c r="ID149" i="23"/>
  <c r="ID178" i="23"/>
  <c r="ID205" i="23"/>
  <c r="ID209" i="23"/>
  <c r="ID157" i="23"/>
  <c r="ID208" i="23"/>
  <c r="ID203" i="23"/>
  <c r="ID212" i="23"/>
  <c r="ID124" i="23"/>
  <c r="ID204" i="23"/>
  <c r="ID117" i="23"/>
  <c r="ID170" i="23"/>
  <c r="ID196" i="23"/>
  <c r="ID197" i="23"/>
  <c r="ID206" i="23"/>
  <c r="ID195" i="23"/>
  <c r="ID193" i="23"/>
  <c r="ID144" i="23"/>
  <c r="ID211" i="23"/>
  <c r="ID192" i="23"/>
  <c r="ID194" i="23"/>
  <c r="ID200" i="23"/>
  <c r="ID198" i="23"/>
  <c r="ID187" i="23"/>
  <c r="ID184" i="23"/>
  <c r="ID181" i="23"/>
  <c r="ID185" i="23"/>
  <c r="ID175" i="23"/>
  <c r="ID201" i="23"/>
  <c r="ID172" i="23"/>
  <c r="ID150" i="23"/>
  <c r="ID173" i="23"/>
  <c r="ID164" i="23"/>
  <c r="ID165" i="23"/>
  <c r="ID168" i="23"/>
  <c r="ID155" i="23"/>
  <c r="ID182" i="23"/>
  <c r="ID188" i="23"/>
  <c r="ID176" i="23"/>
  <c r="ID161" i="23"/>
  <c r="ID159" i="23"/>
  <c r="ID163" i="23"/>
  <c r="ID139" i="23"/>
  <c r="ID153" i="23"/>
  <c r="ID140" i="23"/>
  <c r="ID179" i="23"/>
  <c r="ID148" i="23"/>
  <c r="ID126" i="23"/>
  <c r="ID128" i="23"/>
  <c r="ID141" i="23"/>
  <c r="ID142" i="23"/>
  <c r="ID135" i="23"/>
  <c r="ID134" i="23"/>
  <c r="ID131" i="23"/>
  <c r="ID116" i="23"/>
  <c r="ID121" i="23"/>
  <c r="ID156" i="23"/>
  <c r="ID137" i="23"/>
  <c r="ID129" i="23"/>
  <c r="ID183" i="23"/>
  <c r="ID210" i="23"/>
  <c r="ID177" i="23"/>
  <c r="ID167" i="23"/>
  <c r="ID146" i="23"/>
  <c r="ID186" i="23"/>
  <c r="ID189" i="23"/>
  <c r="ID154" i="23"/>
  <c r="ID151" i="23"/>
  <c r="ID133" i="23"/>
  <c r="ID119" i="23"/>
  <c r="ID123" i="23"/>
  <c r="ID138" i="23"/>
  <c r="ID190" i="23"/>
  <c r="ID122" i="23"/>
  <c r="ID132" i="23"/>
  <c r="ID118" i="23"/>
  <c r="ID160" i="23"/>
  <c r="ID115" i="23"/>
  <c r="ID171" i="23"/>
  <c r="ID114" i="23"/>
  <c r="ID191" i="23"/>
  <c r="ID136" i="23"/>
  <c r="ID147" i="23"/>
  <c r="ID169" i="23"/>
  <c r="ID180" i="23"/>
  <c r="ID202" i="23"/>
  <c r="ID158" i="23"/>
  <c r="ID125" i="23"/>
  <c r="ID112" i="23"/>
  <c r="ID113" i="23"/>
  <c r="ID107" i="23"/>
  <c r="ID111" i="23"/>
  <c r="ID109" i="23"/>
  <c r="ID105" i="23"/>
  <c r="ID110" i="23"/>
  <c r="ID103" i="23"/>
  <c r="ID104" i="23"/>
  <c r="ID106" i="23"/>
  <c r="ID100" i="23"/>
  <c r="ID99" i="23"/>
  <c r="ID101" i="23"/>
  <c r="ID96" i="23"/>
  <c r="ID92" i="23"/>
  <c r="ID108" i="23"/>
  <c r="ID102" i="23"/>
  <c r="ID94" i="23"/>
  <c r="ID91" i="23"/>
  <c r="ID90" i="23"/>
  <c r="ID83" i="23"/>
  <c r="ID95" i="23"/>
  <c r="ID89" i="23"/>
  <c r="ID82" i="23"/>
  <c r="ID80" i="23"/>
  <c r="ID86" i="23"/>
  <c r="ID81" i="23"/>
  <c r="ID79" i="23"/>
  <c r="ID76" i="23"/>
  <c r="ID85" i="23"/>
  <c r="ID78" i="23"/>
  <c r="ID70" i="23"/>
  <c r="ID93" i="23"/>
  <c r="ID77" i="23"/>
  <c r="ID72" i="23"/>
  <c r="ID87" i="23"/>
  <c r="ID74" i="23"/>
  <c r="ID73" i="23"/>
  <c r="ID65" i="23"/>
  <c r="ID64" i="23"/>
  <c r="ID71" i="23"/>
  <c r="ID68" i="23"/>
  <c r="ID66" i="23"/>
  <c r="ID60" i="23"/>
  <c r="ID58" i="23"/>
  <c r="ID55" i="23"/>
  <c r="ID67" i="23"/>
  <c r="ID52" i="23"/>
  <c r="ID84" i="23"/>
  <c r="ID63" i="23"/>
  <c r="ID61" i="23"/>
  <c r="ID51" i="23"/>
  <c r="ID98" i="23"/>
  <c r="ID97" i="23"/>
  <c r="ID75" i="23"/>
  <c r="ID57" i="23"/>
  <c r="ID48" i="23"/>
  <c r="ID46" i="23"/>
  <c r="ID69" i="23"/>
  <c r="ID59" i="23"/>
  <c r="ID56" i="23"/>
  <c r="ID50" i="23"/>
  <c r="ID53" i="23"/>
  <c r="ID49" i="23"/>
  <c r="ID47" i="23"/>
  <c r="ID44" i="23"/>
  <c r="ID43" i="23"/>
  <c r="ID40" i="23"/>
  <c r="ID38" i="23"/>
  <c r="ID36" i="23"/>
  <c r="ID45" i="23"/>
  <c r="ID33" i="23"/>
  <c r="ID41" i="23"/>
  <c r="ID32" i="23"/>
  <c r="ID88" i="23"/>
  <c r="ID62" i="23"/>
  <c r="ID30" i="23"/>
  <c r="ID26" i="23"/>
  <c r="ID24" i="23"/>
  <c r="ID54" i="23"/>
  <c r="ID31" i="23"/>
  <c r="ID21" i="23"/>
  <c r="ID28" i="23"/>
  <c r="ID18" i="23"/>
  <c r="ID37" i="23"/>
  <c r="ID27" i="23"/>
  <c r="ID25" i="23"/>
  <c r="ID9" i="23"/>
  <c r="ID23" i="23"/>
  <c r="ID16" i="23"/>
  <c r="ID14" i="23"/>
  <c r="ID6" i="23"/>
  <c r="ID34" i="23"/>
  <c r="ID29" i="23"/>
  <c r="ID20" i="23"/>
  <c r="ID8" i="23"/>
  <c r="ID11" i="23"/>
  <c r="IE2" i="23"/>
  <c r="ID22" i="23"/>
  <c r="ID10" i="23"/>
  <c r="ID42" i="23"/>
  <c r="ID35" i="23"/>
  <c r="ID19" i="23"/>
  <c r="ID17" i="23"/>
  <c r="ID13" i="23"/>
  <c r="ID5" i="23"/>
  <c r="ID15" i="23"/>
  <c r="ID12" i="23"/>
  <c r="ID39" i="23"/>
  <c r="ID4" i="23"/>
  <c r="ID7" i="23"/>
  <c r="IE132" i="23" l="1"/>
  <c r="IE176" i="23"/>
  <c r="IE182" i="23"/>
  <c r="IE166" i="23"/>
  <c r="IE197" i="23"/>
  <c r="IE128" i="23"/>
  <c r="IE210" i="23"/>
  <c r="IE134" i="23"/>
  <c r="IE126" i="23"/>
  <c r="IE124" i="23"/>
  <c r="IE161" i="23"/>
  <c r="IE183" i="23"/>
  <c r="IE133" i="23"/>
  <c r="IE199" i="23"/>
  <c r="IE200" i="23"/>
  <c r="IE143" i="23"/>
  <c r="IE164" i="23"/>
  <c r="IE209" i="23"/>
  <c r="IE195" i="23"/>
  <c r="IE204" i="23"/>
  <c r="IE212" i="23"/>
  <c r="IE208" i="23"/>
  <c r="IE206" i="23"/>
  <c r="IE196" i="23"/>
  <c r="IE203" i="23"/>
  <c r="IE207" i="23"/>
  <c r="IE198" i="23"/>
  <c r="IE186" i="23"/>
  <c r="IE149" i="23"/>
  <c r="IE194" i="23"/>
  <c r="IE145" i="23"/>
  <c r="IE211" i="23"/>
  <c r="IE205" i="23"/>
  <c r="IE181" i="23"/>
  <c r="IE192" i="23"/>
  <c r="IE193" i="23"/>
  <c r="IE185" i="23"/>
  <c r="IE189" i="23"/>
  <c r="IE187" i="23"/>
  <c r="IE175" i="23"/>
  <c r="IE174" i="23"/>
  <c r="IE177" i="23"/>
  <c r="IE178" i="23"/>
  <c r="IE184" i="23"/>
  <c r="IE155" i="23"/>
  <c r="IE171" i="23"/>
  <c r="IE163" i="23"/>
  <c r="IE150" i="23"/>
  <c r="IE154" i="23"/>
  <c r="IE165" i="23"/>
  <c r="IE156" i="23"/>
  <c r="IE157" i="23"/>
  <c r="IE140" i="23"/>
  <c r="IE138" i="23"/>
  <c r="IE141" i="23"/>
  <c r="IE160" i="23"/>
  <c r="IE148" i="23"/>
  <c r="IE142" i="23"/>
  <c r="IE127" i="23"/>
  <c r="IE190" i="23"/>
  <c r="IE151" i="23"/>
  <c r="IE130" i="23"/>
  <c r="IE188" i="23"/>
  <c r="IE172" i="23"/>
  <c r="IE179" i="23"/>
  <c r="IE135" i="23"/>
  <c r="IE201" i="23"/>
  <c r="IE146" i="23"/>
  <c r="IE118" i="23"/>
  <c r="IE168" i="23"/>
  <c r="IE153" i="23"/>
  <c r="IE131" i="23"/>
  <c r="IE116" i="23"/>
  <c r="IE121" i="23"/>
  <c r="IE170" i="23"/>
  <c r="IE167" i="23"/>
  <c r="IE159" i="23"/>
  <c r="IE122" i="23"/>
  <c r="IE173" i="23"/>
  <c r="IE115" i="23"/>
  <c r="IE162" i="23"/>
  <c r="IE152" i="23"/>
  <c r="IE137" i="23"/>
  <c r="IE120" i="23"/>
  <c r="IE139" i="23"/>
  <c r="IE129" i="23"/>
  <c r="IE117" i="23"/>
  <c r="IE144" i="23"/>
  <c r="IE119" i="23"/>
  <c r="IE123" i="23"/>
  <c r="IE180" i="23"/>
  <c r="IE136" i="23"/>
  <c r="IE114" i="23"/>
  <c r="IE191" i="23"/>
  <c r="IE147" i="23"/>
  <c r="IE125" i="23"/>
  <c r="IE158" i="23"/>
  <c r="IE202" i="23"/>
  <c r="IE169" i="23"/>
  <c r="IE113" i="23"/>
  <c r="IE111" i="23"/>
  <c r="IE110" i="23"/>
  <c r="IE109" i="23"/>
  <c r="IE112" i="23"/>
  <c r="IE108" i="23"/>
  <c r="IE105" i="23"/>
  <c r="IE106" i="23"/>
  <c r="IE103" i="23"/>
  <c r="IE101" i="23"/>
  <c r="IE104" i="23"/>
  <c r="IE97" i="23"/>
  <c r="IE96" i="23"/>
  <c r="IE95" i="23"/>
  <c r="IE107" i="23"/>
  <c r="IE100" i="23"/>
  <c r="IE102" i="23"/>
  <c r="IE93" i="23"/>
  <c r="IE91" i="23"/>
  <c r="IE94" i="23"/>
  <c r="IE90" i="23"/>
  <c r="IE99" i="23"/>
  <c r="IE89" i="23"/>
  <c r="IE98" i="23"/>
  <c r="IE85" i="23"/>
  <c r="IE84" i="23"/>
  <c r="IE87" i="23"/>
  <c r="IE82" i="23"/>
  <c r="IE80" i="23"/>
  <c r="IE86" i="23"/>
  <c r="IE78" i="23"/>
  <c r="IE75" i="23"/>
  <c r="IE74" i="23"/>
  <c r="IE81" i="23"/>
  <c r="IE73" i="23"/>
  <c r="IE77" i="23"/>
  <c r="IE62" i="23"/>
  <c r="IE71" i="23"/>
  <c r="IE70" i="23"/>
  <c r="IE83" i="23"/>
  <c r="IE79" i="23"/>
  <c r="IE67" i="23"/>
  <c r="IE59" i="23"/>
  <c r="IE57" i="23"/>
  <c r="IE69" i="23"/>
  <c r="IE56" i="23"/>
  <c r="IE76" i="23"/>
  <c r="IE60" i="23"/>
  <c r="IE55" i="23"/>
  <c r="IE50" i="23"/>
  <c r="IE88" i="23"/>
  <c r="IE68" i="23"/>
  <c r="IE65" i="23"/>
  <c r="IE45" i="23"/>
  <c r="IE61" i="23"/>
  <c r="IE44" i="23"/>
  <c r="IE72" i="23"/>
  <c r="IE53" i="23"/>
  <c r="IE48" i="23"/>
  <c r="IE40" i="23"/>
  <c r="IE38" i="23"/>
  <c r="IE36" i="23"/>
  <c r="IE58" i="23"/>
  <c r="IE33" i="23"/>
  <c r="IE92" i="23"/>
  <c r="IE64" i="23"/>
  <c r="IE63" i="23"/>
  <c r="IE51" i="23"/>
  <c r="IE30" i="23"/>
  <c r="IE66" i="23"/>
  <c r="IE39" i="23"/>
  <c r="IE54" i="23"/>
  <c r="IE52" i="23"/>
  <c r="IE31" i="23"/>
  <c r="IE21" i="23"/>
  <c r="IE43" i="23"/>
  <c r="IE28" i="23"/>
  <c r="IE18" i="23"/>
  <c r="IE41" i="23"/>
  <c r="IE23" i="23"/>
  <c r="IE49" i="23"/>
  <c r="IE42" i="23"/>
  <c r="IE35" i="23"/>
  <c r="IE34" i="23"/>
  <c r="IE22" i="23"/>
  <c r="IE16" i="23"/>
  <c r="IE14" i="23"/>
  <c r="IE6" i="23"/>
  <c r="IE26" i="23"/>
  <c r="IE15" i="23"/>
  <c r="IE11" i="23"/>
  <c r="IE29" i="23"/>
  <c r="IE24" i="23"/>
  <c r="IE20" i="23"/>
  <c r="IE8" i="23"/>
  <c r="IF2" i="23"/>
  <c r="IE37" i="23"/>
  <c r="IE13" i="23"/>
  <c r="IE5" i="23"/>
  <c r="IE47" i="23"/>
  <c r="IE19" i="23"/>
  <c r="IE17" i="23"/>
  <c r="IE7" i="23"/>
  <c r="IE32" i="23"/>
  <c r="IE25" i="23"/>
  <c r="IE12" i="23"/>
  <c r="IE27" i="23"/>
  <c r="IE9" i="23"/>
  <c r="IE46" i="23"/>
  <c r="IE10" i="23"/>
  <c r="IE4" i="23"/>
  <c r="IF131" i="23" l="1"/>
  <c r="IF127" i="23"/>
  <c r="IF182" i="23"/>
  <c r="IF122" i="23"/>
  <c r="IF187" i="23"/>
  <c r="IF189" i="23"/>
  <c r="IF128" i="23"/>
  <c r="IF164" i="23"/>
  <c r="IF194" i="23"/>
  <c r="IF126" i="23"/>
  <c r="IF178" i="23"/>
  <c r="IF115" i="23"/>
  <c r="IF123" i="23"/>
  <c r="IF144" i="23"/>
  <c r="IF166" i="23"/>
  <c r="IF176" i="23"/>
  <c r="IF200" i="23"/>
  <c r="IF193" i="23"/>
  <c r="IF207" i="23"/>
  <c r="IF212" i="23"/>
  <c r="IF168" i="23"/>
  <c r="IF204" i="23"/>
  <c r="IF209" i="23"/>
  <c r="IF203" i="23"/>
  <c r="IF208" i="23"/>
  <c r="IF196" i="23"/>
  <c r="IF211" i="23"/>
  <c r="IF206" i="23"/>
  <c r="IF210" i="23"/>
  <c r="IF195" i="23"/>
  <c r="IF142" i="23"/>
  <c r="IF205" i="23"/>
  <c r="IF201" i="23"/>
  <c r="IF197" i="23"/>
  <c r="IF184" i="23"/>
  <c r="IF181" i="23"/>
  <c r="IF192" i="23"/>
  <c r="IF199" i="23"/>
  <c r="IF186" i="23"/>
  <c r="IF185" i="23"/>
  <c r="IF190" i="23"/>
  <c r="IF198" i="23"/>
  <c r="IF183" i="23"/>
  <c r="IF171" i="23"/>
  <c r="IF173" i="23"/>
  <c r="IF159" i="23"/>
  <c r="IF150" i="23"/>
  <c r="IF177" i="23"/>
  <c r="IF179" i="23"/>
  <c r="IF175" i="23"/>
  <c r="IF161" i="23"/>
  <c r="IF156" i="23"/>
  <c r="IF188" i="23"/>
  <c r="IF155" i="23"/>
  <c r="IF157" i="23"/>
  <c r="IF137" i="23"/>
  <c r="IF154" i="23"/>
  <c r="IF151" i="23"/>
  <c r="IF149" i="23"/>
  <c r="IF139" i="23"/>
  <c r="IF172" i="23"/>
  <c r="IF174" i="23"/>
  <c r="IF165" i="23"/>
  <c r="IF152" i="23"/>
  <c r="IF160" i="23"/>
  <c r="IF167" i="23"/>
  <c r="IF143" i="23"/>
  <c r="IF138" i="23"/>
  <c r="IF146" i="23"/>
  <c r="IF170" i="23"/>
  <c r="IF162" i="23"/>
  <c r="IF119" i="23"/>
  <c r="IF121" i="23"/>
  <c r="IF141" i="23"/>
  <c r="IF130" i="23"/>
  <c r="IF133" i="23"/>
  <c r="IF117" i="23"/>
  <c r="IF124" i="23"/>
  <c r="IF120" i="23"/>
  <c r="IF148" i="23"/>
  <c r="IF153" i="23"/>
  <c r="IF140" i="23"/>
  <c r="IF135" i="23"/>
  <c r="IF134" i="23"/>
  <c r="IF116" i="23"/>
  <c r="IF145" i="23"/>
  <c r="IF129" i="23"/>
  <c r="IF132" i="23"/>
  <c r="IF118" i="23"/>
  <c r="IF163" i="23"/>
  <c r="IF125" i="23"/>
  <c r="IF180" i="23"/>
  <c r="IF202" i="23"/>
  <c r="IF147" i="23"/>
  <c r="IF169" i="23"/>
  <c r="IF158" i="23"/>
  <c r="IF114" i="23"/>
  <c r="IF191" i="23"/>
  <c r="IF136" i="23"/>
  <c r="IF111" i="23"/>
  <c r="IF112" i="23"/>
  <c r="IF107" i="23"/>
  <c r="IF113" i="23"/>
  <c r="IF110" i="23"/>
  <c r="IF109" i="23"/>
  <c r="IF106" i="23"/>
  <c r="IF108" i="23"/>
  <c r="IF103" i="23"/>
  <c r="IF101" i="23"/>
  <c r="IF100" i="23"/>
  <c r="IF98" i="23"/>
  <c r="IF104" i="23"/>
  <c r="IF102" i="23"/>
  <c r="IF97" i="23"/>
  <c r="IF105" i="23"/>
  <c r="IF93" i="23"/>
  <c r="IF92" i="23"/>
  <c r="IF96" i="23"/>
  <c r="IF89" i="23"/>
  <c r="IF94" i="23"/>
  <c r="IF88" i="23"/>
  <c r="IF99" i="23"/>
  <c r="IF91" i="23"/>
  <c r="IF95" i="23"/>
  <c r="IF86" i="23"/>
  <c r="IF85" i="23"/>
  <c r="IF78" i="23"/>
  <c r="IF75" i="23"/>
  <c r="IF84" i="23"/>
  <c r="IF79" i="23"/>
  <c r="IF72" i="23"/>
  <c r="IF71" i="23"/>
  <c r="IF69" i="23"/>
  <c r="IF87" i="23"/>
  <c r="IF74" i="23"/>
  <c r="IF77" i="23"/>
  <c r="IF68" i="23"/>
  <c r="IF67" i="23"/>
  <c r="IF83" i="23"/>
  <c r="IF80" i="23"/>
  <c r="IF76" i="23"/>
  <c r="IF66" i="23"/>
  <c r="IF82" i="23"/>
  <c r="IF73" i="23"/>
  <c r="IF81" i="23"/>
  <c r="IF59" i="23"/>
  <c r="IF57" i="23"/>
  <c r="IF62" i="23"/>
  <c r="IF54" i="23"/>
  <c r="IF64" i="23"/>
  <c r="IF53" i="23"/>
  <c r="IF60" i="23"/>
  <c r="IF55" i="23"/>
  <c r="IF50" i="23"/>
  <c r="IF65" i="23"/>
  <c r="IF56" i="23"/>
  <c r="IF63" i="23"/>
  <c r="IF51" i="23"/>
  <c r="IF42" i="23"/>
  <c r="IF70" i="23"/>
  <c r="IF41" i="23"/>
  <c r="IF58" i="23"/>
  <c r="IF45" i="23"/>
  <c r="IF30" i="23"/>
  <c r="IF47" i="23"/>
  <c r="IF37" i="23"/>
  <c r="IF35" i="23"/>
  <c r="IF52" i="23"/>
  <c r="IF34" i="23"/>
  <c r="IF43" i="23"/>
  <c r="IF40" i="23"/>
  <c r="IF28" i="23"/>
  <c r="IF18" i="23"/>
  <c r="IF36" i="23"/>
  <c r="IF23" i="23"/>
  <c r="IF38" i="23"/>
  <c r="IF20" i="23"/>
  <c r="IF90" i="23"/>
  <c r="IF61" i="23"/>
  <c r="IF48" i="23"/>
  <c r="IF44" i="23"/>
  <c r="IF29" i="23"/>
  <c r="IF19" i="23"/>
  <c r="IF33" i="23"/>
  <c r="IF21" i="23"/>
  <c r="IF11" i="23"/>
  <c r="IF10" i="23"/>
  <c r="IF24" i="23"/>
  <c r="IF8" i="23"/>
  <c r="IG2" i="23"/>
  <c r="IF31" i="23"/>
  <c r="IF26" i="23"/>
  <c r="IF15" i="23"/>
  <c r="IF13" i="23"/>
  <c r="IF5" i="23"/>
  <c r="IF39" i="23"/>
  <c r="IF32" i="23"/>
  <c r="IF25" i="23"/>
  <c r="IF12" i="23"/>
  <c r="IF4" i="23"/>
  <c r="IF46" i="23"/>
  <c r="IF27" i="23"/>
  <c r="IF14" i="23"/>
  <c r="IF17" i="23"/>
  <c r="IF9" i="23"/>
  <c r="IF49" i="23"/>
  <c r="IF6" i="23"/>
  <c r="IF22" i="23"/>
  <c r="IF16" i="23"/>
  <c r="IF7" i="23"/>
  <c r="IG201" i="23" l="1"/>
  <c r="IG206" i="23"/>
  <c r="IG210" i="23"/>
  <c r="IG149" i="23"/>
  <c r="IG173" i="23"/>
  <c r="IG151" i="23"/>
  <c r="IG194" i="23"/>
  <c r="IG123" i="23"/>
  <c r="IG115" i="23"/>
  <c r="IG170" i="23"/>
  <c r="IG118" i="23"/>
  <c r="IG124" i="23"/>
  <c r="IG164" i="23"/>
  <c r="IG189" i="23"/>
  <c r="IG199" i="23"/>
  <c r="IG183" i="23"/>
  <c r="IG204" i="23"/>
  <c r="IG208" i="23"/>
  <c r="IG212" i="23"/>
  <c r="IG132" i="23"/>
  <c r="IG193" i="23"/>
  <c r="IG205" i="23"/>
  <c r="IG203" i="23"/>
  <c r="IG207" i="23"/>
  <c r="IG192" i="23"/>
  <c r="IG211" i="23"/>
  <c r="IG209" i="23"/>
  <c r="IG200" i="23"/>
  <c r="IG129" i="23"/>
  <c r="IG196" i="23"/>
  <c r="IG187" i="23"/>
  <c r="IG197" i="23"/>
  <c r="IG195" i="23"/>
  <c r="IG184" i="23"/>
  <c r="IG186" i="23"/>
  <c r="IG182" i="23"/>
  <c r="IG188" i="23"/>
  <c r="IG172" i="23"/>
  <c r="IG181" i="23"/>
  <c r="IG185" i="23"/>
  <c r="IG171" i="23"/>
  <c r="IG167" i="23"/>
  <c r="IG159" i="23"/>
  <c r="IG165" i="23"/>
  <c r="IG168" i="23"/>
  <c r="IG162" i="23"/>
  <c r="IG175" i="23"/>
  <c r="IG148" i="23"/>
  <c r="IG153" i="23"/>
  <c r="IG179" i="23"/>
  <c r="IG166" i="23"/>
  <c r="IG156" i="23"/>
  <c r="IG155" i="23"/>
  <c r="IG138" i="23"/>
  <c r="IG198" i="23"/>
  <c r="IG140" i="23"/>
  <c r="IG145" i="23"/>
  <c r="IG135" i="23"/>
  <c r="IG128" i="23"/>
  <c r="IG190" i="23"/>
  <c r="IG177" i="23"/>
  <c r="IG137" i="23"/>
  <c r="IG143" i="23"/>
  <c r="IG176" i="23"/>
  <c r="IG144" i="23"/>
  <c r="IG126" i="23"/>
  <c r="IG134" i="23"/>
  <c r="IG120" i="23"/>
  <c r="IG117" i="23"/>
  <c r="IG174" i="23"/>
  <c r="IG178" i="23"/>
  <c r="IG152" i="23"/>
  <c r="IG142" i="23"/>
  <c r="IG119" i="23"/>
  <c r="IG161" i="23"/>
  <c r="IG150" i="23"/>
  <c r="IG130" i="23"/>
  <c r="IG163" i="23"/>
  <c r="IG154" i="23"/>
  <c r="IG133" i="23"/>
  <c r="IG121" i="23"/>
  <c r="IG116" i="23"/>
  <c r="IG122" i="23"/>
  <c r="IG141" i="23"/>
  <c r="IG139" i="23"/>
  <c r="IG146" i="23"/>
  <c r="IG127" i="23"/>
  <c r="IG131" i="23"/>
  <c r="IG160" i="23"/>
  <c r="IG157" i="23"/>
  <c r="IG169" i="23"/>
  <c r="IG180" i="23"/>
  <c r="IG147" i="23"/>
  <c r="IG125" i="23"/>
  <c r="IG202" i="23"/>
  <c r="IG191" i="23"/>
  <c r="IG158" i="23"/>
  <c r="IG114" i="23"/>
  <c r="IG136" i="23"/>
  <c r="IG110" i="23"/>
  <c r="IG111" i="23"/>
  <c r="IG113" i="23"/>
  <c r="IG108" i="23"/>
  <c r="IG112" i="23"/>
  <c r="IG106" i="23"/>
  <c r="IG107" i="23"/>
  <c r="IG104" i="23"/>
  <c r="IG102" i="23"/>
  <c r="IG101" i="23"/>
  <c r="IG99" i="23"/>
  <c r="IG98" i="23"/>
  <c r="IG105" i="23"/>
  <c r="IG100" i="23"/>
  <c r="IG97" i="23"/>
  <c r="IG95" i="23"/>
  <c r="IG88" i="23"/>
  <c r="IG92" i="23"/>
  <c r="IG89" i="23"/>
  <c r="IG91" i="23"/>
  <c r="IG96" i="23"/>
  <c r="IG94" i="23"/>
  <c r="IG81" i="23"/>
  <c r="IG103" i="23"/>
  <c r="IG93" i="23"/>
  <c r="IG90" i="23"/>
  <c r="IG86" i="23"/>
  <c r="IG85" i="23"/>
  <c r="IG84" i="23"/>
  <c r="IG79" i="23"/>
  <c r="IG87" i="23"/>
  <c r="IG83" i="23"/>
  <c r="IG77" i="23"/>
  <c r="IG109" i="23"/>
  <c r="IG76" i="23"/>
  <c r="IG68" i="23"/>
  <c r="IG64" i="23"/>
  <c r="IG69" i="23"/>
  <c r="IG63" i="23"/>
  <c r="IG80" i="23"/>
  <c r="IG67" i="23"/>
  <c r="IG59" i="23"/>
  <c r="IG57" i="23"/>
  <c r="IG62" i="23"/>
  <c r="IG61" i="23"/>
  <c r="IG51" i="23"/>
  <c r="IG78" i="23"/>
  <c r="IG75" i="23"/>
  <c r="IG70" i="23"/>
  <c r="IG65" i="23"/>
  <c r="IG60" i="23"/>
  <c r="IG58" i="23"/>
  <c r="IG50" i="23"/>
  <c r="IG56" i="23"/>
  <c r="IG82" i="23"/>
  <c r="IG72" i="23"/>
  <c r="IG52" i="23"/>
  <c r="IG49" i="23"/>
  <c r="IG47" i="23"/>
  <c r="IG66" i="23"/>
  <c r="IG54" i="23"/>
  <c r="IG48" i="23"/>
  <c r="IG46" i="23"/>
  <c r="IG45" i="23"/>
  <c r="IG37" i="23"/>
  <c r="IG35" i="23"/>
  <c r="IG55" i="23"/>
  <c r="IG32" i="23"/>
  <c r="IG74" i="23"/>
  <c r="IG43" i="23"/>
  <c r="IG42" i="23"/>
  <c r="IG31" i="23"/>
  <c r="IG73" i="23"/>
  <c r="IG53" i="23"/>
  <c r="IG36" i="23"/>
  <c r="IG23" i="23"/>
  <c r="IG41" i="23"/>
  <c r="IG38" i="23"/>
  <c r="IG20" i="23"/>
  <c r="IG71" i="23"/>
  <c r="IG27" i="23"/>
  <c r="IG25" i="23"/>
  <c r="IG39" i="23"/>
  <c r="IG33" i="23"/>
  <c r="IG26" i="23"/>
  <c r="IG24" i="23"/>
  <c r="IG8" i="23"/>
  <c r="IH2" i="23"/>
  <c r="IG40" i="23"/>
  <c r="IG29" i="23"/>
  <c r="IG15" i="23"/>
  <c r="IG13" i="23"/>
  <c r="IG5" i="23"/>
  <c r="IG34" i="23"/>
  <c r="IG10" i="23"/>
  <c r="IG22" i="23"/>
  <c r="IG17" i="23"/>
  <c r="IG7" i="23"/>
  <c r="IG9" i="23"/>
  <c r="IG30" i="23"/>
  <c r="IG16" i="23"/>
  <c r="IG14" i="23"/>
  <c r="IG44" i="23"/>
  <c r="IG21" i="23"/>
  <c r="IG19" i="23"/>
  <c r="IG6" i="23"/>
  <c r="IG4" i="23"/>
  <c r="IG11" i="23"/>
  <c r="IG18" i="23"/>
  <c r="IG12" i="23"/>
  <c r="IG28" i="23"/>
  <c r="IH173" i="23" l="1"/>
  <c r="IH124" i="23"/>
  <c r="IH201" i="23"/>
  <c r="IH144" i="23"/>
  <c r="IH197" i="23"/>
  <c r="IH151" i="23"/>
  <c r="IH131" i="23"/>
  <c r="IH174" i="23"/>
  <c r="IH146" i="23"/>
  <c r="IH193" i="23"/>
  <c r="IH148" i="23"/>
  <c r="IH166" i="23"/>
  <c r="IH164" i="23"/>
  <c r="IH203" i="23"/>
  <c r="IH154" i="23"/>
  <c r="IH138" i="23"/>
  <c r="IH168" i="23"/>
  <c r="IH196" i="23"/>
  <c r="IH204" i="23"/>
  <c r="IH194" i="23"/>
  <c r="IH195" i="23"/>
  <c r="IH209" i="23"/>
  <c r="IH208" i="23"/>
  <c r="IH205" i="23"/>
  <c r="IH212" i="23"/>
  <c r="IH198" i="23"/>
  <c r="IH211" i="23"/>
  <c r="IH186" i="23"/>
  <c r="IH207" i="23"/>
  <c r="IH206" i="23"/>
  <c r="IH188" i="23"/>
  <c r="IH192" i="23"/>
  <c r="IH200" i="23"/>
  <c r="IH210" i="23"/>
  <c r="IH152" i="23"/>
  <c r="IH199" i="23"/>
  <c r="IH185" i="23"/>
  <c r="IH171" i="23"/>
  <c r="IH181" i="23"/>
  <c r="IH178" i="23"/>
  <c r="IH182" i="23"/>
  <c r="IH184" i="23"/>
  <c r="IH190" i="23"/>
  <c r="IH187" i="23"/>
  <c r="IH176" i="23"/>
  <c r="IH160" i="23"/>
  <c r="IH161" i="23"/>
  <c r="IH167" i="23"/>
  <c r="IH150" i="23"/>
  <c r="IH189" i="23"/>
  <c r="IH175" i="23"/>
  <c r="IH177" i="23"/>
  <c r="IH155" i="23"/>
  <c r="IH179" i="23"/>
  <c r="IH149" i="23"/>
  <c r="IH170" i="23"/>
  <c r="IH141" i="23"/>
  <c r="IH153" i="23"/>
  <c r="IH126" i="23"/>
  <c r="IH157" i="23"/>
  <c r="IH130" i="23"/>
  <c r="IH145" i="23"/>
  <c r="IH133" i="23"/>
  <c r="IH162" i="23"/>
  <c r="IH143" i="23"/>
  <c r="IH129" i="23"/>
  <c r="IH117" i="23"/>
  <c r="IH121" i="23"/>
  <c r="IH140" i="23"/>
  <c r="IH137" i="23"/>
  <c r="IH120" i="23"/>
  <c r="IH156" i="23"/>
  <c r="IH163" i="23"/>
  <c r="IH132" i="23"/>
  <c r="IH118" i="23"/>
  <c r="IH159" i="23"/>
  <c r="IH165" i="23"/>
  <c r="IH127" i="23"/>
  <c r="IH116" i="23"/>
  <c r="IH122" i="23"/>
  <c r="IH128" i="23"/>
  <c r="IH139" i="23"/>
  <c r="IH119" i="23"/>
  <c r="IH142" i="23"/>
  <c r="IH183" i="23"/>
  <c r="IH172" i="23"/>
  <c r="IH135" i="23"/>
  <c r="IH134" i="23"/>
  <c r="IH115" i="23"/>
  <c r="IH123" i="23"/>
  <c r="IH202" i="23"/>
  <c r="IH191" i="23"/>
  <c r="IH147" i="23"/>
  <c r="IH114" i="23"/>
  <c r="IH125" i="23"/>
  <c r="IH180" i="23"/>
  <c r="IH169" i="23"/>
  <c r="IH158" i="23"/>
  <c r="IH136" i="23"/>
  <c r="IH113" i="23"/>
  <c r="IH112" i="23"/>
  <c r="IH110" i="23"/>
  <c r="IH109" i="23"/>
  <c r="IH108" i="23"/>
  <c r="IH107" i="23"/>
  <c r="IH105" i="23"/>
  <c r="IH104" i="23"/>
  <c r="IH102" i="23"/>
  <c r="IH111" i="23"/>
  <c r="IH99" i="23"/>
  <c r="IH100" i="23"/>
  <c r="IH95" i="23"/>
  <c r="IH94" i="23"/>
  <c r="IH101" i="23"/>
  <c r="IH97" i="23"/>
  <c r="IH103" i="23"/>
  <c r="IH91" i="23"/>
  <c r="IH98" i="23"/>
  <c r="IH90" i="23"/>
  <c r="IH93" i="23"/>
  <c r="IH89" i="23"/>
  <c r="IH87" i="23"/>
  <c r="IH96" i="23"/>
  <c r="IH92" i="23"/>
  <c r="IH86" i="23"/>
  <c r="IH88" i="23"/>
  <c r="IH83" i="23"/>
  <c r="IH84" i="23"/>
  <c r="IH79" i="23"/>
  <c r="IH77" i="23"/>
  <c r="IH74" i="23"/>
  <c r="IH82" i="23"/>
  <c r="IH81" i="23"/>
  <c r="IH80" i="23"/>
  <c r="IH73" i="23"/>
  <c r="IH68" i="23"/>
  <c r="IH106" i="23"/>
  <c r="IH70" i="23"/>
  <c r="IH75" i="23"/>
  <c r="IH72" i="23"/>
  <c r="IH62" i="23"/>
  <c r="IH61" i="23"/>
  <c r="IH63" i="23"/>
  <c r="IH56" i="23"/>
  <c r="IH66" i="23"/>
  <c r="IH55" i="23"/>
  <c r="IH76" i="23"/>
  <c r="IH65" i="23"/>
  <c r="IH85" i="23"/>
  <c r="IH69" i="23"/>
  <c r="IH67" i="23"/>
  <c r="IH59" i="23"/>
  <c r="IH52" i="23"/>
  <c r="IH51" i="23"/>
  <c r="IH49" i="23"/>
  <c r="IH47" i="23"/>
  <c r="IH53" i="23"/>
  <c r="IH44" i="23"/>
  <c r="IH64" i="23"/>
  <c r="IH58" i="23"/>
  <c r="IH43" i="23"/>
  <c r="IH37" i="23"/>
  <c r="IH32" i="23"/>
  <c r="IH71" i="23"/>
  <c r="IH54" i="23"/>
  <c r="IH41" i="23"/>
  <c r="IH39" i="23"/>
  <c r="IH50" i="23"/>
  <c r="IH46" i="23"/>
  <c r="IH40" i="23"/>
  <c r="IH38" i="23"/>
  <c r="IH36" i="23"/>
  <c r="IH60" i="23"/>
  <c r="IH45" i="23"/>
  <c r="IH20" i="23"/>
  <c r="IH27" i="23"/>
  <c r="IH25" i="23"/>
  <c r="IH22" i="23"/>
  <c r="IH21" i="23"/>
  <c r="IH29" i="23"/>
  <c r="IH24" i="23"/>
  <c r="IH15" i="23"/>
  <c r="IH13" i="23"/>
  <c r="IH5" i="23"/>
  <c r="IH19" i="23"/>
  <c r="IH78" i="23"/>
  <c r="IH34" i="23"/>
  <c r="IH31" i="23"/>
  <c r="IH26" i="23"/>
  <c r="IH10" i="23"/>
  <c r="IH12" i="23"/>
  <c r="IH48" i="23"/>
  <c r="IH23" i="23"/>
  <c r="IH17" i="23"/>
  <c r="IH7" i="23"/>
  <c r="IH28" i="23"/>
  <c r="IH4" i="23"/>
  <c r="IH42" i="23"/>
  <c r="IH35" i="23"/>
  <c r="IH30" i="23"/>
  <c r="IH16" i="23"/>
  <c r="IH14" i="23"/>
  <c r="IH6" i="23"/>
  <c r="IH18" i="23"/>
  <c r="IH11" i="23"/>
  <c r="IH8" i="23"/>
  <c r="IH57" i="23"/>
  <c r="IH33" i="23"/>
  <c r="II2" i="23"/>
  <c r="IH9" i="23"/>
  <c r="II138" i="23" l="1"/>
  <c r="II143" i="23"/>
  <c r="II132" i="23"/>
  <c r="II197" i="23"/>
  <c r="II131" i="23"/>
  <c r="II129" i="23"/>
  <c r="II121" i="23"/>
  <c r="II122" i="23"/>
  <c r="II173" i="23"/>
  <c r="II207" i="23"/>
  <c r="II157" i="23"/>
  <c r="II144" i="23"/>
  <c r="II211" i="23"/>
  <c r="II117" i="23"/>
  <c r="II146" i="23"/>
  <c r="II201" i="23"/>
  <c r="II204" i="23"/>
  <c r="II209" i="23"/>
  <c r="II168" i="23"/>
  <c r="II152" i="23"/>
  <c r="II189" i="23"/>
  <c r="II208" i="23"/>
  <c r="II195" i="23"/>
  <c r="II210" i="23"/>
  <c r="II203" i="23"/>
  <c r="II206" i="23"/>
  <c r="II194" i="23"/>
  <c r="II198" i="23"/>
  <c r="II199" i="23"/>
  <c r="II212" i="23"/>
  <c r="II187" i="23"/>
  <c r="II205" i="23"/>
  <c r="II181" i="23"/>
  <c r="II184" i="23"/>
  <c r="II192" i="23"/>
  <c r="II185" i="23"/>
  <c r="II193" i="23"/>
  <c r="II196" i="23"/>
  <c r="II186" i="23"/>
  <c r="II174" i="23"/>
  <c r="II175" i="23"/>
  <c r="II200" i="23"/>
  <c r="II190" i="23"/>
  <c r="II171" i="23"/>
  <c r="II183" i="23"/>
  <c r="II154" i="23"/>
  <c r="II177" i="23"/>
  <c r="II179" i="23"/>
  <c r="II165" i="23"/>
  <c r="II161" i="23"/>
  <c r="II166" i="23"/>
  <c r="II150" i="23"/>
  <c r="II170" i="23"/>
  <c r="II160" i="23"/>
  <c r="II156" i="23"/>
  <c r="II188" i="23"/>
  <c r="II176" i="23"/>
  <c r="II167" i="23"/>
  <c r="II164" i="23"/>
  <c r="II148" i="23"/>
  <c r="II155" i="23"/>
  <c r="II151" i="23"/>
  <c r="II140" i="23"/>
  <c r="II139" i="23"/>
  <c r="II149" i="23"/>
  <c r="II153" i="23"/>
  <c r="II141" i="23"/>
  <c r="II135" i="23"/>
  <c r="II133" i="23"/>
  <c r="II134" i="23"/>
  <c r="II126" i="23"/>
  <c r="II162" i="23"/>
  <c r="II137" i="23"/>
  <c r="II172" i="23"/>
  <c r="II178" i="23"/>
  <c r="II159" i="23"/>
  <c r="II142" i="23"/>
  <c r="II123" i="23"/>
  <c r="II127" i="23"/>
  <c r="II130" i="23"/>
  <c r="II119" i="23"/>
  <c r="II120" i="23"/>
  <c r="II124" i="23"/>
  <c r="II115" i="23"/>
  <c r="II163" i="23"/>
  <c r="II118" i="23"/>
  <c r="II128" i="23"/>
  <c r="II116" i="23"/>
  <c r="II182" i="23"/>
  <c r="II145" i="23"/>
  <c r="II180" i="23"/>
  <c r="II158" i="23"/>
  <c r="II191" i="23"/>
  <c r="II147" i="23"/>
  <c r="II125" i="23"/>
  <c r="II136" i="23"/>
  <c r="II202" i="23"/>
  <c r="II114" i="23"/>
  <c r="II169" i="23"/>
  <c r="II113" i="23"/>
  <c r="II110" i="23"/>
  <c r="II112" i="23"/>
  <c r="II106" i="23"/>
  <c r="II108" i="23"/>
  <c r="II111" i="23"/>
  <c r="II107" i="23"/>
  <c r="II105" i="23"/>
  <c r="II100" i="23"/>
  <c r="II103" i="23"/>
  <c r="II101" i="23"/>
  <c r="II102" i="23"/>
  <c r="II97" i="23"/>
  <c r="II109" i="23"/>
  <c r="II93" i="23"/>
  <c r="II99" i="23"/>
  <c r="II96" i="23"/>
  <c r="II95" i="23"/>
  <c r="II98" i="23"/>
  <c r="II85" i="23"/>
  <c r="II90" i="23"/>
  <c r="II84" i="23"/>
  <c r="II91" i="23"/>
  <c r="II94" i="23"/>
  <c r="II92" i="23"/>
  <c r="II86" i="23"/>
  <c r="II87" i="23"/>
  <c r="II82" i="23"/>
  <c r="II80" i="23"/>
  <c r="II77" i="23"/>
  <c r="II83" i="23"/>
  <c r="II104" i="23"/>
  <c r="II71" i="23"/>
  <c r="II88" i="23"/>
  <c r="II78" i="23"/>
  <c r="II70" i="23"/>
  <c r="II68" i="23"/>
  <c r="II79" i="23"/>
  <c r="II66" i="23"/>
  <c r="II89" i="23"/>
  <c r="II73" i="23"/>
  <c r="II65" i="23"/>
  <c r="II81" i="23"/>
  <c r="II61" i="23"/>
  <c r="II63" i="23"/>
  <c r="II56" i="23"/>
  <c r="II76" i="23"/>
  <c r="II74" i="23"/>
  <c r="II72" i="23"/>
  <c r="II53" i="23"/>
  <c r="II52" i="23"/>
  <c r="II69" i="23"/>
  <c r="II67" i="23"/>
  <c r="II59" i="23"/>
  <c r="II51" i="23"/>
  <c r="II49" i="23"/>
  <c r="II47" i="23"/>
  <c r="II41" i="23"/>
  <c r="II40" i="23"/>
  <c r="II64" i="23"/>
  <c r="II55" i="23"/>
  <c r="II54" i="23"/>
  <c r="II39" i="23"/>
  <c r="II34" i="23"/>
  <c r="II48" i="23"/>
  <c r="II44" i="23"/>
  <c r="II33" i="23"/>
  <c r="II62" i="23"/>
  <c r="II60" i="23"/>
  <c r="II58" i="23"/>
  <c r="II57" i="23"/>
  <c r="II38" i="23"/>
  <c r="II27" i="23"/>
  <c r="II25" i="23"/>
  <c r="II75" i="23"/>
  <c r="II22" i="23"/>
  <c r="II46" i="23"/>
  <c r="II29" i="23"/>
  <c r="II19" i="23"/>
  <c r="II32" i="23"/>
  <c r="II31" i="23"/>
  <c r="II30" i="23"/>
  <c r="II28" i="23"/>
  <c r="II18" i="23"/>
  <c r="II26" i="23"/>
  <c r="II10" i="23"/>
  <c r="II9" i="23"/>
  <c r="II45" i="23"/>
  <c r="II23" i="23"/>
  <c r="II20" i="23"/>
  <c r="II17" i="23"/>
  <c r="II7" i="23"/>
  <c r="II37" i="23"/>
  <c r="II12" i="23"/>
  <c r="II4" i="23"/>
  <c r="II36" i="23"/>
  <c r="II50" i="23"/>
  <c r="II11" i="23"/>
  <c r="II43" i="23"/>
  <c r="II21" i="23"/>
  <c r="II13" i="23"/>
  <c r="II5" i="23"/>
  <c r="II6" i="23"/>
  <c r="IJ2" i="23"/>
  <c r="II14" i="23"/>
  <c r="II8" i="23"/>
  <c r="II15" i="23"/>
  <c r="II35" i="23"/>
  <c r="II16" i="23"/>
  <c r="II42" i="23"/>
  <c r="II24" i="23"/>
  <c r="IJ206" i="23" l="1"/>
  <c r="IJ134" i="23"/>
  <c r="IJ117" i="23"/>
  <c r="IJ170" i="23"/>
  <c r="IJ199" i="23"/>
  <c r="IJ120" i="23"/>
  <c r="IJ166" i="23"/>
  <c r="IJ121" i="23"/>
  <c r="IJ186" i="23"/>
  <c r="IJ201" i="23"/>
  <c r="IJ189" i="23"/>
  <c r="IJ203" i="23"/>
  <c r="IJ164" i="23"/>
  <c r="IJ209" i="23"/>
  <c r="IJ212" i="23"/>
  <c r="IJ174" i="23"/>
  <c r="IJ115" i="23"/>
  <c r="IJ192" i="23"/>
  <c r="IJ149" i="23"/>
  <c r="IJ207" i="23"/>
  <c r="IJ197" i="23"/>
  <c r="IJ200" i="23"/>
  <c r="IJ195" i="23"/>
  <c r="IJ196" i="23"/>
  <c r="IJ204" i="23"/>
  <c r="IJ181" i="23"/>
  <c r="IJ211" i="23"/>
  <c r="IJ210" i="23"/>
  <c r="IJ205" i="23"/>
  <c r="IJ187" i="23"/>
  <c r="IJ184" i="23"/>
  <c r="IJ194" i="23"/>
  <c r="IJ193" i="23"/>
  <c r="IJ208" i="23"/>
  <c r="IJ188" i="23"/>
  <c r="IJ198" i="23"/>
  <c r="IJ175" i="23"/>
  <c r="IJ172" i="23"/>
  <c r="IJ182" i="23"/>
  <c r="IJ190" i="23"/>
  <c r="IJ167" i="23"/>
  <c r="IJ154" i="23"/>
  <c r="IJ160" i="23"/>
  <c r="IJ185" i="23"/>
  <c r="IJ161" i="23"/>
  <c r="IJ171" i="23"/>
  <c r="IJ173" i="23"/>
  <c r="IJ178" i="23"/>
  <c r="IJ150" i="23"/>
  <c r="IJ148" i="23"/>
  <c r="IJ177" i="23"/>
  <c r="IJ165" i="23"/>
  <c r="IJ156" i="23"/>
  <c r="IJ152" i="23"/>
  <c r="IJ137" i="23"/>
  <c r="IJ179" i="23"/>
  <c r="IJ159" i="23"/>
  <c r="IJ129" i="23"/>
  <c r="IJ183" i="23"/>
  <c r="IJ163" i="23"/>
  <c r="IJ155" i="23"/>
  <c r="IJ143" i="23"/>
  <c r="IJ145" i="23"/>
  <c r="IJ130" i="23"/>
  <c r="IJ176" i="23"/>
  <c r="IJ168" i="23"/>
  <c r="IJ127" i="23"/>
  <c r="IJ135" i="23"/>
  <c r="IJ151" i="23"/>
  <c r="IJ138" i="23"/>
  <c r="IJ139" i="23"/>
  <c r="IJ133" i="23"/>
  <c r="IJ119" i="23"/>
  <c r="IJ141" i="23"/>
  <c r="IJ146" i="23"/>
  <c r="IJ126" i="23"/>
  <c r="IJ132" i="23"/>
  <c r="IJ157" i="23"/>
  <c r="IJ144" i="23"/>
  <c r="IJ118" i="23"/>
  <c r="IJ162" i="23"/>
  <c r="IJ140" i="23"/>
  <c r="IJ122" i="23"/>
  <c r="IJ124" i="23"/>
  <c r="IJ142" i="23"/>
  <c r="IJ131" i="23"/>
  <c r="IJ123" i="23"/>
  <c r="IJ153" i="23"/>
  <c r="IJ128" i="23"/>
  <c r="IJ116" i="23"/>
  <c r="IJ158" i="23"/>
  <c r="IJ180" i="23"/>
  <c r="IJ202" i="23"/>
  <c r="IJ147" i="23"/>
  <c r="IJ114" i="23"/>
  <c r="IJ125" i="23"/>
  <c r="IJ169" i="23"/>
  <c r="IJ136" i="23"/>
  <c r="IJ191" i="23"/>
  <c r="IJ113" i="23"/>
  <c r="IJ112" i="23"/>
  <c r="IJ111" i="23"/>
  <c r="IJ110" i="23"/>
  <c r="IJ109" i="23"/>
  <c r="IJ106" i="23"/>
  <c r="IJ108" i="23"/>
  <c r="IJ107" i="23"/>
  <c r="IJ105" i="23"/>
  <c r="IJ104" i="23"/>
  <c r="IJ102" i="23"/>
  <c r="IJ100" i="23"/>
  <c r="IJ98" i="23"/>
  <c r="IJ103" i="23"/>
  <c r="IJ96" i="23"/>
  <c r="IJ94" i="23"/>
  <c r="IJ92" i="23"/>
  <c r="IJ95" i="23"/>
  <c r="IJ93" i="23"/>
  <c r="IJ91" i="23"/>
  <c r="IJ99" i="23"/>
  <c r="IJ86" i="23"/>
  <c r="IJ87" i="23"/>
  <c r="IJ97" i="23"/>
  <c r="IJ83" i="23"/>
  <c r="IJ76" i="23"/>
  <c r="IJ89" i="23"/>
  <c r="IJ75" i="23"/>
  <c r="IJ77" i="23"/>
  <c r="IJ101" i="23"/>
  <c r="IJ79" i="23"/>
  <c r="IJ70" i="23"/>
  <c r="IJ90" i="23"/>
  <c r="IJ88" i="23"/>
  <c r="IJ85" i="23"/>
  <c r="IJ84" i="23"/>
  <c r="IJ82" i="23"/>
  <c r="IJ71" i="23"/>
  <c r="IJ69" i="23"/>
  <c r="IJ63" i="23"/>
  <c r="IJ81" i="23"/>
  <c r="IJ78" i="23"/>
  <c r="IJ74" i="23"/>
  <c r="IJ62" i="23"/>
  <c r="IJ56" i="23"/>
  <c r="IJ72" i="23"/>
  <c r="IJ64" i="23"/>
  <c r="IJ60" i="23"/>
  <c r="IJ58" i="23"/>
  <c r="IJ50" i="23"/>
  <c r="IJ67" i="23"/>
  <c r="IJ59" i="23"/>
  <c r="IJ57" i="23"/>
  <c r="IJ52" i="23"/>
  <c r="IJ68" i="23"/>
  <c r="IJ53" i="23"/>
  <c r="IJ54" i="23"/>
  <c r="IJ48" i="23"/>
  <c r="IJ46" i="23"/>
  <c r="IJ55" i="23"/>
  <c r="IJ45" i="23"/>
  <c r="IJ39" i="23"/>
  <c r="IJ51" i="23"/>
  <c r="IJ47" i="23"/>
  <c r="IJ41" i="23"/>
  <c r="IJ34" i="23"/>
  <c r="IJ65" i="23"/>
  <c r="IJ61" i="23"/>
  <c r="IJ49" i="23"/>
  <c r="IJ42" i="23"/>
  <c r="IJ31" i="23"/>
  <c r="IJ30" i="23"/>
  <c r="IJ80" i="23"/>
  <c r="IJ22" i="23"/>
  <c r="IJ29" i="23"/>
  <c r="IJ19" i="23"/>
  <c r="IJ37" i="23"/>
  <c r="IJ35" i="23"/>
  <c r="IJ26" i="23"/>
  <c r="IJ24" i="23"/>
  <c r="IJ73" i="23"/>
  <c r="IJ23" i="23"/>
  <c r="IJ20" i="23"/>
  <c r="IJ17" i="23"/>
  <c r="IJ7" i="23"/>
  <c r="IJ66" i="23"/>
  <c r="IJ12" i="23"/>
  <c r="IJ4" i="23"/>
  <c r="IJ14" i="23"/>
  <c r="IJ40" i="23"/>
  <c r="IJ36" i="23"/>
  <c r="IJ28" i="23"/>
  <c r="IJ9" i="23"/>
  <c r="IJ16" i="23"/>
  <c r="IJ6" i="23"/>
  <c r="IJ43" i="23"/>
  <c r="IJ27" i="23"/>
  <c r="IJ21" i="23"/>
  <c r="IJ18" i="23"/>
  <c r="IJ8" i="23"/>
  <c r="IK2" i="23"/>
  <c r="IJ44" i="23"/>
  <c r="IJ33" i="23"/>
  <c r="IJ15" i="23"/>
  <c r="IJ13" i="23"/>
  <c r="IJ10" i="23"/>
  <c r="IJ38" i="23"/>
  <c r="IJ25" i="23"/>
  <c r="IJ11" i="23"/>
  <c r="IJ32" i="23"/>
  <c r="IJ5" i="23"/>
  <c r="IK115" i="23" l="1"/>
  <c r="IK134" i="23"/>
  <c r="IK152" i="23"/>
  <c r="IK206" i="23"/>
  <c r="IK170" i="23"/>
  <c r="IK149" i="23"/>
  <c r="IK131" i="23"/>
  <c r="IK124" i="23"/>
  <c r="IK159" i="23"/>
  <c r="IK193" i="23"/>
  <c r="IK139" i="23"/>
  <c r="IK197" i="23"/>
  <c r="IK168" i="23"/>
  <c r="IK138" i="23"/>
  <c r="IK129" i="23"/>
  <c r="IK189" i="23"/>
  <c r="IK145" i="23"/>
  <c r="IK200" i="23"/>
  <c r="IK164" i="23"/>
  <c r="IK192" i="23"/>
  <c r="IK182" i="23"/>
  <c r="IK211" i="23"/>
  <c r="IK209" i="23"/>
  <c r="IK208" i="23"/>
  <c r="IK203" i="23"/>
  <c r="IK195" i="23"/>
  <c r="IK205" i="23"/>
  <c r="IK198" i="23"/>
  <c r="IK194" i="23"/>
  <c r="IK201" i="23"/>
  <c r="IK187" i="23"/>
  <c r="IK199" i="23"/>
  <c r="IK210" i="23"/>
  <c r="IK196" i="23"/>
  <c r="IK204" i="23"/>
  <c r="IK184" i="23"/>
  <c r="IK172" i="23"/>
  <c r="IK186" i="23"/>
  <c r="IK183" i="23"/>
  <c r="IK178" i="23"/>
  <c r="IK207" i="23"/>
  <c r="IK176" i="23"/>
  <c r="IK161" i="23"/>
  <c r="IK155" i="23"/>
  <c r="IK181" i="23"/>
  <c r="IK175" i="23"/>
  <c r="IK162" i="23"/>
  <c r="IK156" i="23"/>
  <c r="IK150" i="23"/>
  <c r="IK190" i="23"/>
  <c r="IK174" i="23"/>
  <c r="IK212" i="23"/>
  <c r="IK167" i="23"/>
  <c r="IK160" i="23"/>
  <c r="IK177" i="23"/>
  <c r="IK173" i="23"/>
  <c r="IK165" i="23"/>
  <c r="IK166" i="23"/>
  <c r="IK148" i="23"/>
  <c r="IK171" i="23"/>
  <c r="IK135" i="23"/>
  <c r="IK153" i="23"/>
  <c r="IK143" i="23"/>
  <c r="IK126" i="23"/>
  <c r="IK127" i="23"/>
  <c r="IK142" i="23"/>
  <c r="IK157" i="23"/>
  <c r="IK137" i="23"/>
  <c r="IK119" i="23"/>
  <c r="IK132" i="23"/>
  <c r="IK121" i="23"/>
  <c r="IK185" i="23"/>
  <c r="IK133" i="23"/>
  <c r="IK118" i="23"/>
  <c r="IK117" i="23"/>
  <c r="IK146" i="23"/>
  <c r="IK130" i="23"/>
  <c r="IK154" i="23"/>
  <c r="IK141" i="23"/>
  <c r="IK144" i="23"/>
  <c r="IK128" i="23"/>
  <c r="IK116" i="23"/>
  <c r="IK123" i="23"/>
  <c r="IK120" i="23"/>
  <c r="IK179" i="23"/>
  <c r="IK163" i="23"/>
  <c r="IK151" i="23"/>
  <c r="IK188" i="23"/>
  <c r="IK140" i="23"/>
  <c r="IK122" i="23"/>
  <c r="IK169" i="23"/>
  <c r="IK202" i="23"/>
  <c r="IK180" i="23"/>
  <c r="IK114" i="23"/>
  <c r="IK125" i="23"/>
  <c r="IK147" i="23"/>
  <c r="IK136" i="23"/>
  <c r="IK191" i="23"/>
  <c r="IK158" i="23"/>
  <c r="IK112" i="23"/>
  <c r="IK111" i="23"/>
  <c r="IK108" i="23"/>
  <c r="IK107" i="23"/>
  <c r="IK113" i="23"/>
  <c r="IK105" i="23"/>
  <c r="IK110" i="23"/>
  <c r="IK104" i="23"/>
  <c r="IK102" i="23"/>
  <c r="IK109" i="23"/>
  <c r="IK103" i="23"/>
  <c r="IK101" i="23"/>
  <c r="IK99" i="23"/>
  <c r="IK98" i="23"/>
  <c r="IK100" i="23"/>
  <c r="IK94" i="23"/>
  <c r="IK97" i="23"/>
  <c r="IK93" i="23"/>
  <c r="IK95" i="23"/>
  <c r="IK90" i="23"/>
  <c r="IK106" i="23"/>
  <c r="IK89" i="23"/>
  <c r="IK92" i="23"/>
  <c r="IK87" i="23"/>
  <c r="IK96" i="23"/>
  <c r="IK86" i="23"/>
  <c r="IK88" i="23"/>
  <c r="IK83" i="23"/>
  <c r="IK84" i="23"/>
  <c r="IK76" i="23"/>
  <c r="IK81" i="23"/>
  <c r="IK73" i="23"/>
  <c r="IK85" i="23"/>
  <c r="IK79" i="23"/>
  <c r="IK72" i="23"/>
  <c r="IK70" i="23"/>
  <c r="IK82" i="23"/>
  <c r="IK71" i="23"/>
  <c r="IK69" i="23"/>
  <c r="IK80" i="23"/>
  <c r="IK67" i="23"/>
  <c r="IK91" i="23"/>
  <c r="IK63" i="23"/>
  <c r="IK74" i="23"/>
  <c r="IK64" i="23"/>
  <c r="IK60" i="23"/>
  <c r="IK58" i="23"/>
  <c r="IK77" i="23"/>
  <c r="IK65" i="23"/>
  <c r="IK55" i="23"/>
  <c r="IK68" i="23"/>
  <c r="IK54" i="23"/>
  <c r="IK53" i="23"/>
  <c r="IK48" i="23"/>
  <c r="IK46" i="23"/>
  <c r="IK61" i="23"/>
  <c r="IK43" i="23"/>
  <c r="IK62" i="23"/>
  <c r="IK57" i="23"/>
  <c r="IK50" i="23"/>
  <c r="IK42" i="23"/>
  <c r="IK51" i="23"/>
  <c r="IK47" i="23"/>
  <c r="IK41" i="23"/>
  <c r="IK59" i="23"/>
  <c r="IK49" i="23"/>
  <c r="IK31" i="23"/>
  <c r="IK38" i="23"/>
  <c r="IK36" i="23"/>
  <c r="IK78" i="23"/>
  <c r="IK75" i="23"/>
  <c r="IK45" i="23"/>
  <c r="IK37" i="23"/>
  <c r="IK35" i="23"/>
  <c r="IK66" i="23"/>
  <c r="IK52" i="23"/>
  <c r="IK56" i="23"/>
  <c r="IK29" i="23"/>
  <c r="IK19" i="23"/>
  <c r="IK26" i="23"/>
  <c r="IK24" i="23"/>
  <c r="IK44" i="23"/>
  <c r="IK34" i="23"/>
  <c r="IK33" i="23"/>
  <c r="IK21" i="23"/>
  <c r="IK40" i="23"/>
  <c r="IK20" i="23"/>
  <c r="IK23" i="23"/>
  <c r="IK12" i="23"/>
  <c r="IK4" i="23"/>
  <c r="IK28" i="23"/>
  <c r="IK9" i="23"/>
  <c r="IK11" i="23"/>
  <c r="IK39" i="23"/>
  <c r="IK22" i="23"/>
  <c r="IK16" i="23"/>
  <c r="IK14" i="23"/>
  <c r="IK6" i="23"/>
  <c r="IK32" i="23"/>
  <c r="IK25" i="23"/>
  <c r="IK15" i="23"/>
  <c r="IK13" i="23"/>
  <c r="IK5" i="23"/>
  <c r="IK8" i="23"/>
  <c r="IL2" i="23"/>
  <c r="IK17" i="23"/>
  <c r="IK10" i="23"/>
  <c r="IK30" i="23"/>
  <c r="IK18" i="23"/>
  <c r="IK7" i="23"/>
  <c r="IK27" i="23"/>
  <c r="IL168" i="23" l="1"/>
  <c r="IL145" i="23"/>
  <c r="IL115" i="23"/>
  <c r="IL170" i="23"/>
  <c r="IL127" i="23"/>
  <c r="IL117" i="23"/>
  <c r="IL124" i="23"/>
  <c r="IL164" i="23"/>
  <c r="IL146" i="23"/>
  <c r="IL131" i="23"/>
  <c r="IL116" i="23"/>
  <c r="IL194" i="23"/>
  <c r="IL197" i="23"/>
  <c r="IL200" i="23"/>
  <c r="IL185" i="23"/>
  <c r="IL176" i="23"/>
  <c r="IL175" i="23"/>
  <c r="IL128" i="23"/>
  <c r="IL149" i="23"/>
  <c r="IL205" i="23"/>
  <c r="IL203" i="23"/>
  <c r="IL192" i="23"/>
  <c r="IL178" i="23"/>
  <c r="IL207" i="23"/>
  <c r="IL210" i="23"/>
  <c r="IL193" i="23"/>
  <c r="IL195" i="23"/>
  <c r="IL208" i="23"/>
  <c r="IL186" i="23"/>
  <c r="IL212" i="23"/>
  <c r="IL196" i="23"/>
  <c r="IL211" i="23"/>
  <c r="IL209" i="23"/>
  <c r="IL206" i="23"/>
  <c r="IL198" i="23"/>
  <c r="IL187" i="23"/>
  <c r="IL199" i="23"/>
  <c r="IL201" i="23"/>
  <c r="IL172" i="23"/>
  <c r="IL190" i="23"/>
  <c r="IL189" i="23"/>
  <c r="IL174" i="23"/>
  <c r="IL184" i="23"/>
  <c r="IL173" i="23"/>
  <c r="IL165" i="23"/>
  <c r="IL150" i="23"/>
  <c r="IL181" i="23"/>
  <c r="IL183" i="23"/>
  <c r="IL182" i="23"/>
  <c r="IL161" i="23"/>
  <c r="IL155" i="23"/>
  <c r="IL188" i="23"/>
  <c r="IL171" i="23"/>
  <c r="IL163" i="23"/>
  <c r="IL151" i="23"/>
  <c r="IL159" i="23"/>
  <c r="IL156" i="23"/>
  <c r="IL152" i="23"/>
  <c r="IL177" i="23"/>
  <c r="IL162" i="23"/>
  <c r="IL154" i="23"/>
  <c r="IL138" i="23"/>
  <c r="IL140" i="23"/>
  <c r="IL132" i="23"/>
  <c r="IL160" i="23"/>
  <c r="IL148" i="23"/>
  <c r="IL134" i="23"/>
  <c r="IL137" i="23"/>
  <c r="IL139" i="23"/>
  <c r="IL142" i="23"/>
  <c r="IL126" i="23"/>
  <c r="IL135" i="23"/>
  <c r="IL204" i="23"/>
  <c r="IL166" i="23"/>
  <c r="IL144" i="23"/>
  <c r="IL114" i="23"/>
  <c r="IL179" i="23"/>
  <c r="IL157" i="23"/>
  <c r="IL130" i="23"/>
  <c r="IL133" i="23"/>
  <c r="IL123" i="23"/>
  <c r="IL167" i="23"/>
  <c r="IL141" i="23"/>
  <c r="IL118" i="23"/>
  <c r="IL129" i="23"/>
  <c r="IL122" i="23"/>
  <c r="IL153" i="23"/>
  <c r="IL143" i="23"/>
  <c r="IL121" i="23"/>
  <c r="IL119" i="23"/>
  <c r="IL120" i="23"/>
  <c r="IL125" i="23"/>
  <c r="IL158" i="23"/>
  <c r="IL191" i="23"/>
  <c r="IL147" i="23"/>
  <c r="IL202" i="23"/>
  <c r="IL180" i="23"/>
  <c r="IL136" i="23"/>
  <c r="IL169" i="23"/>
  <c r="IL111" i="23"/>
  <c r="IL113" i="23"/>
  <c r="IL107" i="23"/>
  <c r="IL112" i="23"/>
  <c r="IL110" i="23"/>
  <c r="IL106" i="23"/>
  <c r="IL105" i="23"/>
  <c r="IL109" i="23"/>
  <c r="IL108" i="23"/>
  <c r="IL100" i="23"/>
  <c r="IL102" i="23"/>
  <c r="IL101" i="23"/>
  <c r="IL99" i="23"/>
  <c r="IL103" i="23"/>
  <c r="IL95" i="23"/>
  <c r="IL94" i="23"/>
  <c r="IL104" i="23"/>
  <c r="IL93" i="23"/>
  <c r="IL98" i="23"/>
  <c r="IL92" i="23"/>
  <c r="IL89" i="23"/>
  <c r="IL84" i="23"/>
  <c r="IL97" i="23"/>
  <c r="IL88" i="23"/>
  <c r="IL83" i="23"/>
  <c r="IL96" i="23"/>
  <c r="IL87" i="23"/>
  <c r="IL82" i="23"/>
  <c r="IL80" i="23"/>
  <c r="IL85" i="23"/>
  <c r="IL81" i="23"/>
  <c r="IL79" i="23"/>
  <c r="IL76" i="23"/>
  <c r="IL78" i="23"/>
  <c r="IL70" i="23"/>
  <c r="IL90" i="23"/>
  <c r="IL77" i="23"/>
  <c r="IL71" i="23"/>
  <c r="IL69" i="23"/>
  <c r="IL86" i="23"/>
  <c r="IL91" i="23"/>
  <c r="IL75" i="23"/>
  <c r="IL72" i="23"/>
  <c r="IL65" i="23"/>
  <c r="IL68" i="23"/>
  <c r="IL64" i="23"/>
  <c r="IL74" i="23"/>
  <c r="IL60" i="23"/>
  <c r="IL58" i="23"/>
  <c r="IL55" i="23"/>
  <c r="IL66" i="23"/>
  <c r="IL52" i="23"/>
  <c r="IL73" i="23"/>
  <c r="IL62" i="23"/>
  <c r="IL61" i="23"/>
  <c r="IL51" i="23"/>
  <c r="IL48" i="23"/>
  <c r="IL46" i="23"/>
  <c r="IL63" i="23"/>
  <c r="IL54" i="23"/>
  <c r="IL49" i="23"/>
  <c r="IL47" i="23"/>
  <c r="IL59" i="23"/>
  <c r="IL42" i="23"/>
  <c r="IL38" i="23"/>
  <c r="IL36" i="23"/>
  <c r="IL44" i="23"/>
  <c r="IL43" i="23"/>
  <c r="IL40" i="23"/>
  <c r="IL33" i="23"/>
  <c r="IL67" i="23"/>
  <c r="IL57" i="23"/>
  <c r="IL32" i="23"/>
  <c r="IL56" i="23"/>
  <c r="IL41" i="23"/>
  <c r="IL26" i="23"/>
  <c r="IL24" i="23"/>
  <c r="IL37" i="23"/>
  <c r="IL35" i="23"/>
  <c r="IL34" i="23"/>
  <c r="IL21" i="23"/>
  <c r="IL28" i="23"/>
  <c r="IL18" i="23"/>
  <c r="IL27" i="23"/>
  <c r="IL25" i="23"/>
  <c r="IL53" i="23"/>
  <c r="IL45" i="23"/>
  <c r="IL31" i="23"/>
  <c r="IL9" i="23"/>
  <c r="IL8" i="23"/>
  <c r="IL39" i="23"/>
  <c r="IL22" i="23"/>
  <c r="IL16" i="23"/>
  <c r="IL14" i="23"/>
  <c r="IL6" i="23"/>
  <c r="IM2" i="23"/>
  <c r="IL19" i="23"/>
  <c r="IL11" i="23"/>
  <c r="IL30" i="23"/>
  <c r="IL10" i="23"/>
  <c r="IL17" i="23"/>
  <c r="IL4" i="23"/>
  <c r="IL7" i="23"/>
  <c r="IL20" i="23"/>
  <c r="IL15" i="23"/>
  <c r="IL50" i="23"/>
  <c r="IL23" i="23"/>
  <c r="IL12" i="23"/>
  <c r="IL29" i="23"/>
  <c r="IL5" i="23"/>
  <c r="IL13" i="23"/>
  <c r="IM145" i="23" l="1"/>
  <c r="IM198" i="23"/>
  <c r="IM200" i="23"/>
  <c r="IM152" i="23"/>
  <c r="IM123" i="23"/>
  <c r="IM159" i="23"/>
  <c r="IM124" i="23"/>
  <c r="IM128" i="23"/>
  <c r="IM211" i="23"/>
  <c r="IM148" i="23"/>
  <c r="IM116" i="23"/>
  <c r="IM166" i="23"/>
  <c r="IM173" i="23"/>
  <c r="IM115" i="23"/>
  <c r="IM149" i="23"/>
  <c r="IM134" i="23"/>
  <c r="IM193" i="23"/>
  <c r="IM170" i="23"/>
  <c r="IM129" i="23"/>
  <c r="IM203" i="23"/>
  <c r="IM189" i="23"/>
  <c r="IM178" i="23"/>
  <c r="IM208" i="23"/>
  <c r="IM205" i="23"/>
  <c r="IM210" i="23"/>
  <c r="IM194" i="23"/>
  <c r="IM183" i="23"/>
  <c r="IM196" i="23"/>
  <c r="IM184" i="23"/>
  <c r="IM182" i="23"/>
  <c r="IM127" i="23"/>
  <c r="IM195" i="23"/>
  <c r="IM207" i="23"/>
  <c r="IM206" i="23"/>
  <c r="IM209" i="23"/>
  <c r="IM192" i="23"/>
  <c r="IM186" i="23"/>
  <c r="IM187" i="23"/>
  <c r="IM185" i="23"/>
  <c r="IM197" i="23"/>
  <c r="IM212" i="23"/>
  <c r="IM190" i="23"/>
  <c r="IM181" i="23"/>
  <c r="IM204" i="23"/>
  <c r="IM199" i="23"/>
  <c r="IM175" i="23"/>
  <c r="IM160" i="23"/>
  <c r="IM155" i="23"/>
  <c r="IM188" i="23"/>
  <c r="IM172" i="23"/>
  <c r="IM174" i="23"/>
  <c r="IM168" i="23"/>
  <c r="IM154" i="23"/>
  <c r="IM153" i="23"/>
  <c r="IM157" i="23"/>
  <c r="IM138" i="23"/>
  <c r="IM162" i="23"/>
  <c r="IM140" i="23"/>
  <c r="IM176" i="23"/>
  <c r="IM177" i="23"/>
  <c r="IM151" i="23"/>
  <c r="IM142" i="23"/>
  <c r="IM130" i="23"/>
  <c r="IM133" i="23"/>
  <c r="IM161" i="23"/>
  <c r="IM165" i="23"/>
  <c r="IM141" i="23"/>
  <c r="IM139" i="23"/>
  <c r="IM135" i="23"/>
  <c r="IM143" i="23"/>
  <c r="IM144" i="23"/>
  <c r="IM201" i="23"/>
  <c r="IM163" i="23"/>
  <c r="IM164" i="23"/>
  <c r="IM146" i="23"/>
  <c r="IM131" i="23"/>
  <c r="IM171" i="23"/>
  <c r="IM179" i="23"/>
  <c r="IM119" i="23"/>
  <c r="IM150" i="23"/>
  <c r="IM126" i="23"/>
  <c r="IM120" i="23"/>
  <c r="IM121" i="23"/>
  <c r="IM132" i="23"/>
  <c r="IM118" i="23"/>
  <c r="IM117" i="23"/>
  <c r="IM122" i="23"/>
  <c r="IM167" i="23"/>
  <c r="IM156" i="23"/>
  <c r="IM137" i="23"/>
  <c r="IM180" i="23"/>
  <c r="IM158" i="23"/>
  <c r="IM114" i="23"/>
  <c r="IM125" i="23"/>
  <c r="IM191" i="23"/>
  <c r="IM169" i="23"/>
  <c r="IM202" i="23"/>
  <c r="IM136" i="23"/>
  <c r="IM147" i="23"/>
  <c r="IM113" i="23"/>
  <c r="IM112" i="23"/>
  <c r="IM110" i="23"/>
  <c r="IM111" i="23"/>
  <c r="IM109" i="23"/>
  <c r="IM106" i="23"/>
  <c r="IM105" i="23"/>
  <c r="IM104" i="23"/>
  <c r="IM107" i="23"/>
  <c r="IM101" i="23"/>
  <c r="IM99" i="23"/>
  <c r="IM96" i="23"/>
  <c r="IM95" i="23"/>
  <c r="IM103" i="23"/>
  <c r="IM94" i="23"/>
  <c r="IM102" i="23"/>
  <c r="IM98" i="23"/>
  <c r="IM92" i="23"/>
  <c r="IM97" i="23"/>
  <c r="IM91" i="23"/>
  <c r="IM100" i="23"/>
  <c r="IM90" i="23"/>
  <c r="IM88" i="23"/>
  <c r="IM89" i="23"/>
  <c r="IM87" i="23"/>
  <c r="IM81" i="23"/>
  <c r="IM78" i="23"/>
  <c r="IM82" i="23"/>
  <c r="IM80" i="23"/>
  <c r="IM75" i="23"/>
  <c r="IM74" i="23"/>
  <c r="IM86" i="23"/>
  <c r="IM79" i="23"/>
  <c r="IM85" i="23"/>
  <c r="IM84" i="23"/>
  <c r="IM72" i="23"/>
  <c r="IM108" i="23"/>
  <c r="IM76" i="23"/>
  <c r="IM73" i="23"/>
  <c r="IM62" i="23"/>
  <c r="IM93" i="23"/>
  <c r="IM83" i="23"/>
  <c r="IM64" i="23"/>
  <c r="IM77" i="23"/>
  <c r="IM66" i="23"/>
  <c r="IM65" i="23"/>
  <c r="IM69" i="23"/>
  <c r="IM59" i="23"/>
  <c r="IM57" i="23"/>
  <c r="IM71" i="23"/>
  <c r="IM56" i="23"/>
  <c r="IM68" i="23"/>
  <c r="IM63" i="23"/>
  <c r="IM54" i="23"/>
  <c r="IM61" i="23"/>
  <c r="IM45" i="23"/>
  <c r="IM60" i="23"/>
  <c r="IM51" i="23"/>
  <c r="IM44" i="23"/>
  <c r="IM55" i="23"/>
  <c r="IM49" i="23"/>
  <c r="IM42" i="23"/>
  <c r="IM38" i="23"/>
  <c r="IM36" i="23"/>
  <c r="IM43" i="23"/>
  <c r="IM40" i="23"/>
  <c r="IM33" i="23"/>
  <c r="IM50" i="23"/>
  <c r="IM30" i="23"/>
  <c r="IM53" i="23"/>
  <c r="IM39" i="23"/>
  <c r="IM58" i="23"/>
  <c r="IM37" i="23"/>
  <c r="IM35" i="23"/>
  <c r="IM34" i="23"/>
  <c r="IM21" i="23"/>
  <c r="IM46" i="23"/>
  <c r="IM28" i="23"/>
  <c r="IM18" i="23"/>
  <c r="IM32" i="23"/>
  <c r="IM23" i="23"/>
  <c r="IM22" i="23"/>
  <c r="IM16" i="23"/>
  <c r="IM14" i="23"/>
  <c r="IM6" i="23"/>
  <c r="IM13" i="23"/>
  <c r="IM48" i="23"/>
  <c r="IM19" i="23"/>
  <c r="IM11" i="23"/>
  <c r="IM52" i="23"/>
  <c r="IM27" i="23"/>
  <c r="IM5" i="23"/>
  <c r="IM25" i="23"/>
  <c r="IM8" i="23"/>
  <c r="IN2" i="23"/>
  <c r="IM15" i="23"/>
  <c r="IM70" i="23"/>
  <c r="IM41" i="23"/>
  <c r="IM17" i="23"/>
  <c r="IM7" i="23"/>
  <c r="IM29" i="23"/>
  <c r="IM24" i="23"/>
  <c r="IM20" i="23"/>
  <c r="IM12" i="23"/>
  <c r="IM26" i="23"/>
  <c r="IM4" i="23"/>
  <c r="IM67" i="23"/>
  <c r="IM31" i="23"/>
  <c r="IM9" i="23"/>
  <c r="IM47" i="23"/>
  <c r="IM10" i="23"/>
  <c r="IN137" i="23" l="1"/>
  <c r="IN209" i="23"/>
  <c r="IN126" i="23"/>
  <c r="IN149" i="23"/>
  <c r="IN198" i="23"/>
  <c r="IN150" i="23"/>
  <c r="IN123" i="23"/>
  <c r="IN146" i="23"/>
  <c r="IN121" i="23"/>
  <c r="IN151" i="23"/>
  <c r="IN117" i="23"/>
  <c r="IN145" i="23"/>
  <c r="IN164" i="23"/>
  <c r="IN142" i="23"/>
  <c r="IN166" i="23"/>
  <c r="IN197" i="23"/>
  <c r="IN115" i="23"/>
  <c r="IN203" i="23"/>
  <c r="IN170" i="23"/>
  <c r="IN173" i="23"/>
  <c r="IN207" i="23"/>
  <c r="IN208" i="23"/>
  <c r="IN204" i="23"/>
  <c r="IN211" i="23"/>
  <c r="IN192" i="23"/>
  <c r="IN194" i="23"/>
  <c r="IN200" i="23"/>
  <c r="IN138" i="23"/>
  <c r="IN143" i="23"/>
  <c r="IN205" i="23"/>
  <c r="IN206" i="23"/>
  <c r="IN193" i="23"/>
  <c r="IN199" i="23"/>
  <c r="IN184" i="23"/>
  <c r="IN181" i="23"/>
  <c r="IN210" i="23"/>
  <c r="IN196" i="23"/>
  <c r="IN182" i="23"/>
  <c r="IN195" i="23"/>
  <c r="IN212" i="23"/>
  <c r="IN186" i="23"/>
  <c r="IN185" i="23"/>
  <c r="IN187" i="23"/>
  <c r="IN201" i="23"/>
  <c r="IN183" i="23"/>
  <c r="IN171" i="23"/>
  <c r="IN177" i="23"/>
  <c r="IN188" i="23"/>
  <c r="IN174" i="23"/>
  <c r="IN175" i="23"/>
  <c r="IN162" i="23"/>
  <c r="IN155" i="23"/>
  <c r="IN190" i="23"/>
  <c r="IN178" i="23"/>
  <c r="IN167" i="23"/>
  <c r="IN160" i="23"/>
  <c r="IN189" i="23"/>
  <c r="IN152" i="23"/>
  <c r="IN172" i="23"/>
  <c r="IN159" i="23"/>
  <c r="IN165" i="23"/>
  <c r="IN168" i="23"/>
  <c r="IN154" i="23"/>
  <c r="IN148" i="23"/>
  <c r="IN176" i="23"/>
  <c r="IN139" i="23"/>
  <c r="IN128" i="23"/>
  <c r="IN133" i="23"/>
  <c r="IN179" i="23"/>
  <c r="IN161" i="23"/>
  <c r="IN156" i="23"/>
  <c r="IN163" i="23"/>
  <c r="IN153" i="23"/>
  <c r="IN157" i="23"/>
  <c r="IN141" i="23"/>
  <c r="IN134" i="23"/>
  <c r="IN131" i="23"/>
  <c r="IN124" i="23"/>
  <c r="IN135" i="23"/>
  <c r="IN129" i="23"/>
  <c r="IN120" i="23"/>
  <c r="IN144" i="23"/>
  <c r="IN132" i="23"/>
  <c r="IN119" i="23"/>
  <c r="IN118" i="23"/>
  <c r="IN140" i="23"/>
  <c r="IN122" i="23"/>
  <c r="IN116" i="23"/>
  <c r="IN130" i="23"/>
  <c r="IN127" i="23"/>
  <c r="IN191" i="23"/>
  <c r="IN180" i="23"/>
  <c r="IN169" i="23"/>
  <c r="IN125" i="23"/>
  <c r="IN158" i="23"/>
  <c r="IN147" i="23"/>
  <c r="IN114" i="23"/>
  <c r="IN136" i="23"/>
  <c r="IN202" i="23"/>
  <c r="IN111" i="23"/>
  <c r="IN113" i="23"/>
  <c r="IN107" i="23"/>
  <c r="IN110" i="23"/>
  <c r="IN112" i="23"/>
  <c r="IN106" i="23"/>
  <c r="IN103" i="23"/>
  <c r="IN101" i="23"/>
  <c r="IN108" i="23"/>
  <c r="IN98" i="23"/>
  <c r="IN97" i="23"/>
  <c r="IN93" i="23"/>
  <c r="IN109" i="23"/>
  <c r="IN104" i="23"/>
  <c r="IN92" i="23"/>
  <c r="IN102" i="23"/>
  <c r="IN95" i="23"/>
  <c r="IN96" i="23"/>
  <c r="IN89" i="23"/>
  <c r="IN88" i="23"/>
  <c r="IN90" i="23"/>
  <c r="IN91" i="23"/>
  <c r="IN86" i="23"/>
  <c r="IN94" i="23"/>
  <c r="IN85" i="23"/>
  <c r="IN105" i="23"/>
  <c r="IN87" i="23"/>
  <c r="IN81" i="23"/>
  <c r="IN78" i="23"/>
  <c r="IN82" i="23"/>
  <c r="IN80" i="23"/>
  <c r="IN75" i="23"/>
  <c r="IN72" i="23"/>
  <c r="IN84" i="23"/>
  <c r="IN71" i="23"/>
  <c r="IN69" i="23"/>
  <c r="IN100" i="23"/>
  <c r="IN99" i="23"/>
  <c r="IN76" i="23"/>
  <c r="IN73" i="23"/>
  <c r="IN74" i="23"/>
  <c r="IN67" i="23"/>
  <c r="IN77" i="23"/>
  <c r="IN66" i="23"/>
  <c r="IN79" i="23"/>
  <c r="IN65" i="23"/>
  <c r="IN59" i="23"/>
  <c r="IN57" i="23"/>
  <c r="IN54" i="23"/>
  <c r="IN63" i="23"/>
  <c r="IN53" i="23"/>
  <c r="IN61" i="23"/>
  <c r="IN58" i="23"/>
  <c r="IN50" i="23"/>
  <c r="IN42" i="23"/>
  <c r="IN56" i="23"/>
  <c r="IN52" i="23"/>
  <c r="IN41" i="23"/>
  <c r="IN64" i="23"/>
  <c r="IN43" i="23"/>
  <c r="IN40" i="23"/>
  <c r="IN44" i="23"/>
  <c r="IN30" i="23"/>
  <c r="IN62" i="23"/>
  <c r="IN60" i="23"/>
  <c r="IN46" i="23"/>
  <c r="IN37" i="23"/>
  <c r="IN35" i="23"/>
  <c r="IN83" i="23"/>
  <c r="IN34" i="23"/>
  <c r="IN70" i="23"/>
  <c r="IN68" i="23"/>
  <c r="IN55" i="23"/>
  <c r="IN28" i="23"/>
  <c r="IN18" i="23"/>
  <c r="IN51" i="23"/>
  <c r="IN33" i="23"/>
  <c r="IN32" i="23"/>
  <c r="IN23" i="23"/>
  <c r="IN48" i="23"/>
  <c r="IN47" i="23"/>
  <c r="IN39" i="23"/>
  <c r="IN31" i="23"/>
  <c r="IN20" i="23"/>
  <c r="IN45" i="23"/>
  <c r="IN36" i="23"/>
  <c r="IN29" i="23"/>
  <c r="IN19" i="23"/>
  <c r="IN22" i="23"/>
  <c r="IN11" i="23"/>
  <c r="IN38" i="23"/>
  <c r="IN25" i="23"/>
  <c r="IN8" i="23"/>
  <c r="IO2" i="23"/>
  <c r="IN10" i="23"/>
  <c r="IN27" i="23"/>
  <c r="IN15" i="23"/>
  <c r="IN13" i="23"/>
  <c r="IN5" i="23"/>
  <c r="IN24" i="23"/>
  <c r="IN12" i="23"/>
  <c r="IN4" i="23"/>
  <c r="IN49" i="23"/>
  <c r="IN26" i="23"/>
  <c r="IN21" i="23"/>
  <c r="IN14" i="23"/>
  <c r="IN16" i="23"/>
  <c r="IN17" i="23"/>
  <c r="IN6" i="23"/>
  <c r="IN7" i="23"/>
  <c r="IN9" i="23"/>
  <c r="IO210" i="23" l="1"/>
  <c r="IO176" i="23"/>
  <c r="IO185" i="23"/>
  <c r="IO206" i="23"/>
  <c r="IO144" i="23"/>
  <c r="IO129" i="23"/>
  <c r="IO128" i="23"/>
  <c r="IO116" i="23"/>
  <c r="IO117" i="23"/>
  <c r="IO164" i="23"/>
  <c r="IO149" i="23"/>
  <c r="IO181" i="23"/>
  <c r="IO126" i="23"/>
  <c r="IO173" i="23"/>
  <c r="IO200" i="23"/>
  <c r="IO203" i="23"/>
  <c r="IO121" i="23"/>
  <c r="IO166" i="23"/>
  <c r="IO167" i="23"/>
  <c r="IO207" i="23"/>
  <c r="IO152" i="23"/>
  <c r="IO139" i="23"/>
  <c r="IO211" i="23"/>
  <c r="IO145" i="23"/>
  <c r="IO205" i="23"/>
  <c r="IO195" i="23"/>
  <c r="IO146" i="23"/>
  <c r="IO192" i="23"/>
  <c r="IO193" i="23"/>
  <c r="IO196" i="23"/>
  <c r="IO134" i="23"/>
  <c r="IO198" i="23"/>
  <c r="IO199" i="23"/>
  <c r="IO209" i="23"/>
  <c r="IO194" i="23"/>
  <c r="IO204" i="23"/>
  <c r="IO212" i="23"/>
  <c r="IO201" i="23"/>
  <c r="IO186" i="23"/>
  <c r="IO187" i="23"/>
  <c r="IO183" i="23"/>
  <c r="IO188" i="23"/>
  <c r="IO189" i="23"/>
  <c r="IO172" i="23"/>
  <c r="IO171" i="23"/>
  <c r="IO174" i="23"/>
  <c r="IO163" i="23"/>
  <c r="IO208" i="23"/>
  <c r="IO162" i="23"/>
  <c r="IO190" i="23"/>
  <c r="IO160" i="23"/>
  <c r="IO168" i="23"/>
  <c r="IO197" i="23"/>
  <c r="IO184" i="23"/>
  <c r="IO170" i="23"/>
  <c r="IO161" i="23"/>
  <c r="IO153" i="23"/>
  <c r="IO179" i="23"/>
  <c r="IO154" i="23"/>
  <c r="IO141" i="23"/>
  <c r="IO136" i="23"/>
  <c r="IO156" i="23"/>
  <c r="IO143" i="23"/>
  <c r="IO130" i="23"/>
  <c r="IO132" i="23"/>
  <c r="IO138" i="23"/>
  <c r="IO155" i="23"/>
  <c r="IO142" i="23"/>
  <c r="IO120" i="23"/>
  <c r="IO119" i="23"/>
  <c r="IO178" i="23"/>
  <c r="IO165" i="23"/>
  <c r="IO148" i="23"/>
  <c r="IO137" i="23"/>
  <c r="IO124" i="23"/>
  <c r="IO133" i="23"/>
  <c r="IO159" i="23"/>
  <c r="IO150" i="23"/>
  <c r="IO140" i="23"/>
  <c r="IO118" i="23"/>
  <c r="IO122" i="23"/>
  <c r="IO182" i="23"/>
  <c r="IO177" i="23"/>
  <c r="IO115" i="23"/>
  <c r="IO151" i="23"/>
  <c r="IO175" i="23"/>
  <c r="IO135" i="23"/>
  <c r="IO131" i="23"/>
  <c r="IO123" i="23"/>
  <c r="IO157" i="23"/>
  <c r="IO127" i="23"/>
  <c r="IO114" i="23"/>
  <c r="IO202" i="23"/>
  <c r="IO147" i="23"/>
  <c r="IO180" i="23"/>
  <c r="IO125" i="23"/>
  <c r="IO191" i="23"/>
  <c r="IO158" i="23"/>
  <c r="IO169" i="23"/>
  <c r="IO113" i="23"/>
  <c r="IO108" i="23"/>
  <c r="IO107" i="23"/>
  <c r="IO106" i="23"/>
  <c r="IO112" i="23"/>
  <c r="IO110" i="23"/>
  <c r="IO109" i="23"/>
  <c r="IO105" i="23"/>
  <c r="IO111" i="23"/>
  <c r="IO100" i="23"/>
  <c r="IO101" i="23"/>
  <c r="IO103" i="23"/>
  <c r="IO97" i="23"/>
  <c r="IO102" i="23"/>
  <c r="IO104" i="23"/>
  <c r="IO98" i="23"/>
  <c r="IO96" i="23"/>
  <c r="IO99" i="23"/>
  <c r="IO92" i="23"/>
  <c r="IO90" i="23"/>
  <c r="IO91" i="23"/>
  <c r="IO94" i="23"/>
  <c r="IO88" i="23"/>
  <c r="IO84" i="23"/>
  <c r="IO81" i="23"/>
  <c r="IO87" i="23"/>
  <c r="IO86" i="23"/>
  <c r="IO82" i="23"/>
  <c r="IO80" i="23"/>
  <c r="IO79" i="23"/>
  <c r="IO77" i="23"/>
  <c r="IO95" i="23"/>
  <c r="IO83" i="23"/>
  <c r="IO76" i="23"/>
  <c r="IO85" i="23"/>
  <c r="IO73" i="23"/>
  <c r="IO72" i="23"/>
  <c r="IO75" i="23"/>
  <c r="IO74" i="23"/>
  <c r="IO68" i="23"/>
  <c r="IO64" i="23"/>
  <c r="IO70" i="23"/>
  <c r="IO63" i="23"/>
  <c r="IO66" i="23"/>
  <c r="IO59" i="23"/>
  <c r="IO57" i="23"/>
  <c r="IO69" i="23"/>
  <c r="IO89" i="23"/>
  <c r="IO78" i="23"/>
  <c r="IO67" i="23"/>
  <c r="IO61" i="23"/>
  <c r="IO51" i="23"/>
  <c r="IO60" i="23"/>
  <c r="IO58" i="23"/>
  <c r="IO50" i="23"/>
  <c r="IO71" i="23"/>
  <c r="IO55" i="23"/>
  <c r="IO49" i="23"/>
  <c r="IO47" i="23"/>
  <c r="IO53" i="23"/>
  <c r="IO48" i="23"/>
  <c r="IO46" i="23"/>
  <c r="IO54" i="23"/>
  <c r="IO44" i="23"/>
  <c r="IO65" i="23"/>
  <c r="IO62" i="23"/>
  <c r="IO37" i="23"/>
  <c r="IO35" i="23"/>
  <c r="IO56" i="23"/>
  <c r="IO52" i="23"/>
  <c r="IO45" i="23"/>
  <c r="IO32" i="23"/>
  <c r="IO41" i="23"/>
  <c r="IO31" i="23"/>
  <c r="IO33" i="23"/>
  <c r="IO23" i="23"/>
  <c r="IO39" i="23"/>
  <c r="IO20" i="23"/>
  <c r="IO42" i="23"/>
  <c r="IO30" i="23"/>
  <c r="IO27" i="23"/>
  <c r="IO25" i="23"/>
  <c r="IO43" i="23"/>
  <c r="IO38" i="23"/>
  <c r="IO26" i="23"/>
  <c r="IO24" i="23"/>
  <c r="IO34" i="23"/>
  <c r="IO28" i="23"/>
  <c r="IO19" i="23"/>
  <c r="IO8" i="23"/>
  <c r="IP2" i="23"/>
  <c r="IO21" i="23"/>
  <c r="IO17" i="23"/>
  <c r="IO40" i="23"/>
  <c r="IO36" i="23"/>
  <c r="IO15" i="23"/>
  <c r="IO13" i="23"/>
  <c r="IO5" i="23"/>
  <c r="IO18" i="23"/>
  <c r="IO10" i="23"/>
  <c r="IO93" i="23"/>
  <c r="IO7" i="23"/>
  <c r="IO29" i="23"/>
  <c r="IO9" i="23"/>
  <c r="IO16" i="23"/>
  <c r="IO14" i="23"/>
  <c r="IO6" i="23"/>
  <c r="IO4" i="23"/>
  <c r="IO12" i="23"/>
  <c r="IO22" i="23"/>
  <c r="IO11" i="23"/>
  <c r="IP210" i="23" l="1"/>
  <c r="IP133" i="23"/>
  <c r="IP175" i="23"/>
  <c r="IP115" i="23"/>
  <c r="IP124" i="23"/>
  <c r="IP122" i="23"/>
  <c r="IP127" i="23"/>
  <c r="IP128" i="23"/>
  <c r="IP145" i="23"/>
  <c r="IP197" i="23"/>
  <c r="IP144" i="23"/>
  <c r="IP194" i="23"/>
  <c r="IP196" i="23"/>
  <c r="IP192" i="23"/>
  <c r="IP211" i="23"/>
  <c r="IP182" i="23"/>
  <c r="IP149" i="23"/>
  <c r="IP203" i="23"/>
  <c r="IP212" i="23"/>
  <c r="IP164" i="23"/>
  <c r="IP195" i="23"/>
  <c r="IP204" i="23"/>
  <c r="IP205" i="23"/>
  <c r="IP209" i="23"/>
  <c r="IP201" i="23"/>
  <c r="IP193" i="23"/>
  <c r="IP206" i="23"/>
  <c r="IP186" i="23"/>
  <c r="IP187" i="23"/>
  <c r="IP207" i="23"/>
  <c r="IP198" i="23"/>
  <c r="IP199" i="23"/>
  <c r="IP200" i="23"/>
  <c r="IP185" i="23"/>
  <c r="IP177" i="23"/>
  <c r="IP176" i="23"/>
  <c r="IP188" i="23"/>
  <c r="IP184" i="23"/>
  <c r="IP162" i="23"/>
  <c r="IP160" i="23"/>
  <c r="IP173" i="23"/>
  <c r="IP179" i="23"/>
  <c r="IP161" i="23"/>
  <c r="IP166" i="23"/>
  <c r="IP150" i="23"/>
  <c r="IP151" i="23"/>
  <c r="IP153" i="23"/>
  <c r="IP157" i="23"/>
  <c r="IP141" i="23"/>
  <c r="IP178" i="23"/>
  <c r="IP168" i="23"/>
  <c r="IP208" i="23"/>
  <c r="IP129" i="23"/>
  <c r="IP190" i="23"/>
  <c r="IP189" i="23"/>
  <c r="IP165" i="23"/>
  <c r="IP152" i="23"/>
  <c r="IP138" i="23"/>
  <c r="IP142" i="23"/>
  <c r="IP183" i="23"/>
  <c r="IP154" i="23"/>
  <c r="IP137" i="23"/>
  <c r="IP143" i="23"/>
  <c r="IP126" i="23"/>
  <c r="IP181" i="23"/>
  <c r="IP155" i="23"/>
  <c r="IP123" i="23"/>
  <c r="IP170" i="23"/>
  <c r="IP156" i="23"/>
  <c r="IP146" i="23"/>
  <c r="IP135" i="23"/>
  <c r="IP140" i="23"/>
  <c r="IP130" i="23"/>
  <c r="IP132" i="23"/>
  <c r="IP117" i="23"/>
  <c r="IP131" i="23"/>
  <c r="IP116" i="23"/>
  <c r="IP159" i="23"/>
  <c r="IP163" i="23"/>
  <c r="IP139" i="23"/>
  <c r="IP174" i="23"/>
  <c r="IP171" i="23"/>
  <c r="IP120" i="23"/>
  <c r="IP119" i="23"/>
  <c r="IP148" i="23"/>
  <c r="IP118" i="23"/>
  <c r="IP167" i="23"/>
  <c r="IP121" i="23"/>
  <c r="IP134" i="23"/>
  <c r="IP172" i="23"/>
  <c r="IP191" i="23"/>
  <c r="IP147" i="23"/>
  <c r="IP125" i="23"/>
  <c r="IP136" i="23"/>
  <c r="IP202" i="23"/>
  <c r="IP114" i="23"/>
  <c r="IP169" i="23"/>
  <c r="IP158" i="23"/>
  <c r="IP180" i="23"/>
  <c r="IP113" i="23"/>
  <c r="IP112" i="23"/>
  <c r="IP111" i="23"/>
  <c r="IP110" i="23"/>
  <c r="IP109" i="23"/>
  <c r="IP108" i="23"/>
  <c r="IP105" i="23"/>
  <c r="IP104" i="23"/>
  <c r="IP102" i="23"/>
  <c r="IP107" i="23"/>
  <c r="IP106" i="23"/>
  <c r="IP103" i="23"/>
  <c r="IP101" i="23"/>
  <c r="IP99" i="23"/>
  <c r="IP95" i="23"/>
  <c r="IP100" i="23"/>
  <c r="IP94" i="23"/>
  <c r="IP98" i="23"/>
  <c r="IP96" i="23"/>
  <c r="IP91" i="23"/>
  <c r="IP93" i="23"/>
  <c r="IP90" i="23"/>
  <c r="IP88" i="23"/>
  <c r="IP87" i="23"/>
  <c r="IP92" i="23"/>
  <c r="IP97" i="23"/>
  <c r="IP85" i="23"/>
  <c r="IP79" i="23"/>
  <c r="IP77" i="23"/>
  <c r="IP74" i="23"/>
  <c r="IP86" i="23"/>
  <c r="IP73" i="23"/>
  <c r="IP84" i="23"/>
  <c r="IP82" i="23"/>
  <c r="IP76" i="23"/>
  <c r="IP75" i="23"/>
  <c r="IP80" i="23"/>
  <c r="IP68" i="23"/>
  <c r="IP83" i="23"/>
  <c r="IP78" i="23"/>
  <c r="IP71" i="23"/>
  <c r="IP69" i="23"/>
  <c r="IP72" i="23"/>
  <c r="IP89" i="23"/>
  <c r="IP67" i="23"/>
  <c r="IP61" i="23"/>
  <c r="IP70" i="23"/>
  <c r="IP62" i="23"/>
  <c r="IP56" i="23"/>
  <c r="IP55" i="23"/>
  <c r="IP58" i="23"/>
  <c r="IP50" i="23"/>
  <c r="IP49" i="23"/>
  <c r="IP47" i="23"/>
  <c r="IP66" i="23"/>
  <c r="IP64" i="23"/>
  <c r="IP44" i="23"/>
  <c r="IP65" i="23"/>
  <c r="IP59" i="23"/>
  <c r="IP43" i="23"/>
  <c r="IP37" i="23"/>
  <c r="IP63" i="23"/>
  <c r="IP60" i="23"/>
  <c r="IP52" i="23"/>
  <c r="IP46" i="23"/>
  <c r="IP45" i="23"/>
  <c r="IP32" i="23"/>
  <c r="IP48" i="23"/>
  <c r="IP39" i="23"/>
  <c r="IP38" i="23"/>
  <c r="IP36" i="23"/>
  <c r="IP54" i="23"/>
  <c r="IP53" i="23"/>
  <c r="IP51" i="23"/>
  <c r="IP20" i="23"/>
  <c r="IP42" i="23"/>
  <c r="IP31" i="23"/>
  <c r="IP30" i="23"/>
  <c r="IP27" i="23"/>
  <c r="IP25" i="23"/>
  <c r="IP57" i="23"/>
  <c r="IP22" i="23"/>
  <c r="IP81" i="23"/>
  <c r="IP21" i="23"/>
  <c r="IP40" i="23"/>
  <c r="IP15" i="23"/>
  <c r="IP13" i="23"/>
  <c r="IP5" i="23"/>
  <c r="IP12" i="23"/>
  <c r="IP10" i="23"/>
  <c r="IP4" i="23"/>
  <c r="IP18" i="23"/>
  <c r="IP17" i="23"/>
  <c r="IP7" i="23"/>
  <c r="IP35" i="23"/>
  <c r="IP33" i="23"/>
  <c r="IP26" i="23"/>
  <c r="IP16" i="23"/>
  <c r="IP14" i="23"/>
  <c r="IP6" i="23"/>
  <c r="IP23" i="23"/>
  <c r="IP11" i="23"/>
  <c r="IP8" i="23"/>
  <c r="IQ2" i="23"/>
  <c r="IP19" i="23"/>
  <c r="IP9" i="23"/>
  <c r="IP34" i="23"/>
  <c r="IP29" i="23"/>
  <c r="IP24" i="23"/>
  <c r="IP41" i="23"/>
  <c r="IP28" i="23"/>
  <c r="IQ200" i="23" l="1"/>
  <c r="IQ143" i="23"/>
  <c r="IQ131" i="23"/>
  <c r="IQ132" i="23"/>
  <c r="IQ127" i="23"/>
  <c r="IQ165" i="23"/>
  <c r="IQ166" i="23"/>
  <c r="IQ122" i="23"/>
  <c r="IQ144" i="23"/>
  <c r="IQ189" i="23"/>
  <c r="IQ128" i="23"/>
  <c r="IQ193" i="23"/>
  <c r="IQ211" i="23"/>
  <c r="IQ205" i="23"/>
  <c r="IQ208" i="23"/>
  <c r="IQ195" i="23"/>
  <c r="IQ206" i="23"/>
  <c r="IQ207" i="23"/>
  <c r="IQ176" i="23"/>
  <c r="IQ197" i="23"/>
  <c r="IQ203" i="23"/>
  <c r="IQ196" i="23"/>
  <c r="IQ204" i="23"/>
  <c r="IQ199" i="23"/>
  <c r="IQ181" i="23"/>
  <c r="IQ212" i="23"/>
  <c r="IQ210" i="23"/>
  <c r="IQ194" i="23"/>
  <c r="IQ192" i="23"/>
  <c r="IQ184" i="23"/>
  <c r="IQ209" i="23"/>
  <c r="IQ139" i="23"/>
  <c r="IQ201" i="23"/>
  <c r="IQ188" i="23"/>
  <c r="IQ186" i="23"/>
  <c r="IQ190" i="23"/>
  <c r="IQ187" i="23"/>
  <c r="IQ179" i="23"/>
  <c r="IQ150" i="23"/>
  <c r="IQ198" i="23"/>
  <c r="IQ185" i="23"/>
  <c r="IQ173" i="23"/>
  <c r="IQ161" i="23"/>
  <c r="IQ167" i="23"/>
  <c r="IQ156" i="23"/>
  <c r="IQ182" i="23"/>
  <c r="IQ177" i="23"/>
  <c r="IQ171" i="23"/>
  <c r="IQ162" i="23"/>
  <c r="IQ164" i="23"/>
  <c r="IQ168" i="23"/>
  <c r="IQ155" i="23"/>
  <c r="IQ172" i="23"/>
  <c r="IQ148" i="23"/>
  <c r="IQ170" i="23"/>
  <c r="IQ151" i="23"/>
  <c r="IQ138" i="23"/>
  <c r="IQ141" i="23"/>
  <c r="IQ175" i="23"/>
  <c r="IQ163" i="23"/>
  <c r="IQ160" i="23"/>
  <c r="IQ154" i="23"/>
  <c r="IQ146" i="23"/>
  <c r="IQ126" i="23"/>
  <c r="IQ174" i="23"/>
  <c r="IQ178" i="23"/>
  <c r="IQ142" i="23"/>
  <c r="IQ159" i="23"/>
  <c r="IQ140" i="23"/>
  <c r="IQ135" i="23"/>
  <c r="IQ121" i="23"/>
  <c r="IQ183" i="23"/>
  <c r="IQ123" i="23"/>
  <c r="IQ157" i="23"/>
  <c r="IQ118" i="23"/>
  <c r="IQ117" i="23"/>
  <c r="IQ133" i="23"/>
  <c r="IQ152" i="23"/>
  <c r="IQ124" i="23"/>
  <c r="IQ149" i="23"/>
  <c r="IQ120" i="23"/>
  <c r="IQ137" i="23"/>
  <c r="IQ119" i="23"/>
  <c r="IQ129" i="23"/>
  <c r="IQ153" i="23"/>
  <c r="IQ134" i="23"/>
  <c r="IQ115" i="23"/>
  <c r="IQ145" i="23"/>
  <c r="IQ130" i="23"/>
  <c r="IQ116" i="23"/>
  <c r="IQ202" i="23"/>
  <c r="IQ191" i="23"/>
  <c r="IQ158" i="23"/>
  <c r="IQ114" i="23"/>
  <c r="IQ136" i="23"/>
  <c r="IQ147" i="23"/>
  <c r="IQ125" i="23"/>
  <c r="IQ169" i="23"/>
  <c r="IQ180" i="23"/>
  <c r="IQ113" i="23"/>
  <c r="IQ112" i="23"/>
  <c r="IQ106" i="23"/>
  <c r="IQ110" i="23"/>
  <c r="IQ109" i="23"/>
  <c r="IQ100" i="23"/>
  <c r="IQ111" i="23"/>
  <c r="IQ107" i="23"/>
  <c r="IQ104" i="23"/>
  <c r="IQ102" i="23"/>
  <c r="IQ103" i="23"/>
  <c r="IQ108" i="23"/>
  <c r="IQ105" i="23"/>
  <c r="IQ98" i="23"/>
  <c r="IQ99" i="23"/>
  <c r="IQ94" i="23"/>
  <c r="IQ91" i="23"/>
  <c r="IQ85" i="23"/>
  <c r="IQ93" i="23"/>
  <c r="IQ84" i="23"/>
  <c r="IQ97" i="23"/>
  <c r="IQ90" i="23"/>
  <c r="IQ89" i="23"/>
  <c r="IQ83" i="23"/>
  <c r="IQ82" i="23"/>
  <c r="IQ80" i="23"/>
  <c r="IQ79" i="23"/>
  <c r="IQ77" i="23"/>
  <c r="IQ101" i="23"/>
  <c r="IQ71" i="23"/>
  <c r="IQ78" i="23"/>
  <c r="IQ70" i="23"/>
  <c r="IQ68" i="23"/>
  <c r="IQ95" i="23"/>
  <c r="IQ74" i="23"/>
  <c r="IQ88" i="23"/>
  <c r="IQ96" i="23"/>
  <c r="IQ66" i="23"/>
  <c r="IQ65" i="23"/>
  <c r="IQ87" i="23"/>
  <c r="IQ69" i="23"/>
  <c r="IQ67" i="23"/>
  <c r="IQ61" i="23"/>
  <c r="IQ76" i="23"/>
  <c r="IQ62" i="23"/>
  <c r="IQ56" i="23"/>
  <c r="IQ92" i="23"/>
  <c r="IQ86" i="23"/>
  <c r="IQ75" i="23"/>
  <c r="IQ53" i="23"/>
  <c r="IQ64" i="23"/>
  <c r="IQ52" i="23"/>
  <c r="IQ58" i="23"/>
  <c r="IQ50" i="23"/>
  <c r="IQ49" i="23"/>
  <c r="IQ47" i="23"/>
  <c r="IQ72" i="23"/>
  <c r="IQ55" i="23"/>
  <c r="IQ73" i="23"/>
  <c r="IQ60" i="23"/>
  <c r="IQ57" i="23"/>
  <c r="IQ51" i="23"/>
  <c r="IQ41" i="23"/>
  <c r="IQ54" i="23"/>
  <c r="IQ40" i="23"/>
  <c r="IQ63" i="23"/>
  <c r="IQ46" i="23"/>
  <c r="IQ45" i="23"/>
  <c r="IQ48" i="23"/>
  <c r="IQ39" i="23"/>
  <c r="IQ34" i="23"/>
  <c r="IQ81" i="23"/>
  <c r="IQ42" i="23"/>
  <c r="IQ33" i="23"/>
  <c r="IQ59" i="23"/>
  <c r="IQ32" i="23"/>
  <c r="IQ31" i="23"/>
  <c r="IQ30" i="23"/>
  <c r="IQ27" i="23"/>
  <c r="IQ25" i="23"/>
  <c r="IQ44" i="23"/>
  <c r="IQ22" i="23"/>
  <c r="IQ29" i="23"/>
  <c r="IQ19" i="23"/>
  <c r="IQ28" i="23"/>
  <c r="IQ18" i="23"/>
  <c r="IQ36" i="23"/>
  <c r="IQ10" i="23"/>
  <c r="IQ24" i="23"/>
  <c r="IQ37" i="23"/>
  <c r="IQ17" i="23"/>
  <c r="IQ7" i="23"/>
  <c r="IQ38" i="23"/>
  <c r="IQ35" i="23"/>
  <c r="IQ21" i="23"/>
  <c r="IQ12" i="23"/>
  <c r="IQ4" i="23"/>
  <c r="IQ9" i="23"/>
  <c r="IQ23" i="23"/>
  <c r="IQ20" i="23"/>
  <c r="IQ11" i="23"/>
  <c r="IQ14" i="23"/>
  <c r="IQ6" i="23"/>
  <c r="IQ26" i="23"/>
  <c r="IQ15" i="23"/>
  <c r="IQ16" i="23"/>
  <c r="IQ5" i="23"/>
  <c r="IQ43" i="23"/>
  <c r="IQ13" i="23"/>
  <c r="IQ8" i="23"/>
  <c r="IR2" i="23"/>
  <c r="IR132" i="23" l="1"/>
  <c r="L132" i="23" s="1"/>
  <c r="IR160" i="23"/>
  <c r="L160" i="23" s="1"/>
  <c r="IR116" i="23"/>
  <c r="L116" i="23" s="1"/>
  <c r="IR173" i="23"/>
  <c r="L173" i="23" s="1"/>
  <c r="IR130" i="23"/>
  <c r="L130" i="23" s="1"/>
  <c r="IR209" i="23"/>
  <c r="L209" i="23" s="1"/>
  <c r="IR164" i="23"/>
  <c r="L164" i="23" s="1"/>
  <c r="IR131" i="23"/>
  <c r="L131" i="23" s="1"/>
  <c r="IR181" i="23"/>
  <c r="L181" i="23" s="1"/>
  <c r="IR129" i="23"/>
  <c r="L129" i="23" s="1"/>
  <c r="IR133" i="23"/>
  <c r="L133" i="23" s="1"/>
  <c r="IR138" i="23"/>
  <c r="L138" i="23" s="1"/>
  <c r="IR144" i="23"/>
  <c r="L144" i="23" s="1"/>
  <c r="IR167" i="23"/>
  <c r="L167" i="23" s="1"/>
  <c r="IR195" i="23"/>
  <c r="L195" i="23" s="1"/>
  <c r="IR151" i="23"/>
  <c r="L151" i="23" s="1"/>
  <c r="IR211" i="23"/>
  <c r="L211" i="23" s="1"/>
  <c r="IR121" i="23"/>
  <c r="L121" i="23" s="1"/>
  <c r="IR189" i="23"/>
  <c r="L189" i="23" s="1"/>
  <c r="IR197" i="23"/>
  <c r="L197" i="23" s="1"/>
  <c r="IR206" i="23"/>
  <c r="L206" i="23" s="1"/>
  <c r="IR204" i="23"/>
  <c r="L204" i="23" s="1"/>
  <c r="IR194" i="23"/>
  <c r="L194" i="23" s="1"/>
  <c r="IR207" i="23"/>
  <c r="L207" i="23" s="1"/>
  <c r="IR212" i="23"/>
  <c r="L212" i="23" s="1"/>
  <c r="IR196" i="23"/>
  <c r="L196" i="23" s="1"/>
  <c r="IR186" i="23"/>
  <c r="L186" i="23" s="1"/>
  <c r="IR192" i="23"/>
  <c r="L192" i="23" s="1"/>
  <c r="IR205" i="23"/>
  <c r="L205" i="23" s="1"/>
  <c r="IR201" i="23"/>
  <c r="L201" i="23" s="1"/>
  <c r="IR203" i="23"/>
  <c r="L203" i="23" s="1"/>
  <c r="IR210" i="23"/>
  <c r="L210" i="23" s="1"/>
  <c r="IR208" i="23"/>
  <c r="L208" i="23" s="1"/>
  <c r="IR193" i="23"/>
  <c r="L193" i="23" s="1"/>
  <c r="IR200" i="23"/>
  <c r="L200" i="23" s="1"/>
  <c r="IR199" i="23"/>
  <c r="L199" i="23" s="1"/>
  <c r="IR183" i="23"/>
  <c r="L183" i="23" s="1"/>
  <c r="IR188" i="23"/>
  <c r="L188" i="23" s="1"/>
  <c r="IR171" i="23"/>
  <c r="L171" i="23" s="1"/>
  <c r="IR185" i="23"/>
  <c r="L185" i="23" s="1"/>
  <c r="IR187" i="23"/>
  <c r="L187" i="23" s="1"/>
  <c r="IR161" i="23"/>
  <c r="L161" i="23" s="1"/>
  <c r="IR166" i="23"/>
  <c r="L166" i="23" s="1"/>
  <c r="IR150" i="23"/>
  <c r="L150" i="23" s="1"/>
  <c r="IR198" i="23"/>
  <c r="L198" i="23" s="1"/>
  <c r="IR182" i="23"/>
  <c r="L182" i="23" s="1"/>
  <c r="IR170" i="23"/>
  <c r="L170" i="23" s="1"/>
  <c r="IR159" i="23"/>
  <c r="L159" i="23" s="1"/>
  <c r="IR155" i="23"/>
  <c r="L155" i="23" s="1"/>
  <c r="IR190" i="23"/>
  <c r="L190" i="23" s="1"/>
  <c r="IR162" i="23"/>
  <c r="L162" i="23" s="1"/>
  <c r="IR165" i="23"/>
  <c r="L165" i="23" s="1"/>
  <c r="IR156" i="23"/>
  <c r="L156" i="23" s="1"/>
  <c r="IR178" i="23"/>
  <c r="L178" i="23" s="1"/>
  <c r="IR154" i="23"/>
  <c r="L154" i="23" s="1"/>
  <c r="IR168" i="23"/>
  <c r="L168" i="23" s="1"/>
  <c r="IR152" i="23"/>
  <c r="L152" i="23" s="1"/>
  <c r="IR149" i="23"/>
  <c r="L149" i="23" s="1"/>
  <c r="IR141" i="23"/>
  <c r="L141" i="23" s="1"/>
  <c r="IR175" i="23"/>
  <c r="L175" i="23" s="1"/>
  <c r="IR157" i="23"/>
  <c r="L157" i="23" s="1"/>
  <c r="IR145" i="23"/>
  <c r="L145" i="23" s="1"/>
  <c r="IR137" i="23"/>
  <c r="L137" i="23" s="1"/>
  <c r="IR135" i="23"/>
  <c r="L135" i="23" s="1"/>
  <c r="IR172" i="23"/>
  <c r="L172" i="23" s="1"/>
  <c r="IR140" i="23"/>
  <c r="L140" i="23" s="1"/>
  <c r="IR134" i="23"/>
  <c r="L134" i="23" s="1"/>
  <c r="IR120" i="23"/>
  <c r="L120" i="23" s="1"/>
  <c r="IR176" i="23"/>
  <c r="L176" i="23" s="1"/>
  <c r="IR179" i="23"/>
  <c r="L179" i="23" s="1"/>
  <c r="IR139" i="23"/>
  <c r="L139" i="23" s="1"/>
  <c r="IR117" i="23"/>
  <c r="L117" i="23" s="1"/>
  <c r="IR126" i="23"/>
  <c r="L126" i="23" s="1"/>
  <c r="IR127" i="23"/>
  <c r="L127" i="23" s="1"/>
  <c r="IR119" i="23"/>
  <c r="L119" i="23" s="1"/>
  <c r="IR174" i="23"/>
  <c r="L174" i="23" s="1"/>
  <c r="IR163" i="23"/>
  <c r="L163" i="23" s="1"/>
  <c r="IR153" i="23"/>
  <c r="L153" i="23" s="1"/>
  <c r="IR184" i="23"/>
  <c r="L184" i="23" s="1"/>
  <c r="IR143" i="23"/>
  <c r="L143" i="23" s="1"/>
  <c r="IR128" i="23"/>
  <c r="L128" i="23" s="1"/>
  <c r="IR115" i="23"/>
  <c r="L115" i="23" s="1"/>
  <c r="IR123" i="23"/>
  <c r="L123" i="23" s="1"/>
  <c r="IR148" i="23"/>
  <c r="L148" i="23" s="1"/>
  <c r="IR146" i="23"/>
  <c r="L146" i="23" s="1"/>
  <c r="IR142" i="23"/>
  <c r="L142" i="23" s="1"/>
  <c r="IR122" i="23"/>
  <c r="L122" i="23" s="1"/>
  <c r="IR124" i="23"/>
  <c r="L124" i="23" s="1"/>
  <c r="IR177" i="23"/>
  <c r="L177" i="23" s="1"/>
  <c r="IR118" i="23"/>
  <c r="L118" i="23" s="1"/>
  <c r="IR158" i="23"/>
  <c r="L158" i="23" s="1"/>
  <c r="IR114" i="23"/>
  <c r="L114" i="23" s="1"/>
  <c r="IR180" i="23"/>
  <c r="L180" i="23" s="1"/>
  <c r="IR147" i="23"/>
  <c r="L147" i="23" s="1"/>
  <c r="IR202" i="23"/>
  <c r="L202" i="23" s="1"/>
  <c r="IR169" i="23"/>
  <c r="L169" i="23" s="1"/>
  <c r="IR136" i="23"/>
  <c r="L136" i="23" s="1"/>
  <c r="IR191" i="23"/>
  <c r="L191" i="23" s="1"/>
  <c r="IR125" i="23"/>
  <c r="L125" i="23" s="1"/>
  <c r="IR113" i="23"/>
  <c r="L113" i="23" s="1"/>
  <c r="IR110" i="23"/>
  <c r="L110" i="23" s="1"/>
  <c r="IR112" i="23"/>
  <c r="L112" i="23" s="1"/>
  <c r="IR111" i="23"/>
  <c r="L111" i="23" s="1"/>
  <c r="IR107" i="23"/>
  <c r="L107" i="23" s="1"/>
  <c r="IR109" i="23"/>
  <c r="L109" i="23" s="1"/>
  <c r="IR106" i="23"/>
  <c r="L106" i="23" s="1"/>
  <c r="IR108" i="23"/>
  <c r="L108" i="23" s="1"/>
  <c r="IR105" i="23"/>
  <c r="L105" i="23" s="1"/>
  <c r="IR103" i="23"/>
  <c r="L103" i="23" s="1"/>
  <c r="IR99" i="23"/>
  <c r="L99" i="23" s="1"/>
  <c r="IR96" i="23"/>
  <c r="L96" i="23" s="1"/>
  <c r="IR104" i="23"/>
  <c r="L104" i="23" s="1"/>
  <c r="IR97" i="23"/>
  <c r="L97" i="23" s="1"/>
  <c r="IR101" i="23"/>
  <c r="L101" i="23" s="1"/>
  <c r="IR100" i="23"/>
  <c r="L100" i="23" s="1"/>
  <c r="IR95" i="23"/>
  <c r="L95" i="23" s="1"/>
  <c r="IR102" i="23"/>
  <c r="L102" i="23" s="1"/>
  <c r="IR98" i="23"/>
  <c r="L98" i="23" s="1"/>
  <c r="IR92" i="23"/>
  <c r="L92" i="23" s="1"/>
  <c r="IR89" i="23"/>
  <c r="L89" i="23" s="1"/>
  <c r="IR90" i="23"/>
  <c r="L90" i="23" s="1"/>
  <c r="IR93" i="23"/>
  <c r="L93" i="23" s="1"/>
  <c r="IR86" i="23"/>
  <c r="L86" i="23" s="1"/>
  <c r="IR91" i="23"/>
  <c r="L91" i="23" s="1"/>
  <c r="IR88" i="23"/>
  <c r="L88" i="23" s="1"/>
  <c r="IR85" i="23"/>
  <c r="L85" i="23" s="1"/>
  <c r="IR76" i="23"/>
  <c r="L76" i="23" s="1"/>
  <c r="IR81" i="23"/>
  <c r="L81" i="23" s="1"/>
  <c r="IR75" i="23"/>
  <c r="L75" i="23" s="1"/>
  <c r="IR94" i="23"/>
  <c r="L94" i="23" s="1"/>
  <c r="IR80" i="23"/>
  <c r="L80" i="23" s="1"/>
  <c r="IR68" i="23"/>
  <c r="L68" i="23" s="1"/>
  <c r="IR83" i="23"/>
  <c r="L83" i="23" s="1"/>
  <c r="IR78" i="23"/>
  <c r="L78" i="23" s="1"/>
  <c r="IR63" i="23"/>
  <c r="L63" i="23" s="1"/>
  <c r="IR72" i="23"/>
  <c r="L72" i="23" s="1"/>
  <c r="IR62" i="23"/>
  <c r="L62" i="23" s="1"/>
  <c r="IR77" i="23"/>
  <c r="L77" i="23" s="1"/>
  <c r="IR56" i="23"/>
  <c r="L56" i="23" s="1"/>
  <c r="IR70" i="23"/>
  <c r="L70" i="23" s="1"/>
  <c r="IR60" i="23"/>
  <c r="L60" i="23" s="1"/>
  <c r="IR58" i="23"/>
  <c r="L58" i="23" s="1"/>
  <c r="IR50" i="23"/>
  <c r="L50" i="23" s="1"/>
  <c r="IR65" i="23"/>
  <c r="L65" i="23" s="1"/>
  <c r="IR59" i="23"/>
  <c r="L59" i="23" s="1"/>
  <c r="IR57" i="23"/>
  <c r="L57" i="23" s="1"/>
  <c r="IR55" i="23"/>
  <c r="L55" i="23" s="1"/>
  <c r="IR87" i="23"/>
  <c r="L87" i="23" s="1"/>
  <c r="IR82" i="23"/>
  <c r="L82" i="23" s="1"/>
  <c r="IR73" i="23"/>
  <c r="L73" i="23" s="1"/>
  <c r="IR71" i="23"/>
  <c r="L71" i="23" s="1"/>
  <c r="IR66" i="23"/>
  <c r="L66" i="23" s="1"/>
  <c r="IR64" i="23"/>
  <c r="L64" i="23" s="1"/>
  <c r="IR51" i="23"/>
  <c r="L51" i="23" s="1"/>
  <c r="IR74" i="23"/>
  <c r="L74" i="23" s="1"/>
  <c r="IR52" i="23"/>
  <c r="L52" i="23" s="1"/>
  <c r="IR48" i="23"/>
  <c r="L48" i="23" s="1"/>
  <c r="IR46" i="23"/>
  <c r="L46" i="23" s="1"/>
  <c r="IR67" i="23"/>
  <c r="L67" i="23" s="1"/>
  <c r="IR45" i="23"/>
  <c r="L45" i="23" s="1"/>
  <c r="IR39" i="23"/>
  <c r="L39" i="23" s="1"/>
  <c r="IR61" i="23"/>
  <c r="L61" i="23" s="1"/>
  <c r="IR34" i="23"/>
  <c r="L34" i="23" s="1"/>
  <c r="IR69" i="23"/>
  <c r="L69" i="23" s="1"/>
  <c r="IR31" i="23"/>
  <c r="L31" i="23" s="1"/>
  <c r="IR47" i="23"/>
  <c r="L47" i="23" s="1"/>
  <c r="IR43" i="23"/>
  <c r="L43" i="23" s="1"/>
  <c r="IR40" i="23"/>
  <c r="L40" i="23" s="1"/>
  <c r="IR30" i="23"/>
  <c r="L30" i="23" s="1"/>
  <c r="IR53" i="23"/>
  <c r="L53" i="23" s="1"/>
  <c r="IR79" i="23"/>
  <c r="L79" i="23" s="1"/>
  <c r="IR54" i="23"/>
  <c r="L54" i="23" s="1"/>
  <c r="IR44" i="23"/>
  <c r="L44" i="23" s="1"/>
  <c r="IR42" i="23"/>
  <c r="L42" i="23" s="1"/>
  <c r="IR22" i="23"/>
  <c r="L22" i="23" s="1"/>
  <c r="IR29" i="23"/>
  <c r="L29" i="23" s="1"/>
  <c r="IR19" i="23"/>
  <c r="L19" i="23" s="1"/>
  <c r="IR49" i="23"/>
  <c r="L49" i="23" s="1"/>
  <c r="IR36" i="23"/>
  <c r="L36" i="23" s="1"/>
  <c r="IR26" i="23"/>
  <c r="L26" i="23" s="1"/>
  <c r="IR24" i="23"/>
  <c r="L24" i="23" s="1"/>
  <c r="IR41" i="23"/>
  <c r="L41" i="23" s="1"/>
  <c r="IR35" i="23"/>
  <c r="L35" i="23" s="1"/>
  <c r="IR23" i="23"/>
  <c r="L23" i="23" s="1"/>
  <c r="IR37" i="23"/>
  <c r="L37" i="23" s="1"/>
  <c r="IR25" i="23"/>
  <c r="L25" i="23" s="1"/>
  <c r="IR17" i="23"/>
  <c r="L17" i="23" s="1"/>
  <c r="IR7" i="23"/>
  <c r="L7" i="23" s="1"/>
  <c r="IR16" i="23"/>
  <c r="L16" i="23" s="1"/>
  <c r="IR6" i="23"/>
  <c r="L6" i="23" s="1"/>
  <c r="IR38" i="23"/>
  <c r="L38" i="23" s="1"/>
  <c r="IR27" i="23"/>
  <c r="L27" i="23" s="1"/>
  <c r="IR21" i="23"/>
  <c r="L21" i="23" s="1"/>
  <c r="IR18" i="23"/>
  <c r="L18" i="23" s="1"/>
  <c r="IR12" i="23"/>
  <c r="L12" i="23" s="1"/>
  <c r="IR4" i="23"/>
  <c r="L4" i="23" s="1"/>
  <c r="IR84" i="23"/>
  <c r="L84" i="23" s="1"/>
  <c r="IR32" i="23"/>
  <c r="L32" i="23" s="1"/>
  <c r="IR9" i="23"/>
  <c r="L9" i="23" s="1"/>
  <c r="IR14" i="23"/>
  <c r="L14" i="23" s="1"/>
  <c r="IR8" i="23"/>
  <c r="L8" i="23" s="1"/>
  <c r="IR28" i="23"/>
  <c r="L28" i="23" s="1"/>
  <c r="IR15" i="23"/>
  <c r="L15" i="23" s="1"/>
  <c r="IR13" i="23"/>
  <c r="L13" i="23" s="1"/>
  <c r="IR33" i="23"/>
  <c r="L33" i="23" s="1"/>
  <c r="IR11" i="23"/>
  <c r="L11" i="23" s="1"/>
  <c r="IR20" i="23"/>
  <c r="L20" i="23" s="1"/>
  <c r="IR5" i="23"/>
  <c r="L5" i="23" s="1"/>
  <c r="IR10" i="23"/>
  <c r="L10" i="23" s="1"/>
  <c r="F31" i="11" l="1"/>
  <c r="K31" i="11" s="1"/>
  <c r="F863" i="11" l="1"/>
  <c r="U7" i="13" l="1"/>
  <c r="E651" i="11" l="1"/>
  <c r="K651" i="11" s="1"/>
  <c r="E545" i="11"/>
  <c r="K545" i="11" s="1"/>
  <c r="E180" i="31"/>
  <c r="I180" i="31" s="1"/>
  <c r="E48" i="31"/>
  <c r="I48" i="31" s="1"/>
  <c r="E96" i="31"/>
  <c r="I96" i="31" s="1"/>
  <c r="E72" i="31"/>
  <c r="I72" i="31" s="1"/>
  <c r="E150" i="31"/>
  <c r="I150" i="31" s="1"/>
  <c r="E30" i="31"/>
  <c r="I30" i="31" s="1"/>
  <c r="E108" i="31"/>
  <c r="I108" i="31" s="1"/>
  <c r="E36" i="31"/>
  <c r="I36" i="31" s="1"/>
  <c r="E84" i="31"/>
  <c r="I84" i="31" s="1"/>
  <c r="E162" i="31"/>
  <c r="I162" i="31" s="1"/>
  <c r="E66" i="31"/>
  <c r="I66" i="31" s="1"/>
  <c r="E126" i="31"/>
  <c r="I126" i="31" s="1"/>
  <c r="E156" i="31"/>
  <c r="I156" i="31" s="1"/>
  <c r="E144" i="31"/>
  <c r="I144" i="31" s="1"/>
  <c r="E102" i="31"/>
  <c r="I102" i="31" s="1"/>
  <c r="E90" i="31"/>
  <c r="I90" i="31" s="1"/>
  <c r="E54" i="31"/>
  <c r="I54" i="31" s="1"/>
  <c r="H7" i="16"/>
  <c r="E24" i="31"/>
  <c r="I24" i="31" s="1"/>
  <c r="E78" i="31"/>
  <c r="I78" i="31" s="1"/>
  <c r="E42" i="31"/>
  <c r="I42" i="31" s="1"/>
  <c r="E192" i="31"/>
  <c r="I192" i="31" s="1"/>
  <c r="E174" i="31"/>
  <c r="I174" i="31" s="1"/>
  <c r="E198" i="31"/>
  <c r="I198" i="31" s="1"/>
  <c r="E168" i="31"/>
  <c r="I168" i="31" s="1"/>
  <c r="E186" i="31"/>
  <c r="I186" i="31" s="1"/>
  <c r="E120" i="31"/>
  <c r="I120" i="31" s="1"/>
  <c r="E138" i="31"/>
  <c r="I138" i="31" s="1"/>
  <c r="E132" i="31"/>
  <c r="I132" i="31" s="1"/>
  <c r="E60" i="31"/>
  <c r="I60" i="31" s="1"/>
  <c r="E114" i="31"/>
  <c r="I114" i="31" s="1"/>
  <c r="E12" i="31"/>
  <c r="K547" i="11" l="1"/>
  <c r="K546" i="11"/>
  <c r="K445" i="11"/>
  <c r="K442" i="11"/>
  <c r="K444" i="11"/>
  <c r="K443" i="11"/>
  <c r="K652" i="11"/>
  <c r="K551" i="11"/>
  <c r="K550" i="11"/>
  <c r="K549" i="11"/>
  <c r="K548" i="11"/>
  <c r="K653" i="11"/>
  <c r="I12" i="31"/>
  <c r="N9" i="1" l="1"/>
  <c r="W7" i="13" l="1"/>
  <c r="V7" i="13"/>
  <c r="E439" i="11" l="1"/>
  <c r="K439" i="11" s="1"/>
  <c r="AJ7" i="13"/>
  <c r="AI7" i="13"/>
  <c r="AG7" i="13"/>
  <c r="E18" i="31"/>
  <c r="K440" i="11" l="1"/>
  <c r="K339" i="11"/>
  <c r="K336" i="11"/>
  <c r="K337" i="11"/>
  <c r="K338" i="11"/>
  <c r="K441" i="11"/>
  <c r="E9" i="31"/>
  <c r="I18" i="31"/>
  <c r="I9" i="31" s="1"/>
  <c r="I3" i="31" s="1"/>
  <c r="I21" i="1" l="1"/>
  <c r="N45" i="20" s="1"/>
  <c r="I25" i="1" l="1"/>
  <c r="H79" i="1" s="1"/>
  <c r="K142" i="20"/>
  <c r="O142" i="20" s="1"/>
  <c r="J25" i="1"/>
  <c r="K139" i="20"/>
  <c r="E863" i="11"/>
  <c r="K863" i="11" s="1"/>
  <c r="E121" i="11"/>
  <c r="E123" i="11" l="1"/>
  <c r="E229" i="11" s="1"/>
  <c r="K865" i="11"/>
  <c r="K763" i="11"/>
  <c r="K761" i="11"/>
  <c r="K760" i="11"/>
  <c r="K762" i="11"/>
  <c r="K864" i="11"/>
  <c r="K144" i="20"/>
  <c r="I161" i="20" s="1"/>
  <c r="O161" i="20" s="1"/>
  <c r="O139" i="20"/>
  <c r="O145" i="20" s="1"/>
  <c r="O147" i="20" s="1"/>
  <c r="O149" i="20" s="1"/>
  <c r="O150" i="20" s="1"/>
  <c r="O151" i="20" s="1"/>
  <c r="F36" i="11"/>
  <c r="K36" i="11" s="1"/>
  <c r="I163" i="20" l="1"/>
  <c r="O163" i="20" s="1"/>
  <c r="O167" i="20" s="1"/>
  <c r="O169" i="20" s="1"/>
  <c r="O172" i="20" s="1"/>
  <c r="O174" i="20" s="1"/>
  <c r="C27" i="1" s="1"/>
  <c r="E332" i="11" s="1"/>
  <c r="K332" i="11" s="1"/>
  <c r="J27" i="1" l="1"/>
  <c r="H106" i="1" s="1"/>
  <c r="F43" i="11" s="1"/>
  <c r="H80" i="1" l="1"/>
  <c r="H107" i="1" s="1"/>
  <c r="H54" i="1" s="1"/>
  <c r="E333" i="11"/>
  <c r="K333" i="11" s="1"/>
  <c r="K334" i="11" l="1"/>
  <c r="K233" i="11"/>
  <c r="K232" i="11"/>
  <c r="K231" i="11"/>
  <c r="K230" i="11"/>
  <c r="K335" i="11"/>
  <c r="F45" i="11"/>
  <c r="K45" i="11" s="1"/>
  <c r="E335" i="11"/>
  <c r="E441" i="11" s="1"/>
  <c r="E547" i="11" s="1"/>
  <c r="E653" i="11" s="1"/>
  <c r="E759" i="11" s="1"/>
  <c r="E865" i="11" s="1"/>
  <c r="J55" i="1"/>
  <c r="H59" i="1" s="1"/>
  <c r="I54" i="1" l="1"/>
  <c r="H62" i="1"/>
  <c r="J60" i="1" l="1"/>
  <c r="H63" i="1"/>
  <c r="F1" i="25" s="1"/>
  <c r="F48" i="25" l="1"/>
  <c r="F45" i="25"/>
  <c r="F44" i="25"/>
  <c r="F9" i="25"/>
  <c r="O26" i="25"/>
  <c r="O8" i="25"/>
  <c r="O29" i="25"/>
  <c r="O28" i="25"/>
  <c r="O25" i="25"/>
  <c r="F27" i="25"/>
  <c r="F46" i="25"/>
  <c r="F26" i="25"/>
  <c r="F25" i="25"/>
  <c r="F8" i="25"/>
  <c r="O6" i="25"/>
  <c r="O27" i="25"/>
  <c r="F28" i="25"/>
  <c r="F6" i="25"/>
  <c r="F7" i="25"/>
  <c r="F49" i="25"/>
  <c r="F47" i="25"/>
  <c r="O7" i="25"/>
  <c r="O9" i="25"/>
  <c r="O12" i="25" l="1"/>
  <c r="O14" i="25" s="1"/>
  <c r="O16" i="25" s="1"/>
  <c r="O18" i="25" s="1"/>
  <c r="F12" i="25"/>
  <c r="F14" i="25" s="1"/>
  <c r="F16" i="25" s="1"/>
  <c r="F18" i="25" s="1"/>
  <c r="F31" i="25"/>
  <c r="F51" i="25"/>
  <c r="O31" i="25"/>
  <c r="O33" i="25" s="1"/>
  <c r="O35" i="25" s="1"/>
  <c r="O37" i="25" s="1"/>
  <c r="S1" i="25" l="1"/>
  <c r="J82" i="1" s="1"/>
  <c r="J83" i="1" s="1"/>
  <c r="H67" i="1" s="1"/>
  <c r="F53" i="25"/>
  <c r="F55" i="25" s="1"/>
  <c r="F57" i="25" s="1"/>
  <c r="F33" i="25"/>
  <c r="F35" i="25" s="1"/>
  <c r="F37" i="25" s="1"/>
  <c r="F38" i="11" l="1"/>
  <c r="K38" i="11" s="1"/>
  <c r="C2" i="6"/>
  <c r="E5" i="6" s="1"/>
  <c r="E6" i="6" l="1"/>
  <c r="E8" i="6"/>
  <c r="E7" i="6"/>
  <c r="E4" i="6"/>
  <c r="E9" i="6" l="1"/>
  <c r="H66" i="1" s="1"/>
  <c r="H68" i="1" s="1"/>
  <c r="F48" i="11" l="1"/>
  <c r="K48" i="11" s="1"/>
  <c r="H69" i="1" l="1"/>
  <c r="I5" i="31" l="1"/>
  <c r="K144" i="31" s="1"/>
  <c r="Y15" i="11"/>
  <c r="K43" i="11"/>
  <c r="H70" i="1"/>
  <c r="I7" i="31" s="1"/>
  <c r="K132" i="31"/>
  <c r="K162" i="31"/>
  <c r="K72" i="31"/>
  <c r="K48" i="31"/>
  <c r="K168" i="31"/>
  <c r="K90" i="31"/>
  <c r="K156" i="31"/>
  <c r="K60" i="31"/>
  <c r="K84" i="31"/>
  <c r="K66" i="31"/>
  <c r="K9" i="31"/>
  <c r="K30" i="31"/>
  <c r="K36" i="31"/>
  <c r="K102" i="31"/>
  <c r="K150" i="31"/>
  <c r="K126" i="31"/>
  <c r="K192" i="31"/>
  <c r="K120" i="31"/>
  <c r="K198" i="31"/>
  <c r="K54" i="31"/>
  <c r="K186" i="31"/>
  <c r="K42" i="31"/>
  <c r="K12" i="31"/>
  <c r="K174" i="31"/>
  <c r="K18" i="31"/>
  <c r="K78" i="31"/>
  <c r="K108" i="31"/>
  <c r="K96" i="31"/>
  <c r="K138" i="31"/>
  <c r="K114" i="31" l="1"/>
  <c r="K24" i="31"/>
  <c r="K180" i="31"/>
  <c r="I4" i="31"/>
  <c r="J120" i="31" s="1"/>
  <c r="L120" i="31" s="1"/>
  <c r="F121" i="11"/>
  <c r="F123" i="11" s="1"/>
  <c r="F229" i="11" s="1"/>
  <c r="F335" i="11" s="1"/>
  <c r="F441" i="11" s="1"/>
  <c r="F547" i="11" s="1"/>
  <c r="F653" i="11" s="1"/>
  <c r="F759" i="11" s="1"/>
  <c r="F865" i="11" s="1"/>
  <c r="Y14" i="11" s="1"/>
  <c r="K8" i="11" s="1"/>
  <c r="I60" i="1"/>
  <c r="P70" i="1"/>
  <c r="O127" i="20"/>
  <c r="H3" i="14"/>
  <c r="H4" i="14" s="1"/>
  <c r="H75" i="14" s="1"/>
  <c r="I75" i="14" s="1"/>
  <c r="G10" i="11"/>
  <c r="Y13" i="11" s="1"/>
  <c r="P45" i="17"/>
  <c r="V45" i="17"/>
  <c r="E36" i="20"/>
  <c r="A45" i="17"/>
  <c r="J9" i="31" l="1"/>
  <c r="L9" i="31" s="1"/>
  <c r="J186" i="31"/>
  <c r="L186" i="31" s="1"/>
  <c r="J162" i="31"/>
  <c r="L162" i="31" s="1"/>
  <c r="J54" i="31"/>
  <c r="L54" i="31" s="1"/>
  <c r="J30" i="31"/>
  <c r="L30" i="31" s="1"/>
  <c r="J12" i="31"/>
  <c r="L12" i="31" s="1"/>
  <c r="J102" i="31"/>
  <c r="L102" i="31" s="1"/>
  <c r="J150" i="31"/>
  <c r="L150" i="31" s="1"/>
  <c r="J72" i="31"/>
  <c r="L72" i="31" s="1"/>
  <c r="J36" i="31"/>
  <c r="L36" i="31" s="1"/>
  <c r="J198" i="31"/>
  <c r="L198" i="31" s="1"/>
  <c r="J144" i="31"/>
  <c r="L144" i="31" s="1"/>
  <c r="J24" i="31"/>
  <c r="L24" i="31" s="1"/>
  <c r="J174" i="31"/>
  <c r="L174" i="31" s="1"/>
  <c r="J168" i="31"/>
  <c r="L168" i="31" s="1"/>
  <c r="J84" i="31"/>
  <c r="L84" i="31" s="1"/>
  <c r="J48" i="31"/>
  <c r="L48" i="31" s="1"/>
  <c r="J60" i="31"/>
  <c r="L60" i="31" s="1"/>
  <c r="J96" i="31"/>
  <c r="L96" i="31" s="1"/>
  <c r="J126" i="31"/>
  <c r="L126" i="31" s="1"/>
  <c r="J138" i="31"/>
  <c r="L138" i="31" s="1"/>
  <c r="J18" i="31"/>
  <c r="L18" i="31" s="1"/>
  <c r="J192" i="31"/>
  <c r="L192" i="31" s="1"/>
  <c r="J180" i="31"/>
  <c r="L180" i="31" s="1"/>
  <c r="J42" i="31"/>
  <c r="L42" i="31" s="1"/>
  <c r="J114" i="31"/>
  <c r="L114" i="31" s="1"/>
  <c r="J90" i="31"/>
  <c r="L90" i="31" s="1"/>
  <c r="J156" i="31"/>
  <c r="L156" i="31" s="1"/>
  <c r="J108" i="31"/>
  <c r="L108" i="31" s="1"/>
  <c r="J132" i="31"/>
  <c r="L132" i="31" s="1"/>
  <c r="J78" i="31"/>
  <c r="L78" i="31" s="1"/>
  <c r="J66" i="31"/>
  <c r="L66" i="31" s="1"/>
  <c r="H59" i="14"/>
  <c r="I59" i="14" s="1"/>
  <c r="K121" i="11"/>
  <c r="K20" i="11" s="1"/>
  <c r="H85" i="14"/>
  <c r="I85" i="14" s="1"/>
  <c r="H24" i="14"/>
  <c r="I24" i="14" s="1"/>
  <c r="Y16" i="11"/>
  <c r="M10" i="11" s="1"/>
  <c r="M11" i="11" s="1"/>
  <c r="H32" i="14"/>
  <c r="I32" i="14" s="1"/>
  <c r="H54" i="14"/>
  <c r="I54" i="14" s="1"/>
  <c r="H81" i="14"/>
  <c r="I81" i="14" s="1"/>
  <c r="H90" i="14"/>
  <c r="I90" i="14" s="1"/>
  <c r="H20" i="14"/>
  <c r="I20" i="14" s="1"/>
  <c r="H76" i="14"/>
  <c r="I76" i="14" s="1"/>
  <c r="H78" i="14"/>
  <c r="I78" i="14" s="1"/>
  <c r="G11" i="11"/>
  <c r="H38" i="14"/>
  <c r="I38" i="14" s="1"/>
  <c r="H53" i="14"/>
  <c r="I53" i="14" s="1"/>
  <c r="H28" i="14"/>
  <c r="I28" i="14" s="1"/>
  <c r="H33" i="14"/>
  <c r="I33" i="14" s="1"/>
  <c r="H39" i="14"/>
  <c r="I39" i="14" s="1"/>
  <c r="H16" i="14"/>
  <c r="I16" i="14" s="1"/>
  <c r="H22" i="14"/>
  <c r="I22" i="14" s="1"/>
  <c r="H62" i="14"/>
  <c r="I62" i="14" s="1"/>
  <c r="H19" i="14"/>
  <c r="I19" i="14" s="1"/>
  <c r="H34" i="14"/>
  <c r="I34" i="14" s="1"/>
  <c r="H58" i="14"/>
  <c r="I58" i="14" s="1"/>
  <c r="H60" i="14"/>
  <c r="I60" i="14" s="1"/>
  <c r="H27" i="14"/>
  <c r="I27" i="14" s="1"/>
  <c r="H36" i="14"/>
  <c r="I36" i="14" s="1"/>
  <c r="H56" i="14"/>
  <c r="I56" i="14" s="1"/>
  <c r="H89" i="14"/>
  <c r="I89" i="14" s="1"/>
  <c r="H51" i="14"/>
  <c r="I51" i="14" s="1"/>
  <c r="H86" i="14"/>
  <c r="I86" i="14" s="1"/>
  <c r="H55" i="14"/>
  <c r="I55" i="14" s="1"/>
  <c r="H52" i="14"/>
  <c r="I52" i="14" s="1"/>
  <c r="H12" i="14"/>
  <c r="I12" i="14" s="1"/>
  <c r="H31" i="14"/>
  <c r="I31" i="14" s="1"/>
  <c r="H88" i="14"/>
  <c r="I88" i="14" s="1"/>
  <c r="H18" i="14"/>
  <c r="I18" i="14" s="1"/>
  <c r="H87" i="14"/>
  <c r="I87" i="14" s="1"/>
  <c r="H25" i="14"/>
  <c r="I25" i="14" s="1"/>
  <c r="H65" i="14"/>
  <c r="I65" i="14" s="1"/>
  <c r="H23" i="14"/>
  <c r="I23" i="14" s="1"/>
  <c r="H48" i="14"/>
  <c r="I48" i="14" s="1"/>
  <c r="H80" i="14"/>
  <c r="I80" i="14" s="1"/>
  <c r="H46" i="14"/>
  <c r="I46" i="14" s="1"/>
  <c r="H64" i="14"/>
  <c r="I64" i="14" s="1"/>
  <c r="H26" i="14"/>
  <c r="I26" i="14" s="1"/>
  <c r="H17" i="14"/>
  <c r="I17" i="14" s="1"/>
  <c r="H47" i="14"/>
  <c r="I47" i="14" s="1"/>
  <c r="H83" i="14"/>
  <c r="I83" i="14" s="1"/>
  <c r="H77" i="14"/>
  <c r="I77" i="14" s="1"/>
  <c r="H82" i="14"/>
  <c r="I82" i="14" s="1"/>
  <c r="H21" i="14"/>
  <c r="I21" i="14" s="1"/>
  <c r="H30" i="14"/>
  <c r="I30" i="14" s="1"/>
  <c r="H63" i="14"/>
  <c r="I63" i="14" s="1"/>
  <c r="H79" i="14"/>
  <c r="I79" i="14" s="1"/>
  <c r="H74" i="14"/>
  <c r="I74" i="14" s="1"/>
  <c r="H29" i="14"/>
  <c r="I29" i="14" s="1"/>
  <c r="H14" i="14"/>
  <c r="I14" i="14" s="1"/>
  <c r="H8" i="14"/>
  <c r="I8" i="14" s="1"/>
  <c r="H57" i="14"/>
  <c r="I57" i="14" s="1"/>
  <c r="H73" i="14"/>
  <c r="I73" i="14" s="1"/>
  <c r="H50" i="14"/>
  <c r="I50" i="14" s="1"/>
  <c r="H49" i="14"/>
  <c r="I49" i="14" s="1"/>
  <c r="H11" i="14"/>
  <c r="I11" i="14" s="1"/>
  <c r="H72" i="14"/>
  <c r="I72" i="14" s="1"/>
  <c r="H84" i="14"/>
  <c r="I84" i="14" s="1"/>
  <c r="H35" i="14"/>
  <c r="I35" i="14" s="1"/>
  <c r="H91" i="14"/>
  <c r="I91" i="14" s="1"/>
  <c r="H13" i="14"/>
  <c r="I13" i="14" s="1"/>
  <c r="H61" i="14"/>
  <c r="I61" i="14" s="1"/>
  <c r="H37" i="14"/>
  <c r="I37" i="14" s="1"/>
  <c r="H10" i="14"/>
  <c r="I10" i="14" s="1"/>
  <c r="H9" i="14"/>
  <c r="I9" i="14" s="1"/>
  <c r="H15" i="14"/>
  <c r="I15" i="14" s="1"/>
  <c r="K19" i="11" l="1"/>
  <c r="K123" i="11"/>
  <c r="K21" i="11"/>
  <c r="K122" i="11"/>
  <c r="H40" i="14"/>
  <c r="H66" i="14"/>
  <c r="H92" i="14"/>
  <c r="I92" i="14"/>
  <c r="I66" i="14"/>
  <c r="I40"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baintmo1</author>
  </authors>
  <commentList>
    <comment ref="M1" authorId="0" shapeId="0" xr:uid="{00000000-0006-0000-0500-000001000000}">
      <text>
        <r>
          <rPr>
            <sz val="8"/>
            <color indexed="81"/>
            <rFont val="Tahoma"/>
            <family val="2"/>
          </rPr>
          <t>Any entered date becomes first date displayed in Gantt below.  Leave blank to use earliest task start date as beginning.  If you enter manual date enter a date that is on a Monday for the weeks to work properly.</t>
        </r>
      </text>
    </comment>
    <comment ref="L3" authorId="0" shapeId="0" xr:uid="{00000000-0006-0000-0500-000002000000}">
      <text>
        <r>
          <rPr>
            <sz val="8"/>
            <color indexed="81"/>
            <rFont val="Tahoma"/>
            <family val="2"/>
          </rPr>
          <t xml:space="preserve">Assumes 5 work days per calendar week
</t>
        </r>
      </text>
    </comment>
  </commentList>
</comments>
</file>

<file path=xl/sharedStrings.xml><?xml version="1.0" encoding="utf-8"?>
<sst xmlns="http://schemas.openxmlformats.org/spreadsheetml/2006/main" count="5575" uniqueCount="1908">
  <si>
    <t>Description</t>
  </si>
  <si>
    <t>Quantity</t>
  </si>
  <si>
    <t>Field Lab Unit</t>
  </si>
  <si>
    <t>Field Lab Total</t>
  </si>
  <si>
    <t>Shop Lab Unit</t>
  </si>
  <si>
    <t>Shop Lab Total</t>
  </si>
  <si>
    <t>Material Unit</t>
  </si>
  <si>
    <t>Material Total</t>
  </si>
  <si>
    <t xml:space="preserve"> </t>
  </si>
  <si>
    <t>1-07</t>
  </si>
  <si>
    <t>1-08</t>
  </si>
  <si>
    <t>Estimate Recap</t>
  </si>
  <si>
    <t>Bid Date/time:</t>
  </si>
  <si>
    <t>Job Name:</t>
  </si>
  <si>
    <t>Location:</t>
  </si>
  <si>
    <t>Phase Codes</t>
  </si>
  <si>
    <t>Plumbing</t>
  </si>
  <si>
    <t>Sheet Metal</t>
  </si>
  <si>
    <t>SM Field</t>
  </si>
  <si>
    <t>SM Shop</t>
  </si>
  <si>
    <t>SM %</t>
  </si>
  <si>
    <t>Testing</t>
  </si>
  <si>
    <t>QC</t>
  </si>
  <si>
    <t>Safety</t>
  </si>
  <si>
    <t>Detailing</t>
  </si>
  <si>
    <t>Sheetmetal Field Labor Rate (Blend)</t>
  </si>
  <si>
    <t>Sheetmetal Shop Labor Rate (Blend)</t>
  </si>
  <si>
    <t>Insulation</t>
  </si>
  <si>
    <t>Concrete Work</t>
  </si>
  <si>
    <t>Excavation and Backfill</t>
  </si>
  <si>
    <t>Water Treatment</t>
  </si>
  <si>
    <t>Chlorination</t>
  </si>
  <si>
    <t>Subcontractor</t>
  </si>
  <si>
    <t>Other Costs</t>
  </si>
  <si>
    <t>Equipment Rental</t>
  </si>
  <si>
    <t>Other Project General Conditions Cost</t>
  </si>
  <si>
    <t>From Pg 2</t>
  </si>
  <si>
    <t>% of Labor</t>
  </si>
  <si>
    <t>Hours</t>
  </si>
  <si>
    <t>Rate</t>
  </si>
  <si>
    <t>Market Recovery</t>
  </si>
  <si>
    <t>Subcontractor Mark Up</t>
  </si>
  <si>
    <t>Project Subtotal</t>
  </si>
  <si>
    <t>Bonds (Performance)</t>
  </si>
  <si>
    <t>Quote</t>
  </si>
  <si>
    <t xml:space="preserve">Project Manager </t>
  </si>
  <si>
    <t>% Trade Field</t>
  </si>
  <si>
    <t>% Labor M/U</t>
  </si>
  <si>
    <t>Labor Modifiers</t>
  </si>
  <si>
    <t>Plug</t>
  </si>
  <si>
    <t xml:space="preserve">Total of Direct Costs </t>
  </si>
  <si>
    <t>From Page 2</t>
  </si>
  <si>
    <t>Duration</t>
  </si>
  <si>
    <t>Project General Conditions/Indirect Costs</t>
  </si>
  <si>
    <t>Permits</t>
  </si>
  <si>
    <t>Temporary Power</t>
  </si>
  <si>
    <t>Temporary Water</t>
  </si>
  <si>
    <t>Telephones and Fax</t>
  </si>
  <si>
    <t>Job Safety Supplies</t>
  </si>
  <si>
    <t>Job Truck</t>
  </si>
  <si>
    <t>Fuel</t>
  </si>
  <si>
    <t>Parking</t>
  </si>
  <si>
    <t>Site Office - Trailer</t>
  </si>
  <si>
    <t>Site Storage Facility</t>
  </si>
  <si>
    <t>Miscellaneous</t>
  </si>
  <si>
    <t>Subsistence - Sheet Metal</t>
  </si>
  <si>
    <t>Subsistence - PM/Admin</t>
  </si>
  <si>
    <t>Administrative Assistance</t>
  </si>
  <si>
    <t>RATE</t>
  </si>
  <si>
    <t>PERMITS</t>
  </si>
  <si>
    <t>HVAC</t>
  </si>
  <si>
    <t>Med Gas</t>
  </si>
  <si>
    <t>Boiler</t>
  </si>
  <si>
    <t>Special Insp</t>
  </si>
  <si>
    <t>Third Party Testing</t>
  </si>
  <si>
    <t>Total Permits</t>
  </si>
  <si>
    <t>Safety Supplies (Percentage of Materials)</t>
  </si>
  <si>
    <t>QUAN/DUR</t>
  </si>
  <si>
    <t>Laborer- or Non Bargaining (Cleanup Crew)</t>
  </si>
  <si>
    <t>Total</t>
  </si>
  <si>
    <t>Assistant PM</t>
  </si>
  <si>
    <t>Crane/Hoist</t>
  </si>
  <si>
    <t>Crane Mobilization - Demobilization and Setup</t>
  </si>
  <si>
    <t>Boom Truck</t>
  </si>
  <si>
    <t>Genie Lift</t>
  </si>
  <si>
    <t>Weld Machine Electric</t>
  </si>
  <si>
    <t>Weld Machine Gas</t>
  </si>
  <si>
    <t>Scaffold</t>
  </si>
  <si>
    <t>% GC of Total Cost</t>
  </si>
  <si>
    <t>AMOUNT</t>
  </si>
  <si>
    <t>Equipment Rentals</t>
  </si>
  <si>
    <t>Bond Required</t>
  </si>
  <si>
    <t>Crew Mix Calculator</t>
  </si>
  <si>
    <t>Field Hours</t>
  </si>
  <si>
    <t>Fringe</t>
  </si>
  <si>
    <t>General Foreman</t>
  </si>
  <si>
    <t>Foreman</t>
  </si>
  <si>
    <t>Journeyman</t>
  </si>
  <si>
    <t>Total Quantity</t>
  </si>
  <si>
    <t>Total Dollars</t>
  </si>
  <si>
    <t>Average Hourly Cost</t>
  </si>
  <si>
    <t>Crew Rate</t>
  </si>
  <si>
    <t>Shop Hours</t>
  </si>
  <si>
    <t>SM Shop Labor Rate</t>
  </si>
  <si>
    <t>SM Field Labor Rate</t>
  </si>
  <si>
    <t xml:space="preserve">             Performance Bond Calculation</t>
  </si>
  <si>
    <t>Sell Price Before Bonding:</t>
  </si>
  <si>
    <t>Brackets</t>
  </si>
  <si>
    <t>Rate/1000</t>
  </si>
  <si>
    <t xml:space="preserve"> -Bond Amount -</t>
  </si>
  <si>
    <t>1st</t>
  </si>
  <si>
    <t>Next:</t>
  </si>
  <si>
    <t>Over:</t>
  </si>
  <si>
    <t>Total Job Bond</t>
  </si>
  <si>
    <t>Length of Job</t>
  </si>
  <si>
    <t>Months</t>
  </si>
  <si>
    <t>Estimator's Takeoff Notes and Strategies</t>
  </si>
  <si>
    <t>COST IMPACT TO BID</t>
  </si>
  <si>
    <t>DESCRIPTION</t>
  </si>
  <si>
    <t>EST $</t>
  </si>
  <si>
    <t>BID STRATEGY</t>
  </si>
  <si>
    <t>RFI REQUIRED?</t>
  </si>
  <si>
    <t>Engineering</t>
  </si>
  <si>
    <t>#</t>
  </si>
  <si>
    <t>Service</t>
  </si>
  <si>
    <t>Dry</t>
  </si>
  <si>
    <t>Wet</t>
  </si>
  <si>
    <t>Y</t>
  </si>
  <si>
    <t>N</t>
  </si>
  <si>
    <t>Ctrl+W=Plug</t>
  </si>
  <si>
    <t>Ctrl+Q=Quote</t>
  </si>
  <si>
    <t>Plumbing Field</t>
  </si>
  <si>
    <t>Pipefitter Field</t>
  </si>
  <si>
    <t>Project Management Time</t>
  </si>
  <si>
    <t>Supervision</t>
  </si>
  <si>
    <t>Test and Balance</t>
  </si>
  <si>
    <t>Site Administration</t>
  </si>
  <si>
    <t>Galvanized Duct</t>
  </si>
  <si>
    <t>Welded Ferrous Steel Systems</t>
  </si>
  <si>
    <t>Instrumentation and Control</t>
  </si>
  <si>
    <t>CAD Operator</t>
  </si>
  <si>
    <t>Black Iron Duct</t>
  </si>
  <si>
    <t>Welded Alloy Systems</t>
  </si>
  <si>
    <t>Welded SS Alloy Systems</t>
  </si>
  <si>
    <t>Insulation and Lagging</t>
  </si>
  <si>
    <t>Site/Project Safety Staff</t>
  </si>
  <si>
    <t>Stainless Steel Duct</t>
  </si>
  <si>
    <t>Threaded and Coupled Systems</t>
  </si>
  <si>
    <t>Refrigeration and Startup</t>
  </si>
  <si>
    <t>Drivers and Delivery</t>
  </si>
  <si>
    <t>Grooved Systems</t>
  </si>
  <si>
    <t>Waste and Vent Systems AG</t>
  </si>
  <si>
    <t>Process Drains AG</t>
  </si>
  <si>
    <t>Scaffolding</t>
  </si>
  <si>
    <t>Purchasing and Warehousing</t>
  </si>
  <si>
    <t>Waste and Vent Systems BG</t>
  </si>
  <si>
    <t>Process Drains BG</t>
  </si>
  <si>
    <t>Fire Protection</t>
  </si>
  <si>
    <t>Site Office Supplies</t>
  </si>
  <si>
    <t>Teflon Duct Systems</t>
  </si>
  <si>
    <t>Copper Systems</t>
  </si>
  <si>
    <t>Site Office Equipment</t>
  </si>
  <si>
    <t>Flues and Boiler Breeching</t>
  </si>
  <si>
    <t>High Purity/Med Systems</t>
  </si>
  <si>
    <t>Site Office Rental</t>
  </si>
  <si>
    <t>Filter Installation</t>
  </si>
  <si>
    <t>Cemented Plastic Systems</t>
  </si>
  <si>
    <t>Demolition</t>
  </si>
  <si>
    <t>On Site Storage</t>
  </si>
  <si>
    <t>Plenum Installation</t>
  </si>
  <si>
    <t>Thermoplastic Systems</t>
  </si>
  <si>
    <t>Painting</t>
  </si>
  <si>
    <t>Temporary Fencing</t>
  </si>
  <si>
    <t>Drain Pans</t>
  </si>
  <si>
    <t>Assemblies and Batteries</t>
  </si>
  <si>
    <t>Tubing Systems</t>
  </si>
  <si>
    <t>Site Office Plumbing and Elect</t>
  </si>
  <si>
    <t>Dampers and Hardware</t>
  </si>
  <si>
    <t xml:space="preserve">Double Contained Piping </t>
  </si>
  <si>
    <t>Small Tools and Consumeables</t>
  </si>
  <si>
    <t>Fire and Smoke Dampers</t>
  </si>
  <si>
    <t>Medical Equipment Installation</t>
  </si>
  <si>
    <t>Process Equipment Installation</t>
  </si>
  <si>
    <t>Electrical Work</t>
  </si>
  <si>
    <t>Third Party Equipment</t>
  </si>
  <si>
    <t>Liner and Insulation</t>
  </si>
  <si>
    <t>Louvers</t>
  </si>
  <si>
    <t>Heavy Hauling</t>
  </si>
  <si>
    <t>Permits and Fees</t>
  </si>
  <si>
    <t>Curbs and Flashing</t>
  </si>
  <si>
    <t>Crane and Hoisting</t>
  </si>
  <si>
    <t>Reprographic Costs</t>
  </si>
  <si>
    <t>GRDs and Flex</t>
  </si>
  <si>
    <t>Fixtures and Carriers</t>
  </si>
  <si>
    <t>Structural and Primary Steel</t>
  </si>
  <si>
    <t>Safety Supplies</t>
  </si>
  <si>
    <t>Labels and ID</t>
  </si>
  <si>
    <t>Work Recovery</t>
  </si>
  <si>
    <t>Third Party Training</t>
  </si>
  <si>
    <t>Access Doors</t>
  </si>
  <si>
    <t>Testing and Certification</t>
  </si>
  <si>
    <t>Scope Allowance</t>
  </si>
  <si>
    <t>Custom Fabrication</t>
  </si>
  <si>
    <t>Equipment Installation</t>
  </si>
  <si>
    <t>General Labor</t>
  </si>
  <si>
    <t>Shop Preassembly</t>
  </si>
  <si>
    <t>Hangers</t>
  </si>
  <si>
    <t>Freight - Third Party</t>
  </si>
  <si>
    <t>Seismic Restraints</t>
  </si>
  <si>
    <t>Subsistence and Travel</t>
  </si>
  <si>
    <t>Sealants and Fire Caulking</t>
  </si>
  <si>
    <t>Phone Expenses</t>
  </si>
  <si>
    <t>Bond</t>
  </si>
  <si>
    <t>Startup and Commissioning</t>
  </si>
  <si>
    <t>Non-Chargeable</t>
  </si>
  <si>
    <t>Training and Orientation</t>
  </si>
  <si>
    <t>Safety Time</t>
  </si>
  <si>
    <t>QA/QC</t>
  </si>
  <si>
    <t xml:space="preserve">QA/QC </t>
  </si>
  <si>
    <t>3-SM Field</t>
  </si>
  <si>
    <t>2-SM Shop</t>
  </si>
  <si>
    <t>Material Handling</t>
  </si>
  <si>
    <t>7-01</t>
  </si>
  <si>
    <t>7-03</t>
  </si>
  <si>
    <t>7-12</t>
  </si>
  <si>
    <t>7-11</t>
  </si>
  <si>
    <t>7-02</t>
  </si>
  <si>
    <t>7-07</t>
  </si>
  <si>
    <t>7-15</t>
  </si>
  <si>
    <t>7-08</t>
  </si>
  <si>
    <t>7-16</t>
  </si>
  <si>
    <t>1-01</t>
  </si>
  <si>
    <t>5-01</t>
  </si>
  <si>
    <t>6-01</t>
  </si>
  <si>
    <t>3-01</t>
  </si>
  <si>
    <t>Sheetmetal Field Supervision (NW)</t>
  </si>
  <si>
    <t>1-17</t>
  </si>
  <si>
    <t>Crew Ratio Percentage</t>
  </si>
  <si>
    <t>Straight Time</t>
  </si>
  <si>
    <t>PT&amp;I  Sheet Metal Work OUTSIDE</t>
  </si>
  <si>
    <t>Categ</t>
  </si>
  <si>
    <t>Rate %</t>
  </si>
  <si>
    <t>FUTA</t>
  </si>
  <si>
    <t>TO</t>
  </si>
  <si>
    <t>SUI</t>
  </si>
  <si>
    <t>SDI</t>
  </si>
  <si>
    <t>SS</t>
  </si>
  <si>
    <t>MEDIC</t>
  </si>
  <si>
    <t>Wage</t>
  </si>
  <si>
    <t>PT&amp;I</t>
  </si>
  <si>
    <t>WC</t>
  </si>
  <si>
    <t>TRI</t>
  </si>
  <si>
    <t>Total PT&amp;I</t>
  </si>
  <si>
    <t>Based on WAGE</t>
  </si>
  <si>
    <t>Period Factor</t>
  </si>
  <si>
    <t>Total Cost/HR</t>
  </si>
  <si>
    <t>PT&amp;I  Sheet Metal Work SHOP</t>
  </si>
  <si>
    <t>per hour</t>
  </si>
  <si>
    <t>Use</t>
  </si>
  <si>
    <t>25% of Wage Appr for T&amp;M Proj</t>
  </si>
  <si>
    <t>Division</t>
  </si>
  <si>
    <t>Qty</t>
  </si>
  <si>
    <t>CAE</t>
  </si>
  <si>
    <t>Factored Labor from worksheets</t>
  </si>
  <si>
    <t>FRP/ATS Duct</t>
  </si>
  <si>
    <t>Plastic Duct</t>
  </si>
  <si>
    <t>Aluminum Duct</t>
  </si>
  <si>
    <t>Oval Duct</t>
  </si>
  <si>
    <t>Double Contained Piping</t>
  </si>
  <si>
    <t>Consumeables and Small Tools</t>
  </si>
  <si>
    <t>Grilles and Grill Cans</t>
  </si>
  <si>
    <t>Floor Supports</t>
  </si>
  <si>
    <t>Drawing</t>
  </si>
  <si>
    <t>Section</t>
  </si>
  <si>
    <t>Zone</t>
  </si>
  <si>
    <t>Service Type</t>
  </si>
  <si>
    <t>Cut Type</t>
  </si>
  <si>
    <t>Bought Out</t>
  </si>
  <si>
    <t>Length</t>
  </si>
  <si>
    <t>Material</t>
  </si>
  <si>
    <t>Gauge</t>
  </si>
  <si>
    <t>Job No</t>
  </si>
  <si>
    <t>Estimate Tables</t>
  </si>
  <si>
    <t>Alias</t>
  </si>
  <si>
    <t>Fab time</t>
  </si>
  <si>
    <t>Install time</t>
  </si>
  <si>
    <t>Insul Material</t>
  </si>
  <si>
    <t>Insul Thickness</t>
  </si>
  <si>
    <t>Insul Fab time</t>
  </si>
  <si>
    <t>Grand Total</t>
  </si>
  <si>
    <t>(All)</t>
  </si>
  <si>
    <t>Values</t>
  </si>
  <si>
    <t>Sum of Fab Hours</t>
  </si>
  <si>
    <t>Sum of Install Hours</t>
  </si>
  <si>
    <t>(blank)</t>
  </si>
  <si>
    <t>Sum of Total Material Cost</t>
  </si>
  <si>
    <t>Date</t>
  </si>
  <si>
    <t>Time</t>
  </si>
  <si>
    <t>Material Cost</t>
  </si>
  <si>
    <t>Job Orientation - Sheet Metal Field</t>
  </si>
  <si>
    <t>Field Difficulty</t>
  </si>
  <si>
    <t>Calculated 
Field Hours</t>
  </si>
  <si>
    <t>Ext Insulation     SqFt</t>
  </si>
  <si>
    <t>Liner Cost</t>
  </si>
  <si>
    <t>Ext Wrap Cost</t>
  </si>
  <si>
    <t>Sum of Ext Wrap Cost</t>
  </si>
  <si>
    <t>Liner Area</t>
  </si>
  <si>
    <t>Ext Wrap Area</t>
  </si>
  <si>
    <t>Sum of Ext Wrap Area</t>
  </si>
  <si>
    <t>M-Rate</t>
  </si>
  <si>
    <t>Job Setup Sheet</t>
  </si>
  <si>
    <t>Project Name:</t>
  </si>
  <si>
    <t>General Contractor:</t>
  </si>
  <si>
    <t>Owner:</t>
  </si>
  <si>
    <t>Architect/Engineer:</t>
  </si>
  <si>
    <t>Start Date:</t>
  </si>
  <si>
    <t>Contract Type:</t>
  </si>
  <si>
    <t>Finish Date:</t>
  </si>
  <si>
    <t>Cert PR?</t>
  </si>
  <si>
    <t>Contract Amount:</t>
  </si>
  <si>
    <t>Trade(s)/Value:</t>
  </si>
  <si>
    <t>Special Insurance?</t>
  </si>
  <si>
    <t>Describe:</t>
  </si>
  <si>
    <r>
      <t>(</t>
    </r>
    <r>
      <rPr>
        <sz val="11"/>
        <rFont val="Arial"/>
        <family val="2"/>
      </rPr>
      <t>G/L, waivers, Auto)</t>
    </r>
  </si>
  <si>
    <t>Original Setup</t>
  </si>
  <si>
    <t>Div/Phase</t>
  </si>
  <si>
    <t>Labor Hours</t>
  </si>
  <si>
    <t>Labor Cost</t>
  </si>
  <si>
    <t>Non Labor Cost</t>
  </si>
  <si>
    <t>1 - GCs</t>
  </si>
  <si>
    <t>Total GCs and Site Indirects</t>
  </si>
  <si>
    <t>2 - Sheet Metal Shop</t>
  </si>
  <si>
    <t>Total Sheet Metal Shop</t>
  </si>
  <si>
    <t>3-Sheet Metal Field</t>
  </si>
  <si>
    <t>Total Sheet Metal Field</t>
  </si>
  <si>
    <t>5 - Plumbing Field</t>
  </si>
  <si>
    <t>Total Plumbing Field</t>
  </si>
  <si>
    <t>6- Pipefitter Field</t>
  </si>
  <si>
    <t>Total Pipefitter Field</t>
  </si>
  <si>
    <t>7 - SubConctractors</t>
  </si>
  <si>
    <t>Macro's are required to use this workbook.</t>
  </si>
  <si>
    <t>Please enable macro's to continue</t>
  </si>
  <si>
    <t>Calculated 
Shop Hours</t>
  </si>
  <si>
    <t>Shop Difficulty</t>
  </si>
  <si>
    <t>Fire Smoke Dampers</t>
  </si>
  <si>
    <t>Galvanized Fittings</t>
  </si>
  <si>
    <t>SS Duct</t>
  </si>
  <si>
    <t>SS Fittings</t>
  </si>
  <si>
    <t>Shop Phase</t>
  </si>
  <si>
    <t>Field Phase</t>
  </si>
  <si>
    <t>2-02</t>
  </si>
  <si>
    <t>2-03</t>
  </si>
  <si>
    <t>2-12</t>
  </si>
  <si>
    <t>2-13</t>
  </si>
  <si>
    <t>2-14</t>
  </si>
  <si>
    <t>3-02</t>
  </si>
  <si>
    <t>3-03</t>
  </si>
  <si>
    <t>3-12</t>
  </si>
  <si>
    <t>3-14</t>
  </si>
  <si>
    <t>3-15</t>
  </si>
  <si>
    <t>2-15</t>
  </si>
  <si>
    <t>2-20</t>
  </si>
  <si>
    <t>3-13</t>
  </si>
  <si>
    <t>3-19</t>
  </si>
  <si>
    <t>3-21</t>
  </si>
  <si>
    <t>3-22</t>
  </si>
  <si>
    <t>3-23</t>
  </si>
  <si>
    <t>Sum of Qty</t>
  </si>
  <si>
    <t>Round Fittings</t>
  </si>
  <si>
    <t>2-16</t>
  </si>
  <si>
    <t>2-17</t>
  </si>
  <si>
    <t>3-24</t>
  </si>
  <si>
    <t>Control Dampers</t>
  </si>
  <si>
    <t>Galvanized Spiral Pipe</t>
  </si>
  <si>
    <t>2-18</t>
  </si>
  <si>
    <t>3-18</t>
  </si>
  <si>
    <t>3-31</t>
  </si>
  <si>
    <t>VAV's</t>
  </si>
  <si>
    <t>Duct Accessories</t>
  </si>
  <si>
    <t>Exhaust Fans</t>
  </si>
  <si>
    <t>3-07</t>
  </si>
  <si>
    <t>AHU's</t>
  </si>
  <si>
    <t>Canvas Connectors</t>
  </si>
  <si>
    <t>Fire Dampers</t>
  </si>
  <si>
    <t>2-07</t>
  </si>
  <si>
    <t>2-01</t>
  </si>
  <si>
    <t>2-04</t>
  </si>
  <si>
    <t>2-05</t>
  </si>
  <si>
    <t>2-06</t>
  </si>
  <si>
    <t>2-08</t>
  </si>
  <si>
    <t>2-09</t>
  </si>
  <si>
    <t>2-10</t>
  </si>
  <si>
    <t>2-11</t>
  </si>
  <si>
    <t>2-19</t>
  </si>
  <si>
    <t>2-21</t>
  </si>
  <si>
    <t>2-22</t>
  </si>
  <si>
    <t>2-23</t>
  </si>
  <si>
    <t>2-24</t>
  </si>
  <si>
    <t>2-25</t>
  </si>
  <si>
    <t>2-26</t>
  </si>
  <si>
    <t>2-27</t>
  </si>
  <si>
    <t>2-28</t>
  </si>
  <si>
    <t>2-29</t>
  </si>
  <si>
    <t>2-99</t>
  </si>
  <si>
    <t>3-04</t>
  </si>
  <si>
    <t>3-05</t>
  </si>
  <si>
    <t>3-06</t>
  </si>
  <si>
    <t>3-08</t>
  </si>
  <si>
    <t>3-09</t>
  </si>
  <si>
    <t>3-10</t>
  </si>
  <si>
    <t>3-11</t>
  </si>
  <si>
    <t>3-16</t>
  </si>
  <si>
    <t>3-17</t>
  </si>
  <si>
    <t>3-20</t>
  </si>
  <si>
    <t>3-25</t>
  </si>
  <si>
    <t>3-26</t>
  </si>
  <si>
    <t>3-27</t>
  </si>
  <si>
    <t>3-28</t>
  </si>
  <si>
    <t>3-29</t>
  </si>
  <si>
    <t>3-30</t>
  </si>
  <si>
    <t>3-32</t>
  </si>
  <si>
    <t>3-33</t>
  </si>
  <si>
    <t>3-34</t>
  </si>
  <si>
    <t>3-35</t>
  </si>
  <si>
    <t>3-36</t>
  </si>
  <si>
    <t>3-37</t>
  </si>
  <si>
    <t>3-38</t>
  </si>
  <si>
    <t>3-39</t>
  </si>
  <si>
    <t>3-40</t>
  </si>
  <si>
    <t>3-41</t>
  </si>
  <si>
    <t>3-99</t>
  </si>
  <si>
    <t>1-02</t>
  </si>
  <si>
    <t>1-03</t>
  </si>
  <si>
    <t>1-04</t>
  </si>
  <si>
    <t>1-05</t>
  </si>
  <si>
    <t>1-06</t>
  </si>
  <si>
    <t>1-09</t>
  </si>
  <si>
    <t>1-10</t>
  </si>
  <si>
    <t>1-11</t>
  </si>
  <si>
    <t>1-12</t>
  </si>
  <si>
    <t>1-13</t>
  </si>
  <si>
    <t>1-14</t>
  </si>
  <si>
    <t>1-15</t>
  </si>
  <si>
    <t>1-16</t>
  </si>
  <si>
    <t>1-18</t>
  </si>
  <si>
    <t>1-19</t>
  </si>
  <si>
    <t>1-20</t>
  </si>
  <si>
    <t>1-21</t>
  </si>
  <si>
    <t>1-22</t>
  </si>
  <si>
    <t>1-23</t>
  </si>
  <si>
    <t>1-24</t>
  </si>
  <si>
    <t>1-25</t>
  </si>
  <si>
    <t>1-26</t>
  </si>
  <si>
    <t>1-27</t>
  </si>
  <si>
    <t>1-28</t>
  </si>
  <si>
    <t>1-29</t>
  </si>
  <si>
    <t>1-99</t>
  </si>
  <si>
    <t>Market Recovery Amount</t>
  </si>
  <si>
    <t>Rate per Qty</t>
  </si>
  <si>
    <t>Hanger</t>
  </si>
  <si>
    <t>Floor Support</t>
  </si>
  <si>
    <t>T&amp;M</t>
  </si>
  <si>
    <t>Lump Sum</t>
  </si>
  <si>
    <t>GMP</t>
  </si>
  <si>
    <t>Units</t>
  </si>
  <si>
    <t>Additional
Material</t>
  </si>
  <si>
    <t>Material
Total</t>
  </si>
  <si>
    <t>Flex</t>
  </si>
  <si>
    <t>GRDs</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</si>
  <si>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</si>
  <si>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</si>
  <si>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</si>
  <si>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</si>
  <si>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</si>
  <si>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</si>
  <si>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</si>
  <si>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</si>
  <si>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</si>
  <si>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</si>
  <si>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</si>
  <si>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</si>
  <si>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</si>
  <si>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</si>
  <si>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</si>
  <si>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</si>
  <si>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</si>
  <si>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</si>
  <si>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</si>
  <si>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</si>
  <si>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</si>
  <si>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</si>
  <si>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</si>
  <si>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</si>
  <si>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</si>
  <si>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</si>
  <si>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</si>
  <si>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</si>
  <si>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</si>
  <si>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</si>
  <si>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</si>
  <si>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</si>
  <si>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</si>
  <si>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</si>
  <si>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</si>
  <si>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</si>
  <si>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</si>
  <si>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</si>
  <si>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</si>
  <si>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</si>
  <si>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</si>
  <si>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</si>
  <si>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</si>
  <si>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</si>
  <si>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</si>
  <si>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</si>
  <si>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</si>
  <si>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</si>
  <si>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</si>
  <si>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</si>
  <si>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</si>
  <si>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</si>
  <si>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</si>
  <si>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</si>
  <si>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</si>
  <si>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</si>
  <si>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</si>
  <si>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</si>
  <si>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</si>
  <si>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</si>
  <si>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</si>
  <si>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</si>
  <si>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</si>
  <si>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</si>
  <si>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</si>
  <si>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</si>
  <si>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</si>
  <si>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</si>
  <si>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</si>
  <si>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</si>
  <si>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</si>
  <si>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</si>
  <si>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</si>
  <si>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</si>
  <si>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</si>
  <si>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</si>
  <si>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</si>
  <si>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</si>
  <si>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</si>
  <si>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</si>
  <si>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</si>
  <si>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</si>
  <si>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</si>
  <si>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</si>
  <si>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</si>
  <si>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</si>
  <si>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</si>
  <si>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</si>
  <si>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</si>
  <si>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</si>
  <si>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</si>
  <si>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</si>
  <si>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</si>
  <si>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</si>
  <si>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</si>
  <si>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</si>
  <si>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</si>
  <si>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</si>
  <si>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</si>
  <si>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</si>
  <si>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</si>
  <si>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</si>
  <si>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</si>
  <si>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</si>
  <si>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</si>
  <si>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</si>
  <si>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</si>
  <si>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</si>
  <si>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</si>
  <si>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</si>
  <si>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</si>
  <si>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</si>
  <si>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</si>
  <si>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</si>
  <si>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</si>
  <si>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</si>
  <si>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</si>
  <si>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</si>
  <si>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</si>
  <si>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</si>
  <si>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</si>
  <si>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</si>
  <si>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</si>
  <si>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</si>
  <si>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</si>
  <si>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</si>
  <si>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</si>
  <si>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</si>
  <si>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</si>
  <si>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</si>
  <si>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</si>
  <si>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</si>
  <si>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</si>
  <si>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</si>
  <si>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</si>
  <si>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</si>
  <si>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</si>
  <si>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</si>
  <si>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</si>
  <si>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</si>
  <si>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</si>
  <si>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</si>
  <si>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</si>
  <si>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</si>
  <si>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</si>
  <si>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</si>
  <si>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</si>
  <si>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</si>
  <si>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</si>
  <si>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</si>
  <si>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</si>
  <si>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</si>
  <si>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</si>
  <si>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</si>
  <si>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</si>
  <si>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</si>
  <si>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</si>
  <si>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</si>
  <si>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</si>
  <si>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</si>
  <si>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</si>
  <si>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</si>
  <si>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</si>
  <si>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</si>
  <si>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</si>
  <si>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</si>
  <si>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</si>
  <si>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</si>
  <si>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</si>
  <si>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</si>
  <si>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</si>
  <si>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</si>
  <si>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</si>
  <si>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</si>
  <si>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</si>
  <si>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</si>
  <si>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</si>
  <si>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</si>
  <si>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</si>
  <si>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</si>
  <si>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</si>
  <si>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</si>
  <si>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</si>
  <si>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</si>
  <si>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</si>
  <si>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</si>
  <si>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</si>
  <si>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</si>
  <si>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</si>
  <si>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</si>
  <si>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</si>
  <si>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</si>
  <si>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</si>
  <si>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</si>
  <si>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</si>
  <si>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</si>
  <si>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</si>
  <si>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</si>
  <si>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</si>
  <si>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</si>
  <si>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</si>
  <si>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</si>
  <si>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</si>
  <si>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</si>
  <si>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</si>
  <si>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</si>
  <si>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</si>
  <si>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</si>
  <si>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</si>
  <si>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</si>
  <si>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</si>
  <si>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</si>
  <si>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</si>
  <si>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</si>
  <si>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</si>
  <si>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</si>
  <si>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</si>
  <si>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</si>
  <si>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</si>
  <si>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</si>
  <si>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</si>
  <si>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</si>
  <si>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</si>
  <si>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</si>
  <si>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</si>
  <si>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</si>
  <si>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</si>
  <si>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</si>
  <si>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</si>
  <si>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</si>
  <si>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</si>
  <si>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</si>
  <si>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</si>
  <si>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</si>
  <si>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</si>
  <si>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</si>
  <si>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</si>
  <si>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</si>
  <si>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</si>
  <si>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</si>
  <si>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</si>
  <si>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</si>
  <si>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</si>
  <si>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</si>
  <si>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</si>
  <si>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</si>
  <si>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</si>
  <si>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</si>
  <si>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</si>
  <si>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</si>
  <si>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</si>
  <si>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</si>
  <si>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</si>
  <si>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</si>
  <si>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</si>
  <si>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</si>
  <si>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</si>
  <si>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</si>
  <si>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</si>
  <si>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</si>
  <si>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</si>
  <si>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</si>
  <si>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</si>
  <si>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</si>
  <si>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</si>
  <si>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</si>
  <si>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</si>
  <si>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</si>
  <si>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</si>
  <si>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</si>
  <si>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</si>
  <si>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</si>
  <si>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</si>
  <si>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</si>
  <si>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</si>
  <si>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</si>
  <si>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</si>
  <si>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</si>
  <si>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</si>
  <si>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</si>
  <si>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</si>
  <si>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</si>
  <si>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</si>
  <si>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</si>
  <si>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</si>
  <si>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</si>
  <si>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</si>
  <si>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</si>
  <si>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</si>
  <si>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</si>
  <si>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</si>
  <si>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</si>
  <si>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</si>
  <si>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</si>
  <si>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</si>
  <si>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</si>
  <si>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</si>
  <si>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</si>
  <si>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</si>
  <si>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</si>
  <si>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</si>
  <si>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</si>
  <si>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</si>
  <si>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</si>
  <si>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</si>
  <si>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</si>
  <si>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</si>
  <si>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</si>
  <si>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</si>
  <si>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</si>
  <si>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</si>
  <si>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</si>
  <si>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</si>
  <si>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</si>
  <si>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</si>
  <si>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</si>
  <si>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</si>
  <si>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</si>
  <si>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</si>
  <si>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</si>
  <si>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</si>
  <si>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</si>
  <si>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</si>
  <si>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</si>
  <si>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</si>
  <si>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</si>
  <si>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</si>
  <si>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</si>
  <si>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</si>
  <si>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</si>
  <si>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</si>
  <si>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</si>
  <si>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</si>
  <si>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</si>
  <si>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</si>
  <si>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</si>
  <si>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</si>
  <si>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</si>
  <si>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</si>
  <si>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</si>
  <si>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</si>
  <si>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</si>
  <si>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</si>
  <si>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</si>
  <si>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</si>
  <si>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</si>
  <si>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</si>
  <si>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</si>
  <si>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</si>
  <si>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</si>
  <si>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</si>
  <si>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</si>
  <si>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</si>
  <si>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</si>
  <si>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</si>
  <si>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</si>
  <si>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</si>
  <si>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</si>
  <si>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</si>
  <si>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</si>
  <si>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</si>
  <si>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</si>
  <si>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</si>
  <si>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</si>
  <si>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</si>
  <si>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</si>
  <si>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</si>
  <si>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</si>
  <si>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</si>
  <si>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</si>
  <si>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</si>
  <si>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</si>
  <si>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</si>
  <si>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</si>
  <si>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</si>
  <si>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</si>
  <si>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</si>
  <si>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</si>
  <si>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</si>
  <si>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</si>
  <si>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</si>
  <si>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</si>
  <si>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</si>
  <si>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</si>
  <si>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</si>
  <si>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</si>
  <si>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</si>
  <si>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</si>
  <si>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</si>
  <si>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</si>
  <si>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</si>
  <si>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</si>
  <si>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</si>
  <si>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</si>
  <si>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</si>
  <si>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</si>
  <si>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</si>
  <si>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</si>
  <si>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</si>
  <si>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</si>
  <si>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</si>
  <si>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</si>
  <si>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</si>
  <si>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</si>
  <si>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</si>
  <si>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</si>
  <si>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</si>
  <si>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</si>
  <si>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</si>
  <si>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</si>
  <si>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</si>
  <si>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</si>
  <si>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</si>
  <si>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</si>
  <si>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</si>
  <si>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</si>
  <si>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</si>
  <si>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</si>
  <si>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</si>
  <si>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</si>
  <si>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</si>
  <si>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</si>
  <si>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</si>
  <si>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</si>
  <si>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</si>
  <si>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</si>
  <si>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</si>
  <si>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</si>
  <si>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</si>
  <si>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</si>
  <si>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</si>
  <si>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</si>
  <si>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</si>
  <si>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</si>
  <si>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</si>
  <si>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</si>
  <si>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</si>
  <si>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</si>
  <si>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</si>
  <si>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</si>
  <si>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</si>
  <si>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</si>
  <si>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</si>
  <si>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</si>
  <si>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</si>
  <si>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</si>
  <si>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</si>
  <si>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</si>
  <si>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</si>
  <si>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</si>
  <si>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</si>
  <si>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</si>
  <si>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</si>
  <si>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</si>
  <si>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</si>
  <si>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</si>
  <si>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</si>
  <si>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</si>
  <si>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</si>
  <si>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</si>
  <si>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</si>
  <si>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</si>
  <si>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</si>
  <si>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</si>
  <si>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</si>
  <si>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</si>
  <si>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</si>
  <si>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</si>
  <si>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</si>
  <si>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</si>
  <si>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</si>
  <si>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</si>
  <si>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</si>
  <si>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</si>
  <si>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</si>
  <si>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</si>
  <si>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</si>
  <si>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</si>
  <si>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</si>
  <si>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</si>
  <si>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</si>
  <si>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</si>
  <si>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</si>
  <si>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</si>
  <si>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</si>
  <si>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</si>
  <si>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</si>
  <si>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</si>
  <si>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</si>
  <si>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</si>
  <si>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7-04</t>
  </si>
  <si>
    <t>7-05</t>
  </si>
  <si>
    <t>7-06</t>
  </si>
  <si>
    <t>7-09</t>
  </si>
  <si>
    <t>7-10</t>
  </si>
  <si>
    <t>7-13</t>
  </si>
  <si>
    <t>7-14</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</si>
  <si>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</si>
  <si>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</si>
  <si>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</si>
  <si>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</si>
  <si>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</si>
  <si>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</si>
  <si>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</si>
  <si>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</si>
  <si>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</si>
  <si>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</si>
  <si>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</si>
  <si>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</si>
  <si>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</si>
  <si>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</si>
  <si>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</si>
  <si>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</si>
  <si>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</si>
  <si>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</si>
  <si>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</si>
  <si>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</si>
  <si>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</si>
  <si>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</si>
  <si>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</si>
  <si>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</si>
  <si>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</si>
  <si>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</si>
  <si>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</si>
  <si>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</si>
  <si>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</si>
  <si>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</si>
  <si>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</si>
  <si>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</si>
  <si>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</si>
  <si>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</si>
  <si>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</si>
  <si>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</si>
  <si>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</si>
  <si>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</si>
  <si>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</si>
  <si>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</si>
  <si>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</si>
  <si>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</si>
  <si>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</si>
  <si>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</si>
  <si>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</si>
  <si>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</si>
  <si>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</si>
  <si>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</si>
  <si>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</si>
  <si>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</si>
  <si>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</si>
  <si>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</si>
  <si>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</si>
  <si>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</si>
  <si>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</si>
  <si>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</si>
  <si>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</si>
  <si>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</si>
  <si>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</si>
  <si>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</si>
  <si>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</si>
  <si>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</si>
  <si>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</si>
  <si>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</si>
  <si>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</si>
  <si>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</si>
  <si>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</si>
  <si>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</si>
  <si>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</si>
  <si>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</si>
  <si>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</si>
  <si>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</si>
  <si>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</si>
  <si>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</si>
  <si>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</si>
  <si>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</si>
  <si>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</si>
  <si>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</si>
  <si>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</si>
  <si>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</si>
  <si>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</si>
  <si>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</si>
  <si>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</si>
  <si>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Total Subcontractors</t>
  </si>
  <si>
    <t>Shop Cost</t>
  </si>
  <si>
    <t>Field Cost</t>
  </si>
  <si>
    <t>Piping</t>
  </si>
  <si>
    <t>Breakdown</t>
  </si>
  <si>
    <t>01</t>
  </si>
  <si>
    <t>02</t>
  </si>
  <si>
    <t>03</t>
  </si>
  <si>
    <t>04</t>
  </si>
  <si>
    <t>05</t>
  </si>
  <si>
    <t>06</t>
  </si>
  <si>
    <t>07</t>
  </si>
  <si>
    <t>08</t>
  </si>
  <si>
    <t>09</t>
  </si>
  <si>
    <t>Material Phase</t>
  </si>
  <si>
    <t>Select this button to insert fixed values in the range to the left.</t>
  </si>
  <si>
    <t>Totals</t>
  </si>
  <si>
    <t>% of Job</t>
  </si>
  <si>
    <t>Project Total</t>
  </si>
  <si>
    <t>Unassociated Trade Cost</t>
  </si>
  <si>
    <t>Floor</t>
  </si>
  <si>
    <t>Shape</t>
  </si>
  <si>
    <t>Labor Type</t>
  </si>
  <si>
    <t>$/hr</t>
  </si>
  <si>
    <t>Base Labor Cost</t>
  </si>
  <si>
    <t>Fringe Cost</t>
  </si>
  <si>
    <t>TSI SM</t>
  </si>
  <si>
    <t>Weight</t>
  </si>
  <si>
    <t>Area</t>
  </si>
  <si>
    <t>Notes</t>
  </si>
  <si>
    <t>NOTES</t>
  </si>
  <si>
    <t>QP All</t>
  </si>
  <si>
    <t>Row Labels</t>
  </si>
  <si>
    <t>Sum of Material Cost</t>
  </si>
  <si>
    <t>Sum of Labor Hours</t>
  </si>
  <si>
    <t>QP Wrap</t>
  </si>
  <si>
    <t>Sum of Area</t>
  </si>
  <si>
    <t>Field % of Labor</t>
  </si>
  <si>
    <t>Shop % of Labor</t>
  </si>
  <si>
    <t>(Multiple Items)</t>
  </si>
  <si>
    <t>Ctrl+H=Help Menu</t>
  </si>
  <si>
    <t>Ctrl+I=Import Menu</t>
  </si>
  <si>
    <t>Quick Commands</t>
  </si>
  <si>
    <t>% of Bid</t>
  </si>
  <si>
    <t>Liner</t>
  </si>
  <si>
    <t>Proposal</t>
  </si>
  <si>
    <t>ARCTIC SHEET METAL, INC.</t>
  </si>
  <si>
    <t>2310 NE Columbia Boulevard</t>
  </si>
  <si>
    <t>Portland, Oregon  97211</t>
  </si>
  <si>
    <t>Phone (503) 288-5844   Fax (503) 288-5849</t>
  </si>
  <si>
    <t>ATTN:</t>
  </si>
  <si>
    <t>PROPOSAL SUBMITTED TO</t>
  </si>
  <si>
    <t>PHONE</t>
  </si>
  <si>
    <t>DATE</t>
  </si>
  <si>
    <t>ADDRESS:</t>
  </si>
  <si>
    <t>JOB NAME</t>
  </si>
  <si>
    <t>CITY, STATE, &amp; ZIP</t>
  </si>
  <si>
    <t>JOB LOCATION</t>
  </si>
  <si>
    <t>ARCHITECT</t>
  </si>
  <si>
    <t>DATE OF PLANS</t>
  </si>
  <si>
    <t xml:space="preserve">FAX </t>
  </si>
  <si>
    <r>
      <t xml:space="preserve">WE PROPOSE  </t>
    </r>
    <r>
      <rPr>
        <sz val="9"/>
        <rFont val="Arial"/>
        <family val="2"/>
      </rPr>
      <t>hereby to furnish material and labor -- complete in accordance with above specifications, for the sum of:</t>
    </r>
  </si>
  <si>
    <t>dollars ($</t>
  </si>
  <si>
    <t>).</t>
  </si>
  <si>
    <t>Payment to be made as follows:</t>
  </si>
  <si>
    <t>Authorized</t>
  </si>
  <si>
    <t>Signature</t>
  </si>
  <si>
    <t>Note:  This proposal may be withdrawn by us if not accepted</t>
  </si>
  <si>
    <r>
      <t xml:space="preserve">within  </t>
    </r>
    <r>
      <rPr>
        <u/>
        <sz val="8"/>
        <rFont val="Arial"/>
        <family val="2"/>
      </rPr>
      <t xml:space="preserve">                30               </t>
    </r>
    <r>
      <rPr>
        <sz val="8"/>
        <rFont val="Arial"/>
        <family val="2"/>
      </rPr>
      <t xml:space="preserve">  days.</t>
    </r>
  </si>
  <si>
    <r>
      <t xml:space="preserve">Acceptance of proposal </t>
    </r>
    <r>
      <rPr>
        <sz val="8"/>
        <rFont val="Arial"/>
        <family val="2"/>
      </rPr>
      <t>- The above prices, specifications</t>
    </r>
  </si>
  <si>
    <t>and conditions are satisfactory and are hereby accepted.  You are authorized</t>
  </si>
  <si>
    <t>to do the work as specified.  Payment will be made as outlined above.</t>
  </si>
  <si>
    <t>Date of Acceptance</t>
  </si>
  <si>
    <t>Type</t>
  </si>
  <si>
    <t>Field Lab Multiplier</t>
  </si>
  <si>
    <t>Shop Lab Multiplier</t>
  </si>
  <si>
    <t>Loss-Of- Productivity (LOP):</t>
  </si>
  <si>
    <t>Schedule</t>
  </si>
  <si>
    <t>LOP</t>
  </si>
  <si>
    <t>5/10s</t>
  </si>
  <si>
    <t>6/10s</t>
  </si>
  <si>
    <t>60/60/50s</t>
  </si>
  <si>
    <t>7/10s</t>
  </si>
  <si>
    <t>huge</t>
  </si>
  <si>
    <t>7/12s</t>
  </si>
  <si>
    <t>ginormous</t>
  </si>
  <si>
    <t xml:space="preserve">*Only use up to 60/60/50 for budgeting </t>
  </si>
  <si>
    <t>Never COMMIT to anything greater</t>
  </si>
  <si>
    <t>40 x str + 10 x otr / 50</t>
  </si>
  <si>
    <t>apply Lop to Total hours in material handling(?)</t>
  </si>
  <si>
    <t>40 x str + 20 x otr / 60</t>
  </si>
  <si>
    <t>120 x str +50 x otr/170</t>
  </si>
  <si>
    <t>* Graveyard: Add $1.00</t>
  </si>
  <si>
    <t>* Swing: Add $0.75</t>
  </si>
  <si>
    <t>4th Year Apprentice  - .90</t>
  </si>
  <si>
    <t>3rd Year Apprentice-  .75</t>
  </si>
  <si>
    <t>2nd Year Apprentice- .65</t>
  </si>
  <si>
    <t>1st Year Apprentice - .55</t>
  </si>
  <si>
    <t>Overtime</t>
  </si>
  <si>
    <t>Double Time</t>
  </si>
  <si>
    <t>5/8s</t>
  </si>
  <si>
    <t>INTEL CORPORATION</t>
  </si>
  <si>
    <r>
      <t xml:space="preserve">Form 1   </t>
    </r>
    <r>
      <rPr>
        <b/>
        <sz val="8"/>
        <rFont val="Arial"/>
        <family val="2"/>
      </rPr>
      <t>Page 1/3</t>
    </r>
  </si>
  <si>
    <t>Contactor Enrollment Application</t>
  </si>
  <si>
    <t>This form is to be completed by every Contractor and Subcontractor performing on-site work.</t>
  </si>
  <si>
    <t>Note:  Consult your regular workers' compensation and general liability policies and/or your insurance agent before completing this form.  This form is to be completed by each</t>
  </si>
  <si>
    <t>eligible subcontractor of every tier.  This coverage may not extend to contract haulers, vendors, suppliers, material dealers, equipment owner/operators, or others whose function is</t>
  </si>
  <si>
    <t>solely to make deliveries or supply ,materials, parts, or equipment to and from the project site.</t>
  </si>
  <si>
    <t>BID PACKAGE NAME:</t>
  </si>
  <si>
    <t>BID PACKAGE #</t>
  </si>
  <si>
    <t>XXXXXXXXXX</t>
  </si>
  <si>
    <t>1.</t>
  </si>
  <si>
    <t>IDENTIFICATION</t>
  </si>
  <si>
    <t>Company Name:</t>
  </si>
  <si>
    <t>Arctic Sheet Metal</t>
  </si>
  <si>
    <t>Federal ID#</t>
  </si>
  <si>
    <t>93-0680369</t>
  </si>
  <si>
    <t>Address:</t>
  </si>
  <si>
    <t>2310 NE Columbia Blvd</t>
  </si>
  <si>
    <t>WC Risk ID#</t>
  </si>
  <si>
    <t>Portland, OR 97211</t>
  </si>
  <si>
    <t>Anniversery</t>
  </si>
  <si>
    <t>10/1/11</t>
  </si>
  <si>
    <t>Date:</t>
  </si>
  <si>
    <t>Phone/Fax:</t>
  </si>
  <si>
    <t>Experience</t>
  </si>
  <si>
    <t>Modifier:</t>
  </si>
  <si>
    <t>Applicant is:</t>
  </si>
  <si>
    <t xml:space="preserve">Note:  if Partnership, Sole Prop. or Joint Venture, list individuals   </t>
  </si>
  <si>
    <t>2.</t>
  </si>
  <si>
    <t>CONTACT INFORMATION</t>
  </si>
  <si>
    <t>Insurance Information</t>
  </si>
  <si>
    <t>Payroll Clerk</t>
  </si>
  <si>
    <t>Superintendent</t>
  </si>
  <si>
    <t>Contact Name:</t>
  </si>
  <si>
    <t>Arlene Frazier</t>
  </si>
  <si>
    <t>Phone:</t>
  </si>
  <si>
    <t>503-288-5844</t>
  </si>
  <si>
    <t>Fax:</t>
  </si>
  <si>
    <t>503-288-5849</t>
  </si>
  <si>
    <t>E-mail Address:</t>
  </si>
  <si>
    <t>3.</t>
  </si>
  <si>
    <t>CONTRACT INFORMATION</t>
  </si>
  <si>
    <t>Name of Specific Job:</t>
  </si>
  <si>
    <t>Est. Start Date:</t>
  </si>
  <si>
    <t>Est. Contract Value:</t>
  </si>
  <si>
    <t>Est. Completion Date:</t>
  </si>
  <si>
    <t xml:space="preserve">What % of the total contract do you expect to self perform? </t>
  </si>
  <si>
    <t>SCOPE OF WORK</t>
  </si>
  <si>
    <t>WC CODES &amp; EST. PAYROLL</t>
  </si>
  <si>
    <t>4.</t>
  </si>
  <si>
    <t>CONTRACTOR STATUS</t>
  </si>
  <si>
    <t>Who is your contract with?</t>
  </si>
  <si>
    <t>Owner Directly</t>
  </si>
  <si>
    <t>General/Prime Contractor</t>
  </si>
  <si>
    <t>Construction Manager</t>
  </si>
  <si>
    <t>Subcontracor - Please Identify:</t>
  </si>
  <si>
    <t>5.</t>
  </si>
  <si>
    <t>SUBCONTRACTS</t>
  </si>
  <si>
    <t>Will you subcontract any of your work?</t>
  </si>
  <si>
    <t>If Yes, list your potential subcontractors on this project.</t>
  </si>
  <si>
    <t>Subcontractor's Name</t>
  </si>
  <si>
    <t>Phone Number</t>
  </si>
  <si>
    <t>Enrollment Form Atached</t>
  </si>
  <si>
    <t>Yes</t>
  </si>
  <si>
    <t>No</t>
  </si>
  <si>
    <t>ENROLLMENT APPLICATION - SAFETY INFO</t>
  </si>
  <si>
    <t>PAGE 2/3</t>
  </si>
  <si>
    <t>Name of Company Safety Representative:</t>
  </si>
  <si>
    <t>e-mail Address</t>
  </si>
  <si>
    <t>CERTIFICATION &amp; ASSIGNMENT</t>
  </si>
  <si>
    <t>I /We herby certify that the cost of insurance for these coverages provided by the Owner Controlled Insurance Program has</t>
  </si>
  <si>
    <t>not been included in my/our firm's bid price. Further, I/We herby assign, transfer and set over absolutely unto the Owner its</t>
  </si>
  <si>
    <t>right, title and interest to any and all returns of premiums, dividends, discounts, or other adjustment to an Owner Controlled</t>
  </si>
  <si>
    <t>Insurance Program.  This assignment shall pertain to the  policies  as now written and subsequently  modified,  rewritten or</t>
  </si>
  <si>
    <t>replaced in  the Owner's insurance company,  including any additional  amount or  coverages as a result thereof.   I/We also</t>
  </si>
  <si>
    <t>assign my/our right of  cancellation of all insurance policies  provided to me/us by Owner.   This assignment is only valid for</t>
  </si>
  <si>
    <t>Insurance policies where the Owner on behalf of me/us has paid premiums.</t>
  </si>
  <si>
    <t xml:space="preserve">Dated at: </t>
  </si>
  <si>
    <t>This</t>
  </si>
  <si>
    <t>day of</t>
  </si>
  <si>
    <t>Contractor's Authorized Representative</t>
  </si>
  <si>
    <t>Title</t>
  </si>
  <si>
    <t>Printed Name</t>
  </si>
  <si>
    <t>Any  questions regarding this form should be directed to:</t>
  </si>
  <si>
    <t>Kathryn Swazo, OCIP Program Manager: 503-613-9290; Fax 971-217-9800; Cell Phone 503-348-6544</t>
  </si>
  <si>
    <t>e-mail address: Kathrynx.M.Swazo@Intel.com</t>
  </si>
  <si>
    <t>Completed and signed forms must be received by the OCIP Administrator prior to the start of work on site.</t>
  </si>
  <si>
    <t>FOR INTERNAL USE ONLY</t>
  </si>
  <si>
    <t>Effective Date of Coverage:</t>
  </si>
  <si>
    <t>Policy No.:</t>
  </si>
  <si>
    <t>Contract No.:</t>
  </si>
  <si>
    <t>ENROLLMENT APPLICATION - INSURANCE PREMIUM WORKSHEET</t>
  </si>
  <si>
    <t>PAGE 3/3</t>
  </si>
  <si>
    <t xml:space="preserve"> Bid Package Name/No.</t>
  </si>
  <si>
    <t>Original Bid</t>
  </si>
  <si>
    <t xml:space="preserve"> Contract No:</t>
  </si>
  <si>
    <t>O</t>
  </si>
  <si>
    <t>Change Order</t>
  </si>
  <si>
    <t xml:space="preserve">Company Name: </t>
  </si>
  <si>
    <t xml:space="preserve">Contact Person: </t>
  </si>
  <si>
    <t xml:space="preserve">Phone: </t>
  </si>
  <si>
    <t>503.288.5844</t>
  </si>
  <si>
    <t xml:space="preserve">Fax: </t>
  </si>
  <si>
    <t>503.288.5849</t>
  </si>
  <si>
    <t>FIXED PRICE</t>
  </si>
  <si>
    <t xml:space="preserve">Contract No.: </t>
  </si>
  <si>
    <t>TIME &amp; MATERIALS</t>
  </si>
  <si>
    <t>OFF-SITE WORKERS' COMPENSATION INSURER:</t>
  </si>
  <si>
    <t>SAIF Corporation</t>
  </si>
  <si>
    <t>ESTIMATED PROJECT PAYROLLS AND PREMIUMS (ON-SITE PAYROLLS ONLY)</t>
  </si>
  <si>
    <t>Premium</t>
  </si>
  <si>
    <t>Classification Description</t>
  </si>
  <si>
    <t>Class Code</t>
  </si>
  <si>
    <t>On-Site Payrolls</t>
  </si>
  <si>
    <t xml:space="preserve">Estimated Total Premium </t>
  </si>
  <si>
    <t>*Please identify the "Other Applicable Factors"</t>
  </si>
  <si>
    <t xml:space="preserve">Experience Mod. Factor </t>
  </si>
  <si>
    <t>and discount amount. (e.g.: AGC</t>
  </si>
  <si>
    <t xml:space="preserve">= Modified Premium </t>
  </si>
  <si>
    <t>discount, Liberty Contractors group).</t>
  </si>
  <si>
    <t xml:space="preserve">*Other Applicable Factors (if any) </t>
  </si>
  <si>
    <t xml:space="preserve">Premium after factors </t>
  </si>
  <si>
    <t>Oregon Tax</t>
  </si>
  <si>
    <t xml:space="preserve">Total Workers' Comp. Cost </t>
  </si>
  <si>
    <t xml:space="preserve">OFF-SITE  GENERAL LIABILITY INSURER: </t>
  </si>
  <si>
    <t>Is the rate shown a ccombined rate for Premiums and Operations and Products/Completed Operations?</t>
  </si>
  <si>
    <t>Payrolls/Contract Value</t>
  </si>
  <si>
    <t>(circle one)</t>
  </si>
  <si>
    <t>Per $1,000</t>
  </si>
  <si>
    <t xml:space="preserve"> Premises &amp; Operations Classes:</t>
  </si>
  <si>
    <t xml:space="preserve"> Products/Completed Ops. Classes</t>
  </si>
  <si>
    <t xml:space="preserve"> Excess Liability</t>
  </si>
  <si>
    <t xml:space="preserve">Total GL Premium </t>
  </si>
  <si>
    <t xml:space="preserve">Total Umbrella/Excess Premium </t>
  </si>
  <si>
    <t xml:space="preserve">Total Liability Premium </t>
  </si>
  <si>
    <t xml:space="preserve">Est. Contractors Ins. Cost (Include WC, GL, &amp; Excess) </t>
  </si>
  <si>
    <t xml:space="preserve">Grand Total of All Insurance Costs (WC, GL, XS, Subcontractors) </t>
  </si>
  <si>
    <t>*</t>
  </si>
  <si>
    <t>IMPORTANT: Attach a copy of your Work Comp., GL and Excess rate pages from your current policies.</t>
  </si>
  <si>
    <t>afrazier@arcticsheetmetal.com</t>
  </si>
  <si>
    <t>OCIP Deduct</t>
  </si>
  <si>
    <t xml:space="preserve">OCIP Deduct (For Bidding) </t>
  </si>
  <si>
    <t>(Ave of 4Jyn, 1Fmn, 1 .9A) x (WC + GL Rate)</t>
  </si>
  <si>
    <t xml:space="preserve">OCIP Deduct  </t>
  </si>
  <si>
    <t xml:space="preserve"> = </t>
  </si>
  <si>
    <t>Composite Rates</t>
  </si>
  <si>
    <t>Specification</t>
  </si>
  <si>
    <t>Amount</t>
  </si>
  <si>
    <t>Original</t>
  </si>
  <si>
    <t>Change</t>
  </si>
  <si>
    <t>Booking</t>
  </si>
  <si>
    <t>Job #</t>
  </si>
  <si>
    <t>Default</t>
  </si>
  <si>
    <t>Bid #</t>
  </si>
  <si>
    <t>Total Cost from SM Sheets ONLY!!</t>
  </si>
  <si>
    <t>Total Cost from Plumbing Sheets ONLY!!</t>
  </si>
  <si>
    <t>Total Cost from Piping Sheets ONLY!!</t>
  </si>
  <si>
    <t>Total Assigned Job Costs Based on % of  $ from Job</t>
  </si>
  <si>
    <t>Amount added for Supervision</t>
  </si>
  <si>
    <t>Amount added for Equipment Rentals</t>
  </si>
  <si>
    <t>Amount Added for Subcontractors</t>
  </si>
  <si>
    <t>Total Sale Price including % of extra's from MCAA RECAP form</t>
  </si>
  <si>
    <t>SUBTRACT THESE VALUES FROM TOTAL SALE PRICE TO REMOVE THEM FROM THE SALE PRICE</t>
  </si>
  <si>
    <t>Coil Duct</t>
  </si>
  <si>
    <t>Galv Ftgs</t>
  </si>
  <si>
    <t>Spiral Duct (Job)</t>
  </si>
  <si>
    <t>Spiral Allocation</t>
  </si>
  <si>
    <t>Category</t>
  </si>
  <si>
    <t>E</t>
  </si>
  <si>
    <t>M</t>
  </si>
  <si>
    <t>Job Cost</t>
  </si>
  <si>
    <t>OH</t>
  </si>
  <si>
    <t>OT</t>
  </si>
  <si>
    <t>Non Labor Cost Type</t>
  </si>
  <si>
    <t>S</t>
  </si>
  <si>
    <t>MSC</t>
  </si>
  <si>
    <t>SOS</t>
  </si>
  <si>
    <t>SOE</t>
  </si>
  <si>
    <t>SAF</t>
  </si>
  <si>
    <t>SPE</t>
  </si>
  <si>
    <t>REP</t>
  </si>
  <si>
    <t>PHN</t>
  </si>
  <si>
    <t>City / State/Zip:</t>
  </si>
  <si>
    <t>P</t>
  </si>
  <si>
    <t>;</t>
  </si>
  <si>
    <t>;Job Header</t>
  </si>
  <si>
    <t>C</t>
  </si>
  <si>
    <t>Alternate Start Date:</t>
  </si>
  <si>
    <t>(Mondays only)</t>
  </si>
  <si>
    <t>PROJECT MANAGER:</t>
  </si>
  <si>
    <t xml:space="preserve">      </t>
  </si>
  <si>
    <t>WBS</t>
  </si>
  <si>
    <t>TASKS</t>
  </si>
  <si>
    <t>MAN
POWER</t>
  </si>
  <si>
    <t>PLANNED START DATE</t>
  </si>
  <si>
    <t>PLANNED FINISH DATE</t>
  </si>
  <si>
    <t>STATUS</t>
  </si>
  <si>
    <t>ACTUAL FINISH DATE</t>
  </si>
  <si>
    <t>Cal Start</t>
  </si>
  <si>
    <t>Cal End</t>
  </si>
  <si>
    <t>Work Days</t>
  </si>
  <si>
    <t>Task A</t>
  </si>
  <si>
    <t>Task B</t>
  </si>
  <si>
    <t>Task C</t>
  </si>
  <si>
    <t>Task D</t>
  </si>
  <si>
    <t>Task E</t>
  </si>
  <si>
    <t>Task F</t>
  </si>
  <si>
    <t>Task G</t>
  </si>
  <si>
    <t>Task H</t>
  </si>
  <si>
    <t>Task I</t>
  </si>
  <si>
    <t>Task J</t>
  </si>
  <si>
    <t>Equipment Markup</t>
  </si>
  <si>
    <t>Overide</t>
  </si>
  <si>
    <t>Equipment Markup Override</t>
  </si>
  <si>
    <t>Total Equipment Value</t>
  </si>
  <si>
    <t xml:space="preserve">Marked as EMO from </t>
  </si>
  <si>
    <t>amount from</t>
  </si>
  <si>
    <t>MCAA RECAP</t>
  </si>
  <si>
    <t>Markup %</t>
  </si>
  <si>
    <t>Revised</t>
  </si>
  <si>
    <t>For Equipment</t>
  </si>
  <si>
    <t>Overhead &amp; Profit</t>
  </si>
  <si>
    <t>Equipment Mark Up</t>
  </si>
  <si>
    <t>Overhead and Profit
Excluding Lines from Above</t>
  </si>
  <si>
    <t>Miscellaneous Cost/Contingency(No Markup)</t>
  </si>
  <si>
    <t>Quote / Plug</t>
  </si>
  <si>
    <t>From Pg 3</t>
  </si>
  <si>
    <t>Construction Value</t>
  </si>
  <si>
    <t>City of Portland / Multnomah County</t>
  </si>
  <si>
    <t>Min $</t>
  </si>
  <si>
    <t>Max $</t>
  </si>
  <si>
    <t>fee</t>
  </si>
  <si>
    <t>$ increment</t>
  </si>
  <si>
    <t>Subtotal</t>
  </si>
  <si>
    <t>Plan Review</t>
  </si>
  <si>
    <t>of subtotal</t>
  </si>
  <si>
    <t>Markup</t>
  </si>
  <si>
    <t>Clackamas County</t>
  </si>
  <si>
    <t>Custom</t>
  </si>
  <si>
    <t>Permit Calculator</t>
  </si>
  <si>
    <t>No Permits</t>
  </si>
  <si>
    <t>SS Duct and Fittings</t>
  </si>
  <si>
    <t>Alum Duct and Fittings</t>
  </si>
  <si>
    <t>Black Iron Duct and Fittings</t>
  </si>
  <si>
    <t>Curbs</t>
  </si>
  <si>
    <t>Flashing and Architectural</t>
  </si>
  <si>
    <t>Contractor Exec Supervisor</t>
  </si>
  <si>
    <t>NA - Fixed Premium</t>
  </si>
  <si>
    <t>Running Total</t>
  </si>
  <si>
    <t>Payroll / HR</t>
  </si>
  <si>
    <t>Shop Burden /hr</t>
  </si>
  <si>
    <r>
      <t xml:space="preserve">Total Field Hours with Adders  </t>
    </r>
    <r>
      <rPr>
        <b/>
        <sz val="12"/>
        <rFont val="Calibri"/>
        <family val="2"/>
      </rPr>
      <t>−−→</t>
    </r>
  </si>
  <si>
    <r>
      <t xml:space="preserve">Total Material Cost  </t>
    </r>
    <r>
      <rPr>
        <b/>
        <sz val="12"/>
        <rFont val="Calibri"/>
        <family val="2"/>
      </rPr>
      <t>−−→</t>
    </r>
  </si>
  <si>
    <r>
      <t xml:space="preserve">Total Labor Cost       </t>
    </r>
    <r>
      <rPr>
        <b/>
        <sz val="12"/>
        <rFont val="Calibri"/>
        <family val="2"/>
      </rPr>
      <t>−−→</t>
    </r>
  </si>
  <si>
    <r>
      <t>Total Subcontract</t>
    </r>
    <r>
      <rPr>
        <b/>
        <sz val="12"/>
        <rFont val="Calibri"/>
        <family val="2"/>
        <scheme val="minor"/>
      </rPr>
      <t xml:space="preserve">  −−→</t>
    </r>
  </si>
  <si>
    <r>
      <t xml:space="preserve">Total Other Costs  </t>
    </r>
    <r>
      <rPr>
        <b/>
        <i/>
        <sz val="12"/>
        <rFont val="Calibri"/>
        <family val="2"/>
        <scheme val="minor"/>
      </rPr>
      <t>−−→</t>
    </r>
  </si>
  <si>
    <r>
      <t xml:space="preserve">Total Bid  </t>
    </r>
    <r>
      <rPr>
        <b/>
        <sz val="16"/>
        <rFont val="Calibri"/>
        <family val="2"/>
        <scheme val="minor"/>
      </rPr>
      <t>−−→</t>
    </r>
  </si>
  <si>
    <r>
      <t xml:space="preserve">Total Hours From Takeoff Worksheets  </t>
    </r>
    <r>
      <rPr>
        <b/>
        <sz val="12"/>
        <rFont val="Calibri"/>
        <family val="2"/>
        <scheme val="minor"/>
      </rPr>
      <t>−−→</t>
    </r>
  </si>
  <si>
    <t>8 - Architectural</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</si>
  <si>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</si>
  <si>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</si>
  <si>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</si>
  <si>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</si>
  <si>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</si>
  <si>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</si>
  <si>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</si>
  <si>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</si>
  <si>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</si>
  <si>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</si>
  <si>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</si>
  <si>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</si>
  <si>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</si>
  <si>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</si>
  <si>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</si>
  <si>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</si>
  <si>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</si>
  <si>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</si>
  <si>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</si>
  <si>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</si>
  <si>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</si>
  <si>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</si>
  <si>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</si>
  <si>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</si>
  <si>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</si>
  <si>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</si>
  <si>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</si>
  <si>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</si>
  <si>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</si>
  <si>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</si>
  <si>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</si>
  <si>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</si>
  <si>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</si>
  <si>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</si>
  <si>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</si>
  <si>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</si>
  <si>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</si>
  <si>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</si>
  <si>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</si>
  <si>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</si>
  <si>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</si>
  <si>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</si>
  <si>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</si>
  <si>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</si>
  <si>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</si>
  <si>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</si>
  <si>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</si>
  <si>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</si>
  <si>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</si>
  <si>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</si>
  <si>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</si>
  <si>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</si>
  <si>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</si>
  <si>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</si>
  <si>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</si>
  <si>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</si>
  <si>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</si>
  <si>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</si>
  <si>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</si>
  <si>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</si>
  <si>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</si>
  <si>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</si>
  <si>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</si>
  <si>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</si>
  <si>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</si>
  <si>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</si>
  <si>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</si>
  <si>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</si>
  <si>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</si>
  <si>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</si>
  <si>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</si>
  <si>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</si>
  <si>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</si>
  <si>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</si>
  <si>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</si>
  <si>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</si>
  <si>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</si>
  <si>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</si>
  <si>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</si>
  <si>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</si>
  <si>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</si>
  <si>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</si>
  <si>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</si>
  <si>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</si>
  <si>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</si>
  <si>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</si>
  <si>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</si>
  <si>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</si>
  <si>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</si>
  <si>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</si>
  <si>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8-91</t>
  </si>
  <si>
    <t>8-92</t>
  </si>
  <si>
    <t>8-93</t>
  </si>
  <si>
    <t>8-94</t>
  </si>
  <si>
    <t>8-95</t>
  </si>
  <si>
    <t>8-96</t>
  </si>
  <si>
    <t>8-97</t>
  </si>
  <si>
    <t>8-98</t>
  </si>
  <si>
    <t>8-99</t>
  </si>
  <si>
    <t>Architectural Field</t>
  </si>
  <si>
    <t>Supports/Furring</t>
  </si>
  <si>
    <t>Vapor/Moisture Barrier</t>
  </si>
  <si>
    <t>Fibrous Cement Panels</t>
  </si>
  <si>
    <t>Coping Systems</t>
  </si>
  <si>
    <t>Flashing Systems</t>
  </si>
  <si>
    <t>Roofing Systems</t>
  </si>
  <si>
    <t>Testing and Mockups</t>
  </si>
  <si>
    <t>Safety Time and Special Supplies</t>
  </si>
  <si>
    <t>Soffit Panels</t>
  </si>
  <si>
    <t>Brick Ledger Flashing Systems</t>
  </si>
  <si>
    <t>Cornice</t>
  </si>
  <si>
    <t>Fascia</t>
  </si>
  <si>
    <t>Louver Installation</t>
  </si>
  <si>
    <t>Specialty Rental Equipment</t>
  </si>
  <si>
    <t>1-03/2-05</t>
  </si>
  <si>
    <t>Straight Field Hours</t>
  </si>
  <si>
    <t>Overtime Field Hours</t>
  </si>
  <si>
    <t>Doubletime Field Hours</t>
  </si>
  <si>
    <t>Total Field Hours</t>
  </si>
  <si>
    <t>Material Costs</t>
  </si>
  <si>
    <r>
      <t xml:space="preserve">Subtotal Labor Cost </t>
    </r>
    <r>
      <rPr>
        <b/>
        <sz val="12"/>
        <rFont val="Calibri"/>
        <family val="2"/>
        <scheme val="minor"/>
      </rPr>
      <t>−−→</t>
    </r>
  </si>
  <si>
    <t>Arch</t>
  </si>
  <si>
    <t>Architectural</t>
  </si>
  <si>
    <t>Premium Time Add</t>
  </si>
  <si>
    <t>Trucking Hrs / #Loads / $ per hr</t>
  </si>
  <si>
    <t>Cost Leveler &amp; Add/Deduct</t>
  </si>
  <si>
    <t>Subsistence - Arch</t>
  </si>
  <si>
    <t>Subsistence - Service</t>
  </si>
  <si>
    <t>Sheet Navigation</t>
  </si>
  <si>
    <t>Arch Specialty Rental Equipment</t>
  </si>
  <si>
    <t>Default General Conditions</t>
  </si>
  <si>
    <t>Do not use for Bid Alternates!</t>
  </si>
  <si>
    <t>Straight Shop Hours</t>
  </si>
  <si>
    <t>Overtime Shop Hours</t>
  </si>
  <si>
    <t>Doubletime Shop Hours</t>
  </si>
  <si>
    <t>Total Shop Hours</t>
  </si>
  <si>
    <t>Booked Labor Hours</t>
  </si>
  <si>
    <t>Total Labor Hours</t>
  </si>
  <si>
    <t>Ctrl+B=Shows Booking Status and Missing Values</t>
  </si>
  <si>
    <t>TOTAL GCs  −−→</t>
  </si>
  <si>
    <t>Total Equipment Rental and Third Party  −−→</t>
  </si>
  <si>
    <t>% of all material and labor costs excluding supervision</t>
  </si>
  <si>
    <t>From Page 3</t>
  </si>
  <si>
    <t>AC Heating and Refrig</t>
  </si>
  <si>
    <t>% Onsite</t>
  </si>
  <si>
    <t>Estimated
Man Hours</t>
  </si>
  <si>
    <t>WC Rates
Per $100</t>
  </si>
  <si>
    <t>Premium
Payroll/$100 x Rate</t>
  </si>
  <si>
    <t>EMR</t>
  </si>
  <si>
    <t>class code 5537</t>
  </si>
  <si>
    <t>premises and operations</t>
  </si>
  <si>
    <t>products and completed ops</t>
  </si>
  <si>
    <t>GL</t>
  </si>
  <si>
    <t>class code 3076</t>
  </si>
  <si>
    <t>Value</t>
  </si>
  <si>
    <t>Labor Value</t>
  </si>
  <si>
    <t>Labor Rates</t>
  </si>
  <si>
    <t>Third Party Freight (% of Total Labor)</t>
  </si>
  <si>
    <t>City of Tualatin</t>
  </si>
  <si>
    <t>General Conditions</t>
  </si>
  <si>
    <t>5 8's</t>
  </si>
  <si>
    <t>Super</t>
  </si>
  <si>
    <t>Sheet Metal Work (Arch)</t>
  </si>
  <si>
    <t>Total Payroll</t>
  </si>
  <si>
    <r>
      <t xml:space="preserve">Other Applicable Factors: </t>
    </r>
    <r>
      <rPr>
        <b/>
        <sz val="11"/>
        <rFont val="Arial"/>
        <family val="2"/>
      </rPr>
      <t>Partial Waiver of Sub, AGC , TRIA</t>
    </r>
  </si>
  <si>
    <t>Other Factors</t>
  </si>
  <si>
    <t>2310 NE Columbia Blvd, Portland, OR 97211</t>
  </si>
  <si>
    <t>GCs</t>
  </si>
  <si>
    <t>Fee</t>
  </si>
  <si>
    <t>Hours Field</t>
  </si>
  <si>
    <t>Hours Shop</t>
  </si>
  <si>
    <t>Materials</t>
  </si>
  <si>
    <t>Total Sell</t>
  </si>
  <si>
    <t>Column Totals</t>
  </si>
  <si>
    <t>Item</t>
  </si>
  <si>
    <t xml:space="preserve">Item Total </t>
  </si>
  <si>
    <t>Shop Labor Cost</t>
  </si>
  <si>
    <t xml:space="preserve"> Fld Labor Cost</t>
  </si>
  <si>
    <t>Labor Factor (Detailing, Handling, Site Labor)</t>
  </si>
  <si>
    <t>Sub Total</t>
  </si>
  <si>
    <t>Project SqFt</t>
  </si>
  <si>
    <t>Material Lbs</t>
  </si>
  <si>
    <t>$/SqFt</t>
  </si>
  <si>
    <t>Field Lbs/Hr</t>
  </si>
  <si>
    <t>Shop Lbs/Hr</t>
  </si>
  <si>
    <t>Total Service</t>
  </si>
  <si>
    <t>Total Architectural</t>
  </si>
  <si>
    <t>Project Area (Sqft)</t>
  </si>
  <si>
    <t>Project Type</t>
  </si>
  <si>
    <t>Assisted Living</t>
  </si>
  <si>
    <t>Commercial</t>
  </si>
  <si>
    <t>Education</t>
  </si>
  <si>
    <t>Fabrication Only</t>
  </si>
  <si>
    <t>Governmental</t>
  </si>
  <si>
    <t>High Tech</t>
  </si>
  <si>
    <t>Manufacturing</t>
  </si>
  <si>
    <t>Medical</t>
  </si>
  <si>
    <t>Residential</t>
  </si>
  <si>
    <t>Spiral Fabrication</t>
  </si>
  <si>
    <t>Telecommunications</t>
  </si>
  <si>
    <t>Transportation</t>
  </si>
  <si>
    <t>Utilities</t>
  </si>
  <si>
    <t>Waste Water Treatment</t>
  </si>
  <si>
    <t>Loss of Production</t>
  </si>
  <si>
    <t>Duct Cleaning/Cleanup</t>
  </si>
  <si>
    <t>Work Recovery Calculations</t>
  </si>
  <si>
    <t>$/Hr Approved</t>
  </si>
  <si>
    <t>Arch Field</t>
  </si>
  <si>
    <t>STR Cost</t>
  </si>
  <si>
    <t>Total Labor</t>
  </si>
  <si>
    <t>Field Labor</t>
  </si>
  <si>
    <t>Shop Labor</t>
  </si>
  <si>
    <t>8-16 / 10</t>
  </si>
  <si>
    <t>Field Phase Codes</t>
  </si>
  <si>
    <t>Shop Phase Codes</t>
  </si>
  <si>
    <t>Material Phase Codes</t>
  </si>
  <si>
    <t>CAE if not moved to sections</t>
  </si>
  <si>
    <t>Budget Breakdown</t>
  </si>
  <si>
    <t>This section is for notes about what is included in this sheet, scope etc and will wrap in this box.
Alt+Enter will move to the next line within the box</t>
  </si>
  <si>
    <t>Exclude Section</t>
  </si>
  <si>
    <t>Equipment Markup Overide</t>
  </si>
  <si>
    <t>Sheet Metal Takeoff</t>
  </si>
  <si>
    <t>Pay Type</t>
  </si>
  <si>
    <t>SM</t>
  </si>
  <si>
    <t>Direct Costs</t>
  </si>
  <si>
    <t>GCs, Indirects &amp; Project Subs</t>
  </si>
  <si>
    <t>Required Date</t>
  </si>
  <si>
    <t>Updated</t>
  </si>
  <si>
    <t>Current Amount From Recap page</t>
  </si>
  <si>
    <t>2/3-09</t>
  </si>
  <si>
    <t>Small Tools and Consumeables (% of Straight Field Labor)</t>
  </si>
  <si>
    <t>Metal Siding</t>
  </si>
  <si>
    <t>ACM Metal Panels</t>
  </si>
  <si>
    <t>Insulated Metal Panels</t>
  </si>
  <si>
    <t>OCIP:</t>
  </si>
  <si>
    <t>Including 6.8% prem assessment</t>
  </si>
  <si>
    <t>Tax</t>
  </si>
  <si>
    <t>Gross Rate</t>
  </si>
  <si>
    <t>MWESB Subcontractor</t>
  </si>
  <si>
    <t>$ / HR</t>
  </si>
  <si>
    <t>Oregon CAT Tax</t>
  </si>
  <si>
    <t>Multomah Cty Tax (.15% of sell) added into WA and CAT Tax</t>
  </si>
  <si>
    <t xml:space="preserve">Subtotal Wage + Fringe
</t>
  </si>
  <si>
    <t>Hailey Latherow</t>
  </si>
  <si>
    <t>hlatherow@arcticsheetmetal.com</t>
  </si>
  <si>
    <t>City of Hillsboro (Washington County)</t>
  </si>
  <si>
    <t>Weather Barrier (Architectural)</t>
  </si>
  <si>
    <t>Caulking (Architectural)</t>
  </si>
  <si>
    <t>Exclusions</t>
  </si>
  <si>
    <t>Actuators for control dampers</t>
  </si>
  <si>
    <t>All architectural demolition, cutting, repairs and patching</t>
  </si>
  <si>
    <t>Duct Wrap</t>
  </si>
  <si>
    <t>Refrigeration</t>
  </si>
  <si>
    <t>All concrete work</t>
  </si>
  <si>
    <t>Air Balance</t>
  </si>
  <si>
    <t>Starters</t>
  </si>
  <si>
    <t>All temporary services including temporary heating and cooling</t>
  </si>
  <si>
    <t>AC Equipment</t>
  </si>
  <si>
    <t>Controls</t>
  </si>
  <si>
    <t>Architectural sheet metal and flashing</t>
  </si>
  <si>
    <t>Startup</t>
  </si>
  <si>
    <t>CD/BDD/FD/FDS's as shown on drawings only</t>
  </si>
  <si>
    <t>Crane</t>
  </si>
  <si>
    <t>Commissioning assistance only</t>
  </si>
  <si>
    <t>Cut &amp; Patch</t>
  </si>
  <si>
    <t>Premium Time</t>
  </si>
  <si>
    <t>Crane and hoisting</t>
  </si>
  <si>
    <t>Abatement</t>
  </si>
  <si>
    <t>Drawings</t>
  </si>
  <si>
    <t>Custom colors for registers/louvers/equipment</t>
  </si>
  <si>
    <t>Cut and cap for demolition by others</t>
  </si>
  <si>
    <t>Fire Master</t>
  </si>
  <si>
    <t>Quick ship</t>
  </si>
  <si>
    <t>Duct Shafts</t>
  </si>
  <si>
    <t>CAD Drawings</t>
  </si>
  <si>
    <t>Double handling of stored material and equipment</t>
  </si>
  <si>
    <t>Warranty</t>
  </si>
  <si>
    <t>Duct cleaning</t>
  </si>
  <si>
    <t>Struct. Work/Calcs.</t>
  </si>
  <si>
    <t>Duct insulation and fire wrap</t>
  </si>
  <si>
    <t>Temp. Dust Partitions</t>
  </si>
  <si>
    <t>Duct Cleaning</t>
  </si>
  <si>
    <t>Duct pressure testing</t>
  </si>
  <si>
    <t>Electrical</t>
  </si>
  <si>
    <t>BIM Coordination</t>
  </si>
  <si>
    <t>Dumpsters and disposal</t>
  </si>
  <si>
    <t>VFD's</t>
  </si>
  <si>
    <t>Off Hours Work/Overtime</t>
  </si>
  <si>
    <t>Emergency generator muffler exhaust</t>
  </si>
  <si>
    <t>Containment</t>
  </si>
  <si>
    <t>Pressure Testing</t>
  </si>
  <si>
    <t>Expedited shipping</t>
  </si>
  <si>
    <t>Seismic</t>
  </si>
  <si>
    <t>Concrete Cutting</t>
  </si>
  <si>
    <t>Field layout for other trades</t>
  </si>
  <si>
    <t>None</t>
  </si>
  <si>
    <t>Final cleaning</t>
  </si>
  <si>
    <t>Fire proofing repairs</t>
  </si>
  <si>
    <t>Flues for domestic water heaters</t>
  </si>
  <si>
    <t>Furnish and installation of architectural access panels</t>
  </si>
  <si>
    <t>Gradall to be provided by others</t>
  </si>
  <si>
    <t>Hazardous waste removal, disposal, testing and decontamination</t>
  </si>
  <si>
    <t>HVAC controls</t>
  </si>
  <si>
    <t>Installation of block outs (layout drawings will be provided)</t>
  </si>
  <si>
    <t>Lead BIM</t>
  </si>
  <si>
    <t>Leveling curbs</t>
  </si>
  <si>
    <t>Line voltage electrical work</t>
  </si>
  <si>
    <t>Liquidated damages</t>
  </si>
  <si>
    <t>Mechanical permits</t>
  </si>
  <si>
    <t>Motor starters and disconnects</t>
  </si>
  <si>
    <t>Performance and payment bonds</t>
  </si>
  <si>
    <t>Preparation/priming/painting</t>
  </si>
  <si>
    <t>Primary and secondary drip pans</t>
  </si>
  <si>
    <t>Primary structural steel</t>
  </si>
  <si>
    <t>Radon piping/duct</t>
  </si>
  <si>
    <t>Repairs, sealing and testing of existing duct systems and equipment</t>
  </si>
  <si>
    <t>Roof and floor protection</t>
  </si>
  <si>
    <t>Roofing</t>
  </si>
  <si>
    <t>Sealing of all exterior building penetrations</t>
  </si>
  <si>
    <t>Seismic design and hardware for equipment provided by others</t>
  </si>
  <si>
    <t>Servicing and maintenance of the existing mechanical systems and equipment</t>
  </si>
  <si>
    <t>Smoke detectors</t>
  </si>
  <si>
    <t>Sound/Acoustical caulking</t>
  </si>
  <si>
    <t>Storage of equipment provided by others</t>
  </si>
  <si>
    <t>Temporary or spare filters or filter media</t>
  </si>
  <si>
    <t>Temporary walls and dust protection</t>
  </si>
  <si>
    <t>Temporary weather protection for all building penetrations</t>
  </si>
  <si>
    <t>Testing and balancing</t>
  </si>
  <si>
    <t>Third party testing</t>
  </si>
  <si>
    <t>Underfloor air partitions/plenums</t>
  </si>
  <si>
    <t>Vibration isolation design and hardware for equipment provided by others</t>
  </si>
  <si>
    <t>Warranty, servicing and cleaning of equipment provided by others</t>
  </si>
  <si>
    <t>Clarifications</t>
  </si>
  <si>
    <t>Pricing is based on installing overhead mechanical systems before the installation of the ceiling systems and wall framing</t>
  </si>
  <si>
    <t>Mutually agreeable construction schedule</t>
  </si>
  <si>
    <t>Sufficient on site areas for parking, trailers and material/equipment storage</t>
  </si>
  <si>
    <t>Exclusions:</t>
  </si>
  <si>
    <t>Installation of owner furnished equipment &amp; Installation of VFD's</t>
  </si>
  <si>
    <t>Ctrl+T=Shows Live Total Estimate Value &amp; $ Difference</t>
  </si>
  <si>
    <t>BID #</t>
  </si>
  <si>
    <t>Plumber/Fitter</t>
  </si>
  <si>
    <t>Senior General Foreman</t>
  </si>
  <si>
    <t>LaborRate Period</t>
  </si>
  <si>
    <t>PT&amp;I  Plumb/Fitter Work OUTSIDE</t>
  </si>
  <si>
    <t>Plumb</t>
  </si>
  <si>
    <t>Pipe</t>
  </si>
  <si>
    <t>Plumb %</t>
  </si>
  <si>
    <t>Pipe %</t>
  </si>
  <si>
    <t>5-Plumb</t>
  </si>
  <si>
    <t>6-Pipe</t>
  </si>
  <si>
    <t>Plumb Labor Rate (Blend)</t>
  </si>
  <si>
    <t>Pipe Labor Rate (Blend)</t>
  </si>
  <si>
    <t>Plumb Hours</t>
  </si>
  <si>
    <t>Pipe Hours</t>
  </si>
  <si>
    <t>Arch Hrs in SM Takeoff</t>
  </si>
  <si>
    <r>
      <t xml:space="preserve">Exclusions
Place a character next to the exclusion you want
You can rename or add to exclusions definitions
</t>
    </r>
    <r>
      <rPr>
        <b/>
        <sz val="11"/>
        <color rgb="FFFF0000"/>
        <rFont val="Arial"/>
        <family val="2"/>
      </rPr>
      <t>WARNING INSERTING LINES WILL ADD EXTRA EXCLUSIONS AVAILABLE THAT WILL NOT INSERT INTO EXCLUSION TEXT!</t>
    </r>
  </si>
  <si>
    <t>No OCIP</t>
  </si>
  <si>
    <t>Miscellaneous (% of Takeoff Labor &amp; Material $'s)</t>
  </si>
  <si>
    <t>Scissor Lift - Small (Under 26')</t>
  </si>
  <si>
    <t>Scissor Lift - Large (Rough Terrain Under 33')</t>
  </si>
  <si>
    <t>Articulating Boom - Snorkel (Under 40' Reach)</t>
  </si>
  <si>
    <t>Forklift  - Large, Gradall (5.5K 19' Reach)</t>
  </si>
  <si>
    <t>Forklift - Small (5K Wharehouse Style)</t>
  </si>
  <si>
    <t>Arch Field Supervision (NW)</t>
  </si>
  <si>
    <t>GL comb</t>
  </si>
  <si>
    <t>Plumb Field Supervision (NW)</t>
  </si>
  <si>
    <t>Pipe Field Supervision (NW)</t>
  </si>
  <si>
    <t>4/4/23</t>
  </si>
  <si>
    <t>4/4/23 Based on City of Salem</t>
  </si>
  <si>
    <t>4/4/22</t>
  </si>
  <si>
    <t>4 - Pipe Shop</t>
  </si>
  <si>
    <t>Pipe Shop</t>
  </si>
  <si>
    <t>BOLI Adjustments</t>
  </si>
  <si>
    <t>Safety Director - Onsite</t>
  </si>
  <si>
    <t>Safety Director - Offsite</t>
  </si>
  <si>
    <t>Equity Fund</t>
  </si>
  <si>
    <t>Ind Advancement Program - Loc290</t>
  </si>
  <si>
    <t>Total Row Cost</t>
  </si>
  <si>
    <t>Classified Worker/PA-.50</t>
  </si>
  <si>
    <t>FMLA</t>
  </si>
  <si>
    <t>Field Straight</t>
  </si>
  <si>
    <t>Shop Straight</t>
  </si>
  <si>
    <t>OR Sick Leave</t>
  </si>
  <si>
    <t>Shift</t>
  </si>
  <si>
    <t>GRAVE</t>
  </si>
  <si>
    <t>* Swing: Add % of JNY wage</t>
  </si>
  <si>
    <t>* Graveyard: Add % of JNY wage</t>
  </si>
  <si>
    <t>* Special Circumstances: Add % of JNY wage</t>
  </si>
  <si>
    <t>DEFAULTS</t>
  </si>
  <si>
    <t>Burden /hr</t>
  </si>
  <si>
    <t>Avg Base Wage</t>
  </si>
  <si>
    <t>* Swing/Grave: Add % of base wage</t>
  </si>
  <si>
    <t>Field Premium Add</t>
  </si>
  <si>
    <t>Shop Premium Add</t>
  </si>
  <si>
    <t>Swing Loss of Production</t>
  </si>
  <si>
    <t>Grave Loss of Production</t>
  </si>
  <si>
    <t>OT Add</t>
  </si>
  <si>
    <t>DT Add</t>
  </si>
  <si>
    <t>Swing Add</t>
  </si>
  <si>
    <t>Grave Add</t>
  </si>
  <si>
    <t>Special Add</t>
  </si>
  <si>
    <t>Default Percentages</t>
  </si>
  <si>
    <t>Booked Costs</t>
  </si>
  <si>
    <t>Contract Price</t>
  </si>
  <si>
    <t>Misc Costs</t>
  </si>
  <si>
    <t>Breakout</t>
  </si>
  <si>
    <t>County Tax</t>
  </si>
  <si>
    <t>Plumb/Pipe</t>
  </si>
  <si>
    <t>503.288.5844/503.386.4239</t>
  </si>
  <si>
    <t>All work to be completed in a workman like manner according to standard practices.  Any alteration or deviation from above specifications involving extra costs will be executed only upon written orders, and will become an extra charge over and above the estimate. All agreements contingent upon strikes, accidents or delays beyond our control.  Owner to carry builder's risk insurance.  Our workers are fully covered by Workers' Compensation Insurance.
Price does not include: General Liability Waivers of Subrogation, Workers' Compensation Waivers of Subrogation, or Additional Insured Endorsements on Completed Operations. Additional insurance requirements will become an extra charge over and above the estimate.</t>
  </si>
  <si>
    <t>Due to the current supply chain issues, we reserve the right to negotiate mutually agreeable contract terms regarding potential material/equipment delays and pricing escalation.  There is a 3% Processing fee on all credit card payments.</t>
  </si>
  <si>
    <t>OGSERP</t>
  </si>
  <si>
    <t>DCBS Prem
Assessment</t>
  </si>
  <si>
    <t>OCCPAP</t>
  </si>
  <si>
    <t>Max Hours</t>
  </si>
  <si>
    <t>Work Recovery Used</t>
  </si>
  <si>
    <t>Fitter</t>
  </si>
  <si>
    <t>Plumber</t>
  </si>
  <si>
    <t>Takeoff Hours</t>
  </si>
  <si>
    <t>EFD</t>
  </si>
  <si>
    <t>Date Start</t>
  </si>
  <si>
    <t>Wage Increases</t>
  </si>
  <si>
    <t>$ amount</t>
  </si>
  <si>
    <t>% From current rates</t>
  </si>
  <si>
    <t>Guess</t>
  </si>
  <si>
    <t>Updated SM Labor Rates</t>
  </si>
  <si>
    <t>Existing</t>
  </si>
  <si>
    <t>ENFRA - Columbia Gorge</t>
  </si>
  <si>
    <t>25-800</t>
  </si>
  <si>
    <t>Package 1 Fan deck room</t>
  </si>
  <si>
    <t>Demo out ductwork and AHU's</t>
  </si>
  <si>
    <t>Package 1 Boiler room</t>
  </si>
  <si>
    <t>Demo out duct and EF fan</t>
  </si>
  <si>
    <t>TSI take of for duct work</t>
  </si>
  <si>
    <t xml:space="preserve">Set AHU </t>
  </si>
  <si>
    <t xml:space="preserve">TU boxes </t>
  </si>
  <si>
    <t xml:space="preserve">Siesmic AHU </t>
  </si>
  <si>
    <t>Faster Permits</t>
  </si>
  <si>
    <t>Seismic Engineering</t>
  </si>
  <si>
    <t xml:space="preserve">Air Balancing </t>
  </si>
  <si>
    <t xml:space="preserve">Insulation </t>
  </si>
  <si>
    <t>Temp duct tie in's in mech room</t>
  </si>
  <si>
    <t xml:space="preserve">Shop fab </t>
  </si>
  <si>
    <t xml:space="preserve">Package 1 ED Penthouse </t>
  </si>
  <si>
    <t>Demo out units and ductwork</t>
  </si>
  <si>
    <t xml:space="preserve">Demo louvers </t>
  </si>
  <si>
    <t>TSI take off for ductwork</t>
  </si>
  <si>
    <t xml:space="preserve">Set 4x AHU's </t>
  </si>
  <si>
    <t>Hang 6xTu boxes</t>
  </si>
  <si>
    <t>Hang 17x Tu boxes</t>
  </si>
  <si>
    <t xml:space="preserve">Set 2x louvers </t>
  </si>
  <si>
    <t>Install 7x duct detectors (Provided by others??)</t>
  </si>
  <si>
    <t>Pakcage 1 Small mech room penthouse</t>
  </si>
  <si>
    <t>Demo out duct work and SU-19/SU-20</t>
  </si>
  <si>
    <t>TSI take off from AHU to penthouse</t>
  </si>
  <si>
    <t xml:space="preserve">Crane </t>
  </si>
  <si>
    <t>Set new SU-19 and SU-20</t>
  </si>
  <si>
    <t>Set curbs on roof for SU's</t>
  </si>
  <si>
    <t>Seismic SU's</t>
  </si>
  <si>
    <t>Black off for louver and seal</t>
  </si>
  <si>
    <t>Weather hood for fan deck rooom temp service</t>
  </si>
  <si>
    <t xml:space="preserve">EF-140 work and ducting </t>
  </si>
  <si>
    <t>98x40 OSA duct up to roof with hood</t>
  </si>
  <si>
    <t xml:space="preserve">Roof supports install </t>
  </si>
  <si>
    <t xml:space="preserve">Unit Heater </t>
  </si>
  <si>
    <t>Hang Unit heater</t>
  </si>
  <si>
    <t>EF-140</t>
  </si>
  <si>
    <t>Set EF-140</t>
  </si>
  <si>
    <t>FF-19 and FF-20</t>
  </si>
  <si>
    <t>Hang FF-19 and FF-20</t>
  </si>
  <si>
    <t>Hang new BCU-1 and BCU-2</t>
  </si>
  <si>
    <t>Seismic BCU-1 and BCU-2</t>
  </si>
  <si>
    <t xml:space="preserve">BCU-1 and BCU-2 </t>
  </si>
  <si>
    <t xml:space="preserve">Package 1 DOAS and temp ducting </t>
  </si>
  <si>
    <t>Secondary pans for BCU's</t>
  </si>
  <si>
    <t xml:space="preserve">Temp unit rental </t>
  </si>
  <si>
    <t>Roof supports/ wall hangers</t>
  </si>
  <si>
    <t>Temp ducting from unit and across roof to 3x different locations.  TSI Take off</t>
  </si>
  <si>
    <t>This should be for duration of entire project</t>
  </si>
  <si>
    <t xml:space="preserve">Pre demo balancing </t>
  </si>
  <si>
    <t>Neudorfer</t>
  </si>
  <si>
    <t>Valley</t>
  </si>
  <si>
    <t>ACI</t>
  </si>
  <si>
    <t xml:space="preserve">See above </t>
  </si>
  <si>
    <t>See above</t>
  </si>
  <si>
    <t>ISAT</t>
  </si>
  <si>
    <t xml:space="preserve">Seismic Engineering </t>
  </si>
  <si>
    <t xml:space="preserve">Balancing </t>
  </si>
  <si>
    <t>Glychol ??</t>
  </si>
  <si>
    <t xml:space="preserve">VFD's </t>
  </si>
  <si>
    <t>JB</t>
  </si>
  <si>
    <t xml:space="preserve">Humidifiers </t>
  </si>
  <si>
    <t>Grilles</t>
  </si>
  <si>
    <t>Labels</t>
  </si>
  <si>
    <t>Plug for Kolbi</t>
  </si>
  <si>
    <t xml:space="preserve">Commissioning </t>
  </si>
  <si>
    <t>Pipe Takeoff</t>
  </si>
  <si>
    <t>Package 2 Piping</t>
  </si>
  <si>
    <t>Package 1 piping   HI Steve!!!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</si>
</sst>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5" formatCode="&quot;$&quot;#,##0_);\(&quot;$&quot;#,##0\)"/>
    <numFmt numFmtId="7" formatCode="&quot;$&quot;#,##0.00_);\(&quot;$&quot;#,##0.0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0.0%"/>
    <numFmt numFmtId="165" formatCode="&quot;$&quot;#,##0.00"/>
    <numFmt numFmtId="166" formatCode="0.0"/>
    <numFmt numFmtId="167" formatCode="&quot;$&quot;#,##0.0_);\(&quot;$&quot;#,##0.0\)"/>
    <numFmt numFmtId="168" formatCode="_(&quot;$&quot;* #,##0_);_(&quot;$&quot;* \(#,##0\);_(&quot;$&quot;* &quot;-&quot;??_);_(@_)"/>
    <numFmt numFmtId="169" formatCode="00"/>
    <numFmt numFmtId="170" formatCode="0.000%"/>
    <numFmt numFmtId="171" formatCode="mm/dd/yy;@"/>
    <numFmt numFmtId="172" formatCode="0\-00"/>
    <numFmt numFmtId="173" formatCode="00\-000"/>
    <numFmt numFmtId="174" formatCode="[&lt;=9999999]###\-####;\(###\)\ ###\-####"/>
    <numFmt numFmtId="175" formatCode="m/d/yy;@"/>
    <numFmt numFmtId="176" formatCode="#,##0.00000_);\(#,##0.00000\)"/>
    <numFmt numFmtId="177" formatCode="_(&quot;$&quot;* #,##0.00_);_(&quot;$&quot;* \(#,##0.00\);_(&quot;$&quot;* &quot;-&quot;_);_(@_)"/>
    <numFmt numFmtId="178" formatCode="mmddyy"/>
    <numFmt numFmtId="179" formatCode="mmddyyyy"/>
    <numFmt numFmtId="180" formatCode="m/d"/>
    <numFmt numFmtId="181" formatCode="#,##0.0000_);\(#,##0.0000\)"/>
    <numFmt numFmtId="182" formatCode="_(&quot;$&quot;* #,##0.000000_);_(&quot;$&quot;* \(#,##0.000000\);_(&quot;$&quot;* &quot;-&quot;_);_(@_)"/>
    <numFmt numFmtId="183" formatCode="[$-409]m/d/yy\ h:mm\ AM/PM;@"/>
    <numFmt numFmtId="184" formatCode="0.0000%"/>
  </numFmts>
  <fonts count="115"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font>
    <font>
      <sz val="18"/>
      <name val="Times New Roman"/>
      <family val="1"/>
    </font>
    <font>
      <sz val="14"/>
      <name val="Times New Roman"/>
      <family val="1"/>
    </font>
    <font>
      <sz val="10"/>
      <name val="Times New Roman"/>
      <family val="1"/>
    </font>
    <font>
      <sz val="14"/>
      <name val="Arial"/>
      <family val="2"/>
    </font>
    <font>
      <sz val="12"/>
      <name val="Times New Roman"/>
      <family val="1"/>
    </font>
    <font>
      <b/>
      <sz val="12"/>
      <name val="Times New Roman"/>
      <family val="1"/>
    </font>
    <font>
      <b/>
      <sz val="10"/>
      <name val="Arial"/>
      <family val="2"/>
    </font>
    <font>
      <sz val="12"/>
      <color indexed="10"/>
      <name val="Times New Roman"/>
      <family val="1"/>
    </font>
    <font>
      <b/>
      <sz val="12"/>
      <name val="Arial"/>
      <family val="2"/>
    </font>
    <font>
      <sz val="20"/>
      <name val="Times New Roman"/>
      <family val="1"/>
    </font>
    <font>
      <sz val="12"/>
      <color indexed="56"/>
      <name val="Times New Roman"/>
      <family val="1"/>
    </font>
    <font>
      <sz val="12"/>
      <color indexed="60"/>
      <name val="Times New Roman"/>
      <family val="1"/>
    </font>
    <font>
      <b/>
      <sz val="11"/>
      <name val="Times New Roman"/>
      <family val="1"/>
    </font>
    <font>
      <b/>
      <sz val="14"/>
      <name val="Times New Roman"/>
      <family val="1"/>
    </font>
    <font>
      <b/>
      <i/>
      <sz val="12"/>
      <name val="Times New Roman"/>
      <family val="1"/>
    </font>
    <font>
      <b/>
      <sz val="16"/>
      <name val="Times New Roman"/>
      <family val="1"/>
    </font>
    <font>
      <sz val="8"/>
      <name val="Arial"/>
      <family val="2"/>
    </font>
    <font>
      <b/>
      <sz val="12"/>
      <color indexed="10"/>
      <name val="Times New Roman"/>
      <family val="1"/>
    </font>
    <font>
      <b/>
      <sz val="12"/>
      <color indexed="17"/>
      <name val="Times New Roman"/>
      <family val="1"/>
    </font>
    <font>
      <b/>
      <sz val="12"/>
      <color indexed="56"/>
      <name val="Times New Roman"/>
      <family val="1"/>
    </font>
    <font>
      <b/>
      <sz val="12"/>
      <color indexed="14"/>
      <name val="Times New Roman"/>
      <family val="1"/>
    </font>
    <font>
      <sz val="8"/>
      <color indexed="81"/>
      <name val="Tahoma"/>
      <family val="2"/>
    </font>
    <font>
      <b/>
      <i/>
      <sz val="11"/>
      <name val="Times New Roman"/>
      <family val="1"/>
    </font>
    <font>
      <b/>
      <i/>
      <sz val="13"/>
      <name val="Times New Roman"/>
      <family val="1"/>
    </font>
    <font>
      <b/>
      <i/>
      <sz val="13"/>
      <color indexed="10"/>
      <name val="Times New Roman"/>
      <family val="1"/>
    </font>
    <font>
      <sz val="10"/>
      <name val="Arial"/>
      <family val="2"/>
    </font>
    <font>
      <sz val="12"/>
      <name val="Arial"/>
      <family val="2"/>
    </font>
    <font>
      <b/>
      <i/>
      <sz val="18"/>
      <name val="Arial"/>
      <family val="2"/>
    </font>
    <font>
      <sz val="12"/>
      <color theme="0"/>
      <name val="Times New Roman"/>
      <family val="1"/>
    </font>
    <font>
      <b/>
      <i/>
      <sz val="16"/>
      <name val="Times New Roman"/>
      <family val="1"/>
    </font>
    <font>
      <b/>
      <sz val="16"/>
      <name val="Arial"/>
      <family val="2"/>
    </font>
    <font>
      <sz val="16"/>
      <name val="Arial"/>
      <family val="2"/>
    </font>
    <font>
      <b/>
      <sz val="14"/>
      <color rgb="FFFF0000"/>
      <name val="Arial"/>
      <family val="2"/>
    </font>
    <font>
      <sz val="12"/>
      <color rgb="FFFF0000"/>
      <name val="Times New Roman"/>
      <family val="1"/>
    </font>
    <font>
      <sz val="20"/>
      <name val="Arial"/>
      <family val="2"/>
    </font>
    <font>
      <sz val="26"/>
      <name val="Arial"/>
      <family val="2"/>
    </font>
    <font>
      <b/>
      <sz val="12"/>
      <color rgb="FFFF0000"/>
      <name val="Arial"/>
      <family val="2"/>
    </font>
    <font>
      <b/>
      <sz val="12"/>
      <color rgb="FF00B050"/>
      <name val="Arial"/>
      <family val="2"/>
    </font>
    <font>
      <b/>
      <sz val="11"/>
      <name val="Arial"/>
      <family val="2"/>
    </font>
    <font>
      <sz val="11"/>
      <name val="Arial"/>
      <family val="2"/>
    </font>
    <font>
      <b/>
      <sz val="14"/>
      <name val="Arial"/>
      <family val="2"/>
    </font>
    <font>
      <b/>
      <i/>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sz val="12"/>
      <color indexed="57"/>
      <name val="Times New Roman"/>
      <family val="1"/>
    </font>
    <font>
      <sz val="10"/>
      <color theme="0"/>
      <name val="Arial"/>
      <family val="2"/>
    </font>
    <font>
      <b/>
      <i/>
      <sz val="20"/>
      <name val="Arial"/>
      <family val="2"/>
    </font>
    <font>
      <i/>
      <sz val="7"/>
      <name val="Arial"/>
      <family val="2"/>
    </font>
    <font>
      <sz val="7"/>
      <name val="Arial"/>
      <family val="2"/>
    </font>
    <font>
      <sz val="9"/>
      <name val="Arial"/>
      <family val="2"/>
    </font>
    <font>
      <b/>
      <sz val="9"/>
      <name val="Arial"/>
      <family val="2"/>
    </font>
    <font>
      <u/>
      <sz val="8"/>
      <name val="Arial"/>
      <family val="2"/>
    </font>
    <font>
      <sz val="6"/>
      <name val="Arial"/>
      <family val="2"/>
    </font>
    <font>
      <b/>
      <u/>
      <sz val="12"/>
      <name val="Arial"/>
      <family val="2"/>
    </font>
    <font>
      <b/>
      <i/>
      <u/>
      <sz val="12"/>
      <name val="Arial"/>
      <family val="2"/>
    </font>
    <font>
      <b/>
      <sz val="8"/>
      <name val="Arial"/>
      <family val="2"/>
    </font>
    <font>
      <b/>
      <sz val="10"/>
      <color indexed="10"/>
      <name val="Arial"/>
      <family val="2"/>
    </font>
    <font>
      <u/>
      <sz val="10"/>
      <color indexed="12"/>
      <name val="Arial"/>
      <family val="2"/>
    </font>
    <font>
      <u/>
      <sz val="9"/>
      <color indexed="12"/>
      <name val="Arial"/>
      <family val="2"/>
    </font>
    <font>
      <sz val="10"/>
      <color indexed="10"/>
      <name val="Arial"/>
      <family val="2"/>
    </font>
    <font>
      <i/>
      <sz val="10"/>
      <name val="Arial"/>
      <family val="2"/>
    </font>
    <font>
      <u/>
      <sz val="11"/>
      <name val="Arial"/>
      <family val="2"/>
    </font>
    <font>
      <b/>
      <sz val="10"/>
      <color rgb="FFFF0000"/>
      <name val="Arial"/>
      <family val="2"/>
    </font>
    <font>
      <b/>
      <sz val="14"/>
      <color theme="1"/>
      <name val="Arial"/>
      <family val="2"/>
    </font>
    <font>
      <b/>
      <sz val="24"/>
      <name val="Times New Roman"/>
      <family val="1"/>
    </font>
    <font>
      <b/>
      <sz val="18"/>
      <name val="Times New Roman"/>
      <family val="1"/>
    </font>
    <font>
      <i/>
      <sz val="10"/>
      <name val="Times New Roman"/>
      <family val="1"/>
    </font>
    <font>
      <i/>
      <sz val="12"/>
      <name val="Times New Roman"/>
      <family val="1"/>
    </font>
    <font>
      <b/>
      <sz val="18"/>
      <name val="Arial"/>
      <family val="2"/>
    </font>
    <font>
      <sz val="10"/>
      <name val="MS Sans Serif"/>
      <family val="2"/>
    </font>
    <font>
      <b/>
      <sz val="11"/>
      <color theme="0"/>
      <name val="Arial"/>
      <family val="2"/>
    </font>
    <font>
      <sz val="10"/>
      <color rgb="FF000000"/>
      <name val="Arial"/>
      <family val="2"/>
    </font>
    <font>
      <sz val="8"/>
      <color rgb="FF000000"/>
      <name val="Tahoma"/>
      <family val="2"/>
    </font>
    <font>
      <b/>
      <i/>
      <sz val="8"/>
      <name val="Arial"/>
      <family val="2"/>
    </font>
    <font>
      <sz val="8"/>
      <name val="Times New Roman"/>
      <family val="1"/>
    </font>
    <font>
      <b/>
      <sz val="12"/>
      <color rgb="FFFF0000"/>
      <name val="Times New Roman"/>
      <family val="1"/>
    </font>
    <font>
      <b/>
      <sz val="12"/>
      <color theme="0"/>
      <name val="Arial"/>
      <family val="2"/>
    </font>
    <font>
      <sz val="12"/>
      <color theme="0"/>
      <name val="Cambria"/>
      <family val="1"/>
    </font>
    <font>
      <b/>
      <sz val="12"/>
      <name val="Calibri"/>
      <family val="2"/>
    </font>
    <font>
      <b/>
      <sz val="12"/>
      <name val="Calibri"/>
      <family val="2"/>
      <scheme val="minor"/>
    </font>
    <font>
      <b/>
      <i/>
      <sz val="12"/>
      <name val="Calibri"/>
      <family val="2"/>
      <scheme val="minor"/>
    </font>
    <font>
      <b/>
      <sz val="16"/>
      <name val="Calibri"/>
      <family val="2"/>
      <scheme val="minor"/>
    </font>
    <font>
      <sz val="12"/>
      <color rgb="FF00B050"/>
      <name val="Times New Roman"/>
      <family val="1"/>
    </font>
    <font>
      <b/>
      <u/>
      <sz val="18"/>
      <color rgb="FFFF0000"/>
      <name val="Cambria"/>
      <family val="2"/>
      <scheme val="major"/>
    </font>
    <font>
      <sz val="10"/>
      <color rgb="FFFF0000"/>
      <name val="Arial"/>
      <family val="2"/>
    </font>
    <font>
      <b/>
      <sz val="12"/>
      <name val="Cambria"/>
      <family val="1"/>
    </font>
    <font>
      <sz val="36"/>
      <name val="Arial"/>
      <family val="2"/>
    </font>
    <font>
      <b/>
      <sz val="11"/>
      <color theme="1"/>
      <name val="Calibri"/>
      <family val="2"/>
      <scheme val="minor"/>
    </font>
    <font>
      <b/>
      <i/>
      <sz val="11"/>
      <color theme="1"/>
      <name val="Calibri"/>
      <family val="2"/>
      <scheme val="minor"/>
    </font>
    <font>
      <sz val="13"/>
      <name val="Arial"/>
      <family val="2"/>
    </font>
    <font>
      <b/>
      <sz val="12"/>
      <color rgb="FF0070C0"/>
      <name val="Times New Roman"/>
      <family val="1"/>
    </font>
    <font>
      <b/>
      <sz val="12"/>
      <color rgb="FF7030A0"/>
      <name val="Times New Roman"/>
      <family val="1"/>
    </font>
    <font>
      <b/>
      <sz val="12"/>
      <color rgb="FF00B050"/>
      <name val="Times New Roman"/>
      <family val="1"/>
    </font>
    <font>
      <sz val="12"/>
      <color rgb="FF0070C0"/>
      <name val="Times New Roman"/>
      <family val="1"/>
    </font>
    <font>
      <sz val="12"/>
      <color rgb="FFFF0000"/>
      <name val="Arial"/>
      <family val="2"/>
    </font>
    <font>
      <i/>
      <sz val="12"/>
      <color rgb="FFFF0000"/>
      <name val="Arial"/>
      <family val="2"/>
    </font>
    <font>
      <b/>
      <u/>
      <sz val="11"/>
      <name val="Arial"/>
      <family val="2"/>
    </font>
    <font>
      <sz val="12"/>
      <color theme="1"/>
      <name val="Arial"/>
      <family val="2"/>
    </font>
    <font>
      <sz val="12"/>
      <color rgb="FF7030A0"/>
      <name val="Times New Roman"/>
      <family val="1"/>
    </font>
    <font>
      <b/>
      <sz val="11.5"/>
      <name val="Times New Roman"/>
      <family val="1"/>
    </font>
    <font>
      <b/>
      <sz val="11"/>
      <color rgb="FFFF0000"/>
      <name val="Arial"/>
      <family val="2"/>
    </font>
    <font>
      <b/>
      <u/>
      <sz val="11"/>
      <color rgb="FFFF0000"/>
      <name val="Arial"/>
      <family val="2"/>
    </font>
    <font>
      <b/>
      <sz val="11"/>
      <color rgb="FFFF0000"/>
      <name val="Times New Roman"/>
      <family val="1"/>
    </font>
    <font>
      <sz val="11"/>
      <color rgb="FF3F3F76"/>
      <name val="Calibri"/>
      <family val="2"/>
      <scheme val="minor"/>
    </font>
    <font>
      <b/>
      <sz val="11"/>
      <color rgb="FFFA7D00"/>
      <name val="Calibri"/>
      <family val="2"/>
      <scheme val="minor"/>
    </font>
    <font>
      <sz val="12"/>
      <color rgb="FF3F3F76"/>
      <name val="Arial"/>
      <family val="2"/>
    </font>
    <font>
      <b/>
      <sz val="12"/>
      <color rgb="FFFA7D00"/>
      <name val="Arial"/>
      <family val="2"/>
    </font>
  </fonts>
  <fills count="33">
    <fill>
      <patternFill patternType="none"/>
    </fill>
    <fill>
      <patternFill patternType="gray125"/>
    </fill>
    <fill>
      <patternFill patternType="solid">
        <fgColor indexed="8"/>
        <bgColor indexed="64"/>
      </patternFill>
    </fill>
    <fill>
      <patternFill patternType="darkUp">
        <fgColor indexed="56"/>
      </patternFill>
    </fill>
    <fill>
      <patternFill patternType="darkUp">
        <fgColor indexed="9"/>
      </patternFill>
    </fill>
    <fill>
      <patternFill patternType="solid">
        <fgColor indexed="9"/>
        <bgColor indexed="64"/>
      </patternFill>
    </fill>
    <fill>
      <patternFill patternType="darkUp">
        <fgColor indexed="56"/>
        <bgColor indexed="9"/>
      </patternFill>
    </fill>
    <fill>
      <patternFill patternType="solid">
        <fgColor indexed="44"/>
        <bgColor indexed="56"/>
      </patternFill>
    </fill>
    <fill>
      <patternFill patternType="solid">
        <fgColor indexed="65"/>
        <bgColor indexed="64"/>
      </patternFill>
    </fill>
    <fill>
      <patternFill patternType="solid">
        <fgColor indexed="42"/>
        <bgColor indexed="64"/>
      </patternFill>
    </fill>
    <fill>
      <patternFill patternType="solid">
        <fgColor rgb="FFFFFF00"/>
        <bgColor indexed="64"/>
      </patternFill>
    </fill>
    <fill>
      <patternFill patternType="solid">
        <fgColor theme="0"/>
        <bgColor indexed="64"/>
      </patternFill>
    </fill>
    <fill>
      <patternFill patternType="solid">
        <fgColor rgb="FFFFFF99"/>
        <bgColor indexed="64"/>
      </patternFill>
    </fill>
    <fill>
      <patternFill patternType="darkUp">
        <fgColor theme="4" tint="-0.499984740745262"/>
        <bgColor indexed="65"/>
      </patternFill>
    </fill>
    <fill>
      <patternFill patternType="solid">
        <fgColor rgb="FF92D050"/>
        <bgColor indexed="64"/>
      </patternFill>
    </fill>
    <fill>
      <patternFill patternType="lightUp">
        <fgColor theme="4" tint="-0.499984740745262"/>
        <bgColor indexed="65"/>
      </patternFill>
    </fill>
    <fill>
      <patternFill patternType="solid">
        <fgColor theme="9" tint="0.79998168889431442"/>
        <bgColor indexed="64"/>
      </patternFill>
    </fill>
    <fill>
      <patternFill patternType="darkUp">
        <fgColor indexed="9"/>
        <bgColor theme="9" tint="0.79998168889431442"/>
      </patternFill>
    </fill>
    <fill>
      <patternFill patternType="solid">
        <fgColor theme="9" tint="0.59999389629810485"/>
        <bgColor indexed="64"/>
      </patternFill>
    </fill>
    <fill>
      <patternFill patternType="solid">
        <fgColor theme="6" tint="0.39997558519241921"/>
        <bgColor indexed="64"/>
      </patternFill>
    </fill>
    <fill>
      <patternFill patternType="lightGrid">
        <fgColor theme="5" tint="-0.499984740745262"/>
        <bgColor indexed="65"/>
      </patternFill>
    </fill>
    <fill>
      <patternFill patternType="solid">
        <fgColor indexed="22"/>
        <bgColor indexed="64"/>
      </patternFill>
    </fill>
    <fill>
      <patternFill patternType="solid">
        <fgColor rgb="FFFF3300"/>
        <bgColor indexed="64"/>
      </patternFill>
    </fill>
    <fill>
      <patternFill patternType="solid">
        <fgColor indexed="43"/>
        <bgColor indexed="64"/>
      </patternFill>
    </fill>
    <fill>
      <patternFill patternType="solid">
        <fgColor theme="5" tint="0.79998168889431442"/>
        <bgColor indexed="64"/>
      </patternFill>
    </fill>
    <fill>
      <patternFill patternType="solid">
        <fgColor indexed="65"/>
        <bgColor theme="0"/>
      </patternFill>
    </fill>
    <fill>
      <patternFill patternType="solid">
        <fgColor rgb="FFFFFFCC"/>
        <bgColor indexed="64"/>
      </patternFill>
    </fill>
    <fill>
      <patternFill patternType="solid">
        <fgColor indexed="65"/>
        <bgColor auto="1"/>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CC99"/>
      </patternFill>
    </fill>
    <fill>
      <patternFill patternType="solid">
        <fgColor rgb="FFF2F2F2"/>
      </patternFill>
    </fill>
    <fill>
      <patternFill patternType="solid">
        <fgColor rgb="FFFF0000"/>
        <bgColor indexed="64"/>
      </patternFill>
    </fill>
  </fills>
  <borders count="208">
    <border>
      <left/>
      <right/>
      <top/>
      <bottom/>
      <diagonal/>
    </border>
    <border>
      <left/>
      <right/>
      <top/>
      <bottom style="thick">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style="thick">
        <color indexed="64"/>
      </top>
      <bottom/>
      <diagonal/>
    </border>
    <border>
      <left/>
      <right style="thick">
        <color indexed="64"/>
      </right>
      <top style="thick">
        <color indexed="10"/>
      </top>
      <bottom/>
      <diagonal/>
    </border>
    <border>
      <left style="thick">
        <color indexed="64"/>
      </left>
      <right/>
      <top/>
      <bottom style="thick">
        <color indexed="64"/>
      </bottom>
      <diagonal/>
    </border>
    <border>
      <left style="thick">
        <color indexed="10"/>
      </left>
      <right style="thick">
        <color indexed="10"/>
      </right>
      <top style="thick">
        <color indexed="10"/>
      </top>
      <bottom style="thick">
        <color indexed="10"/>
      </bottom>
      <diagonal/>
    </border>
    <border>
      <left/>
      <right style="thin">
        <color indexed="64"/>
      </right>
      <top/>
      <bottom/>
      <diagonal/>
    </border>
    <border>
      <left/>
      <right style="thick">
        <color indexed="64"/>
      </right>
      <top/>
      <bottom style="thick">
        <color indexed="64"/>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thick">
        <color theme="3" tint="-0.24994659260841701"/>
      </left>
      <right style="thick">
        <color theme="3" tint="-0.24994659260841701"/>
      </right>
      <top style="thick">
        <color theme="3" tint="-0.24994659260841701"/>
      </top>
      <bottom style="thick">
        <color theme="3" tint="-0.24994659260841701"/>
      </bottom>
      <diagonal/>
    </border>
    <border>
      <left style="thick">
        <color theme="3" tint="-0.499984740745262"/>
      </left>
      <right style="thick">
        <color theme="3" tint="-0.499984740745262"/>
      </right>
      <top style="thick">
        <color theme="3" tint="-0.499984740745262"/>
      </top>
      <bottom style="thick">
        <color theme="3" tint="-0.499984740745262"/>
      </bottom>
      <diagonal/>
    </border>
    <border>
      <left style="thick">
        <color theme="3" tint="-0.499984740745262"/>
      </left>
      <right/>
      <top style="thick">
        <color theme="3" tint="-0.499984740745262"/>
      </top>
      <bottom style="thick">
        <color theme="3" tint="-0.499984740745262"/>
      </bottom>
      <diagonal/>
    </border>
    <border>
      <left/>
      <right/>
      <top style="thick">
        <color theme="3" tint="-0.499984740745262"/>
      </top>
      <bottom style="thick">
        <color theme="3" tint="-0.499984740745262"/>
      </bottom>
      <diagonal/>
    </border>
    <border>
      <left/>
      <right style="thick">
        <color theme="3" tint="-0.499984740745262"/>
      </right>
      <top style="thick">
        <color theme="3" tint="-0.499984740745262"/>
      </top>
      <bottom style="thick">
        <color theme="3" tint="-0.499984740745262"/>
      </bottom>
      <diagonal/>
    </border>
    <border>
      <left style="medium">
        <color theme="3" tint="-0.24994659260841701"/>
      </left>
      <right style="medium">
        <color theme="3" tint="-0.24994659260841701"/>
      </right>
      <top style="medium">
        <color theme="3" tint="-0.24994659260841701"/>
      </top>
      <bottom style="medium">
        <color theme="3" tint="-0.24994659260841701"/>
      </bottom>
      <diagonal/>
    </border>
    <border>
      <left style="medium">
        <color theme="3" tint="-0.24994659260841701"/>
      </left>
      <right style="medium">
        <color theme="3" tint="-0.24994659260841701"/>
      </right>
      <top style="medium">
        <color theme="3" tint="-0.24994659260841701"/>
      </top>
      <bottom/>
      <diagonal/>
    </border>
    <border>
      <left style="medium">
        <color theme="3" tint="-0.24994659260841701"/>
      </left>
      <right/>
      <top style="medium">
        <color theme="3" tint="-0.24994659260841701"/>
      </top>
      <bottom style="medium">
        <color theme="3" tint="-0.24994659260841701"/>
      </bottom>
      <diagonal/>
    </border>
    <border>
      <left style="medium">
        <color theme="3" tint="-0.24994659260841701"/>
      </left>
      <right/>
      <top style="medium">
        <color theme="3" tint="-0.24994659260841701"/>
      </top>
      <bottom/>
      <diagonal/>
    </border>
    <border>
      <left style="thick">
        <color theme="3" tint="-0.499984740745262"/>
      </left>
      <right style="thick">
        <color theme="3" tint="-0.499984740745262"/>
      </right>
      <top style="thick">
        <color theme="3" tint="-0.499984740745262"/>
      </top>
      <bottom style="medium">
        <color theme="3" tint="-0.499984740745262"/>
      </bottom>
      <diagonal/>
    </border>
    <border>
      <left style="thick">
        <color theme="3" tint="-0.499984740745262"/>
      </left>
      <right style="thick">
        <color theme="3" tint="-0.499984740745262"/>
      </right>
      <top style="medium">
        <color theme="3" tint="-0.499984740745262"/>
      </top>
      <bottom style="medium">
        <color theme="3" tint="-0.499984740745262"/>
      </bottom>
      <diagonal/>
    </border>
    <border>
      <left style="thick">
        <color theme="3" tint="-0.499984740745262"/>
      </left>
      <right style="thick">
        <color theme="3" tint="-0.499984740745262"/>
      </right>
      <top style="medium">
        <color theme="3" tint="-0.499984740745262"/>
      </top>
      <bottom style="thick">
        <color theme="3" tint="-0.499984740745262"/>
      </bottom>
      <diagonal/>
    </border>
    <border>
      <left style="thick">
        <color theme="3" tint="-0.499984740745262"/>
      </left>
      <right style="thick">
        <color theme="3" tint="-0.499984740745262"/>
      </right>
      <top style="thick">
        <color theme="3" tint="-0.499984740745262"/>
      </top>
      <bottom/>
      <diagonal/>
    </border>
    <border>
      <left style="thick">
        <color theme="3" tint="-0.499984740745262"/>
      </left>
      <right style="thick">
        <color theme="3" tint="-0.499984740745262"/>
      </right>
      <top/>
      <bottom style="thick">
        <color theme="3" tint="-0.499984740745262"/>
      </bottom>
      <diagonal/>
    </border>
    <border>
      <left style="thick">
        <color theme="3" tint="-0.499984740745262"/>
      </left>
      <right/>
      <top style="thick">
        <color theme="3" tint="-0.499984740745262"/>
      </top>
      <bottom/>
      <diagonal/>
    </border>
    <border>
      <left/>
      <right/>
      <top style="thick">
        <color theme="3" tint="-0.499984740745262"/>
      </top>
      <bottom/>
      <diagonal/>
    </border>
    <border>
      <left/>
      <right style="thick">
        <color theme="3" tint="-0.499984740745262"/>
      </right>
      <top style="thick">
        <color theme="3" tint="-0.499984740745262"/>
      </top>
      <bottom/>
      <diagonal/>
    </border>
    <border>
      <left style="medium">
        <color indexed="64"/>
      </left>
      <right/>
      <top style="medium">
        <color indexed="64"/>
      </top>
      <bottom/>
      <diagonal/>
    </border>
    <border>
      <left style="thick">
        <color theme="3" tint="-0.24994659260841701"/>
      </left>
      <right style="medium">
        <color theme="3" tint="-0.24994659260841701"/>
      </right>
      <top/>
      <bottom style="medium">
        <color theme="3" tint="-0.24994659260841701"/>
      </bottom>
      <diagonal/>
    </border>
    <border>
      <left style="medium">
        <color theme="3" tint="-0.24994659260841701"/>
      </left>
      <right style="medium">
        <color theme="3" tint="-0.24994659260841701"/>
      </right>
      <top/>
      <bottom style="medium">
        <color theme="3" tint="-0.24994659260841701"/>
      </bottom>
      <diagonal/>
    </border>
    <border>
      <left style="medium">
        <color theme="3" tint="-0.24994659260841701"/>
      </left>
      <right/>
      <top/>
      <bottom style="medium">
        <color theme="3" tint="-0.24994659260841701"/>
      </bottom>
      <diagonal/>
    </border>
    <border>
      <left/>
      <right/>
      <top/>
      <bottom style="thick">
        <color theme="3" tint="-0.499984740745262"/>
      </bottom>
      <diagonal/>
    </border>
    <border>
      <left style="thick">
        <color theme="3" tint="-0.499984740745262"/>
      </left>
      <right/>
      <top style="thick">
        <color theme="3" tint="-0.499984740745262"/>
      </top>
      <bottom style="medium">
        <color theme="3" tint="-0.499984740745262"/>
      </bottom>
      <diagonal/>
    </border>
    <border>
      <left/>
      <right style="thick">
        <color theme="3" tint="-0.499984740745262"/>
      </right>
      <top style="thick">
        <color theme="3" tint="-0.499984740745262"/>
      </top>
      <bottom style="medium">
        <color theme="3" tint="-0.499984740745262"/>
      </bottom>
      <diagonal/>
    </border>
    <border>
      <left style="thick">
        <color theme="3" tint="-0.499984740745262"/>
      </left>
      <right/>
      <top style="medium">
        <color theme="3" tint="-0.499984740745262"/>
      </top>
      <bottom style="medium">
        <color theme="3" tint="-0.499984740745262"/>
      </bottom>
      <diagonal/>
    </border>
    <border>
      <left/>
      <right style="thick">
        <color theme="3" tint="-0.499984740745262"/>
      </right>
      <top style="medium">
        <color theme="3" tint="-0.499984740745262"/>
      </top>
      <bottom style="medium">
        <color theme="3" tint="-0.499984740745262"/>
      </bottom>
      <diagonal/>
    </border>
    <border>
      <left style="thick">
        <color theme="3" tint="-0.499984740745262"/>
      </left>
      <right/>
      <top style="medium">
        <color theme="3" tint="-0.499984740745262"/>
      </top>
      <bottom style="thick">
        <color theme="3" tint="-0.499984740745262"/>
      </bottom>
      <diagonal/>
    </border>
    <border>
      <left/>
      <right style="thick">
        <color theme="3" tint="-0.499984740745262"/>
      </right>
      <top style="medium">
        <color theme="3" tint="-0.499984740745262"/>
      </top>
      <bottom style="thick">
        <color theme="3" tint="-0.499984740745262"/>
      </bottom>
      <diagonal/>
    </border>
    <border>
      <left/>
      <right/>
      <top style="thick">
        <color theme="3" tint="-0.499984740745262"/>
      </top>
      <bottom style="medium">
        <color theme="3" tint="-0.499984740745262"/>
      </bottom>
      <diagonal/>
    </border>
    <border>
      <left/>
      <right/>
      <top style="medium">
        <color theme="3" tint="-0.499984740745262"/>
      </top>
      <bottom style="medium">
        <color theme="3" tint="-0.499984740745262"/>
      </bottom>
      <diagonal/>
    </border>
    <border>
      <left/>
      <right/>
      <top style="medium">
        <color theme="3" tint="-0.499984740745262"/>
      </top>
      <bottom style="thick">
        <color theme="3" tint="-0.499984740745262"/>
      </bottom>
      <diagonal/>
    </border>
    <border>
      <left style="thick">
        <color theme="3" tint="-0.499984740745262"/>
      </left>
      <right style="medium">
        <color theme="3" tint="-0.499984740745262"/>
      </right>
      <top style="thick">
        <color theme="3" tint="-0.499984740745262"/>
      </top>
      <bottom style="medium">
        <color theme="3" tint="-0.499984740745262"/>
      </bottom>
      <diagonal/>
    </border>
    <border>
      <left style="medium">
        <color theme="3" tint="-0.499984740745262"/>
      </left>
      <right style="medium">
        <color theme="3" tint="-0.499984740745262"/>
      </right>
      <top style="thick">
        <color theme="3" tint="-0.499984740745262"/>
      </top>
      <bottom style="medium">
        <color theme="3" tint="-0.499984740745262"/>
      </bottom>
      <diagonal/>
    </border>
    <border>
      <left style="medium">
        <color theme="3" tint="-0.499984740745262"/>
      </left>
      <right style="thick">
        <color theme="3" tint="-0.499984740745262"/>
      </right>
      <top style="thick">
        <color theme="3" tint="-0.499984740745262"/>
      </top>
      <bottom style="medium">
        <color theme="3" tint="-0.499984740745262"/>
      </bottom>
      <diagonal/>
    </border>
    <border>
      <left style="thick">
        <color theme="3" tint="-0.499984740745262"/>
      </left>
      <right style="medium">
        <color theme="3" tint="-0.499984740745262"/>
      </right>
      <top style="medium">
        <color theme="3" tint="-0.499984740745262"/>
      </top>
      <bottom style="medium">
        <color theme="3" tint="-0.499984740745262"/>
      </bottom>
      <diagonal/>
    </border>
    <border>
      <left style="medium">
        <color theme="3" tint="-0.499984740745262"/>
      </left>
      <right style="medium">
        <color theme="3" tint="-0.499984740745262"/>
      </right>
      <top style="medium">
        <color theme="3" tint="-0.499984740745262"/>
      </top>
      <bottom style="medium">
        <color theme="3" tint="-0.499984740745262"/>
      </bottom>
      <diagonal/>
    </border>
    <border>
      <left style="medium">
        <color theme="3" tint="-0.499984740745262"/>
      </left>
      <right style="thick">
        <color theme="3" tint="-0.499984740745262"/>
      </right>
      <top style="medium">
        <color theme="3" tint="-0.499984740745262"/>
      </top>
      <bottom style="medium">
        <color theme="3" tint="-0.499984740745262"/>
      </bottom>
      <diagonal/>
    </border>
    <border>
      <left style="thick">
        <color theme="3" tint="-0.499984740745262"/>
      </left>
      <right style="medium">
        <color theme="3" tint="-0.499984740745262"/>
      </right>
      <top style="medium">
        <color theme="3" tint="-0.499984740745262"/>
      </top>
      <bottom style="thick">
        <color theme="3" tint="-0.499984740745262"/>
      </bottom>
      <diagonal/>
    </border>
    <border>
      <left style="medium">
        <color theme="3" tint="-0.499984740745262"/>
      </left>
      <right style="medium">
        <color theme="3" tint="-0.499984740745262"/>
      </right>
      <top style="medium">
        <color theme="3" tint="-0.499984740745262"/>
      </top>
      <bottom style="thick">
        <color theme="3" tint="-0.499984740745262"/>
      </bottom>
      <diagonal/>
    </border>
    <border>
      <left style="medium">
        <color theme="3" tint="-0.499984740745262"/>
      </left>
      <right style="thick">
        <color theme="3" tint="-0.499984740745262"/>
      </right>
      <top style="medium">
        <color theme="3" tint="-0.499984740745262"/>
      </top>
      <bottom style="thick">
        <color theme="3" tint="-0.499984740745262"/>
      </bottom>
      <diagonal/>
    </border>
    <border>
      <left/>
      <right style="thick">
        <color indexed="10"/>
      </right>
      <top style="thick">
        <color theme="3" tint="-0.499984740745262"/>
      </top>
      <bottom style="thick">
        <color theme="3" tint="-0.499984740745262"/>
      </bottom>
      <diagonal/>
    </border>
    <border>
      <left style="medium">
        <color theme="3" tint="-0.499984740745262"/>
      </left>
      <right/>
      <top style="medium">
        <color theme="3" tint="-0.499984740745262"/>
      </top>
      <bottom style="medium">
        <color theme="3" tint="-0.499984740745262"/>
      </bottom>
      <diagonal/>
    </border>
    <border>
      <left style="thick">
        <color theme="3" tint="-0.499984740745262"/>
      </left>
      <right style="thick">
        <color theme="3" tint="-0.499984740745262"/>
      </right>
      <top style="medium">
        <color theme="3" tint="-0.499984740745262"/>
      </top>
      <bottom/>
      <diagonal/>
    </border>
    <border>
      <left style="thick">
        <color rgb="FFFF0000"/>
      </left>
      <right style="thick">
        <color rgb="FFFF0000"/>
      </right>
      <top style="thick">
        <color rgb="FFFF0000"/>
      </top>
      <bottom style="thick">
        <color rgb="FFFF0000"/>
      </bottom>
      <diagonal/>
    </border>
    <border>
      <left style="thick">
        <color theme="3" tint="-0.499984740745262"/>
      </left>
      <right style="thick">
        <color theme="3" tint="-0.499984740745262"/>
      </right>
      <top/>
      <bottom/>
      <diagonal/>
    </border>
    <border>
      <left style="medium">
        <color theme="3" tint="-0.499984740745262"/>
      </left>
      <right style="medium">
        <color theme="3" tint="-0.499984740745262"/>
      </right>
      <top style="thick">
        <color theme="3" tint="-0.499984740745262"/>
      </top>
      <bottom/>
      <diagonal/>
    </border>
    <border>
      <left style="medium">
        <color theme="3" tint="-0.499984740745262"/>
      </left>
      <right style="medium">
        <color theme="3" tint="-0.499984740745262"/>
      </right>
      <top/>
      <bottom style="medium">
        <color theme="3" tint="-0.499984740745262"/>
      </bottom>
      <diagonal/>
    </border>
    <border>
      <left style="thick">
        <color theme="3" tint="-0.499984740745262"/>
      </left>
      <right style="medium">
        <color theme="3" tint="-0.499984740745262"/>
      </right>
      <top style="medium">
        <color theme="3" tint="-0.499984740745262"/>
      </top>
      <bottom/>
      <diagonal/>
    </border>
    <border>
      <left style="medium">
        <color theme="3" tint="-0.499984740745262"/>
      </left>
      <right style="medium">
        <color theme="3" tint="-0.499984740745262"/>
      </right>
      <top style="medium">
        <color theme="3" tint="-0.499984740745262"/>
      </top>
      <bottom/>
      <diagonal/>
    </border>
    <border>
      <left/>
      <right style="medium">
        <color theme="3" tint="-0.499984740745262"/>
      </right>
      <top style="medium">
        <color theme="3" tint="-0.499984740745262"/>
      </top>
      <bottom style="medium">
        <color theme="3" tint="-0.499984740745262"/>
      </bottom>
      <diagonal/>
    </border>
    <border>
      <left style="thick">
        <color theme="3" tint="-0.499984740745262"/>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ck">
        <color theme="3" tint="-0.499984740745262"/>
      </right>
      <top/>
      <bottom/>
      <diagonal/>
    </border>
    <border>
      <left style="thick">
        <color theme="3" tint="-0.499984740745262"/>
      </left>
      <right/>
      <top/>
      <bottom style="thick">
        <color theme="3" tint="-0.499984740745262"/>
      </bottom>
      <diagonal/>
    </border>
    <border>
      <left/>
      <right style="thick">
        <color theme="3" tint="-0.499984740745262"/>
      </right>
      <top/>
      <bottom style="thick">
        <color theme="3" tint="-0.499984740745262"/>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ck">
        <color indexed="64"/>
      </left>
      <right style="thick">
        <color indexed="64"/>
      </right>
      <top style="thick">
        <color indexed="64"/>
      </top>
      <bottom/>
      <diagonal/>
    </border>
    <border>
      <left style="thin">
        <color indexed="64"/>
      </left>
      <right style="thin">
        <color indexed="64"/>
      </right>
      <top style="thin">
        <color indexed="64"/>
      </top>
      <bottom style="thick">
        <color indexed="64"/>
      </bottom>
      <diagonal/>
    </border>
    <border>
      <left/>
      <right/>
      <top style="thick">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ck">
        <color theme="3" tint="-0.499984740745262"/>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right style="medium">
        <color auto="1"/>
      </right>
      <top/>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style="medium">
        <color indexed="64"/>
      </left>
      <right style="thin">
        <color indexed="64"/>
      </right>
      <top style="thin">
        <color indexed="64"/>
      </top>
      <bottom style="thin">
        <color indexed="64"/>
      </bottom>
      <diagonal/>
    </border>
    <border>
      <left style="thick">
        <color theme="3" tint="-0.499984740745262"/>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thin">
        <color indexed="64"/>
      </bottom>
      <diagonal/>
    </border>
    <border>
      <left style="double">
        <color indexed="64"/>
      </left>
      <right/>
      <top style="thin">
        <color indexed="64"/>
      </top>
      <bottom/>
      <diagonal/>
    </border>
    <border>
      <left/>
      <right style="double">
        <color indexed="64"/>
      </right>
      <top style="thin">
        <color indexed="64"/>
      </top>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double">
        <color indexed="64"/>
      </right>
      <top/>
      <bottom style="double">
        <color indexed="64"/>
      </bottom>
      <diagonal/>
    </border>
    <border>
      <left/>
      <right/>
      <top style="double">
        <color indexed="64"/>
      </top>
      <bottom style="double">
        <color indexed="6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style="medium">
        <color auto="1"/>
      </right>
      <top style="thin">
        <color indexed="64"/>
      </top>
      <bottom style="thin">
        <color indexed="64"/>
      </bottom>
      <diagonal/>
    </border>
    <border>
      <left style="medium">
        <color indexed="64"/>
      </left>
      <right/>
      <top style="thin">
        <color indexed="64"/>
      </top>
      <bottom/>
      <diagonal/>
    </border>
    <border>
      <left/>
      <right style="medium">
        <color auto="1"/>
      </right>
      <top style="thin">
        <color indexed="64"/>
      </top>
      <bottom/>
      <diagonal/>
    </border>
    <border>
      <left style="thick">
        <color indexed="64"/>
      </left>
      <right/>
      <top style="medium">
        <color indexed="64"/>
      </top>
      <bottom/>
      <diagonal/>
    </border>
    <border>
      <left style="thick">
        <color indexed="64"/>
      </left>
      <right/>
      <top/>
      <bottom style="medium">
        <color indexed="64"/>
      </bottom>
      <diagonal/>
    </border>
    <border>
      <left/>
      <right/>
      <top style="thick">
        <color auto="1"/>
      </top>
      <bottom/>
      <diagonal/>
    </border>
    <border>
      <left/>
      <right style="thick">
        <color auto="1"/>
      </right>
      <top style="thick">
        <color auto="1"/>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indexed="64"/>
      </top>
      <bottom style="double">
        <color indexed="64"/>
      </bottom>
      <diagonal/>
    </border>
    <border>
      <left style="thin">
        <color theme="3" tint="-0.499984740745262"/>
      </left>
      <right style="thin">
        <color theme="3" tint="-0.499984740745262"/>
      </right>
      <top style="thin">
        <color theme="3" tint="-0.499984740745262"/>
      </top>
      <bottom style="thin">
        <color indexed="64"/>
      </bottom>
      <diagonal/>
    </border>
    <border>
      <left style="thick">
        <color indexed="64"/>
      </left>
      <right style="medium">
        <color theme="3" tint="-0.499984740745262"/>
      </right>
      <top style="thick">
        <color theme="3" tint="-0.499984740745262"/>
      </top>
      <bottom style="thick">
        <color indexed="64"/>
      </bottom>
      <diagonal/>
    </border>
    <border>
      <left style="medium">
        <color theme="3" tint="-0.499984740745262"/>
      </left>
      <right style="medium">
        <color theme="3" tint="-0.499984740745262"/>
      </right>
      <top style="thick">
        <color theme="3" tint="-0.499984740745262"/>
      </top>
      <bottom style="thick">
        <color indexed="64"/>
      </bottom>
      <diagonal/>
    </border>
    <border>
      <left style="medium">
        <color theme="3" tint="-0.499984740745262"/>
      </left>
      <right style="thick">
        <color indexed="64"/>
      </right>
      <top style="thick">
        <color theme="3" tint="-0.499984740745262"/>
      </top>
      <bottom style="thick">
        <color indexed="64"/>
      </bottom>
      <diagonal/>
    </border>
    <border>
      <left style="thick">
        <color auto="1"/>
      </left>
      <right style="thick">
        <color theme="3" tint="-0.499984740745262"/>
      </right>
      <top style="medium">
        <color theme="3" tint="-0.499984740745262"/>
      </top>
      <bottom style="medium">
        <color theme="3" tint="-0.499984740745262"/>
      </bottom>
      <diagonal/>
    </border>
    <border>
      <left style="thick">
        <color theme="3" tint="-0.499984740745262"/>
      </left>
      <right style="thick">
        <color auto="1"/>
      </right>
      <top style="thick">
        <color theme="3" tint="-0.499984740745262"/>
      </top>
      <bottom/>
      <diagonal/>
    </border>
    <border>
      <left style="thin">
        <color indexed="64"/>
      </left>
      <right/>
      <top style="medium">
        <color indexed="64"/>
      </top>
      <bottom style="medium">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style="thick">
        <color theme="3" tint="-0.499984740745262"/>
      </right>
      <top/>
      <bottom style="thick">
        <color indexed="64"/>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right/>
      <top style="thin">
        <color indexed="64"/>
      </top>
      <bottom style="thick">
        <color indexed="64"/>
      </bottom>
      <diagonal/>
    </border>
    <border>
      <left style="medium">
        <color theme="3" tint="-0.499984740745262"/>
      </left>
      <right style="thick">
        <color indexed="64"/>
      </right>
      <top style="thick">
        <color theme="3" tint="-0.499984740745262"/>
      </top>
      <bottom style="thick">
        <color theme="3" tint="-0.499984740745262"/>
      </bottom>
      <diagonal/>
    </border>
    <border>
      <left style="thick">
        <color theme="3" tint="-0.499984740745262"/>
      </left>
      <right style="thick">
        <color indexed="64"/>
      </right>
      <top style="thick">
        <color theme="3" tint="-0.499984740745262"/>
      </top>
      <bottom style="thick">
        <color theme="3" tint="-0.499984740745262"/>
      </bottom>
      <diagonal/>
    </border>
    <border>
      <left style="thick">
        <color theme="3" tint="-0.499984740745262"/>
      </left>
      <right/>
      <top style="thick">
        <color indexed="64"/>
      </top>
      <bottom style="medium">
        <color theme="3" tint="-0.499984740745262"/>
      </bottom>
      <diagonal/>
    </border>
    <border>
      <left/>
      <right style="thick">
        <color indexed="10"/>
      </right>
      <top style="thick">
        <color indexed="10"/>
      </top>
      <bottom style="thick">
        <color indexed="10"/>
      </bottom>
      <diagonal/>
    </border>
    <border>
      <left/>
      <right/>
      <top style="thick">
        <color indexed="64"/>
      </top>
      <bottom/>
      <diagonal/>
    </border>
    <border>
      <left style="thick">
        <color indexed="64"/>
      </left>
      <right/>
      <top style="thick">
        <color indexed="64"/>
      </top>
      <bottom style="medium">
        <color indexed="64"/>
      </bottom>
      <diagonal/>
    </border>
    <border>
      <left/>
      <right style="thick">
        <color indexed="64"/>
      </right>
      <top style="thick">
        <color indexed="64"/>
      </top>
      <bottom style="medium">
        <color indexed="64"/>
      </bottom>
      <diagonal/>
    </border>
    <border>
      <left style="medium">
        <color theme="3" tint="-0.499984740745262"/>
      </left>
      <right/>
      <top style="medium">
        <color theme="3" tint="-0.499984740745262"/>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ck">
        <color indexed="64"/>
      </left>
      <right/>
      <top style="thick">
        <color theme="3" tint="-0.499984740745262"/>
      </top>
      <bottom/>
      <diagonal/>
    </border>
    <border>
      <left style="thick">
        <color indexed="64"/>
      </left>
      <right style="thick">
        <color indexed="64"/>
      </right>
      <top style="thick">
        <color indexed="64"/>
      </top>
      <bottom style="thick">
        <color indexed="64"/>
      </bottom>
      <diagonal/>
    </border>
    <border>
      <left style="medium">
        <color theme="3" tint="-0.499984740745262"/>
      </left>
      <right/>
      <top style="thick">
        <color theme="3" tint="-0.499984740745262"/>
      </top>
      <bottom style="medium">
        <color theme="3" tint="-0.499984740745262"/>
      </bottom>
      <diagonal/>
    </border>
    <border>
      <left style="thick">
        <color indexed="64"/>
      </left>
      <right style="medium">
        <color theme="3" tint="-0.499984740745262"/>
      </right>
      <top style="thick">
        <color indexed="64"/>
      </top>
      <bottom style="medium">
        <color theme="3" tint="-0.499984740745262"/>
      </bottom>
      <diagonal/>
    </border>
    <border>
      <left style="thick">
        <color indexed="64"/>
      </left>
      <right style="medium">
        <color theme="3" tint="-0.499984740745262"/>
      </right>
      <top style="medium">
        <color theme="3" tint="-0.499984740745262"/>
      </top>
      <bottom style="medium">
        <color theme="3" tint="-0.499984740745262"/>
      </bottom>
      <diagonal/>
    </border>
    <border>
      <left style="thick">
        <color indexed="64"/>
      </left>
      <right/>
      <top style="medium">
        <color theme="3" tint="-0.499984740745262"/>
      </top>
      <bottom style="thick">
        <color indexed="64"/>
      </bottom>
      <diagonal/>
    </border>
    <border>
      <left style="thick">
        <color theme="3" tint="-0.499984740745262"/>
      </left>
      <right style="thick">
        <color indexed="64"/>
      </right>
      <top style="medium">
        <color theme="3" tint="-0.499984740745262"/>
      </top>
      <bottom/>
      <diagonal/>
    </border>
    <border>
      <left style="thick">
        <color auto="1"/>
      </left>
      <right style="thick">
        <color theme="3" tint="-0.499984740745262"/>
      </right>
      <top style="thick">
        <color theme="3" tint="-0.499984740745262"/>
      </top>
      <bottom/>
      <diagonal/>
    </border>
    <border>
      <left style="thick">
        <color auto="1"/>
      </left>
      <right style="thick">
        <color theme="3" tint="-0.499984740745262"/>
      </right>
      <top/>
      <bottom style="thick">
        <color theme="3" tint="-0.499984740745262"/>
      </bottom>
      <diagonal/>
    </border>
    <border>
      <left style="thick">
        <color auto="1"/>
      </left>
      <right style="thick">
        <color theme="3" tint="-0.499984740745262"/>
      </right>
      <top style="thick">
        <color theme="3" tint="-0.499984740745262"/>
      </top>
      <bottom style="medium">
        <color theme="3" tint="-0.499984740745262"/>
      </bottom>
      <diagonal/>
    </border>
    <border>
      <left style="thick">
        <color auto="1"/>
      </left>
      <right/>
      <top style="medium">
        <color theme="3" tint="-0.499984740745262"/>
      </top>
      <bottom/>
      <diagonal/>
    </border>
    <border>
      <left style="thick">
        <color auto="1"/>
      </left>
      <right style="thick">
        <color theme="3" tint="-0.499984740745262"/>
      </right>
      <top style="medium">
        <color theme="3" tint="-0.499984740745262"/>
      </top>
      <bottom style="thick">
        <color theme="3" tint="-0.499984740745262"/>
      </bottom>
      <diagonal/>
    </border>
    <border>
      <left style="thick">
        <color auto="1"/>
      </left>
      <right/>
      <top style="thick">
        <color theme="3" tint="-0.499984740745262"/>
      </top>
      <bottom style="thick">
        <color theme="3" tint="-0.499984740745262"/>
      </bottom>
      <diagonal/>
    </border>
    <border>
      <left style="thick">
        <color auto="1"/>
      </left>
      <right/>
      <top style="thick">
        <color theme="3" tint="-0.499984740745262"/>
      </top>
      <bottom style="medium">
        <color theme="3" tint="-0.499984740745262"/>
      </bottom>
      <diagonal/>
    </border>
    <border>
      <left style="thick">
        <color auto="1"/>
      </left>
      <right/>
      <top style="medium">
        <color theme="3" tint="-0.499984740745262"/>
      </top>
      <bottom style="thick">
        <color theme="3" tint="-0.499984740745262"/>
      </bottom>
      <diagonal/>
    </border>
    <border>
      <left style="medium">
        <color indexed="64"/>
      </left>
      <right/>
      <top style="thick">
        <color indexed="64"/>
      </top>
      <bottom style="thick">
        <color indexed="64"/>
      </bottom>
      <diagonal/>
    </border>
    <border>
      <left style="thick">
        <color rgb="FFFF0000"/>
      </left>
      <right/>
      <top/>
      <bottom style="thick">
        <color auto="1"/>
      </bottom>
      <diagonal/>
    </border>
    <border>
      <left/>
      <right style="thick">
        <color rgb="FFFF0000"/>
      </right>
      <top/>
      <bottom style="thick">
        <color indexed="64"/>
      </bottom>
      <diagonal/>
    </border>
    <border>
      <left style="medium">
        <color indexed="64"/>
      </left>
      <right style="medium">
        <color indexed="64"/>
      </right>
      <top style="medium">
        <color indexed="64"/>
      </top>
      <bottom style="medium">
        <color theme="3" tint="-0.499984740745262"/>
      </bottom>
      <diagonal/>
    </border>
    <border>
      <left style="medium">
        <color indexed="64"/>
      </left>
      <right style="medium">
        <color indexed="64"/>
      </right>
      <top style="medium">
        <color theme="3" tint="-0.499984740745262"/>
      </top>
      <bottom style="medium">
        <color theme="3" tint="-0.499984740745262"/>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theme="3" tint="-0.499984740745262"/>
      </right>
      <top style="medium">
        <color indexed="64"/>
      </top>
      <bottom style="thick">
        <color indexed="64"/>
      </bottom>
      <diagonal/>
    </border>
    <border>
      <left style="medium">
        <color theme="3" tint="-0.499984740745262"/>
      </left>
      <right style="medium">
        <color theme="3" tint="-0.499984740745262"/>
      </right>
      <top style="medium">
        <color indexed="64"/>
      </top>
      <bottom style="thick">
        <color indexed="64"/>
      </bottom>
      <diagonal/>
    </border>
    <border>
      <left style="medium">
        <color theme="3" tint="-0.499984740745262"/>
      </left>
      <right style="medium">
        <color indexed="64"/>
      </right>
      <top style="medium">
        <color indexed="64"/>
      </top>
      <bottom style="thick">
        <color indexed="64"/>
      </bottom>
      <diagonal/>
    </border>
    <border>
      <left style="medium">
        <color indexed="64"/>
      </left>
      <right style="thick">
        <color theme="3" tint="-0.24994659260841701"/>
      </right>
      <top style="thick">
        <color theme="3" tint="-0.24994659260841701"/>
      </top>
      <bottom style="thick">
        <color theme="3" tint="-0.24994659260841701"/>
      </bottom>
      <diagonal/>
    </border>
    <border>
      <left style="thick">
        <color theme="3" tint="-0.24994659260841701"/>
      </left>
      <right style="medium">
        <color indexed="64"/>
      </right>
      <top style="thick">
        <color theme="3" tint="-0.24994659260841701"/>
      </top>
      <bottom style="thick">
        <color theme="3" tint="-0.24994659260841701"/>
      </bottom>
      <diagonal/>
    </border>
    <border>
      <left style="medium">
        <color indexed="64"/>
      </left>
      <right style="thick">
        <color theme="3" tint="-0.24994659260841701"/>
      </right>
      <top style="thick">
        <color theme="3" tint="-0.24994659260841701"/>
      </top>
      <bottom style="medium">
        <color indexed="64"/>
      </bottom>
      <diagonal/>
    </border>
    <border>
      <left style="thick">
        <color theme="3" tint="-0.24994659260841701"/>
      </left>
      <right style="thick">
        <color theme="3" tint="-0.24994659260841701"/>
      </right>
      <top style="thick">
        <color theme="3" tint="-0.24994659260841701"/>
      </top>
      <bottom style="medium">
        <color indexed="64"/>
      </bottom>
      <diagonal/>
    </border>
    <border>
      <left style="thick">
        <color theme="3" tint="-0.24994659260841701"/>
      </left>
      <right style="medium">
        <color indexed="64"/>
      </right>
      <top style="thick">
        <color theme="3" tint="-0.24994659260841701"/>
      </top>
      <bottom style="medium">
        <color indexed="64"/>
      </bottom>
      <diagonal/>
    </border>
    <border>
      <left style="medium">
        <color theme="3" tint="-0.499984740745262"/>
      </left>
      <right/>
      <top style="thick">
        <color theme="3" tint="-0.499984740745262"/>
      </top>
      <bottom style="thick">
        <color theme="3" tint="-0.499984740745262"/>
      </bottom>
      <diagonal/>
    </border>
    <border>
      <left style="thin">
        <color rgb="FF7F7F7F"/>
      </left>
      <right style="thin">
        <color rgb="FF7F7F7F"/>
      </right>
      <top style="thin">
        <color rgb="FF7F7F7F"/>
      </top>
      <bottom style="thin">
        <color rgb="FF7F7F7F"/>
      </bottom>
      <diagonal/>
    </border>
  </borders>
  <cellStyleXfs count="83">
    <xf numFmtId="0" fontId="0" fillId="0" borderId="0"/>
    <xf numFmtId="44" fontId="6" fillId="0" borderId="0" applyFont="0" applyFill="0" applyBorder="0" applyAlignment="0" applyProtection="0"/>
    <xf numFmtId="9" fontId="6" fillId="0" borderId="0" applyFont="0" applyFill="0" applyBorder="0" applyAlignment="0" applyProtection="0"/>
    <xf numFmtId="43" fontId="32" fillId="0" borderId="0" applyFont="0" applyFill="0" applyBorder="0" applyAlignment="0" applyProtection="0"/>
    <xf numFmtId="9" fontId="32" fillId="0" borderId="0" applyFont="0" applyFill="0" applyBorder="0" applyAlignment="0" applyProtection="0"/>
    <xf numFmtId="44"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0" fontId="32" fillId="0" borderId="0"/>
    <xf numFmtId="0" fontId="32" fillId="0" borderId="0"/>
    <xf numFmtId="0" fontId="5" fillId="0" borderId="0"/>
    <xf numFmtId="0" fontId="5" fillId="0" borderId="0"/>
    <xf numFmtId="0" fontId="32" fillId="0" borderId="0"/>
    <xf numFmtId="0" fontId="32" fillId="0" borderId="0"/>
    <xf numFmtId="0" fontId="32" fillId="0" borderId="0"/>
    <xf numFmtId="0" fontId="32" fillId="0" borderId="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0" fontId="49" fillId="0" borderId="0" applyNumberFormat="0" applyFill="0" applyBorder="0" applyAlignment="0" applyProtection="0"/>
    <xf numFmtId="0" fontId="50" fillId="0" borderId="104" applyNumberFormat="0" applyFill="0" applyAlignment="0" applyProtection="0"/>
    <xf numFmtId="0" fontId="51" fillId="0" borderId="105" applyNumberFormat="0" applyFill="0" applyAlignment="0" applyProtection="0"/>
    <xf numFmtId="0" fontId="65" fillId="0" borderId="0" applyNumberFormat="0" applyFill="0" applyBorder="0" applyAlignment="0" applyProtection="0">
      <alignment vertical="top"/>
      <protection locked="0"/>
    </xf>
    <xf numFmtId="0" fontId="32" fillId="0" borderId="0"/>
    <xf numFmtId="43" fontId="32" fillId="0" borderId="0" applyFont="0" applyFill="0" applyBorder="0" applyAlignment="0" applyProtection="0"/>
    <xf numFmtId="44" fontId="32" fillId="0" borderId="0" applyFont="0" applyFill="0" applyBorder="0" applyAlignment="0" applyProtection="0"/>
    <xf numFmtId="0" fontId="33" fillId="0" borderId="0" applyProtection="0">
      <alignment horizontal="center"/>
    </xf>
    <xf numFmtId="0" fontId="33" fillId="0" borderId="0" applyProtection="0">
      <alignment horizontal="center"/>
    </xf>
    <xf numFmtId="0" fontId="72" fillId="0" borderId="0" applyProtection="0"/>
    <xf numFmtId="0" fontId="72" fillId="0" borderId="0" applyProtection="0"/>
    <xf numFmtId="0" fontId="22" fillId="0" borderId="0" applyProtection="0"/>
    <xf numFmtId="0" fontId="22" fillId="0" borderId="0" applyProtection="0"/>
    <xf numFmtId="0" fontId="47" fillId="0" borderId="0" applyProtection="0"/>
    <xf numFmtId="0" fontId="47" fillId="0" borderId="0" applyProtection="0"/>
    <xf numFmtId="0" fontId="12" fillId="0" borderId="0" applyProtection="0"/>
    <xf numFmtId="0" fontId="12" fillId="0" borderId="0" applyProtection="0"/>
    <xf numFmtId="0" fontId="73" fillId="0" borderId="0" applyProtection="0"/>
    <xf numFmtId="0" fontId="73" fillId="0" borderId="0" applyProtection="0"/>
    <xf numFmtId="0" fontId="74" fillId="0" borderId="0" applyProtection="0"/>
    <xf numFmtId="0" fontId="74" fillId="0" borderId="0" applyProtection="0"/>
    <xf numFmtId="0" fontId="75" fillId="0" borderId="0" applyProtection="0"/>
    <xf numFmtId="0" fontId="75" fillId="0" borderId="0" applyProtection="0"/>
    <xf numFmtId="2" fontId="33" fillId="0" borderId="0" applyProtection="0"/>
    <xf numFmtId="2" fontId="33" fillId="0" borderId="0" applyProtection="0"/>
    <xf numFmtId="0" fontId="76" fillId="0" borderId="0" applyProtection="0"/>
    <xf numFmtId="0" fontId="76" fillId="0" borderId="0" applyProtection="0"/>
    <xf numFmtId="0" fontId="15" fillId="0" borderId="0" applyProtection="0"/>
    <xf numFmtId="0" fontId="15" fillId="0" borderId="0" applyProtection="0"/>
    <xf numFmtId="0" fontId="32" fillId="0" borderId="0"/>
    <xf numFmtId="0" fontId="32" fillId="0" borderId="0"/>
    <xf numFmtId="0" fontId="32" fillId="0" borderId="0"/>
    <xf numFmtId="0" fontId="32" fillId="0" borderId="0"/>
    <xf numFmtId="0" fontId="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9" fontId="77" fillId="0" borderId="0" applyFont="0" applyFill="0" applyBorder="0" applyAlignment="0" applyProtection="0"/>
    <xf numFmtId="0" fontId="33" fillId="0" borderId="138" applyProtection="0"/>
    <xf numFmtId="0" fontId="33" fillId="0" borderId="138" applyProtection="0"/>
    <xf numFmtId="0" fontId="3" fillId="0" borderId="0"/>
    <xf numFmtId="44" fontId="3" fillId="0" borderId="0" applyFont="0" applyFill="0" applyBorder="0" applyAlignment="0" applyProtection="0"/>
    <xf numFmtId="0" fontId="111" fillId="30" borderId="207" applyNumberFormat="0" applyAlignment="0" applyProtection="0"/>
    <xf numFmtId="0" fontId="112" fillId="31" borderId="207" applyNumberFormat="0" applyAlignment="0" applyProtection="0"/>
  </cellStyleXfs>
  <cellXfs count="1260">
    <xf numFmtId="0" fontId="0" fillId="0" borderId="0" xfId="0"/>
    <xf numFmtId="0" fontId="9" fillId="0" borderId="0" xfId="0" applyFont="1"/>
    <xf numFmtId="0" fontId="8" fillId="0" borderId="0" xfId="0" applyFont="1"/>
    <xf numFmtId="0" fontId="10" fillId="0" borderId="0" xfId="0" applyFont="1"/>
    <xf numFmtId="0" fontId="13" fillId="0" borderId="0" xfId="0" applyFont="1"/>
    <xf numFmtId="49" fontId="11" fillId="3" borderId="4" xfId="0" applyNumberFormat="1" applyFont="1" applyFill="1" applyBorder="1"/>
    <xf numFmtId="49" fontId="11" fillId="3" borderId="0" xfId="0" applyNumberFormat="1" applyFont="1" applyFill="1"/>
    <xf numFmtId="1" fontId="11" fillId="3" borderId="0" xfId="0" applyNumberFormat="1" applyFont="1" applyFill="1"/>
    <xf numFmtId="2" fontId="11" fillId="3" borderId="0" xfId="0" applyNumberFormat="1" applyFont="1" applyFill="1"/>
    <xf numFmtId="44" fontId="11" fillId="3" borderId="7" xfId="1" applyFont="1" applyFill="1" applyBorder="1"/>
    <xf numFmtId="0" fontId="11" fillId="3" borderId="8" xfId="0" applyFont="1" applyFill="1" applyBorder="1"/>
    <xf numFmtId="1" fontId="11" fillId="3" borderId="1" xfId="0" applyNumberFormat="1" applyFont="1" applyFill="1" applyBorder="1"/>
    <xf numFmtId="44" fontId="14" fillId="3" borderId="0" xfId="1" applyFont="1" applyFill="1" applyBorder="1" applyAlignment="1">
      <alignment horizontal="center"/>
    </xf>
    <xf numFmtId="44" fontId="12" fillId="5" borderId="9" xfId="1" applyFont="1" applyFill="1" applyBorder="1"/>
    <xf numFmtId="0" fontId="11" fillId="3" borderId="4" xfId="0" applyFont="1" applyFill="1" applyBorder="1"/>
    <xf numFmtId="0" fontId="11" fillId="3" borderId="0" xfId="0" applyFont="1" applyFill="1"/>
    <xf numFmtId="0" fontId="11" fillId="3" borderId="1" xfId="0" applyFont="1" applyFill="1" applyBorder="1"/>
    <xf numFmtId="44" fontId="11" fillId="3" borderId="11" xfId="1" applyFont="1" applyFill="1" applyBorder="1"/>
    <xf numFmtId="2" fontId="12" fillId="0" borderId="12" xfId="0" applyNumberFormat="1" applyFont="1" applyBorder="1"/>
    <xf numFmtId="44" fontId="11" fillId="3" borderId="0" xfId="1" applyFont="1" applyFill="1" applyBorder="1"/>
    <xf numFmtId="44" fontId="11" fillId="3" borderId="5" xfId="1" applyFont="1" applyFill="1" applyBorder="1"/>
    <xf numFmtId="49" fontId="11" fillId="4" borderId="4" xfId="0" applyNumberFormat="1" applyFont="1" applyFill="1" applyBorder="1"/>
    <xf numFmtId="2" fontId="12" fillId="4" borderId="0" xfId="0" applyNumberFormat="1" applyFont="1" applyFill="1" applyAlignment="1">
      <alignment horizontal="center"/>
    </xf>
    <xf numFmtId="44" fontId="11" fillId="7" borderId="0" xfId="1" applyFont="1" applyFill="1" applyBorder="1"/>
    <xf numFmtId="49" fontId="11" fillId="3" borderId="1" xfId="0" applyNumberFormat="1" applyFont="1" applyFill="1" applyBorder="1"/>
    <xf numFmtId="0" fontId="0" fillId="0" borderId="0" xfId="0" applyAlignment="1">
      <alignment horizontal="right"/>
    </xf>
    <xf numFmtId="2" fontId="11" fillId="0" borderId="15" xfId="0" applyNumberFormat="1" applyFont="1" applyBorder="1"/>
    <xf numFmtId="2" fontId="11" fillId="3" borderId="46" xfId="0" applyNumberFormat="1" applyFont="1" applyFill="1" applyBorder="1"/>
    <xf numFmtId="2" fontId="11" fillId="3" borderId="48" xfId="0" applyNumberFormat="1" applyFont="1" applyFill="1" applyBorder="1"/>
    <xf numFmtId="2" fontId="11" fillId="3" borderId="49" xfId="0" applyNumberFormat="1" applyFont="1" applyFill="1" applyBorder="1"/>
    <xf numFmtId="2" fontId="12" fillId="0" borderId="31" xfId="0" applyNumberFormat="1" applyFont="1" applyBorder="1"/>
    <xf numFmtId="2" fontId="11" fillId="4" borderId="15" xfId="0" applyNumberFormat="1" applyFont="1" applyFill="1" applyBorder="1"/>
    <xf numFmtId="9" fontId="11" fillId="3" borderId="0" xfId="2" applyFont="1" applyFill="1" applyBorder="1"/>
    <xf numFmtId="44" fontId="24" fillId="5" borderId="16" xfId="1" applyFont="1" applyFill="1" applyBorder="1"/>
    <xf numFmtId="44" fontId="12" fillId="5" borderId="23" xfId="1" applyFont="1" applyFill="1" applyBorder="1"/>
    <xf numFmtId="44" fontId="12" fillId="5" borderId="24" xfId="1" applyFont="1" applyFill="1" applyBorder="1"/>
    <xf numFmtId="44" fontId="12" fillId="5" borderId="56" xfId="1" applyFont="1" applyFill="1" applyBorder="1"/>
    <xf numFmtId="167" fontId="12" fillId="5" borderId="15" xfId="1" applyNumberFormat="1" applyFont="1" applyFill="1" applyBorder="1"/>
    <xf numFmtId="9" fontId="21" fillId="0" borderId="15" xfId="2" applyFont="1" applyFill="1" applyBorder="1" applyAlignment="1">
      <alignment horizontal="center"/>
    </xf>
    <xf numFmtId="44" fontId="29" fillId="0" borderId="26" xfId="1" applyFont="1" applyFill="1" applyBorder="1"/>
    <xf numFmtId="44" fontId="12" fillId="5" borderId="57" xfId="1" applyFont="1" applyFill="1" applyBorder="1"/>
    <xf numFmtId="44" fontId="12" fillId="5" borderId="47" xfId="1" applyFont="1" applyFill="1" applyBorder="1"/>
    <xf numFmtId="44" fontId="12" fillId="5" borderId="50" xfId="1" applyFont="1" applyFill="1" applyBorder="1"/>
    <xf numFmtId="8" fontId="11" fillId="5" borderId="50" xfId="1" applyNumberFormat="1" applyFont="1" applyFill="1" applyBorder="1"/>
    <xf numFmtId="0" fontId="12" fillId="8" borderId="15" xfId="0" applyFont="1" applyFill="1" applyBorder="1" applyAlignment="1">
      <alignment horizontal="center"/>
    </xf>
    <xf numFmtId="165" fontId="12" fillId="0" borderId="15" xfId="0" applyNumberFormat="1" applyFont="1" applyBorder="1" applyAlignment="1">
      <alignment horizontal="center"/>
    </xf>
    <xf numFmtId="44" fontId="11" fillId="0" borderId="15" xfId="0" applyNumberFormat="1" applyFont="1" applyBorder="1"/>
    <xf numFmtId="0" fontId="33" fillId="0" borderId="0" xfId="0" applyFont="1"/>
    <xf numFmtId="0" fontId="34" fillId="0" borderId="0" xfId="0" applyFont="1"/>
    <xf numFmtId="0" fontId="33" fillId="0" borderId="66" xfId="0" applyFont="1" applyBorder="1" applyAlignment="1">
      <alignment horizontal="center" vertical="center"/>
    </xf>
    <xf numFmtId="0" fontId="33" fillId="0" borderId="66" xfId="0" applyFont="1" applyBorder="1" applyAlignment="1">
      <alignment horizontal="center" vertical="center" wrapText="1"/>
    </xf>
    <xf numFmtId="44" fontId="33" fillId="0" borderId="66" xfId="5" applyFont="1" applyFill="1" applyBorder="1" applyProtection="1"/>
    <xf numFmtId="0" fontId="33" fillId="0" borderId="0" xfId="0" applyFont="1" applyAlignment="1">
      <alignment horizontal="left"/>
    </xf>
    <xf numFmtId="44" fontId="33" fillId="0" borderId="66" xfId="0" applyNumberFormat="1" applyFont="1" applyBorder="1"/>
    <xf numFmtId="0" fontId="33" fillId="0" borderId="0" xfId="0" applyFont="1" applyAlignment="1">
      <alignment horizontal="center"/>
    </xf>
    <xf numFmtId="0" fontId="33" fillId="0" borderId="28" xfId="0" applyFont="1" applyBorder="1"/>
    <xf numFmtId="0" fontId="33" fillId="0" borderId="29" xfId="0" applyFont="1" applyBorder="1"/>
    <xf numFmtId="0" fontId="33" fillId="0" borderId="30" xfId="0" applyFont="1" applyBorder="1"/>
    <xf numFmtId="0" fontId="15" fillId="0" borderId="64" xfId="0" applyFont="1" applyBorder="1" applyAlignment="1">
      <alignment horizontal="center"/>
    </xf>
    <xf numFmtId="0" fontId="33" fillId="0" borderId="68" xfId="0" applyFont="1" applyBorder="1"/>
    <xf numFmtId="0" fontId="33" fillId="0" borderId="64" xfId="0" applyFont="1" applyBorder="1"/>
    <xf numFmtId="0" fontId="33" fillId="0" borderId="69" xfId="0" applyFont="1" applyBorder="1"/>
    <xf numFmtId="0" fontId="33" fillId="0" borderId="35" xfId="0" applyFont="1" applyBorder="1"/>
    <xf numFmtId="0" fontId="33" fillId="0" borderId="70" xfId="0" applyFont="1" applyBorder="1"/>
    <xf numFmtId="2" fontId="12" fillId="0" borderId="45" xfId="0" applyNumberFormat="1" applyFont="1" applyBorder="1"/>
    <xf numFmtId="2" fontId="12" fillId="0" borderId="49" xfId="0" applyNumberFormat="1" applyFont="1" applyBorder="1"/>
    <xf numFmtId="0" fontId="0" fillId="0" borderId="66" xfId="0" applyBorder="1"/>
    <xf numFmtId="1" fontId="15" fillId="11" borderId="0" xfId="28" applyNumberFormat="1" applyFont="1" applyFill="1" applyAlignment="1" applyProtection="1">
      <alignment horizontal="left"/>
      <protection hidden="1"/>
    </xf>
    <xf numFmtId="1" fontId="13" fillId="11" borderId="0" xfId="28" applyNumberFormat="1" applyFont="1" applyFill="1" applyAlignment="1" applyProtection="1">
      <alignment horizontal="right"/>
      <protection hidden="1"/>
    </xf>
    <xf numFmtId="168" fontId="13" fillId="11" borderId="0" xfId="28" applyNumberFormat="1" applyFont="1" applyFill="1" applyProtection="1">
      <protection hidden="1"/>
    </xf>
    <xf numFmtId="5" fontId="15" fillId="11" borderId="0" xfId="28" applyNumberFormat="1" applyFont="1" applyFill="1" applyProtection="1">
      <protection hidden="1"/>
    </xf>
    <xf numFmtId="1" fontId="15" fillId="11" borderId="0" xfId="28" applyNumberFormat="1" applyFont="1" applyFill="1" applyProtection="1">
      <protection hidden="1"/>
    </xf>
    <xf numFmtId="1" fontId="13" fillId="11" borderId="0" xfId="28" applyNumberFormat="1" applyFont="1" applyFill="1" applyProtection="1">
      <protection hidden="1"/>
    </xf>
    <xf numFmtId="1" fontId="13" fillId="11" borderId="71" xfId="28" applyNumberFormat="1" applyFont="1" applyFill="1" applyBorder="1" applyAlignment="1" applyProtection="1">
      <alignment horizontal="right"/>
      <protection hidden="1"/>
    </xf>
    <xf numFmtId="1" fontId="13" fillId="11" borderId="71" xfId="28" quotePrefix="1" applyNumberFormat="1" applyFont="1" applyFill="1" applyBorder="1" applyAlignment="1" applyProtection="1">
      <alignment horizontal="right"/>
      <protection hidden="1"/>
    </xf>
    <xf numFmtId="1" fontId="13" fillId="11" borderId="71" xfId="28" quotePrefix="1" applyNumberFormat="1" applyFont="1" applyFill="1" applyBorder="1" applyAlignment="1" applyProtection="1">
      <alignment horizontal="center"/>
      <protection hidden="1"/>
    </xf>
    <xf numFmtId="1" fontId="32" fillId="11" borderId="73" xfId="28" applyNumberFormat="1" applyFill="1" applyBorder="1" applyProtection="1">
      <protection hidden="1"/>
    </xf>
    <xf numFmtId="168" fontId="32" fillId="11" borderId="74" xfId="29" applyNumberFormat="1" applyFill="1" applyBorder="1" applyProtection="1">
      <protection hidden="1"/>
    </xf>
    <xf numFmtId="1" fontId="32" fillId="11" borderId="0" xfId="28" applyNumberFormat="1" applyFill="1" applyProtection="1">
      <protection hidden="1"/>
    </xf>
    <xf numFmtId="1" fontId="32" fillId="11" borderId="71" xfId="28" applyNumberFormat="1" applyFill="1" applyBorder="1" applyProtection="1">
      <protection hidden="1"/>
    </xf>
    <xf numFmtId="1" fontId="13" fillId="11" borderId="0" xfId="28" applyNumberFormat="1" applyFont="1" applyFill="1" applyAlignment="1" applyProtection="1">
      <alignment horizontal="left"/>
      <protection hidden="1"/>
    </xf>
    <xf numFmtId="168" fontId="32" fillId="11" borderId="76" xfId="28" applyNumberFormat="1" applyFill="1" applyBorder="1" applyProtection="1">
      <protection hidden="1"/>
    </xf>
    <xf numFmtId="0" fontId="11" fillId="0" borderId="0" xfId="0" applyFont="1"/>
    <xf numFmtId="0" fontId="0" fillId="0" borderId="0" xfId="0" applyAlignment="1">
      <alignment horizontal="center"/>
    </xf>
    <xf numFmtId="0" fontId="42" fillId="0" borderId="76" xfId="0" applyFont="1" applyBorder="1" applyAlignment="1">
      <alignment horizontal="center" vertical="center"/>
    </xf>
    <xf numFmtId="0" fontId="0" fillId="0" borderId="13" xfId="0" applyBorder="1"/>
    <xf numFmtId="0" fontId="33" fillId="0" borderId="90" xfId="0" applyFont="1" applyBorder="1" applyAlignment="1">
      <alignment horizontal="center"/>
    </xf>
    <xf numFmtId="0" fontId="33" fillId="0" borderId="91" xfId="0" applyFont="1" applyBorder="1" applyAlignment="1">
      <alignment horizontal="center"/>
    </xf>
    <xf numFmtId="0" fontId="33" fillId="0" borderId="92" xfId="0" applyFont="1" applyBorder="1" applyAlignment="1">
      <alignment horizontal="center"/>
    </xf>
    <xf numFmtId="169" fontId="0" fillId="0" borderId="66" xfId="0" applyNumberFormat="1" applyBorder="1" applyAlignment="1">
      <alignment horizontal="center"/>
    </xf>
    <xf numFmtId="49" fontId="11" fillId="5" borderId="24" xfId="0" applyNumberFormat="1" applyFont="1" applyFill="1" applyBorder="1" applyAlignment="1">
      <alignment horizontal="center"/>
    </xf>
    <xf numFmtId="0" fontId="15" fillId="0" borderId="0" xfId="0" applyFont="1"/>
    <xf numFmtId="0" fontId="33" fillId="0" borderId="76" xfId="0" applyFont="1" applyBorder="1"/>
    <xf numFmtId="3" fontId="0" fillId="0" borderId="76" xfId="0" applyNumberFormat="1" applyBorder="1"/>
    <xf numFmtId="170" fontId="15" fillId="0" borderId="0" xfId="0" applyNumberFormat="1" applyFont="1"/>
    <xf numFmtId="0" fontId="12" fillId="0" borderId="26" xfId="0" applyFont="1" applyBorder="1" applyAlignment="1">
      <alignment horizontal="center"/>
    </xf>
    <xf numFmtId="0" fontId="12" fillId="0" borderId="15" xfId="0" applyFont="1" applyBorder="1" applyAlignment="1">
      <alignment horizontal="center"/>
    </xf>
    <xf numFmtId="0" fontId="0" fillId="11" borderId="0" xfId="0" applyFill="1" applyProtection="1">
      <protection hidden="1"/>
    </xf>
    <xf numFmtId="3" fontId="32" fillId="11" borderId="72" xfId="28" applyNumberFormat="1" applyFill="1" applyBorder="1" applyProtection="1">
      <protection hidden="1"/>
    </xf>
    <xf numFmtId="2" fontId="32" fillId="11" borderId="73" xfId="28" applyNumberFormat="1" applyFill="1" applyBorder="1" applyProtection="1">
      <protection hidden="1"/>
    </xf>
    <xf numFmtId="3" fontId="32" fillId="11" borderId="67" xfId="28" applyNumberFormat="1" applyFill="1" applyBorder="1" applyProtection="1">
      <protection hidden="1"/>
    </xf>
    <xf numFmtId="2" fontId="32" fillId="11" borderId="0" xfId="28" applyNumberFormat="1" applyFill="1" applyProtection="1">
      <protection hidden="1"/>
    </xf>
    <xf numFmtId="3" fontId="32" fillId="11" borderId="65" xfId="28" applyNumberFormat="1" applyFill="1" applyBorder="1" applyProtection="1">
      <protection hidden="1"/>
    </xf>
    <xf numFmtId="2" fontId="32" fillId="11" borderId="71" xfId="28" applyNumberFormat="1" applyFill="1" applyBorder="1" applyProtection="1">
      <protection hidden="1"/>
    </xf>
    <xf numFmtId="1" fontId="32" fillId="0" borderId="66" xfId="28" applyNumberFormat="1" applyBorder="1" applyProtection="1">
      <protection hidden="1"/>
    </xf>
    <xf numFmtId="44" fontId="0" fillId="11" borderId="0" xfId="0" applyNumberFormat="1" applyFill="1" applyProtection="1">
      <protection hidden="1"/>
    </xf>
    <xf numFmtId="0" fontId="15" fillId="0" borderId="96" xfId="0" applyFont="1" applyBorder="1" applyAlignment="1">
      <alignment horizontal="right"/>
    </xf>
    <xf numFmtId="166" fontId="33" fillId="0" borderId="0" xfId="0" applyNumberFormat="1" applyFont="1" applyAlignment="1">
      <alignment horizontal="center"/>
    </xf>
    <xf numFmtId="43" fontId="33" fillId="0" borderId="97" xfId="3" applyFont="1" applyFill="1" applyBorder="1" applyProtection="1"/>
    <xf numFmtId="0" fontId="15" fillId="0" borderId="29" xfId="0" applyFont="1" applyBorder="1" applyAlignment="1">
      <alignment horizontal="center"/>
    </xf>
    <xf numFmtId="171" fontId="33" fillId="0" borderId="76" xfId="0" applyNumberFormat="1" applyFont="1" applyBorder="1"/>
    <xf numFmtId="2" fontId="33" fillId="0" borderId="100" xfId="0" applyNumberFormat="1" applyFont="1" applyBorder="1" applyAlignment="1">
      <alignment horizontal="center"/>
    </xf>
    <xf numFmtId="9" fontId="33" fillId="0" borderId="0" xfId="2" applyFont="1" applyFill="1" applyBorder="1" applyAlignment="1" applyProtection="1">
      <alignment horizontal="center"/>
    </xf>
    <xf numFmtId="0" fontId="11" fillId="13" borderId="2" xfId="0" applyFont="1" applyFill="1" applyBorder="1"/>
    <xf numFmtId="0" fontId="11" fillId="13" borderId="3" xfId="0" applyFont="1" applyFill="1" applyBorder="1"/>
    <xf numFmtId="0" fontId="11" fillId="13" borderId="0" xfId="0" applyFont="1" applyFill="1"/>
    <xf numFmtId="0" fontId="11" fillId="13" borderId="5" xfId="0" applyFont="1" applyFill="1" applyBorder="1"/>
    <xf numFmtId="0" fontId="11" fillId="13" borderId="6" xfId="0" applyFont="1" applyFill="1" applyBorder="1"/>
    <xf numFmtId="0" fontId="11" fillId="13" borderId="4" xfId="0" applyFont="1" applyFill="1" applyBorder="1"/>
    <xf numFmtId="0" fontId="0" fillId="0" borderId="67" xfId="0" applyBorder="1"/>
    <xf numFmtId="2" fontId="0" fillId="0" borderId="0" xfId="0" applyNumberFormat="1" applyAlignment="1">
      <alignment horizontal="left"/>
    </xf>
    <xf numFmtId="0" fontId="0" fillId="0" borderId="0" xfId="0" applyAlignment="1">
      <alignment horizontal="left"/>
    </xf>
    <xf numFmtId="0" fontId="0" fillId="0" borderId="0" xfId="0" pivotButton="1" applyProtection="1">
      <protection locked="0"/>
    </xf>
    <xf numFmtId="0" fontId="0" fillId="0" borderId="0" xfId="0" applyProtection="1">
      <protection locked="0"/>
    </xf>
    <xf numFmtId="2" fontId="0" fillId="0" borderId="0" xfId="0" applyNumberFormat="1" applyProtection="1">
      <protection locked="0"/>
    </xf>
    <xf numFmtId="0" fontId="11" fillId="13" borderId="58" xfId="0" applyFont="1" applyFill="1" applyBorder="1"/>
    <xf numFmtId="2" fontId="12" fillId="13" borderId="58" xfId="0" applyNumberFormat="1" applyFont="1" applyFill="1" applyBorder="1" applyAlignment="1">
      <alignment horizontal="center"/>
    </xf>
    <xf numFmtId="2" fontId="12" fillId="13" borderId="27" xfId="0" applyNumberFormat="1" applyFont="1" applyFill="1" applyBorder="1" applyAlignment="1">
      <alignment horizontal="center"/>
    </xf>
    <xf numFmtId="0" fontId="11" fillId="0" borderId="66" xfId="0" applyFont="1" applyBorder="1" applyAlignment="1">
      <alignment horizontal="center"/>
    </xf>
    <xf numFmtId="1" fontId="0" fillId="0" borderId="0" xfId="0" applyNumberFormat="1" applyAlignment="1">
      <alignment horizontal="left"/>
    </xf>
    <xf numFmtId="49" fontId="0" fillId="0" borderId="0" xfId="0" applyNumberFormat="1"/>
    <xf numFmtId="14" fontId="0" fillId="0" borderId="0" xfId="0" applyNumberFormat="1" applyAlignment="1">
      <alignment horizontal="left"/>
    </xf>
    <xf numFmtId="0" fontId="0" fillId="0" borderId="85" xfId="0" applyBorder="1" applyAlignment="1" applyProtection="1">
      <alignment horizontal="center" wrapText="1"/>
      <protection locked="0"/>
    </xf>
    <xf numFmtId="0" fontId="0" fillId="0" borderId="80" xfId="0" applyBorder="1" applyAlignment="1" applyProtection="1">
      <alignment horizontal="center" wrapText="1"/>
      <protection locked="0"/>
    </xf>
    <xf numFmtId="0" fontId="0" fillId="0" borderId="88" xfId="0" applyBorder="1" applyAlignment="1" applyProtection="1">
      <alignment vertical="center" wrapText="1"/>
      <protection locked="0"/>
    </xf>
    <xf numFmtId="0" fontId="37" fillId="0" borderId="80" xfId="0" applyFont="1" applyBorder="1" applyAlignment="1" applyProtection="1">
      <alignment horizontal="center" vertical="center" wrapText="1"/>
      <protection locked="0"/>
    </xf>
    <xf numFmtId="0" fontId="0" fillId="0" borderId="80" xfId="0" applyBorder="1" applyAlignment="1" applyProtection="1">
      <alignment wrapText="1"/>
      <protection locked="0"/>
    </xf>
    <xf numFmtId="0" fontId="0" fillId="0" borderId="81" xfId="0" applyBorder="1" applyAlignment="1" applyProtection="1">
      <alignment wrapText="1"/>
      <protection locked="0"/>
    </xf>
    <xf numFmtId="0" fontId="0" fillId="0" borderId="86" xfId="0" applyBorder="1" applyAlignment="1" applyProtection="1">
      <alignment horizontal="center"/>
      <protection locked="0"/>
    </xf>
    <xf numFmtId="0" fontId="0" fillId="0" borderId="66" xfId="0" applyBorder="1" applyAlignment="1" applyProtection="1">
      <alignment horizontal="center" wrapText="1"/>
      <protection locked="0"/>
    </xf>
    <xf numFmtId="0" fontId="0" fillId="0" borderId="75" xfId="0" applyBorder="1" applyAlignment="1" applyProtection="1">
      <alignment horizontal="center" wrapText="1"/>
      <protection locked="0"/>
    </xf>
    <xf numFmtId="0" fontId="0" fillId="0" borderId="66" xfId="0" applyBorder="1" applyAlignment="1" applyProtection="1">
      <alignment wrapText="1"/>
      <protection locked="0"/>
    </xf>
    <xf numFmtId="0" fontId="0" fillId="0" borderId="82" xfId="0" applyBorder="1" applyAlignment="1" applyProtection="1">
      <alignment wrapText="1"/>
      <protection locked="0"/>
    </xf>
    <xf numFmtId="0" fontId="0" fillId="0" borderId="75" xfId="0" applyBorder="1" applyProtection="1">
      <protection locked="0"/>
    </xf>
    <xf numFmtId="0" fontId="0" fillId="0" borderId="66" xfId="0" applyBorder="1" applyProtection="1">
      <protection locked="0"/>
    </xf>
    <xf numFmtId="0" fontId="0" fillId="0" borderId="82" xfId="0" applyBorder="1" applyProtection="1">
      <protection locked="0"/>
    </xf>
    <xf numFmtId="0" fontId="0" fillId="0" borderId="87" xfId="0" applyBorder="1" applyAlignment="1" applyProtection="1">
      <alignment horizontal="center"/>
      <protection locked="0"/>
    </xf>
    <xf numFmtId="0" fontId="0" fillId="0" borderId="83" xfId="0" applyBorder="1" applyAlignment="1" applyProtection="1">
      <alignment horizontal="center" wrapText="1"/>
      <protection locked="0"/>
    </xf>
    <xf numFmtId="0" fontId="0" fillId="0" borderId="89" xfId="0" applyBorder="1" applyProtection="1">
      <protection locked="0"/>
    </xf>
    <xf numFmtId="0" fontId="0" fillId="0" borderId="83" xfId="0" applyBorder="1" applyProtection="1">
      <protection locked="0"/>
    </xf>
    <xf numFmtId="0" fontId="0" fillId="0" borderId="84" xfId="0" applyBorder="1" applyProtection="1">
      <protection locked="0"/>
    </xf>
    <xf numFmtId="0" fontId="33" fillId="0" borderId="76" xfId="0" applyFont="1" applyBorder="1" applyAlignment="1">
      <alignment horizontal="center" vertical="center"/>
    </xf>
    <xf numFmtId="0" fontId="37" fillId="0" borderId="76" xfId="0" applyFont="1" applyBorder="1" applyAlignment="1">
      <alignment horizontal="left" vertical="center"/>
    </xf>
    <xf numFmtId="0" fontId="38" fillId="0" borderId="76" xfId="0" applyFont="1" applyBorder="1" applyAlignment="1">
      <alignment horizontal="left" vertical="center"/>
    </xf>
    <xf numFmtId="0" fontId="10" fillId="0" borderId="76" xfId="0" applyFont="1" applyBorder="1" applyAlignment="1">
      <alignment horizontal="left" vertical="center"/>
    </xf>
    <xf numFmtId="0" fontId="39" fillId="0" borderId="76" xfId="0" applyFont="1" applyBorder="1" applyAlignment="1">
      <alignment horizontal="left" vertical="center"/>
    </xf>
    <xf numFmtId="0" fontId="45" fillId="0" borderId="0" xfId="0" applyFont="1" applyAlignment="1">
      <alignment horizontal="left"/>
    </xf>
    <xf numFmtId="0" fontId="46" fillId="0" borderId="0" xfId="0" applyFont="1" applyAlignment="1">
      <alignment horizontal="left"/>
    </xf>
    <xf numFmtId="0" fontId="45" fillId="0" borderId="0" xfId="0" applyFont="1"/>
    <xf numFmtId="0" fontId="46" fillId="0" borderId="0" xfId="0" applyFont="1"/>
    <xf numFmtId="0" fontId="45" fillId="0" borderId="0" xfId="0" applyFont="1" applyAlignment="1">
      <alignment horizontal="center"/>
    </xf>
    <xf numFmtId="0" fontId="46" fillId="0" borderId="0" xfId="0" applyFont="1" applyAlignment="1">
      <alignment horizontal="center"/>
    </xf>
    <xf numFmtId="0" fontId="0" fillId="0" borderId="76" xfId="0" applyBorder="1" applyAlignment="1">
      <alignment horizontal="center"/>
    </xf>
    <xf numFmtId="0" fontId="0" fillId="0" borderId="76" xfId="0" applyBorder="1" applyAlignment="1">
      <alignment wrapText="1"/>
    </xf>
    <xf numFmtId="0" fontId="47" fillId="0" borderId="0" xfId="0" applyFont="1"/>
    <xf numFmtId="169" fontId="48" fillId="0" borderId="66" xfId="0" applyNumberFormat="1" applyFont="1" applyBorder="1" applyAlignment="1">
      <alignment horizontal="center"/>
    </xf>
    <xf numFmtId="0" fontId="0" fillId="0" borderId="77" xfId="0" applyBorder="1"/>
    <xf numFmtId="0" fontId="11" fillId="0" borderId="0" xfId="0" applyFont="1" applyAlignment="1" applyProtection="1">
      <alignment horizontal="right"/>
      <protection locked="0"/>
    </xf>
    <xf numFmtId="0" fontId="35" fillId="0" borderId="0" xfId="0" applyFont="1" applyAlignment="1" applyProtection="1">
      <alignment horizontal="right"/>
      <protection locked="0"/>
    </xf>
    <xf numFmtId="0" fontId="45" fillId="0" borderId="0" xfId="0" applyFont="1" applyAlignment="1">
      <alignment horizontal="right"/>
    </xf>
    <xf numFmtId="0" fontId="0" fillId="0" borderId="0" xfId="0" applyAlignment="1">
      <alignment horizontal="left" indent="1"/>
    </xf>
    <xf numFmtId="0" fontId="49" fillId="11" borderId="0" xfId="33" applyFill="1" applyBorder="1"/>
    <xf numFmtId="0" fontId="0" fillId="11" borderId="0" xfId="0" applyFill="1"/>
    <xf numFmtId="2" fontId="11" fillId="0" borderId="13" xfId="0" applyNumberFormat="1" applyFont="1" applyBorder="1" applyAlignment="1">
      <alignment horizontal="center"/>
    </xf>
    <xf numFmtId="0" fontId="8" fillId="0" borderId="0" xfId="0" applyFont="1" applyAlignment="1">
      <alignment horizontal="center"/>
    </xf>
    <xf numFmtId="0" fontId="8" fillId="0" borderId="0" xfId="0" applyFont="1" applyAlignment="1">
      <alignment horizontal="right"/>
    </xf>
    <xf numFmtId="2" fontId="11" fillId="0" borderId="66" xfId="0" applyNumberFormat="1" applyFont="1" applyBorder="1"/>
    <xf numFmtId="44" fontId="11" fillId="0" borderId="66" xfId="1" applyFont="1" applyBorder="1" applyProtection="1"/>
    <xf numFmtId="0" fontId="11" fillId="2" borderId="66" xfId="0" applyFont="1" applyFill="1" applyBorder="1"/>
    <xf numFmtId="1" fontId="11" fillId="2" borderId="66" xfId="0" applyNumberFormat="1" applyFont="1" applyFill="1" applyBorder="1"/>
    <xf numFmtId="2" fontId="11" fillId="2" borderId="66" xfId="0" applyNumberFormat="1" applyFont="1" applyFill="1" applyBorder="1"/>
    <xf numFmtId="2" fontId="11" fillId="8" borderId="66" xfId="0" applyNumberFormat="1" applyFont="1" applyFill="1" applyBorder="1"/>
    <xf numFmtId="44" fontId="11" fillId="2" borderId="66" xfId="1" applyFont="1" applyFill="1" applyBorder="1" applyProtection="1"/>
    <xf numFmtId="2" fontId="11" fillId="15" borderId="13" xfId="0" applyNumberFormat="1" applyFont="1" applyFill="1" applyBorder="1"/>
    <xf numFmtId="2" fontId="11" fillId="15" borderId="66" xfId="0" applyNumberFormat="1" applyFont="1" applyFill="1" applyBorder="1"/>
    <xf numFmtId="2" fontId="11" fillId="15" borderId="13" xfId="0" applyNumberFormat="1" applyFont="1" applyFill="1" applyBorder="1" applyProtection="1">
      <protection locked="0"/>
    </xf>
    <xf numFmtId="2" fontId="11" fillId="15" borderId="66" xfId="0" applyNumberFormat="1" applyFont="1" applyFill="1" applyBorder="1" applyProtection="1">
      <protection locked="0"/>
    </xf>
    <xf numFmtId="1" fontId="11" fillId="0" borderId="66" xfId="0" applyNumberFormat="1" applyFont="1" applyBorder="1"/>
    <xf numFmtId="18" fontId="0" fillId="0" borderId="0" xfId="0" applyNumberFormat="1" applyAlignment="1">
      <alignment horizontal="left"/>
    </xf>
    <xf numFmtId="43" fontId="33" fillId="0" borderId="102" xfId="3" applyFont="1" applyFill="1" applyBorder="1" applyProtection="1"/>
    <xf numFmtId="49" fontId="48" fillId="0" borderId="66" xfId="0" applyNumberFormat="1" applyFont="1" applyBorder="1" applyAlignment="1">
      <alignment horizontal="center"/>
    </xf>
    <xf numFmtId="44" fontId="48" fillId="0" borderId="76" xfId="0" applyNumberFormat="1" applyFont="1" applyBorder="1"/>
    <xf numFmtId="164" fontId="25" fillId="16" borderId="14" xfId="2" applyNumberFormat="1" applyFont="1" applyFill="1" applyBorder="1" applyProtection="1">
      <protection locked="0"/>
    </xf>
    <xf numFmtId="9" fontId="24" fillId="17" borderId="15" xfId="2" applyFont="1" applyFill="1" applyBorder="1" applyProtection="1">
      <protection locked="0"/>
    </xf>
    <xf numFmtId="44" fontId="24" fillId="16" borderId="15" xfId="1" applyFont="1" applyFill="1" applyBorder="1" applyProtection="1">
      <protection locked="0"/>
    </xf>
    <xf numFmtId="2" fontId="12" fillId="16" borderId="50" xfId="0" applyNumberFormat="1" applyFont="1" applyFill="1" applyBorder="1" applyProtection="1">
      <protection locked="0"/>
    </xf>
    <xf numFmtId="1" fontId="12" fillId="16" borderId="63" xfId="0" applyNumberFormat="1" applyFont="1" applyFill="1" applyBorder="1" applyAlignment="1" applyProtection="1">
      <alignment horizontal="left" indent="1"/>
      <protection locked="0"/>
    </xf>
    <xf numFmtId="165" fontId="24" fillId="16" borderId="15" xfId="0" applyNumberFormat="1" applyFont="1" applyFill="1" applyBorder="1" applyAlignment="1" applyProtection="1">
      <alignment horizontal="center"/>
      <protection locked="0"/>
    </xf>
    <xf numFmtId="9" fontId="24" fillId="16" borderId="42" xfId="2" applyFont="1" applyFill="1" applyBorder="1" applyAlignment="1" applyProtection="1">
      <alignment horizontal="center"/>
      <protection locked="0"/>
    </xf>
    <xf numFmtId="9" fontId="24" fillId="16" borderId="43" xfId="2" applyFont="1" applyFill="1" applyBorder="1" applyAlignment="1" applyProtection="1">
      <alignment horizontal="center"/>
      <protection locked="0"/>
    </xf>
    <xf numFmtId="5" fontId="24" fillId="16" borderId="55" xfId="1" applyNumberFormat="1" applyFont="1" applyFill="1" applyBorder="1" applyAlignment="1" applyProtection="1">
      <alignment horizontal="center"/>
      <protection locked="0"/>
    </xf>
    <xf numFmtId="166" fontId="24" fillId="16" borderId="60" xfId="0" applyNumberFormat="1" applyFont="1" applyFill="1" applyBorder="1" applyAlignment="1" applyProtection="1">
      <alignment horizontal="center"/>
      <protection locked="0"/>
    </xf>
    <xf numFmtId="166" fontId="24" fillId="16" borderId="49" xfId="0" applyNumberFormat="1" applyFont="1" applyFill="1" applyBorder="1" applyAlignment="1" applyProtection="1">
      <alignment horizontal="center"/>
      <protection locked="0"/>
    </xf>
    <xf numFmtId="1" fontId="24" fillId="16" borderId="46" xfId="0" applyNumberFormat="1" applyFont="1" applyFill="1" applyBorder="1" applyAlignment="1" applyProtection="1">
      <alignment horizontal="center"/>
      <protection locked="0"/>
    </xf>
    <xf numFmtId="44" fontId="24" fillId="16" borderId="47" xfId="1" applyFont="1" applyFill="1" applyBorder="1" applyAlignment="1" applyProtection="1">
      <alignment horizontal="center"/>
      <protection locked="0"/>
    </xf>
    <xf numFmtId="1" fontId="24" fillId="16" borderId="49" xfId="0" applyNumberFormat="1" applyFont="1" applyFill="1" applyBorder="1" applyAlignment="1" applyProtection="1">
      <alignment horizontal="center"/>
      <protection locked="0"/>
    </xf>
    <xf numFmtId="44" fontId="24" fillId="16" borderId="50" xfId="1" applyFont="1" applyFill="1" applyBorder="1" applyAlignment="1" applyProtection="1">
      <alignment horizontal="center"/>
      <protection locked="0"/>
    </xf>
    <xf numFmtId="1" fontId="24" fillId="16" borderId="52" xfId="0" applyNumberFormat="1" applyFont="1" applyFill="1" applyBorder="1" applyAlignment="1" applyProtection="1">
      <alignment horizontal="center"/>
      <protection locked="0"/>
    </xf>
    <xf numFmtId="44" fontId="24" fillId="16" borderId="53" xfId="1" applyFont="1" applyFill="1" applyBorder="1" applyAlignment="1" applyProtection="1">
      <alignment horizontal="center"/>
      <protection locked="0"/>
    </xf>
    <xf numFmtId="2" fontId="11" fillId="16" borderId="66" xfId="0" applyNumberFormat="1" applyFont="1" applyFill="1" applyBorder="1" applyProtection="1">
      <protection locked="0"/>
    </xf>
    <xf numFmtId="2" fontId="48" fillId="0" borderId="76" xfId="0" applyNumberFormat="1" applyFont="1" applyBorder="1"/>
    <xf numFmtId="0" fontId="32" fillId="0" borderId="13" xfId="0" applyFont="1" applyBorder="1"/>
    <xf numFmtId="0" fontId="32" fillId="0" borderId="66" xfId="0" applyFont="1" applyBorder="1"/>
    <xf numFmtId="0" fontId="0" fillId="18" borderId="66" xfId="0" applyFill="1" applyBorder="1" applyProtection="1">
      <protection locked="0"/>
    </xf>
    <xf numFmtId="0" fontId="50" fillId="0" borderId="104" xfId="34"/>
    <xf numFmtId="0" fontId="51" fillId="0" borderId="77" xfId="35" applyBorder="1" applyAlignment="1">
      <alignment horizontal="left"/>
    </xf>
    <xf numFmtId="0" fontId="0" fillId="0" borderId="97" xfId="0" applyBorder="1" applyAlignment="1">
      <alignment horizontal="left"/>
    </xf>
    <xf numFmtId="0" fontId="0" fillId="0" borderId="106" xfId="0" applyBorder="1" applyAlignment="1">
      <alignment horizontal="left"/>
    </xf>
    <xf numFmtId="0" fontId="0" fillId="0" borderId="102" xfId="0" applyBorder="1" applyAlignment="1">
      <alignment horizontal="left"/>
    </xf>
    <xf numFmtId="169" fontId="0" fillId="0" borderId="66" xfId="0" quotePrefix="1" applyNumberFormat="1" applyBorder="1" applyAlignment="1">
      <alignment horizontal="center"/>
    </xf>
    <xf numFmtId="2" fontId="18" fillId="19" borderId="32" xfId="0" applyNumberFormat="1" applyFont="1" applyFill="1" applyBorder="1"/>
    <xf numFmtId="2" fontId="52" fillId="19" borderId="33" xfId="0" applyNumberFormat="1" applyFont="1" applyFill="1" applyBorder="1"/>
    <xf numFmtId="2" fontId="17" fillId="19" borderId="34" xfId="0" applyNumberFormat="1" applyFont="1" applyFill="1" applyBorder="1"/>
    <xf numFmtId="2" fontId="52" fillId="19" borderId="19" xfId="0" applyNumberFormat="1" applyFont="1" applyFill="1" applyBorder="1"/>
    <xf numFmtId="2" fontId="17" fillId="19" borderId="21" xfId="0" applyNumberFormat="1" applyFont="1" applyFill="1" applyBorder="1"/>
    <xf numFmtId="2" fontId="52" fillId="19" borderId="20" xfId="0" applyNumberFormat="1" applyFont="1" applyFill="1" applyBorder="1"/>
    <xf numFmtId="2" fontId="17" fillId="19" borderId="22" xfId="0" applyNumberFormat="1" applyFont="1" applyFill="1" applyBorder="1"/>
    <xf numFmtId="0" fontId="0" fillId="19" borderId="0" xfId="0" applyFill="1"/>
    <xf numFmtId="0" fontId="13" fillId="0" borderId="76" xfId="0" applyFont="1" applyBorder="1" applyAlignment="1">
      <alignment horizontal="right"/>
    </xf>
    <xf numFmtId="0" fontId="49" fillId="0" borderId="0" xfId="33" applyAlignment="1">
      <alignment horizontal="right"/>
    </xf>
    <xf numFmtId="9" fontId="0" fillId="0" borderId="0" xfId="2" applyFont="1" applyAlignment="1">
      <alignment horizontal="right"/>
    </xf>
    <xf numFmtId="0" fontId="51" fillId="0" borderId="79" xfId="35" applyBorder="1" applyAlignment="1">
      <alignment horizontal="right"/>
    </xf>
    <xf numFmtId="0" fontId="51" fillId="0" borderId="78" xfId="35" applyBorder="1" applyAlignment="1">
      <alignment horizontal="right"/>
    </xf>
    <xf numFmtId="44" fontId="0" fillId="0" borderId="80" xfId="0" applyNumberFormat="1" applyBorder="1" applyAlignment="1">
      <alignment horizontal="right"/>
    </xf>
    <xf numFmtId="44" fontId="0" fillId="0" borderId="81" xfId="0" applyNumberFormat="1" applyBorder="1" applyAlignment="1">
      <alignment horizontal="right"/>
    </xf>
    <xf numFmtId="44" fontId="0" fillId="0" borderId="66" xfId="0" applyNumberFormat="1" applyBorder="1" applyAlignment="1">
      <alignment horizontal="right"/>
    </xf>
    <xf numFmtId="44" fontId="0" fillId="0" borderId="82" xfId="0" applyNumberFormat="1" applyBorder="1" applyAlignment="1">
      <alignment horizontal="right"/>
    </xf>
    <xf numFmtId="44" fontId="0" fillId="0" borderId="83" xfId="0" applyNumberFormat="1" applyBorder="1" applyAlignment="1">
      <alignment horizontal="right"/>
    </xf>
    <xf numFmtId="44" fontId="0" fillId="0" borderId="84" xfId="0" applyNumberFormat="1" applyBorder="1" applyAlignment="1">
      <alignment horizontal="right"/>
    </xf>
    <xf numFmtId="44" fontId="0" fillId="0" borderId="76" xfId="0" applyNumberFormat="1" applyBorder="1" applyAlignment="1">
      <alignment horizontal="right"/>
    </xf>
    <xf numFmtId="9" fontId="0" fillId="0" borderId="0" xfId="2" applyFont="1" applyAlignment="1">
      <alignment horizontal="center"/>
    </xf>
    <xf numFmtId="9" fontId="51" fillId="0" borderId="78" xfId="2" applyFont="1" applyBorder="1" applyAlignment="1">
      <alignment horizontal="center"/>
    </xf>
    <xf numFmtId="9" fontId="0" fillId="0" borderId="81" xfId="2" applyFont="1" applyBorder="1" applyAlignment="1">
      <alignment horizontal="center"/>
    </xf>
    <xf numFmtId="9" fontId="0" fillId="0" borderId="82" xfId="2" applyFont="1" applyBorder="1" applyAlignment="1">
      <alignment horizontal="center"/>
    </xf>
    <xf numFmtId="9" fontId="0" fillId="0" borderId="84" xfId="2" applyFont="1" applyBorder="1" applyAlignment="1">
      <alignment horizontal="center"/>
    </xf>
    <xf numFmtId="0" fontId="51" fillId="0" borderId="78" xfId="35" applyBorder="1" applyAlignment="1">
      <alignment horizontal="right" wrapText="1"/>
    </xf>
    <xf numFmtId="44" fontId="0" fillId="0" borderId="0" xfId="2" applyNumberFormat="1" applyFont="1" applyAlignment="1">
      <alignment horizontal="center"/>
    </xf>
    <xf numFmtId="44" fontId="0" fillId="0" borderId="0" xfId="0" applyNumberFormat="1" applyAlignment="1">
      <alignment horizontal="right"/>
    </xf>
    <xf numFmtId="2" fontId="0" fillId="0" borderId="0" xfId="0" applyNumberFormat="1" applyAlignment="1">
      <alignment horizontal="right"/>
    </xf>
    <xf numFmtId="1" fontId="0" fillId="0" borderId="0" xfId="0" applyNumberFormat="1" applyAlignment="1">
      <alignment horizontal="right"/>
    </xf>
    <xf numFmtId="0" fontId="13" fillId="0" borderId="0" xfId="0" applyFont="1" applyAlignment="1">
      <alignment horizontal="right"/>
    </xf>
    <xf numFmtId="0" fontId="0" fillId="0" borderId="0" xfId="1" applyNumberFormat="1" applyFont="1" applyAlignment="1">
      <alignment horizontal="right"/>
    </xf>
    <xf numFmtId="0" fontId="0" fillId="0" borderId="0" xfId="0" pivotButton="1"/>
    <xf numFmtId="44" fontId="0" fillId="0" borderId="0" xfId="1" applyFont="1" applyAlignment="1">
      <alignment horizontal="right"/>
    </xf>
    <xf numFmtId="2" fontId="0" fillId="0" borderId="0" xfId="1" applyNumberFormat="1" applyFont="1" applyAlignment="1">
      <alignment horizontal="right"/>
    </xf>
    <xf numFmtId="2" fontId="0" fillId="0" borderId="0" xfId="1" applyNumberFormat="1" applyFont="1" applyAlignment="1">
      <alignment horizontal="left"/>
    </xf>
    <xf numFmtId="165" fontId="0" fillId="0" borderId="0" xfId="1" applyNumberFormat="1" applyFont="1" applyAlignment="1">
      <alignment horizontal="right"/>
    </xf>
    <xf numFmtId="165" fontId="0" fillId="0" borderId="0" xfId="0" applyNumberFormat="1" applyAlignment="1">
      <alignment horizontal="right"/>
    </xf>
    <xf numFmtId="9" fontId="0" fillId="0" borderId="0" xfId="2" applyFont="1" applyProtection="1"/>
    <xf numFmtId="9" fontId="11" fillId="12" borderId="13" xfId="2" applyFont="1" applyFill="1" applyBorder="1" applyAlignment="1" applyProtection="1">
      <alignment horizontal="center"/>
      <protection locked="0"/>
    </xf>
    <xf numFmtId="0" fontId="54" fillId="0" borderId="0" xfId="0" applyFont="1" applyAlignment="1">
      <alignment horizontal="centerContinuous"/>
    </xf>
    <xf numFmtId="0" fontId="32" fillId="0" borderId="0" xfId="0" applyFont="1" applyAlignment="1">
      <alignment horizontal="centerContinuous"/>
    </xf>
    <xf numFmtId="0" fontId="32" fillId="0" borderId="0" xfId="0" applyFont="1"/>
    <xf numFmtId="0" fontId="32" fillId="0" borderId="108" xfId="0" applyFont="1" applyBorder="1"/>
    <xf numFmtId="0" fontId="32" fillId="0" borderId="109" xfId="0" applyFont="1" applyBorder="1"/>
    <xf numFmtId="0" fontId="32" fillId="0" borderId="110" xfId="0" applyFont="1" applyBorder="1"/>
    <xf numFmtId="0" fontId="37" fillId="0" borderId="111" xfId="0" applyFont="1" applyBorder="1" applyAlignment="1">
      <alignment horizontal="centerContinuous"/>
    </xf>
    <xf numFmtId="0" fontId="32" fillId="0" borderId="112" xfId="0" applyFont="1" applyBorder="1" applyAlignment="1">
      <alignment horizontal="centerContinuous"/>
    </xf>
    <xf numFmtId="49" fontId="32" fillId="0" borderId="0" xfId="0" applyNumberFormat="1" applyFont="1"/>
    <xf numFmtId="49" fontId="32" fillId="0" borderId="112" xfId="0" applyNumberFormat="1" applyFont="1" applyBorder="1"/>
    <xf numFmtId="49" fontId="55" fillId="0" borderId="73" xfId="0" applyNumberFormat="1" applyFont="1" applyBorder="1"/>
    <xf numFmtId="49" fontId="45" fillId="0" borderId="71" xfId="0" applyNumberFormat="1" applyFont="1" applyBorder="1" applyAlignment="1">
      <alignment horizontal="left" indent="2"/>
    </xf>
    <xf numFmtId="49" fontId="55" fillId="0" borderId="72" xfId="0" applyNumberFormat="1" applyFont="1" applyBorder="1"/>
    <xf numFmtId="49" fontId="45" fillId="0" borderId="121" xfId="0" applyNumberFormat="1" applyFont="1" applyBorder="1" applyAlignment="1" applyProtection="1">
      <alignment horizontal="left" indent="1"/>
      <protection locked="0"/>
    </xf>
    <xf numFmtId="49" fontId="23" fillId="0" borderId="0" xfId="0" applyNumberFormat="1" applyFont="1"/>
    <xf numFmtId="49" fontId="23" fillId="0" borderId="0" xfId="0" applyNumberFormat="1" applyFont="1" applyAlignment="1">
      <alignment horizontal="left"/>
    </xf>
    <xf numFmtId="49" fontId="46" fillId="0" borderId="112" xfId="0" applyNumberFormat="1" applyFont="1" applyBorder="1"/>
    <xf numFmtId="0" fontId="46" fillId="0" borderId="0" xfId="0" applyFont="1" applyProtection="1">
      <protection locked="0"/>
    </xf>
    <xf numFmtId="49" fontId="32" fillId="0" borderId="71" xfId="0" applyNumberFormat="1" applyFont="1" applyBorder="1"/>
    <xf numFmtId="39" fontId="23" fillId="0" borderId="112" xfId="0" applyNumberFormat="1" applyFont="1" applyBorder="1"/>
    <xf numFmtId="49" fontId="56" fillId="0" borderId="0" xfId="0" applyNumberFormat="1" applyFont="1"/>
    <xf numFmtId="49" fontId="58" fillId="0" borderId="112" xfId="0" applyNumberFormat="1" applyFont="1" applyBorder="1" applyAlignment="1">
      <alignment horizontal="center"/>
    </xf>
    <xf numFmtId="0" fontId="32" fillId="0" borderId="112" xfId="0" applyFont="1" applyBorder="1"/>
    <xf numFmtId="49" fontId="56" fillId="0" borderId="112" xfId="0" applyNumberFormat="1" applyFont="1" applyBorder="1"/>
    <xf numFmtId="49" fontId="32" fillId="0" borderId="118" xfId="0" applyNumberFormat="1" applyFont="1" applyBorder="1"/>
    <xf numFmtId="49" fontId="32" fillId="0" borderId="119" xfId="0" applyNumberFormat="1" applyFont="1" applyBorder="1"/>
    <xf numFmtId="49" fontId="23" fillId="0" borderId="119" xfId="0" applyNumberFormat="1" applyFont="1" applyBorder="1"/>
    <xf numFmtId="49" fontId="23" fillId="0" borderId="119" xfId="0" applyNumberFormat="1" applyFont="1" applyBorder="1" applyAlignment="1">
      <alignment horizontal="right"/>
    </xf>
    <xf numFmtId="49" fontId="32" fillId="0" borderId="122" xfId="0" applyNumberFormat="1" applyFont="1" applyBorder="1"/>
    <xf numFmtId="49" fontId="33" fillId="0" borderId="108" xfId="0" applyNumberFormat="1" applyFont="1" applyBorder="1"/>
    <xf numFmtId="49" fontId="32" fillId="0" borderId="109" xfId="0" applyNumberFormat="1" applyFont="1" applyBorder="1"/>
    <xf numFmtId="49" fontId="32" fillId="0" borderId="110" xfId="0" applyNumberFormat="1" applyFont="1" applyBorder="1"/>
    <xf numFmtId="49" fontId="23" fillId="0" borderId="111" xfId="0" applyNumberFormat="1" applyFont="1" applyBorder="1"/>
    <xf numFmtId="49" fontId="32" fillId="0" borderId="117" xfId="0" applyNumberFormat="1" applyFont="1" applyBorder="1"/>
    <xf numFmtId="49" fontId="32" fillId="0" borderId="111" xfId="0" applyNumberFormat="1" applyFont="1" applyBorder="1"/>
    <xf numFmtId="49" fontId="57" fillId="0" borderId="111" xfId="0" applyNumberFormat="1" applyFont="1" applyBorder="1"/>
    <xf numFmtId="49" fontId="23" fillId="0" borderId="0" xfId="0" applyNumberFormat="1" applyFont="1" applyAlignment="1">
      <alignment horizontal="right"/>
    </xf>
    <xf numFmtId="0" fontId="7" fillId="0" borderId="0" xfId="0" applyFont="1"/>
    <xf numFmtId="0" fontId="9" fillId="0" borderId="0" xfId="0" applyFont="1" applyAlignment="1">
      <alignment horizontal="center"/>
    </xf>
    <xf numFmtId="49" fontId="11" fillId="0" borderId="13" xfId="0" applyNumberFormat="1" applyFont="1" applyBorder="1"/>
    <xf numFmtId="0" fontId="11" fillId="0" borderId="13" xfId="0" applyFont="1" applyBorder="1"/>
    <xf numFmtId="0" fontId="11" fillId="0" borderId="13" xfId="0" applyFont="1" applyBorder="1" applyAlignment="1">
      <alignment horizontal="left"/>
    </xf>
    <xf numFmtId="1" fontId="11" fillId="0" borderId="13" xfId="0" applyNumberFormat="1" applyFont="1" applyBorder="1" applyAlignment="1">
      <alignment horizontal="left"/>
    </xf>
    <xf numFmtId="1" fontId="11" fillId="0" borderId="13" xfId="0" applyNumberFormat="1" applyFont="1" applyBorder="1" applyAlignment="1">
      <alignment horizontal="center"/>
    </xf>
    <xf numFmtId="44" fontId="11" fillId="0" borderId="13" xfId="1" applyFont="1" applyFill="1" applyBorder="1" applyAlignment="1" applyProtection="1">
      <alignment horizontal="center"/>
    </xf>
    <xf numFmtId="49" fontId="22" fillId="0" borderId="76" xfId="0" applyNumberFormat="1" applyFont="1" applyBorder="1" applyAlignment="1">
      <alignment horizontal="center" wrapText="1"/>
    </xf>
    <xf numFmtId="165" fontId="22" fillId="0" borderId="76" xfId="0" applyNumberFormat="1" applyFont="1" applyBorder="1" applyAlignment="1">
      <alignment horizontal="center"/>
    </xf>
    <xf numFmtId="2" fontId="22" fillId="0" borderId="76" xfId="0" applyNumberFormat="1" applyFont="1" applyBorder="1" applyAlignment="1">
      <alignment horizontal="center"/>
    </xf>
    <xf numFmtId="1" fontId="22" fillId="0" borderId="76" xfId="0" applyNumberFormat="1" applyFont="1" applyBorder="1" applyAlignment="1">
      <alignment horizontal="center"/>
    </xf>
    <xf numFmtId="0" fontId="61" fillId="0" borderId="0" xfId="0" applyFont="1"/>
    <xf numFmtId="16" fontId="15" fillId="0" borderId="0" xfId="0" applyNumberFormat="1" applyFont="1"/>
    <xf numFmtId="9" fontId="43" fillId="0" borderId="76" xfId="2" applyFont="1" applyFill="1" applyBorder="1" applyProtection="1"/>
    <xf numFmtId="0" fontId="33" fillId="20" borderId="0" xfId="0" applyFont="1" applyFill="1"/>
    <xf numFmtId="0" fontId="62" fillId="0" borderId="0" xfId="0" applyFont="1"/>
    <xf numFmtId="44" fontId="43" fillId="10" borderId="76" xfId="1" applyFont="1" applyFill="1" applyBorder="1" applyProtection="1">
      <protection locked="0"/>
    </xf>
    <xf numFmtId="0" fontId="0" fillId="0" borderId="31" xfId="0" applyBorder="1"/>
    <xf numFmtId="0" fontId="0" fillId="0" borderId="124" xfId="0" applyBorder="1"/>
    <xf numFmtId="0" fontId="0" fillId="0" borderId="125" xfId="0" applyBorder="1"/>
    <xf numFmtId="0" fontId="0" fillId="0" borderId="101" xfId="0" applyBorder="1"/>
    <xf numFmtId="0" fontId="0" fillId="0" borderId="79" xfId="0" applyBorder="1"/>
    <xf numFmtId="0" fontId="13" fillId="0" borderId="79" xfId="0" applyFont="1" applyBorder="1" applyAlignment="1">
      <alignment horizontal="right"/>
    </xf>
    <xf numFmtId="0" fontId="0" fillId="0" borderId="79" xfId="0" applyBorder="1" applyAlignment="1">
      <alignment horizontal="center"/>
    </xf>
    <xf numFmtId="0" fontId="0" fillId="0" borderId="79" xfId="0" applyBorder="1" applyProtection="1">
      <protection locked="0"/>
    </xf>
    <xf numFmtId="0" fontId="0" fillId="0" borderId="78" xfId="0" applyBorder="1"/>
    <xf numFmtId="49" fontId="13" fillId="0" borderId="100" xfId="0" applyNumberFormat="1" applyFont="1" applyBorder="1" applyAlignment="1">
      <alignment horizontal="right"/>
    </xf>
    <xf numFmtId="0" fontId="0" fillId="0" borderId="100" xfId="0" applyBorder="1"/>
    <xf numFmtId="0" fontId="0" fillId="0" borderId="0" xfId="0" applyAlignment="1">
      <alignment horizontal="left" vertical="top"/>
    </xf>
    <xf numFmtId="0" fontId="53" fillId="0" borderId="0" xfId="0" applyFont="1" applyProtection="1">
      <protection locked="0"/>
    </xf>
    <xf numFmtId="0" fontId="23" fillId="0" borderId="0" xfId="0" applyFont="1" applyAlignment="1">
      <alignment horizontal="right"/>
    </xf>
    <xf numFmtId="9" fontId="67" fillId="0" borderId="66" xfId="4" applyFont="1" applyBorder="1"/>
    <xf numFmtId="0" fontId="58" fillId="0" borderId="0" xfId="0" applyFont="1"/>
    <xf numFmtId="0" fontId="13" fillId="0" borderId="0" xfId="0" applyFont="1" applyAlignment="1">
      <alignment horizontal="center"/>
    </xf>
    <xf numFmtId="0" fontId="0" fillId="0" borderId="0" xfId="0" applyAlignment="1" applyProtection="1">
      <alignment horizontal="center"/>
      <protection locked="0"/>
    </xf>
    <xf numFmtId="0" fontId="0" fillId="0" borderId="71" xfId="0" applyBorder="1"/>
    <xf numFmtId="0" fontId="23" fillId="0" borderId="0" xfId="0" applyFont="1"/>
    <xf numFmtId="0" fontId="0" fillId="0" borderId="12" xfId="0" applyBorder="1"/>
    <xf numFmtId="0" fontId="0" fillId="0" borderId="126" xfId="0" applyBorder="1"/>
    <xf numFmtId="0" fontId="0" fillId="0" borderId="127" xfId="0" applyBorder="1"/>
    <xf numFmtId="0" fontId="32" fillId="0" borderId="0" xfId="0" applyFont="1" applyAlignment="1">
      <alignment horizontal="right"/>
    </xf>
    <xf numFmtId="0" fontId="0" fillId="0" borderId="71" xfId="0" applyBorder="1" applyAlignment="1" applyProtection="1">
      <alignment horizontal="left"/>
      <protection locked="0"/>
    </xf>
    <xf numFmtId="0" fontId="58" fillId="0" borderId="0" xfId="0" applyFont="1" applyAlignment="1">
      <alignment horizontal="center"/>
    </xf>
    <xf numFmtId="0" fontId="63" fillId="0" borderId="0" xfId="0" applyFont="1" applyAlignment="1">
      <alignment horizontal="center"/>
    </xf>
    <xf numFmtId="0" fontId="0" fillId="0" borderId="131" xfId="0" applyBorder="1" applyAlignment="1">
      <alignment horizontal="right"/>
    </xf>
    <xf numFmtId="0" fontId="13" fillId="0" borderId="100" xfId="0" applyFont="1" applyBorder="1" applyProtection="1">
      <protection locked="0"/>
    </xf>
    <xf numFmtId="0" fontId="13" fillId="0" borderId="0" xfId="0" applyFont="1" applyProtection="1">
      <protection locked="0"/>
    </xf>
    <xf numFmtId="0" fontId="0" fillId="0" borderId="132" xfId="0" applyBorder="1" applyAlignment="1">
      <alignment horizontal="right"/>
    </xf>
    <xf numFmtId="0" fontId="64" fillId="0" borderId="100" xfId="0" applyFont="1" applyBorder="1" applyProtection="1">
      <protection locked="0"/>
    </xf>
    <xf numFmtId="0" fontId="64" fillId="0" borderId="0" xfId="0" applyFont="1" applyProtection="1">
      <protection locked="0"/>
    </xf>
    <xf numFmtId="49" fontId="13" fillId="0" borderId="100" xfId="0" applyNumberFormat="1" applyFont="1" applyBorder="1" applyAlignment="1">
      <alignment horizontal="center"/>
    </xf>
    <xf numFmtId="49" fontId="0" fillId="0" borderId="100" xfId="0" applyNumberFormat="1" applyBorder="1"/>
    <xf numFmtId="0" fontId="63" fillId="0" borderId="0" xfId="0" applyFont="1" applyAlignment="1">
      <alignment horizontal="left" indent="5"/>
    </xf>
    <xf numFmtId="0" fontId="57" fillId="0" borderId="0" xfId="0" applyFont="1" applyAlignment="1">
      <alignment horizontal="left" indent="1"/>
    </xf>
    <xf numFmtId="0" fontId="0" fillId="0" borderId="99" xfId="0" applyBorder="1" applyAlignment="1">
      <alignment horizontal="center"/>
    </xf>
    <xf numFmtId="9" fontId="64" fillId="0" borderId="66" xfId="4" applyFont="1" applyBorder="1" applyAlignment="1">
      <alignment horizontal="center"/>
    </xf>
    <xf numFmtId="0" fontId="68" fillId="0" borderId="0" xfId="0" applyFont="1"/>
    <xf numFmtId="49" fontId="0" fillId="0" borderId="0" xfId="0" applyNumberFormat="1" applyAlignment="1">
      <alignment horizontal="right"/>
    </xf>
    <xf numFmtId="49" fontId="23" fillId="0" borderId="100" xfId="0" applyNumberFormat="1" applyFont="1" applyBorder="1"/>
    <xf numFmtId="0" fontId="23" fillId="0" borderId="101" xfId="0" applyFont="1" applyBorder="1"/>
    <xf numFmtId="176" fontId="23" fillId="0" borderId="0" xfId="0" applyNumberFormat="1" applyFont="1"/>
    <xf numFmtId="42" fontId="0" fillId="0" borderId="0" xfId="0" applyNumberFormat="1"/>
    <xf numFmtId="0" fontId="13" fillId="0" borderId="74" xfId="0" applyFont="1" applyBorder="1" applyAlignment="1">
      <alignment horizontal="right"/>
    </xf>
    <xf numFmtId="0" fontId="13" fillId="0" borderId="10" xfId="0" applyFont="1" applyBorder="1" applyAlignment="1">
      <alignment horizontal="right"/>
    </xf>
    <xf numFmtId="0" fontId="58" fillId="0" borderId="0" xfId="0" applyFont="1" applyAlignment="1">
      <alignment horizontal="right"/>
    </xf>
    <xf numFmtId="2" fontId="33" fillId="0" borderId="0" xfId="0" applyNumberFormat="1" applyFont="1" applyAlignment="1">
      <alignment horizontal="center"/>
    </xf>
    <xf numFmtId="0" fontId="15" fillId="0" borderId="6" xfId="0" applyFont="1" applyBorder="1"/>
    <xf numFmtId="0" fontId="33" fillId="0" borderId="133" xfId="0" applyFont="1" applyBorder="1"/>
    <xf numFmtId="0" fontId="33" fillId="0" borderId="134" xfId="0" applyFont="1" applyBorder="1"/>
    <xf numFmtId="0" fontId="15" fillId="0" borderId="4" xfId="0" applyFont="1" applyBorder="1"/>
    <xf numFmtId="0" fontId="33" fillId="0" borderId="5" xfId="0" applyFont="1" applyBorder="1"/>
    <xf numFmtId="0" fontId="15" fillId="0" borderId="8" xfId="0" applyFont="1" applyBorder="1"/>
    <xf numFmtId="0" fontId="33" fillId="0" borderId="1" xfId="0" applyFont="1" applyBorder="1"/>
    <xf numFmtId="0" fontId="33" fillId="0" borderId="11" xfId="0" applyFont="1" applyBorder="1"/>
    <xf numFmtId="0" fontId="15" fillId="0" borderId="31" xfId="0" applyFont="1" applyBorder="1"/>
    <xf numFmtId="0" fontId="33" fillId="0" borderId="124" xfId="0" applyFont="1" applyBorder="1"/>
    <xf numFmtId="0" fontId="33" fillId="0" borderId="125" xfId="0" applyFont="1" applyBorder="1"/>
    <xf numFmtId="0" fontId="15" fillId="0" borderId="100" xfId="0" applyFont="1" applyBorder="1"/>
    <xf numFmtId="0" fontId="33" fillId="0" borderId="101" xfId="0" applyFont="1" applyBorder="1"/>
    <xf numFmtId="0" fontId="15" fillId="0" borderId="12" xfId="0" applyFont="1" applyBorder="1"/>
    <xf numFmtId="0" fontId="33" fillId="0" borderId="126" xfId="0" applyFont="1" applyBorder="1"/>
    <xf numFmtId="0" fontId="33" fillId="0" borderId="127" xfId="0" applyFont="1" applyBorder="1"/>
    <xf numFmtId="8" fontId="15" fillId="0" borderId="1" xfId="1" applyNumberFormat="1" applyFont="1" applyFill="1" applyBorder="1" applyProtection="1"/>
    <xf numFmtId="2" fontId="11" fillId="0" borderId="18" xfId="0" applyNumberFormat="1" applyFont="1" applyBorder="1"/>
    <xf numFmtId="2" fontId="11" fillId="3" borderId="62" xfId="0" applyNumberFormat="1" applyFont="1" applyFill="1" applyBorder="1"/>
    <xf numFmtId="49" fontId="46" fillId="0" borderId="112" xfId="0" applyNumberFormat="1" applyFont="1" applyBorder="1" applyProtection="1">
      <protection locked="0"/>
    </xf>
    <xf numFmtId="49" fontId="45" fillId="0" borderId="111" xfId="0" applyNumberFormat="1" applyFont="1" applyBorder="1" applyAlignment="1" applyProtection="1">
      <alignment horizontal="left" indent="1"/>
      <protection locked="0"/>
    </xf>
    <xf numFmtId="49" fontId="45" fillId="0" borderId="112" xfId="0" applyNumberFormat="1" applyFont="1" applyBorder="1" applyProtection="1">
      <protection locked="0"/>
    </xf>
    <xf numFmtId="49" fontId="46" fillId="0" borderId="111" xfId="0" applyNumberFormat="1" applyFont="1" applyBorder="1" applyProtection="1">
      <protection locked="0"/>
    </xf>
    <xf numFmtId="44" fontId="0" fillId="0" borderId="127" xfId="0" applyNumberFormat="1" applyBorder="1" applyAlignment="1">
      <alignment horizontal="right"/>
    </xf>
    <xf numFmtId="0" fontId="15" fillId="0" borderId="0" xfId="0" applyFont="1" applyAlignment="1">
      <alignment horizontal="right"/>
    </xf>
    <xf numFmtId="0" fontId="13" fillId="0" borderId="0" xfId="0" applyFont="1" applyAlignment="1" applyProtection="1">
      <alignment horizontal="center"/>
      <protection locked="0"/>
    </xf>
    <xf numFmtId="0" fontId="13" fillId="0" borderId="0" xfId="0" applyFont="1" applyAlignment="1">
      <alignment horizontal="left"/>
    </xf>
    <xf numFmtId="17" fontId="8" fillId="0" borderId="71" xfId="0" applyNumberFormat="1" applyFont="1" applyBorder="1" applyAlignment="1">
      <alignment horizontal="right"/>
    </xf>
    <xf numFmtId="173" fontId="19" fillId="16" borderId="71" xfId="0" applyNumberFormat="1" applyFont="1" applyFill="1" applyBorder="1" applyAlignment="1" applyProtection="1">
      <alignment horizontal="center"/>
      <protection locked="0"/>
    </xf>
    <xf numFmtId="0" fontId="15" fillId="0" borderId="71" xfId="0" applyFont="1" applyBorder="1"/>
    <xf numFmtId="14" fontId="0" fillId="16" borderId="139" xfId="0" applyNumberFormat="1" applyFill="1" applyBorder="1" applyProtection="1">
      <protection locked="0"/>
    </xf>
    <xf numFmtId="18" fontId="0" fillId="16" borderId="139" xfId="0" applyNumberFormat="1" applyFill="1" applyBorder="1" applyAlignment="1" applyProtection="1">
      <alignment horizontal="left" indent="1"/>
      <protection locked="0"/>
    </xf>
    <xf numFmtId="0" fontId="8" fillId="0" borderId="71" xfId="0" applyFont="1" applyBorder="1" applyAlignment="1">
      <alignment horizontal="right"/>
    </xf>
    <xf numFmtId="49" fontId="12" fillId="0" borderId="140" xfId="0" applyNumberFormat="1" applyFont="1" applyBorder="1"/>
    <xf numFmtId="0" fontId="12" fillId="0" borderId="141" xfId="0" applyFont="1" applyBorder="1"/>
    <xf numFmtId="1" fontId="12" fillId="0" borderId="142" xfId="0" applyNumberFormat="1" applyFont="1" applyBorder="1"/>
    <xf numFmtId="49" fontId="11" fillId="5" borderId="143" xfId="0" applyNumberFormat="1" applyFont="1" applyFill="1" applyBorder="1" applyAlignment="1">
      <alignment horizontal="center"/>
    </xf>
    <xf numFmtId="0" fontId="11" fillId="13" borderId="8" xfId="0" applyFont="1" applyFill="1" applyBorder="1"/>
    <xf numFmtId="0" fontId="11" fillId="13" borderId="1" xfId="0" applyFont="1" applyFill="1" applyBorder="1"/>
    <xf numFmtId="0" fontId="11" fillId="13" borderId="11" xfId="0" applyFont="1" applyFill="1" applyBorder="1"/>
    <xf numFmtId="2" fontId="0" fillId="0" borderId="76" xfId="0" applyNumberFormat="1" applyBorder="1"/>
    <xf numFmtId="44" fontId="0" fillId="0" borderId="76" xfId="0" applyNumberFormat="1" applyBorder="1"/>
    <xf numFmtId="7" fontId="0" fillId="0" borderId="76" xfId="0" applyNumberFormat="1" applyBorder="1"/>
    <xf numFmtId="0" fontId="51" fillId="14" borderId="78" xfId="35" applyFill="1" applyBorder="1" applyAlignment="1">
      <alignment horizontal="right" wrapText="1"/>
    </xf>
    <xf numFmtId="44" fontId="0" fillId="14" borderId="81" xfId="0" applyNumberFormat="1" applyFill="1" applyBorder="1" applyAlignment="1">
      <alignment horizontal="right"/>
    </xf>
    <xf numFmtId="44" fontId="0" fillId="14" borderId="82" xfId="0" applyNumberFormat="1" applyFill="1" applyBorder="1" applyAlignment="1">
      <alignment horizontal="right"/>
    </xf>
    <xf numFmtId="44" fontId="0" fillId="14" borderId="84" xfId="0" applyNumberFormat="1" applyFill="1" applyBorder="1" applyAlignment="1">
      <alignment horizontal="right"/>
    </xf>
    <xf numFmtId="44" fontId="0" fillId="14" borderId="76" xfId="0" applyNumberFormat="1" applyFill="1" applyBorder="1" applyAlignment="1">
      <alignment horizontal="right"/>
    </xf>
    <xf numFmtId="0" fontId="51" fillId="22" borderId="78" xfId="35" applyFill="1" applyBorder="1" applyAlignment="1">
      <alignment horizontal="right" wrapText="1"/>
    </xf>
    <xf numFmtId="44" fontId="0" fillId="22" borderId="81" xfId="0" applyNumberFormat="1" applyFill="1" applyBorder="1" applyAlignment="1">
      <alignment horizontal="right"/>
    </xf>
    <xf numFmtId="44" fontId="0" fillId="22" borderId="82" xfId="0" applyNumberFormat="1" applyFill="1" applyBorder="1" applyAlignment="1">
      <alignment horizontal="right"/>
    </xf>
    <xf numFmtId="44" fontId="0" fillId="22" borderId="84" xfId="0" applyNumberFormat="1" applyFill="1" applyBorder="1" applyAlignment="1">
      <alignment horizontal="right"/>
    </xf>
    <xf numFmtId="44" fontId="0" fillId="22" borderId="76" xfId="0" applyNumberFormat="1" applyFill="1" applyBorder="1" applyAlignment="1">
      <alignment horizontal="right"/>
    </xf>
    <xf numFmtId="0" fontId="15" fillId="16" borderId="66" xfId="0" applyFont="1" applyFill="1" applyBorder="1" applyProtection="1">
      <protection locked="0"/>
    </xf>
    <xf numFmtId="178" fontId="0" fillId="0" borderId="0" xfId="0" applyNumberFormat="1" applyAlignment="1">
      <alignment horizontal="left"/>
    </xf>
    <xf numFmtId="49" fontId="0" fillId="0" borderId="0" xfId="0" applyNumberFormat="1" applyAlignment="1">
      <alignment horizontal="left"/>
    </xf>
    <xf numFmtId="179" fontId="0" fillId="0" borderId="0" xfId="0" applyNumberFormat="1" applyAlignment="1">
      <alignment horizontal="left"/>
    </xf>
    <xf numFmtId="0" fontId="23" fillId="0" borderId="0" xfId="0" applyFont="1" applyAlignment="1">
      <alignment vertical="center"/>
    </xf>
    <xf numFmtId="0" fontId="81" fillId="0" borderId="0" xfId="0" applyFont="1" applyAlignment="1">
      <alignment horizontal="right" vertical="center"/>
    </xf>
    <xf numFmtId="0" fontId="81" fillId="0" borderId="0" xfId="0" applyFont="1" applyAlignment="1">
      <alignment horizontal="left" vertical="center"/>
    </xf>
    <xf numFmtId="180" fontId="23" fillId="0" borderId="0" xfId="0" applyNumberFormat="1" applyFont="1"/>
    <xf numFmtId="0" fontId="32" fillId="0" borderId="126" xfId="0" applyFont="1" applyBorder="1"/>
    <xf numFmtId="0" fontId="81" fillId="0" borderId="126" xfId="0" applyFont="1" applyBorder="1"/>
    <xf numFmtId="0" fontId="23" fillId="0" borderId="126" xfId="0" applyFont="1" applyBorder="1" applyAlignment="1">
      <alignment horizontal="center"/>
    </xf>
    <xf numFmtId="0" fontId="13" fillId="0" borderId="126" xfId="0" applyFont="1" applyBorder="1" applyAlignment="1">
      <alignment horizontal="center"/>
    </xf>
    <xf numFmtId="0" fontId="63" fillId="0" borderId="145" xfId="0" applyFont="1" applyBorder="1" applyAlignment="1">
      <alignment horizontal="center" wrapText="1"/>
    </xf>
    <xf numFmtId="0" fontId="23" fillId="0" borderId="79" xfId="0" applyFont="1" applyBorder="1" applyAlignment="1">
      <alignment horizontal="center" wrapText="1"/>
    </xf>
    <xf numFmtId="0" fontId="63" fillId="0" borderId="79" xfId="0" applyFont="1" applyBorder="1" applyAlignment="1">
      <alignment horizontal="center" wrapText="1"/>
    </xf>
    <xf numFmtId="0" fontId="81" fillId="0" borderId="91" xfId="0" applyFont="1" applyBorder="1" applyAlignment="1">
      <alignment horizontal="center" vertical="center" wrapText="1"/>
    </xf>
    <xf numFmtId="0" fontId="23" fillId="0" borderId="0" xfId="0" applyFont="1" applyAlignment="1">
      <alignment horizontal="center" wrapText="1"/>
    </xf>
    <xf numFmtId="0" fontId="63" fillId="21" borderId="151" xfId="0" applyFont="1" applyFill="1" applyBorder="1" applyAlignment="1">
      <alignment horizontal="left"/>
    </xf>
    <xf numFmtId="0" fontId="63" fillId="21" borderId="152" xfId="0" applyFont="1" applyFill="1" applyBorder="1"/>
    <xf numFmtId="0" fontId="23" fillId="21" borderId="152" xfId="0" applyFont="1" applyFill="1" applyBorder="1"/>
    <xf numFmtId="171" fontId="23" fillId="21" borderId="147" xfId="0" applyNumberFormat="1" applyFont="1" applyFill="1" applyBorder="1"/>
    <xf numFmtId="171" fontId="23" fillId="21" borderId="152" xfId="0" applyNumberFormat="1" applyFont="1" applyFill="1" applyBorder="1"/>
    <xf numFmtId="171" fontId="23" fillId="21" borderId="153" xfId="0" applyNumberFormat="1" applyFont="1" applyFill="1" applyBorder="1"/>
    <xf numFmtId="1" fontId="23" fillId="21" borderId="154" xfId="0" applyNumberFormat="1" applyFont="1" applyFill="1" applyBorder="1"/>
    <xf numFmtId="1" fontId="23" fillId="21" borderId="154" xfId="0" applyNumberFormat="1" applyFont="1" applyFill="1" applyBorder="1" applyAlignment="1">
      <alignment horizontal="center"/>
    </xf>
    <xf numFmtId="0" fontId="82" fillId="0" borderId="151" xfId="0" applyFont="1" applyBorder="1"/>
    <xf numFmtId="0" fontId="82" fillId="0" borderId="152" xfId="0" applyFont="1" applyBorder="1"/>
    <xf numFmtId="0" fontId="82" fillId="0" borderId="153" xfId="0" applyFont="1" applyBorder="1"/>
    <xf numFmtId="14" fontId="23" fillId="0" borderId="0" xfId="0" applyNumberFormat="1" applyFont="1"/>
    <xf numFmtId="166" fontId="23" fillId="0" borderId="67" xfId="0" applyNumberFormat="1" applyFont="1" applyBorder="1" applyAlignment="1">
      <alignment horizontal="left"/>
    </xf>
    <xf numFmtId="0" fontId="23" fillId="0" borderId="0" xfId="0" applyFont="1" applyProtection="1">
      <protection locked="0"/>
    </xf>
    <xf numFmtId="171" fontId="23" fillId="0" borderId="0" xfId="0" applyNumberFormat="1" applyFont="1" applyProtection="1">
      <protection locked="0"/>
    </xf>
    <xf numFmtId="1" fontId="23" fillId="0" borderId="155" xfId="0" applyNumberFormat="1" applyFont="1" applyBorder="1"/>
    <xf numFmtId="1" fontId="23" fillId="0" borderId="155" xfId="0" applyNumberFormat="1" applyFont="1" applyBorder="1" applyAlignment="1">
      <alignment horizontal="center"/>
    </xf>
    <xf numFmtId="0" fontId="82" fillId="0" borderId="156" xfId="0" applyFont="1" applyBorder="1"/>
    <xf numFmtId="0" fontId="82" fillId="0" borderId="147" xfId="0" applyFont="1" applyBorder="1"/>
    <xf numFmtId="0" fontId="82" fillId="0" borderId="157" xfId="0" applyFont="1" applyBorder="1"/>
    <xf numFmtId="2" fontId="23" fillId="0" borderId="67" xfId="0" applyNumberFormat="1" applyFont="1" applyBorder="1" applyAlignment="1">
      <alignment horizontal="left"/>
    </xf>
    <xf numFmtId="0" fontId="63" fillId="21" borderId="156" xfId="0" applyFont="1" applyFill="1" applyBorder="1" applyAlignment="1">
      <alignment horizontal="left"/>
    </xf>
    <xf numFmtId="0" fontId="63" fillId="21" borderId="147" xfId="0" applyFont="1" applyFill="1" applyBorder="1"/>
    <xf numFmtId="0" fontId="23" fillId="21" borderId="147" xfId="0" applyFont="1" applyFill="1" applyBorder="1"/>
    <xf numFmtId="171" fontId="23" fillId="21" borderId="157" xfId="0" applyNumberFormat="1" applyFont="1" applyFill="1" applyBorder="1"/>
    <xf numFmtId="1" fontId="23" fillId="21" borderId="155" xfId="0" applyNumberFormat="1" applyFont="1" applyFill="1" applyBorder="1"/>
    <xf numFmtId="1" fontId="23" fillId="21" borderId="155" xfId="0" applyNumberFormat="1" applyFont="1" applyFill="1" applyBorder="1" applyAlignment="1">
      <alignment horizontal="center"/>
    </xf>
    <xf numFmtId="0" fontId="23" fillId="0" borderId="67" xfId="0" applyFont="1" applyBorder="1" applyAlignment="1">
      <alignment horizontal="left"/>
    </xf>
    <xf numFmtId="2" fontId="23" fillId="0" borderId="65" xfId="0" applyNumberFormat="1" applyFont="1" applyBorder="1" applyAlignment="1">
      <alignment horizontal="left"/>
    </xf>
    <xf numFmtId="0" fontId="23" fillId="0" borderId="71" xfId="0" applyFont="1" applyBorder="1"/>
    <xf numFmtId="0" fontId="23" fillId="0" borderId="71" xfId="0" applyFont="1" applyBorder="1" applyProtection="1">
      <protection locked="0"/>
    </xf>
    <xf numFmtId="171" fontId="23" fillId="0" borderId="71" xfId="0" applyNumberFormat="1" applyFont="1" applyBorder="1" applyProtection="1">
      <protection locked="0"/>
    </xf>
    <xf numFmtId="171" fontId="23" fillId="0" borderId="116" xfId="0" applyNumberFormat="1" applyFont="1" applyBorder="1" applyProtection="1">
      <protection locked="0"/>
    </xf>
    <xf numFmtId="1" fontId="23" fillId="0" borderId="158" xfId="0" applyNumberFormat="1" applyFont="1" applyBorder="1"/>
    <xf numFmtId="1" fontId="23" fillId="0" borderId="158" xfId="0" applyNumberFormat="1" applyFont="1" applyBorder="1" applyAlignment="1">
      <alignment horizontal="center"/>
    </xf>
    <xf numFmtId="0" fontId="82" fillId="0" borderId="159" xfId="0" applyFont="1" applyBorder="1"/>
    <xf numFmtId="0" fontId="82" fillId="0" borderId="160" xfId="0" applyFont="1" applyBorder="1"/>
    <xf numFmtId="0" fontId="82" fillId="0" borderId="161" xfId="0" applyFont="1" applyBorder="1"/>
    <xf numFmtId="0" fontId="23" fillId="0" borderId="0" xfId="0" applyFont="1" applyAlignment="1">
      <alignment horizontal="left"/>
    </xf>
    <xf numFmtId="171" fontId="23" fillId="0" borderId="0" xfId="0" applyNumberFormat="1" applyFont="1"/>
    <xf numFmtId="0" fontId="23" fillId="0" borderId="0" xfId="0" applyFont="1" applyAlignment="1">
      <alignment horizontal="center"/>
    </xf>
    <xf numFmtId="0" fontId="13" fillId="0" borderId="0" xfId="0" applyFont="1" applyAlignment="1">
      <alignment vertical="center"/>
    </xf>
    <xf numFmtId="1" fontId="23" fillId="0" borderId="0" xfId="0" applyNumberFormat="1" applyFont="1" applyAlignment="1">
      <alignment vertical="center"/>
    </xf>
    <xf numFmtId="0" fontId="8" fillId="0" borderId="49" xfId="0" applyFont="1" applyBorder="1"/>
    <xf numFmtId="0" fontId="8" fillId="0" borderId="49" xfId="0" applyFont="1" applyBorder="1" applyAlignment="1">
      <alignment horizontal="center"/>
    </xf>
    <xf numFmtId="0" fontId="8" fillId="0" borderId="49" xfId="0" applyFont="1" applyBorder="1" applyAlignment="1">
      <alignment horizontal="center" wrapText="1"/>
    </xf>
    <xf numFmtId="0" fontId="8" fillId="0" borderId="49" xfId="0" applyFont="1" applyBorder="1" applyAlignment="1">
      <alignment wrapText="1"/>
    </xf>
    <xf numFmtId="0" fontId="8" fillId="8" borderId="49" xfId="0" applyFont="1" applyFill="1" applyBorder="1" applyAlignment="1">
      <alignment horizontal="center" wrapText="1"/>
    </xf>
    <xf numFmtId="0" fontId="8" fillId="0" borderId="49" xfId="0" applyFont="1" applyBorder="1" applyAlignment="1">
      <alignment horizontal="center" vertical="center" wrapText="1"/>
    </xf>
    <xf numFmtId="0" fontId="8" fillId="8" borderId="49" xfId="0" applyFont="1" applyFill="1" applyBorder="1" applyAlignment="1">
      <alignment wrapText="1"/>
    </xf>
    <xf numFmtId="0" fontId="8" fillId="0" borderId="55" xfId="0" applyFont="1" applyBorder="1" applyAlignment="1">
      <alignment wrapText="1"/>
    </xf>
    <xf numFmtId="0" fontId="33" fillId="0" borderId="66" xfId="0" applyFont="1" applyBorder="1" applyAlignment="1" applyProtection="1">
      <alignment horizontal="center"/>
      <protection locked="0"/>
    </xf>
    <xf numFmtId="0" fontId="33" fillId="0" borderId="0" xfId="0" applyFont="1" applyAlignment="1">
      <alignment horizontal="right"/>
    </xf>
    <xf numFmtId="0" fontId="78" fillId="0" borderId="0" xfId="0" applyFont="1" applyProtection="1">
      <protection locked="0"/>
    </xf>
    <xf numFmtId="0" fontId="0" fillId="11" borderId="0" xfId="0" applyFill="1" applyAlignment="1" applyProtection="1">
      <alignment horizontal="right"/>
      <protection hidden="1"/>
    </xf>
    <xf numFmtId="165" fontId="0" fillId="11" borderId="76" xfId="0" applyNumberFormat="1" applyFill="1" applyBorder="1" applyProtection="1">
      <protection hidden="1"/>
    </xf>
    <xf numFmtId="10" fontId="0" fillId="11" borderId="76" xfId="2" applyNumberFormat="1" applyFont="1" applyFill="1" applyBorder="1" applyAlignment="1" applyProtection="1">
      <alignment horizontal="right"/>
      <protection hidden="1"/>
    </xf>
    <xf numFmtId="0" fontId="11" fillId="13" borderId="30" xfId="0" applyFont="1" applyFill="1" applyBorder="1"/>
    <xf numFmtId="0" fontId="11" fillId="13" borderId="68" xfId="0" applyFont="1" applyFill="1" applyBorder="1"/>
    <xf numFmtId="0" fontId="11" fillId="13" borderId="162" xfId="0" applyFont="1" applyFill="1" applyBorder="1"/>
    <xf numFmtId="0" fontId="53" fillId="0" borderId="0" xfId="0" applyFont="1"/>
    <xf numFmtId="164" fontId="31" fillId="16" borderId="15" xfId="2" applyNumberFormat="1" applyFont="1" applyFill="1" applyBorder="1" applyProtection="1">
      <protection locked="0"/>
    </xf>
    <xf numFmtId="164" fontId="31" fillId="16" borderId="15" xfId="2" applyNumberFormat="1" applyFont="1" applyFill="1" applyBorder="1" applyAlignment="1" applyProtection="1">
      <alignment vertical="center"/>
      <protection locked="0"/>
    </xf>
    <xf numFmtId="44" fontId="19" fillId="5" borderId="26" xfId="1" applyFont="1" applyFill="1" applyBorder="1" applyAlignment="1">
      <alignment horizontal="right"/>
    </xf>
    <xf numFmtId="44" fontId="30" fillId="5" borderId="43" xfId="1" applyFont="1" applyFill="1" applyBorder="1"/>
    <xf numFmtId="44" fontId="30" fillId="5" borderId="43" xfId="1" applyFont="1" applyFill="1" applyBorder="1" applyAlignment="1">
      <alignment vertical="center"/>
    </xf>
    <xf numFmtId="44" fontId="24" fillId="24" borderId="50" xfId="1" applyFont="1" applyFill="1" applyBorder="1" applyProtection="1">
      <protection locked="0"/>
    </xf>
    <xf numFmtId="2" fontId="12" fillId="4" borderId="15" xfId="0" applyNumberFormat="1" applyFont="1" applyFill="1" applyBorder="1" applyAlignment="1">
      <alignment horizontal="center"/>
    </xf>
    <xf numFmtId="165" fontId="24" fillId="0" borderId="15" xfId="0" applyNumberFormat="1" applyFont="1" applyBorder="1" applyAlignment="1">
      <alignment horizontal="center"/>
    </xf>
    <xf numFmtId="0" fontId="83" fillId="16" borderId="23" xfId="0" applyFont="1" applyFill="1" applyBorder="1" applyProtection="1">
      <protection locked="0"/>
    </xf>
    <xf numFmtId="165" fontId="12" fillId="5" borderId="50" xfId="1" applyNumberFormat="1" applyFont="1" applyFill="1" applyBorder="1"/>
    <xf numFmtId="44" fontId="11" fillId="0" borderId="0" xfId="1" applyFont="1" applyBorder="1" applyProtection="1">
      <protection locked="0"/>
    </xf>
    <xf numFmtId="44" fontId="12" fillId="0" borderId="0" xfId="1" applyFont="1" applyBorder="1" applyProtection="1">
      <protection locked="0"/>
    </xf>
    <xf numFmtId="44" fontId="12" fillId="0" borderId="0" xfId="1" applyFont="1" applyBorder="1" applyAlignment="1" applyProtection="1">
      <alignment horizontal="center"/>
      <protection locked="0"/>
    </xf>
    <xf numFmtId="0" fontId="0" fillId="11" borderId="0" xfId="0" applyFill="1" applyAlignment="1">
      <alignment horizontal="right"/>
    </xf>
    <xf numFmtId="0" fontId="32" fillId="11" borderId="0" xfId="0" applyFont="1" applyFill="1" applyAlignment="1">
      <alignment horizontal="right"/>
    </xf>
    <xf numFmtId="0" fontId="0" fillId="11" borderId="77" xfId="0" applyFill="1" applyBorder="1" applyAlignment="1">
      <alignment horizontal="right"/>
    </xf>
    <xf numFmtId="0" fontId="32" fillId="11" borderId="79" xfId="0" applyFont="1" applyFill="1" applyBorder="1" applyAlignment="1">
      <alignment horizontal="right"/>
    </xf>
    <xf numFmtId="44" fontId="0" fillId="11" borderId="78" xfId="5" applyFont="1" applyFill="1" applyBorder="1" applyAlignment="1">
      <alignment horizontal="left"/>
    </xf>
    <xf numFmtId="44" fontId="0" fillId="11" borderId="0" xfId="5" applyFont="1" applyFill="1" applyAlignment="1">
      <alignment horizontal="left"/>
    </xf>
    <xf numFmtId="44" fontId="0" fillId="11" borderId="0" xfId="5" applyFont="1" applyFill="1" applyBorder="1" applyAlignment="1">
      <alignment horizontal="left"/>
    </xf>
    <xf numFmtId="0" fontId="15" fillId="11" borderId="31" xfId="0" applyFont="1" applyFill="1" applyBorder="1" applyAlignment="1">
      <alignment horizontal="right"/>
    </xf>
    <xf numFmtId="0" fontId="15" fillId="11" borderId="124" xfId="0" applyFont="1" applyFill="1" applyBorder="1" applyAlignment="1">
      <alignment horizontal="left"/>
    </xf>
    <xf numFmtId="0" fontId="15" fillId="11" borderId="124" xfId="0" applyFont="1" applyFill="1" applyBorder="1" applyAlignment="1">
      <alignment horizontal="right"/>
    </xf>
    <xf numFmtId="49" fontId="15" fillId="11" borderId="125" xfId="0" applyNumberFormat="1" applyFont="1" applyFill="1" applyBorder="1" applyAlignment="1">
      <alignment horizontal="right"/>
    </xf>
    <xf numFmtId="49" fontId="15" fillId="11" borderId="0" xfId="0" applyNumberFormat="1" applyFont="1" applyFill="1" applyAlignment="1">
      <alignment horizontal="right"/>
    </xf>
    <xf numFmtId="14" fontId="15" fillId="11" borderId="124" xfId="0" applyNumberFormat="1" applyFont="1" applyFill="1" applyBorder="1" applyAlignment="1">
      <alignment horizontal="left"/>
    </xf>
    <xf numFmtId="49" fontId="15" fillId="11" borderId="125" xfId="0" applyNumberFormat="1" applyFont="1" applyFill="1" applyBorder="1"/>
    <xf numFmtId="0" fontId="15" fillId="11" borderId="0" xfId="0" applyFont="1" applyFill="1" applyAlignment="1">
      <alignment horizontal="right"/>
    </xf>
    <xf numFmtId="0" fontId="0" fillId="11" borderId="100" xfId="0" applyFill="1" applyBorder="1" applyAlignment="1">
      <alignment horizontal="right"/>
    </xf>
    <xf numFmtId="0" fontId="0" fillId="11" borderId="101" xfId="0" applyFill="1" applyBorder="1" applyAlignment="1">
      <alignment horizontal="right"/>
    </xf>
    <xf numFmtId="0" fontId="32" fillId="11" borderId="93" xfId="0" applyFont="1" applyFill="1" applyBorder="1" applyAlignment="1">
      <alignment horizontal="right"/>
    </xf>
    <xf numFmtId="44" fontId="0" fillId="11" borderId="66" xfId="5" applyFont="1" applyFill="1" applyBorder="1" applyAlignment="1">
      <alignment horizontal="right"/>
    </xf>
    <xf numFmtId="44" fontId="0" fillId="11" borderId="99" xfId="5" applyFont="1" applyFill="1" applyBorder="1" applyAlignment="1">
      <alignment horizontal="right"/>
    </xf>
    <xf numFmtId="44" fontId="0" fillId="11" borderId="76" xfId="5" applyFont="1" applyFill="1" applyBorder="1" applyAlignment="1">
      <alignment horizontal="right"/>
    </xf>
    <xf numFmtId="44" fontId="0" fillId="11" borderId="73" xfId="5" applyFont="1" applyFill="1" applyBorder="1" applyAlignment="1">
      <alignment horizontal="right"/>
    </xf>
    <xf numFmtId="44" fontId="0" fillId="11" borderId="0" xfId="5" applyFont="1" applyFill="1" applyBorder="1" applyAlignment="1">
      <alignment horizontal="right"/>
    </xf>
    <xf numFmtId="44" fontId="13" fillId="11" borderId="101" xfId="5" applyFont="1" applyFill="1" applyBorder="1" applyAlignment="1">
      <alignment horizontal="right"/>
    </xf>
    <xf numFmtId="0" fontId="13" fillId="11" borderId="0" xfId="0" applyFont="1" applyFill="1" applyAlignment="1">
      <alignment horizontal="right"/>
    </xf>
    <xf numFmtId="0" fontId="32" fillId="11" borderId="0" xfId="0" applyFont="1" applyFill="1" applyAlignment="1">
      <alignment horizontal="left"/>
    </xf>
    <xf numFmtId="9" fontId="0" fillId="11" borderId="0" xfId="4" applyFont="1" applyFill="1" applyBorder="1" applyAlignment="1">
      <alignment horizontal="left"/>
    </xf>
    <xf numFmtId="0" fontId="32" fillId="11" borderId="101" xfId="0" applyFont="1" applyFill="1" applyBorder="1" applyAlignment="1">
      <alignment horizontal="left"/>
    </xf>
    <xf numFmtId="44" fontId="13" fillId="11" borderId="0" xfId="5" applyFont="1" applyFill="1" applyBorder="1" applyAlignment="1">
      <alignment horizontal="right"/>
    </xf>
    <xf numFmtId="0" fontId="0" fillId="11" borderId="12" xfId="0" applyFill="1" applyBorder="1" applyAlignment="1">
      <alignment horizontal="right"/>
    </xf>
    <xf numFmtId="44" fontId="0" fillId="11" borderId="126" xfId="5" applyFont="1" applyFill="1" applyBorder="1" applyAlignment="1">
      <alignment horizontal="right"/>
    </xf>
    <xf numFmtId="0" fontId="0" fillId="11" borderId="126" xfId="0" applyFill="1" applyBorder="1" applyAlignment="1">
      <alignment horizontal="right"/>
    </xf>
    <xf numFmtId="0" fontId="0" fillId="11" borderId="127" xfId="0" applyFill="1" applyBorder="1" applyAlignment="1">
      <alignment horizontal="right"/>
    </xf>
    <xf numFmtId="44" fontId="0" fillId="0" borderId="66" xfId="5" applyFont="1" applyFill="1" applyBorder="1" applyAlignment="1" applyProtection="1">
      <alignment horizontal="right"/>
    </xf>
    <xf numFmtId="44" fontId="0" fillId="10" borderId="66" xfId="5" applyFont="1" applyFill="1" applyBorder="1" applyAlignment="1" applyProtection="1">
      <alignment horizontal="right"/>
      <protection locked="0"/>
    </xf>
    <xf numFmtId="44" fontId="0" fillId="10" borderId="99" xfId="5" applyFont="1" applyFill="1" applyBorder="1" applyAlignment="1" applyProtection="1">
      <alignment horizontal="right"/>
      <protection locked="0"/>
    </xf>
    <xf numFmtId="44" fontId="0" fillId="0" borderId="76" xfId="5" applyFont="1" applyFill="1" applyBorder="1" applyAlignment="1" applyProtection="1">
      <alignment horizontal="right"/>
    </xf>
    <xf numFmtId="9" fontId="0" fillId="10" borderId="0" xfId="4" applyFont="1" applyFill="1" applyBorder="1" applyAlignment="1" applyProtection="1">
      <alignment horizontal="left"/>
      <protection locked="0"/>
    </xf>
    <xf numFmtId="0" fontId="15" fillId="11" borderId="0" xfId="0" applyFont="1" applyFill="1" applyAlignment="1">
      <alignment horizontal="left"/>
    </xf>
    <xf numFmtId="0" fontId="45" fillId="16" borderId="71" xfId="0" applyFont="1" applyFill="1" applyBorder="1" applyAlignment="1" applyProtection="1">
      <alignment horizontal="left"/>
      <protection locked="0"/>
    </xf>
    <xf numFmtId="2" fontId="0" fillId="0" borderId="0" xfId="0" applyNumberFormat="1"/>
    <xf numFmtId="2" fontId="0" fillId="0" borderId="66" xfId="0" applyNumberFormat="1" applyBorder="1"/>
    <xf numFmtId="44" fontId="0" fillId="0" borderId="66" xfId="0" applyNumberFormat="1" applyBorder="1"/>
    <xf numFmtId="0" fontId="11" fillId="2" borderId="13" xfId="0" applyFont="1" applyFill="1" applyBorder="1"/>
    <xf numFmtId="1" fontId="11" fillId="2" borderId="13" xfId="0" applyNumberFormat="1" applyFont="1" applyFill="1" applyBorder="1"/>
    <xf numFmtId="2" fontId="11" fillId="2" borderId="13" xfId="0" applyNumberFormat="1" applyFont="1" applyFill="1" applyBorder="1"/>
    <xf numFmtId="0" fontId="85" fillId="0" borderId="66" xfId="0" applyFont="1" applyBorder="1" applyAlignment="1">
      <alignment horizontal="center"/>
    </xf>
    <xf numFmtId="0" fontId="15" fillId="0" borderId="0" xfId="0" applyFont="1" applyAlignment="1">
      <alignment horizontal="right" indent="1"/>
    </xf>
    <xf numFmtId="0" fontId="45" fillId="0" borderId="71" xfId="0" applyFont="1" applyBorder="1" applyAlignment="1">
      <alignment horizontal="left"/>
    </xf>
    <xf numFmtId="0" fontId="0" fillId="0" borderId="165" xfId="0" applyBorder="1"/>
    <xf numFmtId="2" fontId="12" fillId="0" borderId="167" xfId="0" applyNumberFormat="1" applyFont="1" applyBorder="1"/>
    <xf numFmtId="44" fontId="11" fillId="3" borderId="8" xfId="1" applyFont="1" applyFill="1" applyBorder="1"/>
    <xf numFmtId="44" fontId="12" fillId="0" borderId="169" xfId="1" applyFont="1" applyBorder="1"/>
    <xf numFmtId="49" fontId="11" fillId="0" borderId="66" xfId="0" applyNumberFormat="1" applyFont="1" applyBorder="1" applyProtection="1">
      <protection locked="0"/>
    </xf>
    <xf numFmtId="165" fontId="44" fillId="25" borderId="57" xfId="0" applyNumberFormat="1" applyFont="1" applyFill="1" applyBorder="1"/>
    <xf numFmtId="43" fontId="33" fillId="0" borderId="90" xfId="3" applyFont="1" applyFill="1" applyBorder="1" applyProtection="1"/>
    <xf numFmtId="0" fontId="33" fillId="0" borderId="92" xfId="0" applyFont="1" applyBorder="1"/>
    <xf numFmtId="0" fontId="33" fillId="0" borderId="81" xfId="0" applyFont="1" applyBorder="1"/>
    <xf numFmtId="43" fontId="33" fillId="0" borderId="106" xfId="3" applyFont="1" applyFill="1" applyBorder="1" applyProtection="1"/>
    <xf numFmtId="0" fontId="33" fillId="0" borderId="82" xfId="0" applyFont="1" applyBorder="1"/>
    <xf numFmtId="0" fontId="33" fillId="0" borderId="84" xfId="0" applyFont="1" applyBorder="1" applyAlignment="1">
      <alignment horizontal="left"/>
    </xf>
    <xf numFmtId="43" fontId="33" fillId="0" borderId="0" xfId="3" applyFont="1" applyFill="1" applyBorder="1" applyProtection="1"/>
    <xf numFmtId="49" fontId="11" fillId="6" borderId="176" xfId="0" applyNumberFormat="1" applyFont="1" applyFill="1" applyBorder="1"/>
    <xf numFmtId="49" fontId="11" fillId="6" borderId="29" xfId="0" applyNumberFormat="1" applyFont="1" applyFill="1" applyBorder="1"/>
    <xf numFmtId="49" fontId="11" fillId="6" borderId="4" xfId="0" applyNumberFormat="1" applyFont="1" applyFill="1" applyBorder="1"/>
    <xf numFmtId="49" fontId="11" fillId="6" borderId="0" xfId="0" applyNumberFormat="1" applyFont="1" applyFill="1"/>
    <xf numFmtId="2" fontId="11" fillId="3" borderId="51" xfId="0" applyNumberFormat="1" applyFont="1" applyFill="1" applyBorder="1"/>
    <xf numFmtId="2" fontId="11" fillId="3" borderId="52" xfId="0" applyNumberFormat="1" applyFont="1" applyFill="1" applyBorder="1"/>
    <xf numFmtId="44" fontId="11" fillId="13" borderId="1" xfId="1" applyFont="1" applyFill="1" applyBorder="1" applyAlignment="1"/>
    <xf numFmtId="44" fontId="12" fillId="0" borderId="177" xfId="0" applyNumberFormat="1" applyFont="1" applyBorder="1"/>
    <xf numFmtId="44" fontId="11" fillId="0" borderId="15" xfId="1" applyFont="1" applyBorder="1"/>
    <xf numFmtId="2" fontId="11" fillId="3" borderId="178" xfId="0" applyNumberFormat="1" applyFont="1" applyFill="1" applyBorder="1"/>
    <xf numFmtId="2" fontId="11" fillId="3" borderId="55" xfId="0" applyNumberFormat="1" applyFont="1" applyFill="1" applyBorder="1"/>
    <xf numFmtId="2" fontId="12" fillId="0" borderId="173" xfId="0" applyNumberFormat="1" applyFont="1" applyBorder="1"/>
    <xf numFmtId="2" fontId="12" fillId="0" borderId="144" xfId="0" applyNumberFormat="1" applyFont="1" applyBorder="1" applyAlignment="1">
      <alignment horizontal="center"/>
    </xf>
    <xf numFmtId="44" fontId="11" fillId="0" borderId="179" xfId="1" applyFont="1" applyBorder="1"/>
    <xf numFmtId="44" fontId="11" fillId="0" borderId="180" xfId="1" applyFont="1" applyBorder="1"/>
    <xf numFmtId="44" fontId="11" fillId="0" borderId="181" xfId="1" applyFont="1" applyBorder="1"/>
    <xf numFmtId="44" fontId="11" fillId="0" borderId="182" xfId="1" applyFont="1" applyBorder="1"/>
    <xf numFmtId="44" fontId="11" fillId="0" borderId="18" xfId="1" applyFont="1" applyBorder="1"/>
    <xf numFmtId="2" fontId="12" fillId="0" borderId="15" xfId="0" applyNumberFormat="1" applyFont="1" applyBorder="1" applyAlignment="1">
      <alignment horizontal="center"/>
    </xf>
    <xf numFmtId="0" fontId="0" fillId="0" borderId="4" xfId="0" applyBorder="1"/>
    <xf numFmtId="0" fontId="16" fillId="0" borderId="0" xfId="0" applyFont="1"/>
    <xf numFmtId="44" fontId="11" fillId="3" borderId="3" xfId="1" applyFont="1" applyFill="1" applyBorder="1"/>
    <xf numFmtId="49" fontId="11" fillId="0" borderId="185" xfId="0" applyNumberFormat="1" applyFont="1" applyBorder="1" applyAlignment="1">
      <alignment horizontal="center"/>
    </xf>
    <xf numFmtId="169" fontId="11" fillId="0" borderId="143" xfId="0" applyNumberFormat="1" applyFont="1" applyBorder="1" applyAlignment="1">
      <alignment horizontal="center"/>
    </xf>
    <xf numFmtId="49" fontId="11" fillId="0" borderId="186" xfId="0" applyNumberFormat="1" applyFont="1" applyBorder="1" applyAlignment="1">
      <alignment horizontal="center"/>
    </xf>
    <xf numFmtId="169" fontId="11" fillId="0" borderId="187" xfId="0" applyNumberFormat="1" applyFont="1" applyBorder="1" applyAlignment="1">
      <alignment horizontal="center"/>
    </xf>
    <xf numFmtId="172" fontId="11" fillId="0" borderId="143" xfId="0" applyNumberFormat="1" applyFont="1" applyBorder="1" applyAlignment="1">
      <alignment horizontal="center"/>
    </xf>
    <xf numFmtId="49" fontId="11" fillId="5" borderId="185" xfId="0" applyNumberFormat="1" applyFont="1" applyFill="1" applyBorder="1" applyAlignment="1">
      <alignment horizontal="center"/>
    </xf>
    <xf numFmtId="49" fontId="11" fillId="5" borderId="187" xfId="0" applyNumberFormat="1" applyFont="1" applyFill="1" applyBorder="1" applyAlignment="1">
      <alignment horizontal="center"/>
    </xf>
    <xf numFmtId="44" fontId="11" fillId="3" borderId="192" xfId="1" applyFont="1" applyFill="1" applyBorder="1"/>
    <xf numFmtId="1" fontId="11" fillId="3" borderId="193" xfId="0" applyNumberFormat="1" applyFont="1" applyFill="1" applyBorder="1"/>
    <xf numFmtId="44" fontId="24" fillId="24" borderId="76" xfId="1" applyFont="1" applyFill="1" applyBorder="1" applyProtection="1">
      <protection locked="0"/>
    </xf>
    <xf numFmtId="44" fontId="12" fillId="0" borderId="173" xfId="1" applyFont="1" applyFill="1" applyBorder="1" applyProtection="1"/>
    <xf numFmtId="1" fontId="24" fillId="16" borderId="60" xfId="0" applyNumberFormat="1" applyFont="1" applyFill="1" applyBorder="1" applyAlignment="1" applyProtection="1">
      <alignment horizontal="center"/>
      <protection locked="0"/>
    </xf>
    <xf numFmtId="2" fontId="11" fillId="0" borderId="166" xfId="0" applyNumberFormat="1" applyFont="1" applyBorder="1" applyAlignment="1">
      <alignment horizontal="center"/>
    </xf>
    <xf numFmtId="164" fontId="83" fillId="16" borderId="168" xfId="2" applyNumberFormat="1" applyFont="1" applyFill="1" applyBorder="1" applyAlignment="1" applyProtection="1">
      <alignment horizontal="center"/>
      <protection locked="0"/>
    </xf>
    <xf numFmtId="2" fontId="12" fillId="0" borderId="27" xfId="0" applyNumberFormat="1" applyFont="1" applyBorder="1"/>
    <xf numFmtId="44" fontId="12" fillId="0" borderId="194" xfId="1" applyFont="1" applyBorder="1" applyAlignment="1"/>
    <xf numFmtId="44" fontId="12" fillId="0" borderId="195" xfId="1" applyFont="1" applyBorder="1" applyAlignment="1"/>
    <xf numFmtId="0" fontId="91" fillId="0" borderId="0" xfId="33" applyFont="1" applyAlignment="1">
      <alignment horizontal="center"/>
    </xf>
    <xf numFmtId="9" fontId="43" fillId="16" borderId="76" xfId="2" applyFont="1" applyFill="1" applyBorder="1" applyProtection="1">
      <protection locked="0"/>
    </xf>
    <xf numFmtId="0" fontId="47" fillId="0" borderId="66" xfId="0" applyFont="1" applyBorder="1" applyAlignment="1">
      <alignment horizontal="center"/>
    </xf>
    <xf numFmtId="0" fontId="39" fillId="12" borderId="66" xfId="0" applyFont="1" applyFill="1" applyBorder="1" applyAlignment="1" applyProtection="1">
      <alignment horizontal="center"/>
      <protection locked="0"/>
    </xf>
    <xf numFmtId="0" fontId="39" fillId="0" borderId="66" xfId="0" applyFont="1" applyBorder="1" applyAlignment="1">
      <alignment horizontal="center"/>
    </xf>
    <xf numFmtId="2" fontId="39" fillId="0" borderId="95" xfId="0" applyNumberFormat="1" applyFont="1" applyBorder="1" applyAlignment="1">
      <alignment horizontal="center"/>
    </xf>
    <xf numFmtId="2" fontId="47" fillId="0" borderId="95" xfId="0" applyNumberFormat="1" applyFont="1" applyBorder="1" applyAlignment="1">
      <alignment horizontal="center"/>
    </xf>
    <xf numFmtId="0" fontId="92" fillId="0" borderId="0" xfId="0" applyFont="1"/>
    <xf numFmtId="0" fontId="53" fillId="0" borderId="0" xfId="0" applyFont="1" applyAlignment="1">
      <alignment horizontal="center"/>
    </xf>
    <xf numFmtId="0" fontId="23" fillId="0" borderId="71" xfId="0" applyFont="1" applyBorder="1" applyAlignment="1">
      <alignment horizontal="center"/>
    </xf>
    <xf numFmtId="0" fontId="23" fillId="0" borderId="71" xfId="0" applyFont="1" applyBorder="1" applyAlignment="1">
      <alignment horizontal="center" wrapText="1"/>
    </xf>
    <xf numFmtId="10" fontId="33" fillId="10" borderId="0" xfId="0" applyNumberFormat="1" applyFont="1" applyFill="1"/>
    <xf numFmtId="10" fontId="12" fillId="0" borderId="135" xfId="0" applyNumberFormat="1" applyFont="1" applyBorder="1" applyAlignment="1">
      <alignment horizontal="center" wrapText="1"/>
    </xf>
    <xf numFmtId="165" fontId="0" fillId="11" borderId="0" xfId="1" applyNumberFormat="1" applyFont="1" applyFill="1" applyProtection="1">
      <protection hidden="1"/>
    </xf>
    <xf numFmtId="0" fontId="53" fillId="11" borderId="0" xfId="0" applyFont="1" applyFill="1" applyAlignment="1">
      <alignment horizontal="center"/>
    </xf>
    <xf numFmtId="44" fontId="53" fillId="11" borderId="0" xfId="1" applyFont="1" applyFill="1" applyAlignment="1">
      <alignment horizontal="center"/>
    </xf>
    <xf numFmtId="0" fontId="53" fillId="11" borderId="0" xfId="0" applyFont="1" applyFill="1" applyAlignment="1">
      <alignment horizontal="right"/>
    </xf>
    <xf numFmtId="0" fontId="84" fillId="11" borderId="0" xfId="0" applyFont="1" applyFill="1" applyAlignment="1">
      <alignment horizontal="right"/>
    </xf>
    <xf numFmtId="0" fontId="53" fillId="11" borderId="0" xfId="0" applyFont="1" applyFill="1" applyAlignment="1" applyProtection="1">
      <alignment horizontal="center"/>
      <protection locked="0"/>
    </xf>
    <xf numFmtId="0" fontId="0" fillId="0" borderId="75" xfId="0" applyBorder="1" applyAlignment="1">
      <alignment horizontal="center"/>
    </xf>
    <xf numFmtId="0" fontId="0" fillId="0" borderId="75" xfId="0" applyBorder="1" applyAlignment="1">
      <alignment horizontal="left"/>
    </xf>
    <xf numFmtId="177" fontId="0" fillId="0" borderId="99" xfId="0" applyNumberFormat="1" applyBorder="1" applyAlignment="1">
      <alignment horizontal="right"/>
    </xf>
    <xf numFmtId="177" fontId="0" fillId="0" borderId="75" xfId="0" applyNumberFormat="1" applyBorder="1" applyAlignment="1">
      <alignment horizontal="right"/>
    </xf>
    <xf numFmtId="9" fontId="64" fillId="0" borderId="0" xfId="4" applyFont="1" applyBorder="1" applyAlignment="1">
      <alignment horizontal="center"/>
    </xf>
    <xf numFmtId="1" fontId="0" fillId="0" borderId="0" xfId="0" applyNumberFormat="1" applyAlignment="1">
      <alignment horizontal="center"/>
    </xf>
    <xf numFmtId="10" fontId="0" fillId="0" borderId="0" xfId="2" applyNumberFormat="1" applyFont="1" applyBorder="1" applyAlignment="1">
      <alignment horizontal="center"/>
    </xf>
    <xf numFmtId="0" fontId="0" fillId="0" borderId="103" xfId="0" applyBorder="1"/>
    <xf numFmtId="0" fontId="0" fillId="0" borderId="99" xfId="0" applyBorder="1"/>
    <xf numFmtId="0" fontId="0" fillId="0" borderId="10" xfId="0" applyBorder="1"/>
    <xf numFmtId="0" fontId="3" fillId="0" borderId="0" xfId="79"/>
    <xf numFmtId="44" fontId="3" fillId="0" borderId="0" xfId="79" applyNumberFormat="1"/>
    <xf numFmtId="0" fontId="3" fillId="0" borderId="77" xfId="79" applyBorder="1"/>
    <xf numFmtId="44" fontId="0" fillId="0" borderId="0" xfId="80" applyFont="1" applyBorder="1"/>
    <xf numFmtId="0" fontId="3" fillId="0" borderId="100" xfId="79" applyBorder="1"/>
    <xf numFmtId="0" fontId="3" fillId="0" borderId="12" xfId="79" applyBorder="1"/>
    <xf numFmtId="0" fontId="95" fillId="0" borderId="0" xfId="79" applyFont="1"/>
    <xf numFmtId="44" fontId="95" fillId="0" borderId="0" xfId="79" applyNumberFormat="1" applyFont="1"/>
    <xf numFmtId="0" fontId="3" fillId="0" borderId="79" xfId="79" applyBorder="1"/>
    <xf numFmtId="0" fontId="95" fillId="0" borderId="79" xfId="79" applyFont="1" applyBorder="1"/>
    <xf numFmtId="0" fontId="96" fillId="0" borderId="79" xfId="79" applyFont="1" applyBorder="1" applyAlignment="1">
      <alignment horizontal="right"/>
    </xf>
    <xf numFmtId="0" fontId="3" fillId="0" borderId="31" xfId="79" applyBorder="1"/>
    <xf numFmtId="0" fontId="33" fillId="0" borderId="0" xfId="0" applyFont="1" applyAlignment="1">
      <alignment horizontal="right" indent="1"/>
    </xf>
    <xf numFmtId="3" fontId="97" fillId="18" borderId="0" xfId="0" applyNumberFormat="1" applyFont="1" applyFill="1" applyAlignment="1" applyProtection="1">
      <alignment horizontal="center"/>
      <protection locked="0"/>
    </xf>
    <xf numFmtId="1" fontId="8" fillId="0" borderId="0" xfId="1" applyNumberFormat="1" applyFont="1" applyAlignment="1">
      <alignment horizontal="center"/>
    </xf>
    <xf numFmtId="44" fontId="8" fillId="0" borderId="0" xfId="1" applyFont="1" applyAlignment="1">
      <alignment horizontal="center"/>
    </xf>
    <xf numFmtId="3" fontId="11" fillId="0" borderId="0" xfId="0" applyNumberFormat="1" applyFont="1" applyAlignment="1">
      <alignment horizontal="left"/>
    </xf>
    <xf numFmtId="14" fontId="45" fillId="18" borderId="0" xfId="0" applyNumberFormat="1" applyFont="1" applyFill="1" applyProtection="1">
      <protection locked="0"/>
    </xf>
    <xf numFmtId="44" fontId="12" fillId="0" borderId="195" xfId="1" applyFont="1" applyBorder="1" applyAlignment="1">
      <alignment horizontal="center"/>
    </xf>
    <xf numFmtId="49" fontId="0" fillId="0" borderId="0" xfId="0" applyNumberFormat="1" applyAlignment="1">
      <alignment horizontal="center"/>
    </xf>
    <xf numFmtId="0" fontId="10" fillId="0" borderId="0" xfId="0" applyFont="1" applyAlignment="1">
      <alignment horizontal="center"/>
    </xf>
    <xf numFmtId="8" fontId="0" fillId="0" borderId="76" xfId="0" applyNumberFormat="1" applyBorder="1"/>
    <xf numFmtId="169" fontId="11" fillId="0" borderId="143" xfId="0" quotePrefix="1" applyNumberFormat="1" applyFont="1" applyBorder="1" applyAlignment="1">
      <alignment horizontal="center"/>
    </xf>
    <xf numFmtId="0" fontId="0" fillId="0" borderId="0" xfId="0" applyAlignment="1">
      <alignment wrapText="1"/>
    </xf>
    <xf numFmtId="2" fontId="11" fillId="15" borderId="13" xfId="0" applyNumberFormat="1" applyFont="1" applyFill="1" applyBorder="1" applyAlignment="1" applyProtection="1">
      <alignment wrapText="1"/>
      <protection locked="0"/>
    </xf>
    <xf numFmtId="44" fontId="11" fillId="16" borderId="66" xfId="1" applyFont="1" applyFill="1" applyBorder="1" applyAlignment="1" applyProtection="1">
      <alignment wrapText="1"/>
      <protection locked="0"/>
    </xf>
    <xf numFmtId="0" fontId="0" fillId="0" borderId="0" xfId="0" applyAlignment="1" applyProtection="1">
      <alignment wrapText="1"/>
      <protection locked="0"/>
    </xf>
    <xf numFmtId="0" fontId="0" fillId="0" borderId="0" xfId="0" applyAlignment="1">
      <alignment horizontal="left" wrapText="1"/>
    </xf>
    <xf numFmtId="0" fontId="8" fillId="0" borderId="49" xfId="0" applyFont="1" applyBorder="1" applyAlignment="1">
      <alignment horizontal="left" wrapText="1"/>
    </xf>
    <xf numFmtId="0" fontId="11" fillId="0" borderId="13" xfId="0" applyFont="1" applyBorder="1" applyAlignment="1">
      <alignment horizontal="left" wrapText="1"/>
    </xf>
    <xf numFmtId="0" fontId="11" fillId="0" borderId="66" xfId="0" applyFont="1" applyBorder="1" applyAlignment="1">
      <alignment horizontal="left" wrapText="1"/>
    </xf>
    <xf numFmtId="0" fontId="11" fillId="2" borderId="66" xfId="0" applyFont="1" applyFill="1" applyBorder="1" applyAlignment="1">
      <alignment horizontal="left" wrapText="1"/>
    </xf>
    <xf numFmtId="0" fontId="0" fillId="0" borderId="0" xfId="0" applyAlignment="1" applyProtection="1">
      <alignment horizontal="left" wrapText="1"/>
      <protection locked="0"/>
    </xf>
    <xf numFmtId="0" fontId="11" fillId="16" borderId="13" xfId="0" applyFont="1" applyFill="1" applyBorder="1" applyAlignment="1" applyProtection="1">
      <alignment horizontal="left" wrapText="1"/>
      <protection locked="0"/>
    </xf>
    <xf numFmtId="0" fontId="11" fillId="16" borderId="66" xfId="0" applyFont="1" applyFill="1" applyBorder="1" applyAlignment="1" applyProtection="1">
      <alignment horizontal="left" wrapText="1"/>
      <protection locked="0"/>
    </xf>
    <xf numFmtId="0" fontId="11" fillId="2" borderId="13" xfId="0" applyFont="1" applyFill="1" applyBorder="1" applyAlignment="1">
      <alignment horizontal="left" wrapText="1"/>
    </xf>
    <xf numFmtId="0" fontId="66" fillId="0" borderId="0" xfId="36" applyFont="1" applyAlignment="1" applyProtection="1">
      <alignment horizontal="center" vertical="center" wrapText="1"/>
    </xf>
    <xf numFmtId="2" fontId="11" fillId="16" borderId="13" xfId="0" applyNumberFormat="1" applyFont="1" applyFill="1" applyBorder="1" applyProtection="1">
      <protection locked="0"/>
    </xf>
    <xf numFmtId="0" fontId="11" fillId="16" borderId="65" xfId="0" applyFont="1" applyFill="1" applyBorder="1" applyAlignment="1" applyProtection="1">
      <alignment horizontal="left" wrapText="1"/>
      <protection locked="0"/>
    </xf>
    <xf numFmtId="2" fontId="11" fillId="0" borderId="13" xfId="0" applyNumberFormat="1" applyFont="1" applyBorder="1"/>
    <xf numFmtId="2" fontId="12" fillId="27" borderId="76" xfId="0" applyNumberFormat="1" applyFont="1" applyFill="1" applyBorder="1" applyAlignment="1">
      <alignment horizontal="center"/>
    </xf>
    <xf numFmtId="0" fontId="15" fillId="18" borderId="76" xfId="0" applyFont="1" applyFill="1" applyBorder="1" applyAlignment="1" applyProtection="1">
      <alignment horizontal="center"/>
      <protection locked="0"/>
    </xf>
    <xf numFmtId="0" fontId="8" fillId="8" borderId="60" xfId="0" applyFont="1" applyFill="1" applyBorder="1" applyAlignment="1">
      <alignment wrapText="1"/>
    </xf>
    <xf numFmtId="2" fontId="98" fillId="0" borderId="15" xfId="0" applyNumberFormat="1" applyFont="1" applyBorder="1"/>
    <xf numFmtId="2" fontId="99" fillId="0" borderId="15" xfId="0" applyNumberFormat="1" applyFont="1" applyBorder="1"/>
    <xf numFmtId="2" fontId="100" fillId="0" borderId="15" xfId="0" applyNumberFormat="1" applyFont="1" applyBorder="1"/>
    <xf numFmtId="2" fontId="90" fillId="0" borderId="166" xfId="0" applyNumberFormat="1" applyFont="1" applyBorder="1" applyAlignment="1">
      <alignment horizontal="center"/>
    </xf>
    <xf numFmtId="2" fontId="101" fillId="0" borderId="166" xfId="0" applyNumberFormat="1" applyFont="1" applyBorder="1" applyAlignment="1">
      <alignment horizontal="center"/>
    </xf>
    <xf numFmtId="7" fontId="12" fillId="0" borderId="57" xfId="0" applyNumberFormat="1" applyFont="1" applyBorder="1"/>
    <xf numFmtId="9" fontId="0" fillId="0" borderId="0" xfId="2" applyFont="1" applyBorder="1" applyAlignment="1">
      <alignment horizontal="center"/>
    </xf>
    <xf numFmtId="164" fontId="3" fillId="0" borderId="0" xfId="2" applyNumberFormat="1" applyFont="1" applyAlignment="1">
      <alignment horizontal="center"/>
    </xf>
    <xf numFmtId="44" fontId="2" fillId="0" borderId="0" xfId="79" applyNumberFormat="1" applyFont="1" applyAlignment="1">
      <alignment horizontal="right"/>
    </xf>
    <xf numFmtId="0" fontId="95" fillId="0" borderId="77" xfId="79" applyFont="1" applyBorder="1"/>
    <xf numFmtId="44" fontId="13" fillId="0" borderId="78" xfId="80" applyFont="1" applyBorder="1"/>
    <xf numFmtId="44" fontId="13" fillId="0" borderId="0" xfId="80" applyFont="1" applyBorder="1"/>
    <xf numFmtId="44" fontId="0" fillId="0" borderId="0" xfId="80" applyFont="1" applyBorder="1" applyAlignment="1">
      <alignment horizontal="center"/>
    </xf>
    <xf numFmtId="0" fontId="76" fillId="0" borderId="0" xfId="0" applyFont="1" applyAlignment="1">
      <alignment horizontal="center"/>
    </xf>
    <xf numFmtId="1" fontId="10" fillId="0" borderId="0" xfId="0" applyNumberFormat="1" applyFont="1" applyAlignment="1">
      <alignment horizontal="center" vertical="center"/>
    </xf>
    <xf numFmtId="0" fontId="10" fillId="0" borderId="0" xfId="0" applyFont="1" applyAlignment="1">
      <alignment vertical="center"/>
    </xf>
    <xf numFmtId="0" fontId="3" fillId="0" borderId="124" xfId="79" applyBorder="1" applyAlignment="1">
      <alignment horizontal="center"/>
    </xf>
    <xf numFmtId="44" fontId="0" fillId="0" borderId="124" xfId="80" applyFont="1" applyBorder="1" applyAlignment="1">
      <alignment horizontal="center"/>
    </xf>
    <xf numFmtId="0" fontId="3" fillId="0" borderId="0" xfId="79" applyAlignment="1">
      <alignment horizontal="center"/>
    </xf>
    <xf numFmtId="0" fontId="3" fillId="0" borderId="126" xfId="79" applyBorder="1" applyAlignment="1">
      <alignment horizontal="center"/>
    </xf>
    <xf numFmtId="44" fontId="0" fillId="0" borderId="126" xfId="80" applyFont="1" applyBorder="1" applyAlignment="1">
      <alignment horizontal="center"/>
    </xf>
    <xf numFmtId="165" fontId="0" fillId="0" borderId="124" xfId="80" applyNumberFormat="1" applyFont="1" applyBorder="1" applyAlignment="1">
      <alignment horizontal="center"/>
    </xf>
    <xf numFmtId="165" fontId="0" fillId="0" borderId="0" xfId="80" applyNumberFormat="1" applyFont="1" applyBorder="1" applyAlignment="1">
      <alignment horizontal="center"/>
    </xf>
    <xf numFmtId="165" fontId="0" fillId="0" borderId="126" xfId="80" applyNumberFormat="1" applyFont="1" applyBorder="1" applyAlignment="1">
      <alignment horizontal="center"/>
    </xf>
    <xf numFmtId="165" fontId="0" fillId="0" borderId="124" xfId="1" applyNumberFormat="1" applyFont="1" applyBorder="1" applyAlignment="1">
      <alignment horizontal="center"/>
    </xf>
    <xf numFmtId="165" fontId="0" fillId="0" borderId="0" xfId="1" applyNumberFormat="1" applyFont="1" applyBorder="1" applyAlignment="1">
      <alignment horizontal="center"/>
    </xf>
    <xf numFmtId="165" fontId="0" fillId="0" borderId="126" xfId="1" applyNumberFormat="1" applyFont="1" applyBorder="1" applyAlignment="1">
      <alignment horizontal="center"/>
    </xf>
    <xf numFmtId="165" fontId="3" fillId="0" borderId="124" xfId="79" applyNumberFormat="1" applyBorder="1" applyAlignment="1">
      <alignment horizontal="center"/>
    </xf>
    <xf numFmtId="165" fontId="3" fillId="0" borderId="125" xfId="79" applyNumberFormat="1" applyBorder="1" applyAlignment="1">
      <alignment horizontal="center"/>
    </xf>
    <xf numFmtId="165" fontId="3" fillId="0" borderId="0" xfId="79" applyNumberFormat="1" applyAlignment="1">
      <alignment horizontal="center"/>
    </xf>
    <xf numFmtId="165" fontId="3" fillId="0" borderId="101" xfId="79" applyNumberFormat="1" applyBorder="1" applyAlignment="1">
      <alignment horizontal="center"/>
    </xf>
    <xf numFmtId="165" fontId="3" fillId="0" borderId="126" xfId="79" applyNumberFormat="1" applyBorder="1" applyAlignment="1">
      <alignment horizontal="center"/>
    </xf>
    <xf numFmtId="165" fontId="3" fillId="0" borderId="127" xfId="79" applyNumberFormat="1" applyBorder="1" applyAlignment="1">
      <alignment horizontal="center"/>
    </xf>
    <xf numFmtId="0" fontId="95" fillId="0" borderId="79" xfId="79" applyFont="1" applyBorder="1" applyAlignment="1">
      <alignment horizontal="center" vertical="center"/>
    </xf>
    <xf numFmtId="165" fontId="95" fillId="0" borderId="79" xfId="79" applyNumberFormat="1" applyFont="1" applyBorder="1" applyAlignment="1">
      <alignment horizontal="center" vertical="center"/>
    </xf>
    <xf numFmtId="165" fontId="95" fillId="0" borderId="78" xfId="79" applyNumberFormat="1" applyFont="1" applyBorder="1" applyAlignment="1">
      <alignment horizontal="center" vertical="center"/>
    </xf>
    <xf numFmtId="0" fontId="96" fillId="0" borderId="126" xfId="79" applyFont="1" applyBorder="1" applyAlignment="1">
      <alignment horizontal="center"/>
    </xf>
    <xf numFmtId="44" fontId="0" fillId="0" borderId="0" xfId="0" applyNumberFormat="1" applyAlignment="1">
      <alignment horizontal="center"/>
    </xf>
    <xf numFmtId="14" fontId="0" fillId="0" borderId="0" xfId="0" applyNumberFormat="1" applyAlignment="1">
      <alignment horizontal="left" indent="1"/>
    </xf>
    <xf numFmtId="10" fontId="33" fillId="10" borderId="0" xfId="2" applyNumberFormat="1" applyFont="1" applyFill="1" applyProtection="1"/>
    <xf numFmtId="166" fontId="24" fillId="0" borderId="49" xfId="0" applyNumberFormat="1" applyFont="1" applyBorder="1" applyAlignment="1">
      <alignment horizontal="center"/>
    </xf>
    <xf numFmtId="169" fontId="11" fillId="0" borderId="102" xfId="0" applyNumberFormat="1" applyFont="1" applyBorder="1" applyAlignment="1">
      <alignment horizontal="center"/>
    </xf>
    <xf numFmtId="165" fontId="11" fillId="0" borderId="84" xfId="0" applyNumberFormat="1" applyFont="1" applyBorder="1" applyAlignment="1">
      <alignment horizontal="center"/>
    </xf>
    <xf numFmtId="0" fontId="15" fillId="0" borderId="0" xfId="0" applyFont="1" applyAlignment="1">
      <alignment horizontal="left" indent="1"/>
    </xf>
    <xf numFmtId="0" fontId="33" fillId="0" borderId="99" xfId="0" applyFont="1" applyBorder="1" applyAlignment="1">
      <alignment horizontal="center" vertical="center"/>
    </xf>
    <xf numFmtId="10" fontId="32" fillId="0" borderId="0" xfId="2" applyNumberFormat="1" applyFont="1" applyBorder="1" applyAlignment="1">
      <alignment horizontal="right"/>
    </xf>
    <xf numFmtId="0" fontId="33" fillId="0" borderId="66" xfId="0" quotePrefix="1" applyFont="1" applyBorder="1" applyAlignment="1">
      <alignment horizontal="center" vertical="center"/>
    </xf>
    <xf numFmtId="44" fontId="33" fillId="9" borderId="66" xfId="5" applyFont="1" applyFill="1" applyBorder="1" applyProtection="1"/>
    <xf numFmtId="44" fontId="33" fillId="0" borderId="0" xfId="0" applyNumberFormat="1" applyFont="1" applyAlignment="1">
      <alignment horizontal="center"/>
    </xf>
    <xf numFmtId="165" fontId="12" fillId="5" borderId="173" xfId="1" applyNumberFormat="1" applyFont="1" applyFill="1" applyBorder="1"/>
    <xf numFmtId="10" fontId="12" fillId="5" borderId="76" xfId="2" applyNumberFormat="1" applyFont="1" applyFill="1" applyBorder="1" applyAlignment="1">
      <alignment horizontal="center"/>
    </xf>
    <xf numFmtId="49" fontId="69" fillId="0" borderId="0" xfId="0" applyNumberFormat="1" applyFont="1" applyProtection="1">
      <protection locked="0"/>
    </xf>
    <xf numFmtId="49" fontId="46" fillId="0" borderId="108" xfId="0" applyNumberFormat="1" applyFont="1" applyBorder="1" applyProtection="1">
      <protection locked="0"/>
    </xf>
    <xf numFmtId="49" fontId="46" fillId="0" borderId="110" xfId="0" applyNumberFormat="1" applyFont="1" applyBorder="1" applyProtection="1">
      <protection locked="0"/>
    </xf>
    <xf numFmtId="0" fontId="46" fillId="0" borderId="0" xfId="0" applyFont="1" applyAlignment="1" applyProtection="1">
      <alignment wrapText="1"/>
      <protection locked="0"/>
    </xf>
    <xf numFmtId="0" fontId="46" fillId="0" borderId="119" xfId="0" applyFont="1" applyBorder="1" applyAlignment="1" applyProtection="1">
      <alignment wrapText="1"/>
      <protection locked="0"/>
    </xf>
    <xf numFmtId="0" fontId="46" fillId="0" borderId="119" xfId="0" applyFont="1" applyBorder="1" applyAlignment="1" applyProtection="1">
      <alignment horizontal="left"/>
      <protection locked="0"/>
    </xf>
    <xf numFmtId="0" fontId="32" fillId="0" borderId="0" xfId="62" applyAlignment="1">
      <alignment horizontal="center" vertical="center"/>
    </xf>
    <xf numFmtId="0" fontId="32" fillId="0" borderId="0" xfId="62"/>
    <xf numFmtId="0" fontId="32" fillId="0" borderId="0" xfId="62" applyProtection="1">
      <protection locked="0"/>
    </xf>
    <xf numFmtId="0" fontId="95" fillId="0" borderId="0" xfId="0" applyFont="1" applyAlignment="1" applyProtection="1">
      <alignment horizontal="center"/>
      <protection locked="0"/>
    </xf>
    <xf numFmtId="0" fontId="32" fillId="18" borderId="66" xfId="62" applyFill="1" applyBorder="1" applyAlignment="1" applyProtection="1">
      <alignment horizontal="center" vertical="center"/>
      <protection locked="0"/>
    </xf>
    <xf numFmtId="0" fontId="32" fillId="18" borderId="66" xfId="62" applyFill="1" applyBorder="1" applyProtection="1">
      <protection locked="0"/>
    </xf>
    <xf numFmtId="49" fontId="13" fillId="0" borderId="0" xfId="62" applyNumberFormat="1" applyFont="1" applyAlignment="1">
      <alignment horizontal="center" vertical="center"/>
    </xf>
    <xf numFmtId="49" fontId="69" fillId="0" borderId="0" xfId="62" applyNumberFormat="1" applyFont="1" applyProtection="1">
      <protection locked="0"/>
    </xf>
    <xf numFmtId="7" fontId="53" fillId="0" borderId="0" xfId="0" applyNumberFormat="1" applyFont="1"/>
    <xf numFmtId="183" fontId="53" fillId="0" borderId="0" xfId="0" applyNumberFormat="1" applyFont="1"/>
    <xf numFmtId="0" fontId="32" fillId="0" borderId="0" xfId="0" applyFont="1" applyAlignment="1">
      <alignment horizontal="left"/>
    </xf>
    <xf numFmtId="49" fontId="32" fillId="0" borderId="0" xfId="0" applyNumberFormat="1" applyFont="1" applyAlignment="1">
      <alignment horizontal="right"/>
    </xf>
    <xf numFmtId="44" fontId="105" fillId="0" borderId="66" xfId="5" applyFont="1" applyFill="1" applyBorder="1" applyProtection="1"/>
    <xf numFmtId="0" fontId="71" fillId="11" borderId="66" xfId="0" applyFont="1" applyFill="1" applyBorder="1" applyAlignment="1">
      <alignment horizontal="center"/>
    </xf>
    <xf numFmtId="2" fontId="106" fillId="0" borderId="166" xfId="0" applyNumberFormat="1" applyFont="1" applyBorder="1" applyAlignment="1">
      <alignment horizontal="center"/>
    </xf>
    <xf numFmtId="44" fontId="24" fillId="16" borderId="55" xfId="1" applyFont="1" applyFill="1" applyBorder="1" applyAlignment="1" applyProtection="1">
      <alignment horizontal="center"/>
      <protection locked="0"/>
    </xf>
    <xf numFmtId="44" fontId="0" fillId="0" borderId="0" xfId="0" applyNumberFormat="1"/>
    <xf numFmtId="9" fontId="0" fillId="0" borderId="0" xfId="2" applyFont="1"/>
    <xf numFmtId="0" fontId="53" fillId="0" borderId="101" xfId="0" applyFont="1" applyBorder="1"/>
    <xf numFmtId="9" fontId="53" fillId="0" borderId="101" xfId="2" applyFont="1" applyBorder="1"/>
    <xf numFmtId="9" fontId="53" fillId="0" borderId="101" xfId="2" applyFont="1" applyBorder="1" applyAlignment="1">
      <alignment horizontal="left"/>
    </xf>
    <xf numFmtId="44" fontId="11" fillId="0" borderId="26" xfId="0" applyNumberFormat="1" applyFont="1" applyBorder="1"/>
    <xf numFmtId="44" fontId="12" fillId="0" borderId="57" xfId="0" applyNumberFormat="1" applyFont="1" applyBorder="1"/>
    <xf numFmtId="44" fontId="12" fillId="0" borderId="55" xfId="0" applyNumberFormat="1" applyFont="1" applyBorder="1" applyAlignment="1">
      <alignment horizontal="center"/>
    </xf>
    <xf numFmtId="0" fontId="83" fillId="16" borderId="39" xfId="0" applyFont="1" applyFill="1" applyBorder="1" applyProtection="1">
      <protection locked="0"/>
    </xf>
    <xf numFmtId="0" fontId="33" fillId="0" borderId="39" xfId="36" applyFont="1" applyFill="1" applyBorder="1" applyAlignment="1" applyProtection="1"/>
    <xf numFmtId="0" fontId="20" fillId="0" borderId="18" xfId="0" applyFont="1" applyBorder="1"/>
    <xf numFmtId="5" fontId="24" fillId="16" borderId="173" xfId="1" applyNumberFormat="1" applyFont="1" applyFill="1" applyBorder="1" applyAlignment="1" applyProtection="1">
      <alignment horizontal="center"/>
      <protection locked="0"/>
    </xf>
    <xf numFmtId="166" fontId="24" fillId="16" borderId="62" xfId="0" applyNumberFormat="1" applyFont="1" applyFill="1" applyBorder="1" applyAlignment="1" applyProtection="1">
      <alignment horizontal="center"/>
      <protection locked="0"/>
    </xf>
    <xf numFmtId="2" fontId="12" fillId="13" borderId="76" xfId="0" applyNumberFormat="1" applyFont="1" applyFill="1" applyBorder="1" applyAlignment="1">
      <alignment horizontal="center"/>
    </xf>
    <xf numFmtId="7" fontId="12" fillId="0" borderId="15" xfId="0" applyNumberFormat="1" applyFont="1" applyBorder="1"/>
    <xf numFmtId="7" fontId="12" fillId="0" borderId="26" xfId="0" applyNumberFormat="1" applyFont="1" applyBorder="1"/>
    <xf numFmtId="184" fontId="33" fillId="0" borderId="76" xfId="2" applyNumberFormat="1" applyFont="1" applyFill="1" applyBorder="1" applyProtection="1"/>
    <xf numFmtId="44" fontId="0" fillId="0" borderId="0" xfId="1" applyFont="1" applyAlignment="1">
      <alignment horizontal="center"/>
    </xf>
    <xf numFmtId="2" fontId="33" fillId="0" borderId="0" xfId="0" applyNumberFormat="1" applyFont="1"/>
    <xf numFmtId="0" fontId="0" fillId="28" borderId="0" xfId="0" applyFill="1" applyAlignment="1">
      <alignment horizontal="center"/>
    </xf>
    <xf numFmtId="0" fontId="0" fillId="29" borderId="0" xfId="0" applyFill="1" applyAlignment="1">
      <alignment horizontal="center"/>
    </xf>
    <xf numFmtId="9" fontId="103" fillId="0" borderId="0" xfId="2" applyFont="1" applyAlignment="1">
      <alignment horizontal="left"/>
    </xf>
    <xf numFmtId="9" fontId="103" fillId="0" borderId="1" xfId="2" applyFont="1" applyBorder="1" applyAlignment="1">
      <alignment horizontal="left"/>
    </xf>
    <xf numFmtId="0" fontId="33" fillId="0" borderId="35" xfId="0" applyFont="1" applyBorder="1" applyAlignment="1">
      <alignment horizontal="right" indent="1"/>
    </xf>
    <xf numFmtId="0" fontId="11" fillId="16" borderId="66" xfId="0" applyFont="1" applyFill="1" applyBorder="1" applyAlignment="1" applyProtection="1">
      <alignment horizontal="center"/>
      <protection locked="0"/>
    </xf>
    <xf numFmtId="0" fontId="57" fillId="0" borderId="0" xfId="0" applyFont="1" applyAlignment="1">
      <alignment horizontal="center" vertical="center" wrapText="1"/>
    </xf>
    <xf numFmtId="10" fontId="103" fillId="0" borderId="0" xfId="2" applyNumberFormat="1" applyFont="1" applyAlignment="1">
      <alignment horizontal="left"/>
    </xf>
    <xf numFmtId="2" fontId="0" fillId="0" borderId="0" xfId="0" applyNumberFormat="1" applyAlignment="1">
      <alignment horizontal="center"/>
    </xf>
    <xf numFmtId="0" fontId="108" fillId="0" borderId="0" xfId="0" applyFont="1" applyAlignment="1">
      <alignment horizontal="left" wrapText="1"/>
    </xf>
    <xf numFmtId="0" fontId="109" fillId="0" borderId="0" xfId="36" applyFont="1" applyAlignment="1" applyProtection="1">
      <alignment horizontal="left" vertical="center" wrapText="1"/>
    </xf>
    <xf numFmtId="0" fontId="108" fillId="0" borderId="0" xfId="0" applyFont="1" applyAlignment="1">
      <alignment horizontal="left" vertical="center" wrapText="1"/>
    </xf>
    <xf numFmtId="0" fontId="108" fillId="0" borderId="0" xfId="0" applyFont="1" applyAlignment="1">
      <alignment horizontal="left"/>
    </xf>
    <xf numFmtId="0" fontId="110" fillId="0" borderId="0" xfId="0" applyFont="1" applyAlignment="1">
      <alignment horizontal="left"/>
    </xf>
    <xf numFmtId="165" fontId="33" fillId="0" borderId="0" xfId="0" applyNumberFormat="1" applyFont="1" applyAlignment="1">
      <alignment horizontal="left"/>
    </xf>
    <xf numFmtId="2" fontId="11" fillId="19" borderId="23" xfId="0" applyNumberFormat="1" applyFont="1" applyFill="1" applyBorder="1"/>
    <xf numFmtId="2" fontId="11" fillId="19" borderId="24" xfId="0" applyNumberFormat="1" applyFont="1" applyFill="1" applyBorder="1"/>
    <xf numFmtId="2" fontId="11" fillId="19" borderId="25" xfId="0" applyNumberFormat="1" applyFont="1" applyFill="1" applyBorder="1"/>
    <xf numFmtId="164" fontId="24" fillId="16" borderId="15" xfId="2" applyNumberFormat="1" applyFont="1" applyFill="1" applyBorder="1" applyProtection="1">
      <protection locked="0"/>
    </xf>
    <xf numFmtId="165" fontId="33" fillId="0" borderId="1" xfId="0" applyNumberFormat="1" applyFont="1" applyBorder="1" applyAlignment="1">
      <alignment horizontal="left"/>
    </xf>
    <xf numFmtId="44" fontId="102" fillId="0" borderId="0" xfId="0" applyNumberFormat="1" applyFont="1"/>
    <xf numFmtId="0" fontId="102" fillId="0" borderId="0" xfId="0" applyFont="1"/>
    <xf numFmtId="165" fontId="0" fillId="28" borderId="0" xfId="2" applyNumberFormat="1" applyFont="1" applyFill="1" applyAlignment="1">
      <alignment horizontal="center"/>
    </xf>
    <xf numFmtId="165" fontId="0" fillId="29" borderId="0" xfId="0" applyNumberFormat="1" applyFill="1" applyAlignment="1">
      <alignment horizontal="center"/>
    </xf>
    <xf numFmtId="165" fontId="0" fillId="29" borderId="0" xfId="2" applyNumberFormat="1" applyFont="1" applyFill="1" applyAlignment="1">
      <alignment horizontal="center"/>
    </xf>
    <xf numFmtId="10" fontId="103" fillId="0" borderId="1" xfId="2" applyNumberFormat="1" applyFont="1" applyBorder="1" applyAlignment="1">
      <alignment horizontal="left"/>
    </xf>
    <xf numFmtId="49" fontId="12" fillId="0" borderId="198" xfId="0" applyNumberFormat="1" applyFont="1" applyBorder="1"/>
    <xf numFmtId="0" fontId="12" fillId="0" borderId="199" xfId="0" applyFont="1" applyBorder="1"/>
    <xf numFmtId="1" fontId="12" fillId="0" borderId="200" xfId="0" applyNumberFormat="1" applyFont="1" applyBorder="1"/>
    <xf numFmtId="164" fontId="24" fillId="16" borderId="201" xfId="2" applyNumberFormat="1" applyFont="1" applyFill="1" applyBorder="1" applyProtection="1">
      <protection locked="0"/>
    </xf>
    <xf numFmtId="164" fontId="26" fillId="16" borderId="202" xfId="2" applyNumberFormat="1" applyFont="1" applyFill="1" applyBorder="1" applyProtection="1">
      <protection locked="0"/>
    </xf>
    <xf numFmtId="164" fontId="24" fillId="16" borderId="203" xfId="2" applyNumberFormat="1" applyFont="1" applyFill="1" applyBorder="1" applyProtection="1">
      <protection locked="0"/>
    </xf>
    <xf numFmtId="164" fontId="25" fillId="16" borderId="204" xfId="2" applyNumberFormat="1" applyFont="1" applyFill="1" applyBorder="1" applyProtection="1">
      <protection locked="0"/>
    </xf>
    <xf numFmtId="164" fontId="26" fillId="16" borderId="205" xfId="2" applyNumberFormat="1" applyFont="1" applyFill="1" applyBorder="1" applyProtection="1">
      <protection locked="0"/>
    </xf>
    <xf numFmtId="165" fontId="0" fillId="0" borderId="0" xfId="0" applyNumberFormat="1"/>
    <xf numFmtId="165" fontId="0" fillId="0" borderId="71" xfId="0" applyNumberFormat="1" applyBorder="1"/>
    <xf numFmtId="0" fontId="40" fillId="0" borderId="0" xfId="0" applyFont="1"/>
    <xf numFmtId="2" fontId="53" fillId="0" borderId="0" xfId="0" applyNumberFormat="1" applyFont="1"/>
    <xf numFmtId="184" fontId="33" fillId="0" borderId="0" xfId="2" applyNumberFormat="1" applyFont="1"/>
    <xf numFmtId="0" fontId="102" fillId="10" borderId="0" xfId="0" applyFont="1" applyFill="1" applyAlignment="1">
      <alignment horizontal="center"/>
    </xf>
    <xf numFmtId="0" fontId="102" fillId="10" borderId="0" xfId="2" applyNumberFormat="1" applyFont="1" applyFill="1" applyAlignment="1" applyProtection="1">
      <alignment horizontal="center"/>
    </xf>
    <xf numFmtId="165" fontId="24" fillId="16" borderId="55" xfId="1" applyNumberFormat="1" applyFont="1" applyFill="1" applyBorder="1" applyAlignment="1" applyProtection="1">
      <alignment horizontal="center"/>
      <protection locked="0"/>
    </xf>
    <xf numFmtId="165" fontId="27" fillId="16" borderId="55" xfId="1" applyNumberFormat="1" applyFont="1" applyFill="1" applyBorder="1" applyAlignment="1" applyProtection="1">
      <alignment horizontal="center"/>
      <protection locked="0"/>
    </xf>
    <xf numFmtId="0" fontId="70" fillId="0" borderId="0" xfId="0" applyFont="1" applyAlignment="1">
      <alignment horizontal="left" wrapText="1"/>
    </xf>
    <xf numFmtId="0" fontId="33" fillId="0" borderId="0" xfId="0" applyFont="1" applyProtection="1">
      <protection hidden="1"/>
    </xf>
    <xf numFmtId="1" fontId="47" fillId="0" borderId="0" xfId="28" quotePrefix="1" applyNumberFormat="1" applyFont="1" applyProtection="1">
      <protection hidden="1"/>
    </xf>
    <xf numFmtId="1" fontId="15" fillId="0" borderId="0" xfId="28" quotePrefix="1" applyNumberFormat="1" applyFont="1" applyProtection="1">
      <protection hidden="1"/>
    </xf>
    <xf numFmtId="0" fontId="33" fillId="0" borderId="0" xfId="0" applyFont="1" applyAlignment="1" applyProtection="1">
      <alignment horizontal="center"/>
      <protection hidden="1"/>
    </xf>
    <xf numFmtId="0" fontId="33" fillId="0" borderId="0" xfId="0" applyFont="1" applyAlignment="1" applyProtection="1">
      <alignment horizontal="right"/>
      <protection hidden="1"/>
    </xf>
    <xf numFmtId="0" fontId="33" fillId="0" borderId="71" xfId="0" applyFont="1" applyBorder="1" applyAlignment="1" applyProtection="1">
      <alignment horizontal="center"/>
      <protection hidden="1"/>
    </xf>
    <xf numFmtId="0" fontId="15" fillId="0" borderId="0" xfId="0" applyFont="1" applyAlignment="1" applyProtection="1">
      <alignment horizontal="right" indent="1"/>
      <protection hidden="1"/>
    </xf>
    <xf numFmtId="2" fontId="33" fillId="0" borderId="0" xfId="0" applyNumberFormat="1" applyFont="1" applyAlignment="1" applyProtection="1">
      <alignment horizontal="center"/>
      <protection hidden="1"/>
    </xf>
    <xf numFmtId="2" fontId="33" fillId="0" borderId="71" xfId="0" applyNumberFormat="1" applyFont="1" applyBorder="1" applyAlignment="1" applyProtection="1">
      <alignment horizontal="center"/>
      <protection hidden="1"/>
    </xf>
    <xf numFmtId="165" fontId="113" fillId="30" borderId="207" xfId="81" applyNumberFormat="1" applyFont="1" applyAlignment="1" applyProtection="1">
      <alignment horizontal="center"/>
      <protection locked="0" hidden="1"/>
    </xf>
    <xf numFmtId="0" fontId="113" fillId="30" borderId="207" xfId="81" applyFont="1" applyAlignment="1" applyProtection="1">
      <alignment horizontal="center"/>
      <protection locked="0" hidden="1"/>
    </xf>
    <xf numFmtId="165" fontId="114" fillId="31" borderId="207" xfId="82" applyNumberFormat="1" applyFont="1" applyAlignment="1" applyProtection="1">
      <alignment horizontal="center"/>
      <protection hidden="1"/>
    </xf>
    <xf numFmtId="165" fontId="33" fillId="0" borderId="71" xfId="0" applyNumberFormat="1" applyFont="1" applyBorder="1" applyAlignment="1" applyProtection="1">
      <alignment horizontal="center"/>
      <protection hidden="1"/>
    </xf>
    <xf numFmtId="2" fontId="70" fillId="0" borderId="0" xfId="0" applyNumberFormat="1" applyFont="1" applyAlignment="1">
      <alignment horizontal="left"/>
    </xf>
    <xf numFmtId="0" fontId="15" fillId="0" borderId="0" xfId="0" applyFont="1" applyAlignment="1">
      <alignment horizontal="center"/>
    </xf>
    <xf numFmtId="9" fontId="33" fillId="0" borderId="0" xfId="2" applyFont="1"/>
    <xf numFmtId="49" fontId="33" fillId="0" borderId="0" xfId="0" applyNumberFormat="1" applyFont="1"/>
    <xf numFmtId="14" fontId="33" fillId="0" borderId="0" xfId="0" applyNumberFormat="1" applyFont="1" applyAlignment="1">
      <alignment horizontal="center"/>
    </xf>
    <xf numFmtId="44" fontId="33" fillId="0" borderId="0" xfId="1" applyFont="1" applyAlignment="1">
      <alignment horizontal="center"/>
    </xf>
    <xf numFmtId="0" fontId="15" fillId="0" borderId="0" xfId="0" applyFont="1" applyAlignment="1">
      <alignment horizontal="left"/>
    </xf>
    <xf numFmtId="164" fontId="33" fillId="0" borderId="0" xfId="2" applyNumberFormat="1" applyFont="1" applyAlignment="1">
      <alignment horizontal="center"/>
    </xf>
    <xf numFmtId="164" fontId="43" fillId="12" borderId="174" xfId="2" applyNumberFormat="1" applyFont="1" applyFill="1" applyBorder="1" applyAlignment="1" applyProtection="1">
      <alignment horizontal="center"/>
      <protection locked="0"/>
    </xf>
    <xf numFmtId="14" fontId="33" fillId="0" borderId="66" xfId="0" applyNumberFormat="1" applyFont="1" applyBorder="1" applyAlignment="1">
      <alignment horizontal="center"/>
    </xf>
    <xf numFmtId="44" fontId="33" fillId="0" borderId="66" xfId="1" applyFont="1" applyBorder="1" applyAlignment="1">
      <alignment horizontal="center"/>
    </xf>
    <xf numFmtId="164" fontId="33" fillId="0" borderId="66" xfId="2" applyNumberFormat="1" applyFont="1" applyBorder="1" applyAlignment="1">
      <alignment horizontal="center"/>
    </xf>
    <xf numFmtId="14" fontId="33" fillId="32" borderId="66" xfId="0" applyNumberFormat="1" applyFont="1" applyFill="1" applyBorder="1" applyAlignment="1">
      <alignment horizontal="center"/>
    </xf>
    <xf numFmtId="44" fontId="33" fillId="32" borderId="66" xfId="1" applyFont="1" applyFill="1" applyBorder="1" applyAlignment="1">
      <alignment horizontal="center"/>
    </xf>
    <xf numFmtId="164" fontId="33" fillId="32" borderId="66" xfId="2" applyNumberFormat="1" applyFont="1" applyFill="1" applyBorder="1" applyAlignment="1">
      <alignment horizontal="center"/>
    </xf>
    <xf numFmtId="0" fontId="20" fillId="0" borderId="28" xfId="0" applyFont="1" applyBorder="1" applyAlignment="1">
      <alignment horizontal="center" vertical="center" wrapText="1"/>
    </xf>
    <xf numFmtId="0" fontId="20" fillId="0" borderId="69" xfId="0" applyFont="1" applyBorder="1" applyAlignment="1">
      <alignment horizontal="center" vertical="center" wrapText="1"/>
    </xf>
    <xf numFmtId="0" fontId="41" fillId="0" borderId="126" xfId="0" applyFont="1" applyBorder="1" applyAlignment="1">
      <alignment horizontal="center"/>
    </xf>
    <xf numFmtId="175" fontId="56" fillId="0" borderId="150" xfId="0" applyNumberFormat="1" applyFont="1" applyBorder="1" applyAlignment="1">
      <alignment horizontal="center" vertical="center"/>
    </xf>
    <xf numFmtId="0" fontId="63" fillId="0" borderId="126" xfId="0" applyFont="1" applyBorder="1" applyAlignment="1" applyProtection="1">
      <alignment horizontal="left"/>
      <protection locked="0"/>
    </xf>
    <xf numFmtId="0" fontId="13" fillId="0" borderId="0" xfId="0" applyFont="1" applyAlignment="1">
      <alignment horizontal="left" vertical="center"/>
    </xf>
    <xf numFmtId="14" fontId="23" fillId="23" borderId="146" xfId="0" applyNumberFormat="1" applyFont="1" applyFill="1" applyBorder="1" applyAlignment="1" applyProtection="1">
      <alignment horizontal="center" vertical="center"/>
      <protection locked="0"/>
    </xf>
    <xf numFmtId="14" fontId="0" fillId="23" borderId="147" xfId="0" applyNumberFormat="1" applyFill="1" applyBorder="1" applyAlignment="1" applyProtection="1">
      <alignment horizontal="center" vertical="center"/>
      <protection locked="0"/>
    </xf>
    <xf numFmtId="0" fontId="0" fillId="0" borderId="147" xfId="0" applyBorder="1" applyAlignment="1" applyProtection="1">
      <alignment horizontal="center" vertical="center"/>
      <protection locked="0"/>
    </xf>
    <xf numFmtId="0" fontId="0" fillId="0" borderId="148" xfId="0" applyBorder="1" applyAlignment="1" applyProtection="1">
      <alignment horizontal="center" vertical="center"/>
      <protection locked="0"/>
    </xf>
    <xf numFmtId="175" fontId="56" fillId="0" borderId="145" xfId="0" applyNumberFormat="1" applyFont="1" applyBorder="1" applyAlignment="1">
      <alignment horizontal="center" vertical="center"/>
    </xf>
    <xf numFmtId="175" fontId="56" fillId="0" borderId="79" xfId="0" applyNumberFormat="1" applyFont="1" applyBorder="1" applyAlignment="1">
      <alignment horizontal="center" vertical="center"/>
    </xf>
    <xf numFmtId="175" fontId="56" fillId="0" borderId="149" xfId="0" applyNumberFormat="1" applyFont="1" applyBorder="1" applyAlignment="1">
      <alignment horizontal="center" vertical="center"/>
    </xf>
    <xf numFmtId="1" fontId="15" fillId="11" borderId="0" xfId="28" quotePrefix="1" applyNumberFormat="1" applyFont="1" applyFill="1" applyAlignment="1" applyProtection="1">
      <alignment horizontal="center"/>
      <protection hidden="1"/>
    </xf>
    <xf numFmtId="177" fontId="0" fillId="0" borderId="66" xfId="0" applyNumberFormat="1" applyBorder="1" applyAlignment="1">
      <alignment horizontal="center"/>
    </xf>
    <xf numFmtId="177" fontId="0" fillId="0" borderId="77" xfId="0" applyNumberFormat="1" applyBorder="1" applyAlignment="1">
      <alignment horizontal="center"/>
    </xf>
    <xf numFmtId="177" fontId="0" fillId="0" borderId="78" xfId="0" applyNumberFormat="1" applyBorder="1" applyAlignment="1">
      <alignment horizontal="center"/>
    </xf>
    <xf numFmtId="0" fontId="68" fillId="0" borderId="100" xfId="0" applyFont="1" applyBorder="1" applyAlignment="1">
      <alignment horizontal="center"/>
    </xf>
    <xf numFmtId="0" fontId="68" fillId="0" borderId="0" xfId="0" applyFont="1" applyAlignment="1">
      <alignment horizontal="center"/>
    </xf>
    <xf numFmtId="0" fontId="68" fillId="0" borderId="101" xfId="0" applyFont="1" applyBorder="1" applyAlignment="1">
      <alignment horizontal="center"/>
    </xf>
    <xf numFmtId="0" fontId="0" fillId="0" borderId="66" xfId="0" applyBorder="1" applyAlignment="1">
      <alignment horizontal="center"/>
    </xf>
    <xf numFmtId="42" fontId="0" fillId="0" borderId="66" xfId="0" applyNumberFormat="1" applyBorder="1" applyAlignment="1">
      <alignment horizontal="center"/>
    </xf>
    <xf numFmtId="176" fontId="23" fillId="0" borderId="99" xfId="0" applyNumberFormat="1" applyFont="1" applyBorder="1" applyAlignment="1">
      <alignment horizontal="center"/>
    </xf>
    <xf numFmtId="176" fontId="23" fillId="0" borderId="75" xfId="0" applyNumberFormat="1" applyFont="1" applyBorder="1" applyAlignment="1">
      <alignment horizontal="center"/>
    </xf>
    <xf numFmtId="0" fontId="13" fillId="0" borderId="66" xfId="0" applyFont="1" applyBorder="1" applyAlignment="1">
      <alignment horizontal="center"/>
    </xf>
    <xf numFmtId="44" fontId="23" fillId="0" borderId="99" xfId="1" applyFont="1" applyBorder="1" applyAlignment="1">
      <alignment horizontal="center"/>
    </xf>
    <xf numFmtId="44" fontId="23" fillId="0" borderId="75" xfId="1" applyFont="1" applyBorder="1" applyAlignment="1">
      <alignment horizontal="center"/>
    </xf>
    <xf numFmtId="181" fontId="23" fillId="0" borderId="99" xfId="0" applyNumberFormat="1" applyFont="1" applyBorder="1" applyAlignment="1">
      <alignment horizontal="center"/>
    </xf>
    <xf numFmtId="181" fontId="23" fillId="0" borderId="75" xfId="0" applyNumberFormat="1" applyFont="1" applyBorder="1" applyAlignment="1">
      <alignment horizontal="center"/>
    </xf>
    <xf numFmtId="177" fontId="0" fillId="0" borderId="77" xfId="0" applyNumberFormat="1" applyBorder="1" applyAlignment="1">
      <alignment horizontal="right"/>
    </xf>
    <xf numFmtId="177" fontId="0" fillId="0" borderId="78" xfId="0" applyNumberFormat="1" applyBorder="1" applyAlignment="1">
      <alignment horizontal="right"/>
    </xf>
    <xf numFmtId="0" fontId="23" fillId="0" borderId="0" xfId="0" applyFont="1" applyAlignment="1">
      <alignment horizontal="center"/>
    </xf>
    <xf numFmtId="0" fontId="23" fillId="0" borderId="71" xfId="0" applyFont="1" applyBorder="1" applyAlignment="1">
      <alignment horizontal="center"/>
    </xf>
    <xf numFmtId="177" fontId="0" fillId="0" borderId="99" xfId="0" applyNumberFormat="1" applyBorder="1" applyAlignment="1">
      <alignment horizontal="right"/>
    </xf>
    <xf numFmtId="177" fontId="0" fillId="0" borderId="75" xfId="0" applyNumberFormat="1" applyBorder="1" applyAlignment="1">
      <alignment horizontal="right"/>
    </xf>
    <xf numFmtId="2" fontId="70" fillId="0" borderId="99" xfId="0" applyNumberFormat="1" applyFont="1" applyBorder="1" applyAlignment="1">
      <alignment horizontal="right"/>
    </xf>
    <xf numFmtId="2" fontId="70" fillId="0" borderId="75" xfId="0" applyNumberFormat="1" applyFont="1" applyBorder="1" applyAlignment="1">
      <alignment horizontal="right"/>
    </xf>
    <xf numFmtId="182" fontId="0" fillId="0" borderId="99" xfId="0" applyNumberFormat="1" applyBorder="1" applyAlignment="1">
      <alignment horizontal="right"/>
    </xf>
    <xf numFmtId="182" fontId="0" fillId="0" borderId="75" xfId="0" applyNumberFormat="1" applyBorder="1" applyAlignment="1">
      <alignment horizontal="right"/>
    </xf>
    <xf numFmtId="177" fontId="0" fillId="0" borderId="72" xfId="0" applyNumberFormat="1" applyBorder="1" applyAlignment="1">
      <alignment horizontal="right"/>
    </xf>
    <xf numFmtId="177" fontId="0" fillId="0" borderId="74" xfId="0" applyNumberFormat="1" applyBorder="1" applyAlignment="1">
      <alignment horizontal="right"/>
    </xf>
    <xf numFmtId="1" fontId="0" fillId="0" borderId="66" xfId="0" applyNumberFormat="1" applyBorder="1" applyAlignment="1">
      <alignment horizontal="center"/>
    </xf>
    <xf numFmtId="168" fontId="0" fillId="0" borderId="66" xfId="0" applyNumberFormat="1" applyBorder="1"/>
    <xf numFmtId="10" fontId="0" fillId="0" borderId="99" xfId="2" applyNumberFormat="1" applyFont="1" applyBorder="1" applyAlignment="1">
      <alignment horizontal="center"/>
    </xf>
    <xf numFmtId="10" fontId="0" fillId="0" borderId="75" xfId="2" applyNumberFormat="1" applyFont="1" applyBorder="1" applyAlignment="1">
      <alignment horizontal="center"/>
    </xf>
    <xf numFmtId="168" fontId="0" fillId="0" borderId="66" xfId="0" applyNumberFormat="1" applyBorder="1" applyAlignment="1">
      <alignment horizontal="center"/>
    </xf>
    <xf numFmtId="0" fontId="23" fillId="0" borderId="71" xfId="0" applyFont="1" applyBorder="1" applyAlignment="1">
      <alignment horizontal="center" wrapText="1"/>
    </xf>
    <xf numFmtId="0" fontId="0" fillId="11" borderId="66" xfId="0" applyFill="1" applyBorder="1" applyAlignment="1">
      <alignment horizontal="center"/>
    </xf>
    <xf numFmtId="0" fontId="23" fillId="0" borderId="71" xfId="0" applyFont="1" applyBorder="1" applyAlignment="1">
      <alignment horizontal="left" wrapText="1"/>
    </xf>
    <xf numFmtId="0" fontId="0" fillId="0" borderId="66" xfId="0" applyBorder="1" applyAlignment="1">
      <alignment horizontal="left" indent="1"/>
    </xf>
    <xf numFmtId="0" fontId="0" fillId="0" borderId="99" xfId="0" applyBorder="1" applyAlignment="1">
      <alignment horizontal="left" indent="1"/>
    </xf>
    <xf numFmtId="0" fontId="0" fillId="0" borderId="103" xfId="0" applyBorder="1" applyAlignment="1">
      <alignment horizontal="left" indent="1"/>
    </xf>
    <xf numFmtId="0" fontId="0" fillId="0" borderId="128" xfId="0" applyBorder="1" applyAlignment="1">
      <alignment horizontal="left" indent="1"/>
    </xf>
    <xf numFmtId="0" fontId="13" fillId="0" borderId="77" xfId="0" applyFont="1" applyBorder="1" applyAlignment="1" applyProtection="1">
      <alignment horizontal="left" indent="1"/>
      <protection locked="0"/>
    </xf>
    <xf numFmtId="0" fontId="13" fillId="0" borderId="79" xfId="0" applyFont="1" applyBorder="1" applyAlignment="1" applyProtection="1">
      <alignment horizontal="left" indent="1"/>
      <protection locked="0"/>
    </xf>
    <xf numFmtId="0" fontId="13" fillId="0" borderId="78" xfId="0" applyFont="1" applyBorder="1" applyAlignment="1" applyProtection="1">
      <alignment horizontal="left" indent="1"/>
      <protection locked="0"/>
    </xf>
    <xf numFmtId="0" fontId="0" fillId="0" borderId="0" xfId="0" applyAlignment="1">
      <alignment horizontal="right"/>
    </xf>
    <xf numFmtId="0" fontId="64" fillId="0" borderId="77" xfId="0" applyFont="1" applyBorder="1" applyAlignment="1" applyProtection="1">
      <alignment horizontal="left" indent="1"/>
      <protection locked="0"/>
    </xf>
    <xf numFmtId="0" fontId="64" fillId="0" borderId="79" xfId="0" applyFont="1" applyBorder="1" applyAlignment="1" applyProtection="1">
      <alignment horizontal="left" indent="1"/>
      <protection locked="0"/>
    </xf>
    <xf numFmtId="0" fontId="64" fillId="0" borderId="78" xfId="0" applyFont="1" applyBorder="1" applyAlignment="1" applyProtection="1">
      <alignment horizontal="left" indent="1"/>
      <protection locked="0"/>
    </xf>
    <xf numFmtId="42" fontId="13" fillId="0" borderId="99" xfId="0" applyNumberFormat="1" applyFont="1" applyBorder="1" applyAlignment="1">
      <alignment horizontal="center"/>
    </xf>
    <xf numFmtId="42" fontId="13" fillId="0" borderId="103" xfId="0" applyNumberFormat="1" applyFont="1" applyBorder="1" applyAlignment="1">
      <alignment horizontal="center"/>
    </xf>
    <xf numFmtId="42" fontId="13" fillId="0" borderId="128" xfId="0" applyNumberFormat="1" applyFont="1" applyBorder="1" applyAlignment="1">
      <alignment horizontal="center"/>
    </xf>
    <xf numFmtId="0" fontId="0" fillId="0" borderId="66" xfId="0" applyBorder="1" applyAlignment="1">
      <alignment horizontal="right"/>
    </xf>
    <xf numFmtId="0" fontId="0" fillId="0" borderId="99" xfId="0" applyBorder="1" applyAlignment="1">
      <alignment horizontal="left"/>
    </xf>
    <xf numFmtId="0" fontId="0" fillId="0" borderId="103" xfId="0" applyBorder="1" applyAlignment="1">
      <alignment horizontal="left"/>
    </xf>
    <xf numFmtId="0" fontId="0" fillId="0" borderId="75" xfId="0" applyBorder="1" applyAlignment="1">
      <alignment horizontal="left"/>
    </xf>
    <xf numFmtId="0" fontId="15" fillId="0" borderId="97" xfId="0" applyFont="1" applyBorder="1" applyAlignment="1">
      <alignment horizontal="center"/>
    </xf>
    <xf numFmtId="0" fontId="15" fillId="0" borderId="80" xfId="0" applyFont="1" applyBorder="1" applyAlignment="1">
      <alignment horizontal="center"/>
    </xf>
    <xf numFmtId="0" fontId="58" fillId="0" borderId="80" xfId="0" applyFont="1" applyBorder="1" applyAlignment="1">
      <alignment horizontal="center"/>
    </xf>
    <xf numFmtId="0" fontId="58" fillId="0" borderId="81" xfId="0" applyFont="1" applyBorder="1" applyAlignment="1">
      <alignment horizontal="center"/>
    </xf>
    <xf numFmtId="0" fontId="0" fillId="0" borderId="71" xfId="0" applyBorder="1" applyAlignment="1">
      <alignment horizontal="left"/>
    </xf>
    <xf numFmtId="0" fontId="13" fillId="21" borderId="66" xfId="0" applyFont="1" applyFill="1" applyBorder="1" applyAlignment="1">
      <alignment horizontal="center" vertical="top"/>
    </xf>
    <xf numFmtId="0" fontId="0" fillId="0" borderId="100" xfId="0" applyBorder="1" applyAlignment="1">
      <alignment horizontal="center"/>
    </xf>
    <xf numFmtId="0" fontId="0" fillId="0" borderId="0" xfId="0" applyAlignment="1">
      <alignment horizontal="center"/>
    </xf>
    <xf numFmtId="0" fontId="0" fillId="0" borderId="101" xfId="0" applyBorder="1" applyAlignment="1">
      <alignment horizontal="center"/>
    </xf>
    <xf numFmtId="0" fontId="0" fillId="0" borderId="71" xfId="0" applyBorder="1" applyAlignment="1" applyProtection="1">
      <alignment horizontal="left"/>
      <protection locked="0"/>
    </xf>
    <xf numFmtId="0" fontId="0" fillId="0" borderId="71" xfId="0" applyBorder="1" applyAlignment="1" applyProtection="1">
      <alignment horizontal="center"/>
      <protection locked="0"/>
    </xf>
    <xf numFmtId="0" fontId="65" fillId="0" borderId="99" xfId="36" applyBorder="1" applyAlignment="1" applyProtection="1">
      <alignment horizontal="center"/>
    </xf>
    <xf numFmtId="0" fontId="65" fillId="0" borderId="103" xfId="36" applyBorder="1" applyAlignment="1" applyProtection="1">
      <alignment horizontal="center"/>
    </xf>
    <xf numFmtId="0" fontId="0" fillId="0" borderId="103" xfId="0" applyBorder="1" applyAlignment="1">
      <alignment horizontal="center"/>
    </xf>
    <xf numFmtId="0" fontId="13" fillId="0" borderId="86" xfId="0" applyFont="1" applyBorder="1" applyAlignment="1">
      <alignment horizontal="center" vertical="center"/>
    </xf>
    <xf numFmtId="0" fontId="13" fillId="0" borderId="103" xfId="0" applyFont="1" applyBorder="1" applyAlignment="1">
      <alignment horizontal="center" vertical="center"/>
    </xf>
    <xf numFmtId="0" fontId="13" fillId="0" borderId="128" xfId="0" applyFont="1" applyBorder="1" applyAlignment="1">
      <alignment horizontal="center" vertical="center"/>
    </xf>
    <xf numFmtId="0" fontId="0" fillId="0" borderId="129" xfId="0" applyBorder="1" applyAlignment="1">
      <alignment horizontal="center" vertical="justify"/>
    </xf>
    <xf numFmtId="0" fontId="0" fillId="0" borderId="73" xfId="0" applyBorder="1" applyAlignment="1">
      <alignment horizontal="center" vertical="justify"/>
    </xf>
    <xf numFmtId="0" fontId="0" fillId="0" borderId="130" xfId="0" applyBorder="1" applyAlignment="1">
      <alignment horizontal="center" vertical="justify"/>
    </xf>
    <xf numFmtId="0" fontId="0" fillId="0" borderId="100" xfId="0" applyBorder="1" applyAlignment="1">
      <alignment horizontal="center" vertical="distributed"/>
    </xf>
    <xf numFmtId="0" fontId="0" fillId="0" borderId="0" xfId="0" applyAlignment="1">
      <alignment horizontal="center" vertical="distributed"/>
    </xf>
    <xf numFmtId="0" fontId="0" fillId="0" borderId="101" xfId="0" applyBorder="1" applyAlignment="1">
      <alignment horizontal="center" vertical="distributed"/>
    </xf>
    <xf numFmtId="0" fontId="0" fillId="0" borderId="66" xfId="0" applyBorder="1" applyAlignment="1" applyProtection="1">
      <alignment horizontal="center"/>
      <protection locked="0"/>
    </xf>
    <xf numFmtId="0" fontId="57" fillId="0" borderId="0" xfId="0" applyFont="1" applyAlignment="1">
      <alignment horizontal="right"/>
    </xf>
    <xf numFmtId="0" fontId="57" fillId="0" borderId="0" xfId="0" applyFont="1" applyAlignment="1">
      <alignment horizontal="center"/>
    </xf>
    <xf numFmtId="0" fontId="0" fillId="0" borderId="99" xfId="0" applyBorder="1" applyAlignment="1" applyProtection="1">
      <alignment horizontal="left"/>
      <protection locked="0"/>
    </xf>
    <xf numFmtId="0" fontId="0" fillId="0" borderId="103" xfId="0" applyBorder="1" applyAlignment="1" applyProtection="1">
      <alignment horizontal="left"/>
      <protection locked="0"/>
    </xf>
    <xf numFmtId="0" fontId="0" fillId="0" borderId="75" xfId="0" applyBorder="1" applyAlignment="1" applyProtection="1">
      <alignment horizontal="left"/>
      <protection locked="0"/>
    </xf>
    <xf numFmtId="0" fontId="0" fillId="11" borderId="99" xfId="0" applyFill="1" applyBorder="1" applyAlignment="1">
      <alignment horizontal="center"/>
    </xf>
    <xf numFmtId="0" fontId="0" fillId="11" borderId="75" xfId="0" applyFill="1" applyBorder="1" applyAlignment="1">
      <alignment horizontal="center"/>
    </xf>
    <xf numFmtId="42" fontId="0" fillId="11" borderId="99" xfId="0" applyNumberFormat="1" applyFill="1" applyBorder="1" applyAlignment="1">
      <alignment horizontal="left"/>
    </xf>
    <xf numFmtId="42" fontId="0" fillId="11" borderId="103" xfId="0" applyNumberFormat="1" applyFill="1" applyBorder="1" applyAlignment="1">
      <alignment horizontal="left"/>
    </xf>
    <xf numFmtId="42" fontId="0" fillId="11" borderId="75" xfId="0" applyNumberFormat="1" applyFill="1" applyBorder="1" applyAlignment="1">
      <alignment horizontal="left"/>
    </xf>
    <xf numFmtId="0" fontId="0" fillId="0" borderId="99" xfId="0" applyBorder="1" applyAlignment="1">
      <alignment horizontal="center"/>
    </xf>
    <xf numFmtId="0" fontId="0" fillId="0" borderId="75" xfId="0" applyBorder="1" applyAlignment="1">
      <alignment horizontal="center"/>
    </xf>
    <xf numFmtId="42" fontId="0" fillId="0" borderId="99" xfId="0" applyNumberFormat="1" applyBorder="1" applyAlignment="1">
      <alignment horizontal="left"/>
    </xf>
    <xf numFmtId="42" fontId="0" fillId="0" borderId="103" xfId="0" applyNumberFormat="1" applyBorder="1" applyAlignment="1">
      <alignment horizontal="left"/>
    </xf>
    <xf numFmtId="42" fontId="0" fillId="0" borderId="75" xfId="0" applyNumberFormat="1" applyBorder="1" applyAlignment="1">
      <alignment horizontal="left"/>
    </xf>
    <xf numFmtId="0" fontId="66" fillId="0" borderId="66" xfId="36" applyFont="1" applyBorder="1" applyAlignment="1" applyProtection="1">
      <alignment horizontal="center"/>
    </xf>
    <xf numFmtId="1" fontId="92" fillId="0" borderId="99" xfId="0" applyNumberFormat="1" applyFont="1" applyBorder="1" applyAlignment="1">
      <alignment horizontal="left"/>
    </xf>
    <xf numFmtId="0" fontId="92" fillId="0" borderId="103" xfId="0" applyFont="1" applyBorder="1" applyAlignment="1">
      <alignment horizontal="left"/>
    </xf>
    <xf numFmtId="0" fontId="92" fillId="0" borderId="75" xfId="0" applyFont="1" applyBorder="1" applyAlignment="1">
      <alignment horizontal="left"/>
    </xf>
    <xf numFmtId="175" fontId="67" fillId="0" borderId="99" xfId="0" applyNumberFormat="1" applyFont="1" applyBorder="1" applyAlignment="1">
      <alignment horizontal="center"/>
    </xf>
    <xf numFmtId="175" fontId="67" fillId="0" borderId="103" xfId="0" applyNumberFormat="1" applyFont="1" applyBorder="1" applyAlignment="1">
      <alignment horizontal="center"/>
    </xf>
    <xf numFmtId="175" fontId="67" fillId="0" borderId="75" xfId="0" applyNumberFormat="1" applyFont="1" applyBorder="1" applyAlignment="1">
      <alignment horizontal="center"/>
    </xf>
    <xf numFmtId="42" fontId="13" fillId="0" borderId="75" xfId="0" applyNumberFormat="1" applyFont="1" applyBorder="1" applyAlignment="1">
      <alignment horizontal="center"/>
    </xf>
    <xf numFmtId="0" fontId="0" fillId="0" borderId="66" xfId="0" applyBorder="1" applyAlignment="1">
      <alignment horizontal="center" vertical="top"/>
    </xf>
    <xf numFmtId="0" fontId="0" fillId="0" borderId="66" xfId="0" applyBorder="1" applyAlignment="1" applyProtection="1">
      <alignment horizontal="center" vertical="top"/>
      <protection locked="0"/>
    </xf>
    <xf numFmtId="168" fontId="0" fillId="0" borderId="73" xfId="0" applyNumberFormat="1" applyBorder="1" applyAlignment="1">
      <alignment horizontal="center"/>
    </xf>
    <xf numFmtId="0" fontId="84" fillId="0" borderId="100" xfId="0" applyFont="1" applyBorder="1" applyAlignment="1">
      <alignment horizontal="center"/>
    </xf>
    <xf numFmtId="0" fontId="84" fillId="0" borderId="0" xfId="0" applyFont="1" applyAlignment="1">
      <alignment horizontal="center"/>
    </xf>
    <xf numFmtId="0" fontId="84" fillId="0" borderId="10" xfId="0" applyFont="1" applyBorder="1" applyAlignment="1">
      <alignment horizontal="center"/>
    </xf>
    <xf numFmtId="0" fontId="13" fillId="0" borderId="72" xfId="0" applyFont="1" applyBorder="1" applyAlignment="1">
      <alignment horizontal="center" vertical="center" wrapText="1"/>
    </xf>
    <xf numFmtId="0" fontId="13" fillId="0" borderId="74" xfId="0" applyFont="1" applyBorder="1" applyAlignment="1">
      <alignment horizontal="center" vertical="center" wrapText="1"/>
    </xf>
    <xf numFmtId="0" fontId="13" fillId="0" borderId="65" xfId="0" applyFont="1" applyBorder="1" applyAlignment="1">
      <alignment horizontal="center" vertical="center" wrapText="1"/>
    </xf>
    <xf numFmtId="0" fontId="13" fillId="0" borderId="116" xfId="0" applyFont="1" applyBorder="1" applyAlignment="1">
      <alignment horizontal="center" vertical="center" wrapText="1"/>
    </xf>
    <xf numFmtId="0" fontId="33" fillId="0" borderId="100" xfId="0" applyFont="1" applyBorder="1" applyAlignment="1">
      <alignment horizontal="center"/>
    </xf>
    <xf numFmtId="0" fontId="33" fillId="0" borderId="0" xfId="0" applyFont="1" applyAlignment="1">
      <alignment horizontal="center"/>
    </xf>
    <xf numFmtId="0" fontId="33" fillId="0" borderId="10" xfId="0" applyFont="1" applyBorder="1" applyAlignment="1">
      <alignment horizontal="center"/>
    </xf>
    <xf numFmtId="0" fontId="23" fillId="0" borderId="100" xfId="0" applyFont="1" applyBorder="1" applyAlignment="1">
      <alignment horizontal="center"/>
    </xf>
    <xf numFmtId="0" fontId="60" fillId="0" borderId="100" xfId="0" applyFont="1" applyBorder="1" applyAlignment="1">
      <alignment horizontal="center"/>
    </xf>
    <xf numFmtId="0" fontId="60" fillId="0" borderId="0" xfId="0" applyFont="1" applyAlignment="1">
      <alignment horizontal="center"/>
    </xf>
    <xf numFmtId="0" fontId="0" fillId="0" borderId="67" xfId="0" applyBorder="1" applyAlignment="1">
      <alignment horizontal="left" vertical="top"/>
    </xf>
    <xf numFmtId="0" fontId="0" fillId="0" borderId="0" xfId="0" applyAlignment="1">
      <alignment horizontal="left" vertical="top"/>
    </xf>
    <xf numFmtId="0" fontId="0" fillId="0" borderId="10" xfId="0" applyBorder="1" applyAlignment="1">
      <alignment horizontal="left" vertical="top"/>
    </xf>
    <xf numFmtId="49" fontId="0" fillId="0" borderId="99" xfId="0" applyNumberFormat="1" applyBorder="1" applyAlignment="1">
      <alignment horizontal="center" vertical="top"/>
    </xf>
    <xf numFmtId="49" fontId="0" fillId="0" borderId="103" xfId="0" applyNumberFormat="1" applyBorder="1" applyAlignment="1">
      <alignment horizontal="center" vertical="top"/>
    </xf>
    <xf numFmtId="49" fontId="0" fillId="0" borderId="75" xfId="0" applyNumberFormat="1" applyBorder="1" applyAlignment="1">
      <alignment horizontal="center" vertical="top"/>
    </xf>
    <xf numFmtId="0" fontId="0" fillId="0" borderId="65" xfId="0" applyBorder="1" applyAlignment="1">
      <alignment horizontal="left" vertical="top"/>
    </xf>
    <xf numFmtId="0" fontId="0" fillId="0" borderId="71" xfId="0" applyBorder="1" applyAlignment="1">
      <alignment horizontal="left" vertical="top"/>
    </xf>
    <xf numFmtId="0" fontId="0" fillId="0" borderId="116" xfId="0" applyBorder="1" applyAlignment="1">
      <alignment horizontal="left" vertical="top"/>
    </xf>
    <xf numFmtId="2" fontId="0" fillId="0" borderId="99" xfId="0" applyNumberFormat="1" applyBorder="1" applyAlignment="1">
      <alignment horizontal="center" vertical="top"/>
    </xf>
    <xf numFmtId="2" fontId="0" fillId="0" borderId="103" xfId="0" applyNumberFormat="1" applyBorder="1" applyAlignment="1">
      <alignment horizontal="center" vertical="top"/>
    </xf>
    <xf numFmtId="2" fontId="0" fillId="0" borderId="75" xfId="0" applyNumberFormat="1" applyBorder="1" applyAlignment="1">
      <alignment horizontal="center" vertical="top"/>
    </xf>
    <xf numFmtId="0" fontId="60" fillId="0" borderId="12" xfId="0" applyFont="1" applyBorder="1" applyAlignment="1">
      <alignment horizontal="center"/>
    </xf>
    <xf numFmtId="0" fontId="60" fillId="0" borderId="126" xfId="0" applyFont="1" applyBorder="1" applyAlignment="1">
      <alignment horizontal="center"/>
    </xf>
    <xf numFmtId="1" fontId="64" fillId="0" borderId="79" xfId="0" applyNumberFormat="1" applyFont="1" applyBorder="1" applyAlignment="1" applyProtection="1">
      <alignment horizontal="left"/>
      <protection locked="0"/>
    </xf>
    <xf numFmtId="0" fontId="64" fillId="0" borderId="79" xfId="0" applyFont="1" applyBorder="1" applyAlignment="1" applyProtection="1">
      <alignment horizontal="left"/>
      <protection locked="0"/>
    </xf>
    <xf numFmtId="0" fontId="0" fillId="0" borderId="72" xfId="0" applyBorder="1" applyAlignment="1">
      <alignment horizontal="left" vertical="top"/>
    </xf>
    <xf numFmtId="0" fontId="0" fillId="0" borderId="73" xfId="0" applyBorder="1" applyAlignment="1">
      <alignment horizontal="left" vertical="top"/>
    </xf>
    <xf numFmtId="0" fontId="0" fillId="0" borderId="74" xfId="0" applyBorder="1" applyAlignment="1">
      <alignment horizontal="left" vertical="top"/>
    </xf>
    <xf numFmtId="0" fontId="0" fillId="0" borderId="99" xfId="0" applyBorder="1" applyAlignment="1">
      <alignment horizontal="center" vertical="top"/>
    </xf>
    <xf numFmtId="0" fontId="0" fillId="0" borderId="103" xfId="0" applyBorder="1" applyAlignment="1">
      <alignment horizontal="center" vertical="top"/>
    </xf>
    <xf numFmtId="0" fontId="0" fillId="0" borderId="75" xfId="0" applyBorder="1" applyAlignment="1">
      <alignment horizontal="center" vertical="top"/>
    </xf>
    <xf numFmtId="0" fontId="0" fillId="0" borderId="77" xfId="0" applyBorder="1" applyAlignment="1">
      <alignment horizontal="center" wrapText="1"/>
    </xf>
    <xf numFmtId="0" fontId="0" fillId="0" borderId="79" xfId="0" applyBorder="1" applyAlignment="1">
      <alignment horizontal="center" wrapText="1"/>
    </xf>
    <xf numFmtId="0" fontId="0" fillId="0" borderId="78" xfId="0" applyBorder="1" applyAlignment="1">
      <alignment horizontal="center" wrapText="1"/>
    </xf>
    <xf numFmtId="0" fontId="36" fillId="0" borderId="77" xfId="0" applyFont="1" applyBorder="1" applyAlignment="1">
      <alignment horizontal="center" wrapText="1"/>
    </xf>
    <xf numFmtId="0" fontId="36" fillId="0" borderId="78" xfId="0" applyFont="1" applyBorder="1" applyAlignment="1">
      <alignment horizontal="center" wrapText="1"/>
    </xf>
    <xf numFmtId="0" fontId="36" fillId="0" borderId="77" xfId="0" applyFont="1" applyBorder="1" applyAlignment="1">
      <alignment horizontal="center" vertical="center" wrapText="1"/>
    </xf>
    <xf numFmtId="0" fontId="36" fillId="0" borderId="79" xfId="0" applyFont="1" applyBorder="1" applyAlignment="1">
      <alignment horizontal="center" vertical="center" wrapText="1"/>
    </xf>
    <xf numFmtId="0" fontId="36" fillId="0" borderId="78" xfId="0" applyFont="1" applyBorder="1" applyAlignment="1">
      <alignment horizontal="center" vertical="center" wrapText="1"/>
    </xf>
    <xf numFmtId="0" fontId="33" fillId="0" borderId="0" xfId="0" applyFont="1" applyAlignment="1">
      <alignment horizontal="center" textRotation="180"/>
    </xf>
    <xf numFmtId="0" fontId="33" fillId="0" borderId="0" xfId="0" applyFont="1" applyAlignment="1">
      <alignment horizontal="center" textRotation="180" wrapText="1"/>
    </xf>
    <xf numFmtId="0" fontId="15" fillId="0" borderId="29" xfId="0" applyFont="1" applyBorder="1" applyAlignment="1">
      <alignment horizontal="center"/>
    </xf>
    <xf numFmtId="0" fontId="15" fillId="0" borderId="98" xfId="0" applyFont="1" applyBorder="1" applyAlignment="1">
      <alignment horizontal="center"/>
    </xf>
    <xf numFmtId="0" fontId="8" fillId="0" borderId="174" xfId="0" applyFont="1" applyBorder="1" applyAlignment="1">
      <alignment horizontal="center" vertical="center" wrapText="1"/>
    </xf>
    <xf numFmtId="0" fontId="8" fillId="0" borderId="175" xfId="0" applyFont="1" applyBorder="1" applyAlignment="1">
      <alignment horizontal="center" vertical="center" wrapText="1"/>
    </xf>
    <xf numFmtId="0" fontId="13" fillId="0" borderId="0" xfId="0" applyFont="1" applyAlignment="1">
      <alignment horizontal="center" wrapText="1"/>
    </xf>
    <xf numFmtId="44" fontId="11" fillId="16" borderId="66" xfId="1" applyFont="1" applyFill="1" applyBorder="1" applyAlignment="1" applyProtection="1">
      <alignment horizontal="center" wrapText="1"/>
      <protection locked="0"/>
    </xf>
    <xf numFmtId="0" fontId="8" fillId="0" borderId="77" xfId="0" applyFont="1" applyBorder="1" applyAlignment="1">
      <alignment horizontal="center" vertical="center" wrapText="1"/>
    </xf>
    <xf numFmtId="0" fontId="8" fillId="0" borderId="79" xfId="0" applyFont="1" applyBorder="1" applyAlignment="1">
      <alignment horizontal="center" vertical="center" wrapText="1"/>
    </xf>
    <xf numFmtId="2" fontId="11" fillId="15" borderId="67" xfId="0" applyNumberFormat="1" applyFont="1" applyFill="1" applyBorder="1" applyAlignment="1">
      <alignment horizontal="center" wrapText="1"/>
    </xf>
    <xf numFmtId="2" fontId="11" fillId="15" borderId="0" xfId="0" applyNumberFormat="1" applyFont="1" applyFill="1" applyAlignment="1">
      <alignment horizontal="center" wrapText="1"/>
    </xf>
    <xf numFmtId="2" fontId="12" fillId="0" borderId="77" xfId="0" applyNumberFormat="1" applyFont="1" applyBorder="1" applyAlignment="1" applyProtection="1">
      <alignment horizontal="center"/>
      <protection locked="0"/>
    </xf>
    <xf numFmtId="2" fontId="12" fillId="0" borderId="78" xfId="0" applyNumberFormat="1" applyFont="1" applyBorder="1" applyAlignment="1" applyProtection="1">
      <alignment horizontal="center"/>
      <protection locked="0"/>
    </xf>
    <xf numFmtId="2" fontId="12" fillId="27" borderId="77" xfId="0" applyNumberFormat="1" applyFont="1" applyFill="1" applyBorder="1" applyAlignment="1">
      <alignment horizontal="center"/>
    </xf>
    <xf numFmtId="2" fontId="12" fillId="27" borderId="78" xfId="0" applyNumberFormat="1" applyFont="1" applyFill="1" applyBorder="1" applyAlignment="1">
      <alignment horizontal="center"/>
    </xf>
    <xf numFmtId="0" fontId="12" fillId="16" borderId="49" xfId="0" applyFont="1" applyFill="1" applyBorder="1" applyAlignment="1" applyProtection="1">
      <alignment horizontal="left"/>
      <protection locked="0"/>
    </xf>
    <xf numFmtId="0" fontId="12" fillId="0" borderId="49" xfId="0" applyFont="1" applyBorder="1" applyAlignment="1">
      <alignment horizontal="left"/>
    </xf>
    <xf numFmtId="0" fontId="12" fillId="0" borderId="46" xfId="0" applyFont="1" applyBorder="1" applyAlignment="1">
      <alignment horizontal="left"/>
    </xf>
    <xf numFmtId="1" fontId="12" fillId="5" borderId="45" xfId="0" applyNumberFormat="1" applyFont="1" applyFill="1" applyBorder="1" applyAlignment="1">
      <alignment horizontal="center"/>
    </xf>
    <xf numFmtId="1" fontId="12" fillId="5" borderId="46" xfId="0" applyNumberFormat="1" applyFont="1" applyFill="1" applyBorder="1" applyAlignment="1">
      <alignment horizontal="center"/>
    </xf>
    <xf numFmtId="2" fontId="12" fillId="5" borderId="46" xfId="0" applyNumberFormat="1" applyFont="1" applyFill="1" applyBorder="1" applyAlignment="1">
      <alignment horizontal="center"/>
    </xf>
    <xf numFmtId="2" fontId="12" fillId="5" borderId="47" xfId="0" applyNumberFormat="1" applyFont="1" applyFill="1" applyBorder="1" applyAlignment="1">
      <alignment horizontal="center"/>
    </xf>
    <xf numFmtId="8" fontId="11" fillId="0" borderId="51" xfId="1" applyNumberFormat="1" applyFont="1" applyFill="1" applyBorder="1" applyAlignment="1" applyProtection="1">
      <alignment horizontal="center"/>
    </xf>
    <xf numFmtId="8" fontId="11" fillId="0" borderId="52" xfId="1" applyNumberFormat="1" applyFont="1" applyFill="1" applyBorder="1" applyAlignment="1" applyProtection="1">
      <alignment horizontal="center"/>
    </xf>
    <xf numFmtId="8" fontId="11" fillId="0" borderId="53" xfId="1" applyNumberFormat="1" applyFont="1" applyFill="1" applyBorder="1" applyAlignment="1" applyProtection="1">
      <alignment horizontal="center"/>
    </xf>
    <xf numFmtId="2" fontId="12" fillId="5" borderId="45" xfId="0" applyNumberFormat="1" applyFont="1" applyFill="1" applyBorder="1" applyAlignment="1">
      <alignment horizontal="center"/>
    </xf>
    <xf numFmtId="2" fontId="12" fillId="5" borderId="59" xfId="0" applyNumberFormat="1" applyFont="1" applyFill="1" applyBorder="1" applyAlignment="1">
      <alignment horizontal="center"/>
    </xf>
    <xf numFmtId="0" fontId="107" fillId="0" borderId="55" xfId="0" applyFont="1" applyBorder="1" applyAlignment="1">
      <alignment horizontal="left"/>
    </xf>
    <xf numFmtId="0" fontId="107" fillId="0" borderId="43" xfId="0" applyFont="1" applyBorder="1" applyAlignment="1">
      <alignment horizontal="left"/>
    </xf>
    <xf numFmtId="2" fontId="11" fillId="0" borderId="189" xfId="0" applyNumberFormat="1" applyFont="1" applyBorder="1" applyAlignment="1">
      <alignment horizontal="center"/>
    </xf>
    <xf numFmtId="2" fontId="11" fillId="0" borderId="37" xfId="0" applyNumberFormat="1" applyFont="1" applyBorder="1" applyAlignment="1">
      <alignment horizontal="center"/>
    </xf>
    <xf numFmtId="0" fontId="12" fillId="0" borderId="16" xfId="0" applyFont="1" applyBorder="1" applyAlignment="1">
      <alignment horizontal="center"/>
    </xf>
    <xf numFmtId="0" fontId="12" fillId="0" borderId="17" xfId="0" applyFont="1" applyBorder="1" applyAlignment="1">
      <alignment horizontal="center"/>
    </xf>
    <xf numFmtId="0" fontId="12" fillId="0" borderId="18" xfId="0" applyFont="1" applyBorder="1" applyAlignment="1">
      <alignment horizontal="center"/>
    </xf>
    <xf numFmtId="0" fontId="12" fillId="0" borderId="38" xfId="0" applyFont="1" applyBorder="1" applyAlignment="1">
      <alignment horizontal="left"/>
    </xf>
    <xf numFmtId="0" fontId="12" fillId="0" borderId="43" xfId="0" applyFont="1" applyBorder="1" applyAlignment="1">
      <alignment horizontal="left"/>
    </xf>
    <xf numFmtId="0" fontId="93" fillId="0" borderId="16" xfId="0" applyFont="1" applyBorder="1" applyAlignment="1">
      <alignment horizontal="center"/>
    </xf>
    <xf numFmtId="0" fontId="93" fillId="0" borderId="17" xfId="0" applyFont="1" applyBorder="1" applyAlignment="1">
      <alignment horizontal="center"/>
    </xf>
    <xf numFmtId="0" fontId="12" fillId="0" borderId="55" xfId="0" applyFont="1" applyBorder="1" applyAlignment="1">
      <alignment horizontal="left"/>
    </xf>
    <xf numFmtId="0" fontId="12" fillId="0" borderId="63" xfId="0" applyFont="1" applyBorder="1" applyAlignment="1">
      <alignment horizontal="left"/>
    </xf>
    <xf numFmtId="0" fontId="12" fillId="16" borderId="55" xfId="0" applyFont="1" applyFill="1" applyBorder="1" applyAlignment="1" applyProtection="1">
      <alignment horizontal="left"/>
      <protection locked="0"/>
    </xf>
    <xf numFmtId="0" fontId="12" fillId="16" borderId="43" xfId="0" applyFont="1" applyFill="1" applyBorder="1" applyAlignment="1" applyProtection="1">
      <alignment horizontal="left"/>
      <protection locked="0"/>
    </xf>
    <xf numFmtId="0" fontId="12" fillId="16" borderId="63" xfId="0" applyFont="1" applyFill="1" applyBorder="1" applyAlignment="1" applyProtection="1">
      <alignment horizontal="left"/>
      <protection locked="0"/>
    </xf>
    <xf numFmtId="0" fontId="12" fillId="0" borderId="15" xfId="0" applyFont="1" applyBorder="1" applyAlignment="1">
      <alignment horizontal="center"/>
    </xf>
    <xf numFmtId="166" fontId="93" fillId="0" borderId="69" xfId="0" applyNumberFormat="1" applyFont="1" applyBorder="1" applyAlignment="1">
      <alignment horizontal="center"/>
    </xf>
    <xf numFmtId="166" fontId="12" fillId="0" borderId="35" xfId="0" applyNumberFormat="1" applyFont="1" applyBorder="1" applyAlignment="1">
      <alignment horizontal="center"/>
    </xf>
    <xf numFmtId="2" fontId="12" fillId="16" borderId="49" xfId="0" applyNumberFormat="1" applyFont="1" applyFill="1" applyBorder="1" applyAlignment="1" applyProtection="1">
      <alignment horizontal="center"/>
      <protection locked="0"/>
    </xf>
    <xf numFmtId="2" fontId="12" fillId="5" borderId="48" xfId="0" applyNumberFormat="1" applyFont="1" applyFill="1" applyBorder="1" applyAlignment="1">
      <alignment horizontal="center"/>
    </xf>
    <xf numFmtId="2" fontId="12" fillId="5" borderId="49" xfId="0" applyNumberFormat="1" applyFont="1" applyFill="1" applyBorder="1" applyAlignment="1">
      <alignment horizontal="center"/>
    </xf>
    <xf numFmtId="2" fontId="12" fillId="5" borderId="61" xfId="0" applyNumberFormat="1" applyFont="1" applyFill="1" applyBorder="1" applyAlignment="1">
      <alignment horizontal="center"/>
    </xf>
    <xf numFmtId="2" fontId="12" fillId="5" borderId="62" xfId="0" applyNumberFormat="1" applyFont="1" applyFill="1" applyBorder="1" applyAlignment="1">
      <alignment horizontal="center"/>
    </xf>
    <xf numFmtId="2" fontId="22" fillId="5" borderId="57" xfId="0" applyNumberFormat="1" applyFont="1" applyFill="1" applyBorder="1" applyAlignment="1">
      <alignment horizontal="center"/>
    </xf>
    <xf numFmtId="2" fontId="12" fillId="5" borderId="38" xfId="0" applyNumberFormat="1" applyFont="1" applyFill="1" applyBorder="1" applyAlignment="1">
      <alignment horizontal="center" wrapText="1"/>
    </xf>
    <xf numFmtId="2" fontId="12" fillId="5" borderId="39" xfId="0" applyNumberFormat="1" applyFont="1" applyFill="1" applyBorder="1" applyAlignment="1">
      <alignment horizontal="center" wrapText="1"/>
    </xf>
    <xf numFmtId="2" fontId="12" fillId="5" borderId="60" xfId="0" applyNumberFormat="1" applyFont="1" applyFill="1" applyBorder="1" applyAlignment="1">
      <alignment horizontal="center"/>
    </xf>
    <xf numFmtId="2" fontId="12" fillId="5" borderId="55" xfId="0" applyNumberFormat="1" applyFont="1" applyFill="1" applyBorder="1" applyAlignment="1">
      <alignment horizontal="center"/>
    </xf>
    <xf numFmtId="2" fontId="12" fillId="5" borderId="15" xfId="0" applyNumberFormat="1" applyFont="1" applyFill="1" applyBorder="1" applyAlignment="1">
      <alignment horizontal="center"/>
    </xf>
    <xf numFmtId="0" fontId="12" fillId="5" borderId="38" xfId="0" applyFont="1" applyFill="1" applyBorder="1" applyAlignment="1">
      <alignment horizontal="center"/>
    </xf>
    <xf numFmtId="0" fontId="12" fillId="5" borderId="43" xfId="0" applyFont="1" applyFill="1" applyBorder="1" applyAlignment="1">
      <alignment horizontal="center"/>
    </xf>
    <xf numFmtId="0" fontId="12" fillId="5" borderId="39" xfId="0" applyFont="1" applyFill="1" applyBorder="1" applyAlignment="1">
      <alignment horizontal="center"/>
    </xf>
    <xf numFmtId="0" fontId="12" fillId="5" borderId="48" xfId="0" applyFont="1" applyFill="1" applyBorder="1" applyAlignment="1">
      <alignment horizontal="center"/>
    </xf>
    <xf numFmtId="0" fontId="12" fillId="5" borderId="49" xfId="0" applyFont="1" applyFill="1" applyBorder="1" applyAlignment="1">
      <alignment horizontal="center"/>
    </xf>
    <xf numFmtId="0" fontId="12" fillId="5" borderId="50" xfId="0" applyFont="1" applyFill="1" applyBorder="1" applyAlignment="1">
      <alignment horizontal="center"/>
    </xf>
    <xf numFmtId="2" fontId="12" fillId="5" borderId="206" xfId="0" applyNumberFormat="1" applyFont="1" applyFill="1" applyBorder="1" applyAlignment="1">
      <alignment horizontal="center"/>
    </xf>
    <xf numFmtId="2" fontId="12" fillId="5" borderId="17" xfId="0" applyNumberFormat="1" applyFont="1" applyFill="1" applyBorder="1" applyAlignment="1">
      <alignment horizontal="center"/>
    </xf>
    <xf numFmtId="2" fontId="12" fillId="5" borderId="18" xfId="0" applyNumberFormat="1" applyFont="1" applyFill="1" applyBorder="1" applyAlignment="1">
      <alignment horizontal="center"/>
    </xf>
    <xf numFmtId="0" fontId="20" fillId="0" borderId="183" xfId="0" applyFont="1" applyBorder="1" applyAlignment="1">
      <alignment horizontal="center" wrapText="1"/>
    </xf>
    <xf numFmtId="0" fontId="20" fillId="0" borderId="184" xfId="0" applyFont="1" applyBorder="1" applyAlignment="1">
      <alignment horizontal="center" wrapText="1"/>
    </xf>
    <xf numFmtId="0" fontId="12" fillId="5" borderId="45" xfId="0" applyFont="1" applyFill="1" applyBorder="1" applyAlignment="1">
      <alignment horizontal="center"/>
    </xf>
    <xf numFmtId="0" fontId="12" fillId="5" borderId="46" xfId="0" applyFont="1" applyFill="1" applyBorder="1" applyAlignment="1">
      <alignment horizontal="center"/>
    </xf>
    <xf numFmtId="0" fontId="12" fillId="5" borderId="47" xfId="0" applyFont="1" applyFill="1" applyBorder="1" applyAlignment="1">
      <alignment horizontal="center"/>
    </xf>
    <xf numFmtId="0" fontId="12" fillId="5" borderId="51" xfId="0" applyFont="1" applyFill="1" applyBorder="1" applyAlignment="1">
      <alignment horizontal="center"/>
    </xf>
    <xf numFmtId="0" fontId="12" fillId="5" borderId="52" xfId="0" applyFont="1" applyFill="1" applyBorder="1" applyAlignment="1">
      <alignment horizontal="center"/>
    </xf>
    <xf numFmtId="0" fontId="12" fillId="5" borderId="53" xfId="0" applyFont="1" applyFill="1" applyBorder="1" applyAlignment="1">
      <alignment horizontal="center"/>
    </xf>
    <xf numFmtId="0" fontId="12" fillId="0" borderId="26" xfId="0" applyFont="1" applyBorder="1" applyAlignment="1">
      <alignment horizontal="center"/>
    </xf>
    <xf numFmtId="0" fontId="20" fillId="0" borderId="16" xfId="0" applyFont="1" applyBorder="1" applyAlignment="1">
      <alignment horizontal="center"/>
    </xf>
    <xf numFmtId="0" fontId="20" fillId="0" borderId="17" xfId="0" applyFont="1" applyBorder="1" applyAlignment="1">
      <alignment horizontal="center"/>
    </xf>
    <xf numFmtId="0" fontId="20" fillId="0" borderId="18" xfId="0" applyFont="1" applyBorder="1" applyAlignment="1">
      <alignment horizontal="center"/>
    </xf>
    <xf numFmtId="0" fontId="12" fillId="0" borderId="39" xfId="0" applyFont="1" applyBorder="1" applyAlignment="1">
      <alignment horizontal="left"/>
    </xf>
    <xf numFmtId="0" fontId="20" fillId="0" borderId="26" xfId="0" applyFont="1" applyBorder="1" applyAlignment="1">
      <alignment horizontal="center" wrapText="1"/>
    </xf>
    <xf numFmtId="0" fontId="20" fillId="0" borderId="27" xfId="0" applyFont="1" applyBorder="1" applyAlignment="1">
      <alignment horizontal="center" wrapText="1"/>
    </xf>
    <xf numFmtId="0" fontId="12" fillId="0" borderId="16" xfId="0" applyFont="1" applyBorder="1" applyAlignment="1">
      <alignment horizontal="left"/>
    </xf>
    <xf numFmtId="0" fontId="12" fillId="0" borderId="17" xfId="0" applyFont="1" applyBorder="1" applyAlignment="1">
      <alignment horizontal="left"/>
    </xf>
    <xf numFmtId="0" fontId="12" fillId="0" borderId="18" xfId="0" applyFont="1" applyBorder="1" applyAlignment="1">
      <alignment horizontal="left"/>
    </xf>
    <xf numFmtId="2" fontId="12" fillId="16" borderId="48" xfId="0" applyNumberFormat="1" applyFont="1" applyFill="1" applyBorder="1" applyAlignment="1" applyProtection="1">
      <alignment horizontal="center"/>
      <protection locked="0"/>
    </xf>
    <xf numFmtId="49" fontId="12" fillId="0" borderId="38" xfId="0" applyNumberFormat="1" applyFont="1" applyBorder="1" applyAlignment="1">
      <alignment horizontal="right" indent="1"/>
    </xf>
    <xf numFmtId="49" fontId="12" fillId="0" borderId="43" xfId="0" applyNumberFormat="1" applyFont="1" applyBorder="1" applyAlignment="1">
      <alignment horizontal="right" indent="1"/>
    </xf>
    <xf numFmtId="2" fontId="12" fillId="5" borderId="16" xfId="0" applyNumberFormat="1" applyFont="1" applyFill="1" applyBorder="1" applyAlignment="1">
      <alignment horizontal="center"/>
    </xf>
    <xf numFmtId="44" fontId="11" fillId="3" borderId="0" xfId="1" applyFont="1" applyFill="1" applyBorder="1" applyAlignment="1">
      <alignment horizontal="center"/>
    </xf>
    <xf numFmtId="44" fontId="11" fillId="3" borderId="17" xfId="1" applyFont="1" applyFill="1" applyBorder="1" applyAlignment="1">
      <alignment horizontal="center"/>
    </xf>
    <xf numFmtId="10" fontId="12" fillId="0" borderId="171" xfId="0" applyNumberFormat="1" applyFont="1" applyBorder="1" applyAlignment="1">
      <alignment horizontal="right" indent="1"/>
    </xf>
    <xf numFmtId="10" fontId="12" fillId="0" borderId="172" xfId="0" applyNumberFormat="1" applyFont="1" applyBorder="1" applyAlignment="1">
      <alignment horizontal="right" indent="1"/>
    </xf>
    <xf numFmtId="10" fontId="12" fillId="0" borderId="135" xfId="0" applyNumberFormat="1" applyFont="1" applyBorder="1" applyAlignment="1">
      <alignment horizontal="right" indent="1"/>
    </xf>
    <xf numFmtId="10" fontId="12" fillId="0" borderId="137" xfId="0" applyNumberFormat="1" applyFont="1" applyBorder="1" applyAlignment="1">
      <alignment horizontal="right" indent="1"/>
    </xf>
    <xf numFmtId="2" fontId="11" fillId="16" borderId="55" xfId="0" applyNumberFormat="1" applyFont="1" applyFill="1" applyBorder="1" applyAlignment="1" applyProtection="1">
      <alignment horizontal="left"/>
      <protection locked="0"/>
    </xf>
    <xf numFmtId="2" fontId="11" fillId="16" borderId="43" xfId="0" applyNumberFormat="1" applyFont="1" applyFill="1" applyBorder="1" applyAlignment="1" applyProtection="1">
      <alignment horizontal="left"/>
      <protection locked="0"/>
    </xf>
    <xf numFmtId="2" fontId="11" fillId="16" borderId="39" xfId="0" applyNumberFormat="1" applyFont="1" applyFill="1" applyBorder="1" applyAlignment="1" applyProtection="1">
      <alignment horizontal="left"/>
      <protection locked="0"/>
    </xf>
    <xf numFmtId="0" fontId="15" fillId="18" borderId="31" xfId="0" applyFont="1" applyFill="1" applyBorder="1" applyAlignment="1" applyProtection="1">
      <alignment horizontal="center"/>
      <protection locked="0"/>
    </xf>
    <xf numFmtId="0" fontId="15" fillId="18" borderId="125" xfId="0" applyFont="1" applyFill="1" applyBorder="1" applyAlignment="1" applyProtection="1">
      <alignment horizontal="center"/>
      <protection locked="0"/>
    </xf>
    <xf numFmtId="165" fontId="11" fillId="0" borderId="85" xfId="0" applyNumberFormat="1" applyFont="1" applyBorder="1" applyAlignment="1">
      <alignment horizontal="center"/>
    </xf>
    <xf numFmtId="165" fontId="11" fillId="0" borderId="196" xfId="0" applyNumberFormat="1" applyFont="1" applyBorder="1" applyAlignment="1">
      <alignment horizontal="center"/>
    </xf>
    <xf numFmtId="0" fontId="15" fillId="18" borderId="87" xfId="0" applyFont="1" applyFill="1" applyBorder="1" applyAlignment="1" applyProtection="1">
      <alignment horizontal="center"/>
      <protection locked="0"/>
    </xf>
    <xf numFmtId="0" fontId="15" fillId="18" borderId="197" xfId="0" applyFont="1" applyFill="1" applyBorder="1" applyAlignment="1" applyProtection="1">
      <alignment horizontal="center"/>
      <protection locked="0"/>
    </xf>
    <xf numFmtId="1" fontId="12" fillId="3" borderId="124" xfId="0" applyNumberFormat="1" applyFont="1" applyFill="1" applyBorder="1" applyAlignment="1">
      <alignment horizontal="center"/>
    </xf>
    <xf numFmtId="49" fontId="12" fillId="16" borderId="191" xfId="0" applyNumberFormat="1" applyFont="1" applyFill="1" applyBorder="1" applyAlignment="1" applyProtection="1">
      <alignment horizontal="center"/>
      <protection locked="0"/>
    </xf>
    <xf numFmtId="49" fontId="12" fillId="16" borderId="137" xfId="0" applyNumberFormat="1" applyFont="1" applyFill="1" applyBorder="1" applyAlignment="1" applyProtection="1">
      <alignment horizontal="center"/>
      <protection locked="0"/>
    </xf>
    <xf numFmtId="10" fontId="12" fillId="0" borderId="136" xfId="0" applyNumberFormat="1" applyFont="1" applyBorder="1" applyAlignment="1">
      <alignment horizontal="right" indent="1"/>
    </xf>
    <xf numFmtId="2" fontId="12" fillId="0" borderId="188" xfId="0" applyNumberFormat="1" applyFont="1" applyBorder="1" applyAlignment="1">
      <alignment horizontal="center"/>
    </xf>
    <xf numFmtId="2" fontId="12" fillId="0" borderId="17" xfId="0" applyNumberFormat="1" applyFont="1" applyBorder="1" applyAlignment="1">
      <alignment horizontal="center"/>
    </xf>
    <xf numFmtId="1" fontId="10" fillId="16" borderId="71" xfId="0" applyNumberFormat="1" applyFont="1" applyFill="1" applyBorder="1" applyAlignment="1" applyProtection="1">
      <alignment horizontal="left"/>
      <protection locked="0"/>
    </xf>
    <xf numFmtId="0" fontId="10" fillId="16" borderId="71" xfId="0" applyFont="1" applyFill="1" applyBorder="1" applyAlignment="1" applyProtection="1">
      <alignment horizontal="left"/>
      <protection locked="0"/>
    </xf>
    <xf numFmtId="0" fontId="0" fillId="16" borderId="71" xfId="0" applyFill="1" applyBorder="1" applyAlignment="1" applyProtection="1">
      <alignment horizontal="left"/>
      <protection locked="0"/>
    </xf>
    <xf numFmtId="2" fontId="21" fillId="4" borderId="28" xfId="0" applyNumberFormat="1" applyFont="1" applyFill="1" applyBorder="1" applyAlignment="1">
      <alignment horizontal="center"/>
    </xf>
    <xf numFmtId="2" fontId="21" fillId="4" borderId="17" xfId="0" applyNumberFormat="1" applyFont="1" applyFill="1" applyBorder="1" applyAlignment="1">
      <alignment horizontal="center"/>
    </xf>
    <xf numFmtId="2" fontId="21" fillId="4" borderId="54" xfId="0" applyNumberFormat="1" applyFont="1" applyFill="1" applyBorder="1" applyAlignment="1">
      <alignment horizontal="center"/>
    </xf>
    <xf numFmtId="2" fontId="21" fillId="5" borderId="16" xfId="0" applyNumberFormat="1" applyFont="1" applyFill="1" applyBorder="1" applyAlignment="1">
      <alignment horizontal="left"/>
    </xf>
    <xf numFmtId="2" fontId="21" fillId="5" borderId="17" xfId="0" applyNumberFormat="1" applyFont="1" applyFill="1" applyBorder="1" applyAlignment="1">
      <alignment horizontal="left"/>
    </xf>
    <xf numFmtId="44" fontId="11" fillId="3" borderId="5" xfId="1" applyFont="1" applyFill="1" applyBorder="1" applyAlignment="1">
      <alignment horizontal="center"/>
    </xf>
    <xf numFmtId="2" fontId="12" fillId="0" borderId="16" xfId="0" applyNumberFormat="1" applyFont="1" applyBorder="1" applyAlignment="1">
      <alignment horizontal="center"/>
    </xf>
    <xf numFmtId="2" fontId="12" fillId="0" borderId="18" xfId="0" applyNumberFormat="1" applyFont="1" applyBorder="1" applyAlignment="1">
      <alignment horizontal="center"/>
    </xf>
    <xf numFmtId="0" fontId="20" fillId="0" borderId="18" xfId="0" applyFont="1" applyBorder="1" applyAlignment="1">
      <alignment horizontal="center" wrapText="1"/>
    </xf>
    <xf numFmtId="0" fontId="20" fillId="0" borderId="15" xfId="0" applyFont="1" applyBorder="1" applyAlignment="1">
      <alignment horizontal="center" wrapText="1"/>
    </xf>
    <xf numFmtId="0" fontId="20" fillId="0" borderId="167" xfId="0" applyFont="1" applyBorder="1" applyAlignment="1">
      <alignment horizontal="center" wrapText="1"/>
    </xf>
    <xf numFmtId="49" fontId="12" fillId="0" borderId="36" xfId="0" applyNumberFormat="1" applyFont="1" applyBorder="1" applyAlignment="1">
      <alignment horizontal="center"/>
    </xf>
    <xf numFmtId="49" fontId="12" fillId="0" borderId="42" xfId="0" applyNumberFormat="1" applyFont="1" applyBorder="1" applyAlignment="1">
      <alignment horizontal="center"/>
    </xf>
    <xf numFmtId="49" fontId="12" fillId="0" borderId="37" xfId="0" applyNumberFormat="1" applyFont="1" applyBorder="1" applyAlignment="1">
      <alignment horizontal="center"/>
    </xf>
    <xf numFmtId="49" fontId="12" fillId="0" borderId="38" xfId="0" applyNumberFormat="1" applyFont="1" applyBorder="1" applyAlignment="1">
      <alignment horizontal="center"/>
    </xf>
    <xf numFmtId="49" fontId="12" fillId="0" borderId="43" xfId="0" applyNumberFormat="1" applyFont="1" applyBorder="1" applyAlignment="1">
      <alignment horizontal="center"/>
    </xf>
    <xf numFmtId="49" fontId="12" fillId="0" borderId="39" xfId="0" applyNumberFormat="1" applyFont="1" applyBorder="1" applyAlignment="1">
      <alignment horizontal="center"/>
    </xf>
    <xf numFmtId="49" fontId="12" fillId="0" borderId="40" xfId="0" applyNumberFormat="1" applyFont="1" applyBorder="1" applyAlignment="1">
      <alignment horizontal="center"/>
    </xf>
    <xf numFmtId="49" fontId="12" fillId="0" borderId="44" xfId="0" applyNumberFormat="1" applyFont="1" applyBorder="1" applyAlignment="1">
      <alignment horizontal="center"/>
    </xf>
    <xf numFmtId="49" fontId="12" fillId="0" borderId="41" xfId="0" applyNumberFormat="1" applyFont="1" applyBorder="1" applyAlignment="1">
      <alignment horizontal="center"/>
    </xf>
    <xf numFmtId="10" fontId="12" fillId="0" borderId="35" xfId="0" applyNumberFormat="1" applyFont="1" applyBorder="1" applyAlignment="1">
      <alignment horizontal="center"/>
    </xf>
    <xf numFmtId="10" fontId="12" fillId="0" borderId="70" xfId="0" applyNumberFormat="1" applyFont="1" applyBorder="1" applyAlignment="1">
      <alignment horizontal="center"/>
    </xf>
    <xf numFmtId="49" fontId="12" fillId="0" borderId="4" xfId="0" applyNumberFormat="1" applyFont="1" applyBorder="1" applyAlignment="1">
      <alignment horizontal="left" indent="4"/>
    </xf>
    <xf numFmtId="49" fontId="12" fillId="0" borderId="0" xfId="0" applyNumberFormat="1" applyFont="1" applyAlignment="1">
      <alignment horizontal="left" indent="4"/>
    </xf>
    <xf numFmtId="0" fontId="11" fillId="16" borderId="190" xfId="0" applyFont="1" applyFill="1" applyBorder="1" applyAlignment="1" applyProtection="1">
      <alignment horizontal="center"/>
      <protection locked="0"/>
    </xf>
    <xf numFmtId="0" fontId="11" fillId="16" borderId="41" xfId="0" applyFont="1" applyFill="1" applyBorder="1" applyAlignment="1" applyProtection="1">
      <alignment horizontal="center"/>
      <protection locked="0"/>
    </xf>
    <xf numFmtId="0" fontId="20" fillId="0" borderId="6" xfId="0" applyFont="1" applyBorder="1" applyAlignment="1">
      <alignment horizontal="left"/>
    </xf>
    <xf numFmtId="0" fontId="20" fillId="0" borderId="170" xfId="0" applyFont="1" applyBorder="1" applyAlignment="1">
      <alignment horizontal="left"/>
    </xf>
    <xf numFmtId="0" fontId="20" fillId="0" borderId="3" xfId="0" applyFont="1" applyBorder="1" applyAlignment="1">
      <alignment horizontal="left"/>
    </xf>
    <xf numFmtId="0" fontId="0" fillId="16" borderId="107" xfId="0" applyFill="1" applyBorder="1" applyAlignment="1" applyProtection="1">
      <alignment horizontal="left" indent="1"/>
      <protection locked="0"/>
    </xf>
    <xf numFmtId="0" fontId="0" fillId="16" borderId="71" xfId="0" applyFill="1" applyBorder="1" applyAlignment="1" applyProtection="1">
      <alignment horizontal="left" indent="1"/>
      <protection locked="0"/>
    </xf>
    <xf numFmtId="3" fontId="97" fillId="18" borderId="0" xfId="0" applyNumberFormat="1" applyFont="1" applyFill="1" applyAlignment="1" applyProtection="1">
      <alignment horizontal="center"/>
      <protection locked="0"/>
    </xf>
    <xf numFmtId="9" fontId="22" fillId="5" borderId="94" xfId="2" applyFont="1" applyFill="1" applyBorder="1" applyAlignment="1">
      <alignment horizontal="center" vertical="center"/>
    </xf>
    <xf numFmtId="9" fontId="22" fillId="5" borderId="163" xfId="2" applyFont="1" applyFill="1" applyBorder="1" applyAlignment="1">
      <alignment horizontal="center" vertical="center"/>
    </xf>
    <xf numFmtId="9" fontId="22" fillId="5" borderId="164" xfId="2" applyFont="1" applyFill="1" applyBorder="1" applyAlignment="1">
      <alignment horizontal="center" vertical="center"/>
    </xf>
    <xf numFmtId="165" fontId="13" fillId="0" borderId="0" xfId="0" applyNumberFormat="1" applyFont="1" applyAlignment="1">
      <alignment horizontal="center"/>
    </xf>
    <xf numFmtId="0" fontId="45" fillId="0" borderId="113" xfId="0" applyFont="1" applyBorder="1" applyAlignment="1" applyProtection="1">
      <alignment horizontal="left" wrapText="1" indent="2"/>
      <protection locked="0"/>
    </xf>
    <xf numFmtId="0" fontId="45" fillId="0" borderId="71" xfId="0" applyFont="1" applyBorder="1" applyAlignment="1" applyProtection="1">
      <alignment horizontal="left" indent="2"/>
      <protection locked="0"/>
    </xf>
    <xf numFmtId="0" fontId="45" fillId="0" borderId="116" xfId="0" applyFont="1" applyBorder="1" applyAlignment="1" applyProtection="1">
      <alignment horizontal="left" indent="2"/>
      <protection locked="0"/>
    </xf>
    <xf numFmtId="1" fontId="45" fillId="0" borderId="65" xfId="0" applyNumberFormat="1" applyFont="1" applyBorder="1" applyAlignment="1">
      <alignment horizontal="left" indent="2"/>
    </xf>
    <xf numFmtId="0" fontId="45" fillId="0" borderId="71" xfId="0" applyFont="1" applyBorder="1" applyAlignment="1">
      <alignment horizontal="left" indent="2"/>
    </xf>
    <xf numFmtId="0" fontId="45" fillId="0" borderId="117" xfId="0" applyFont="1" applyBorder="1" applyAlignment="1">
      <alignment horizontal="left" indent="2"/>
    </xf>
    <xf numFmtId="0" fontId="46" fillId="0" borderId="111" xfId="0" applyFont="1" applyBorder="1" applyAlignment="1">
      <alignment horizontal="center"/>
    </xf>
    <xf numFmtId="0" fontId="46" fillId="0" borderId="0" xfId="0" applyFont="1" applyAlignment="1">
      <alignment horizontal="center"/>
    </xf>
    <xf numFmtId="0" fontId="46" fillId="0" borderId="112" xfId="0" applyFont="1" applyBorder="1" applyAlignment="1">
      <alignment horizontal="center"/>
    </xf>
    <xf numFmtId="0" fontId="45" fillId="0" borderId="111" xfId="0" applyFont="1" applyBorder="1" applyAlignment="1">
      <alignment horizontal="center"/>
    </xf>
    <xf numFmtId="0" fontId="45" fillId="0" borderId="0" xfId="0" applyFont="1" applyAlignment="1">
      <alignment horizontal="center"/>
    </xf>
    <xf numFmtId="0" fontId="45" fillId="0" borderId="112" xfId="0" applyFont="1" applyBorder="1" applyAlignment="1">
      <alignment horizontal="center"/>
    </xf>
    <xf numFmtId="49" fontId="15" fillId="0" borderId="113" xfId="0" applyNumberFormat="1" applyFont="1" applyBorder="1" applyAlignment="1">
      <alignment horizontal="right"/>
    </xf>
    <xf numFmtId="49" fontId="15" fillId="0" borderId="71" xfId="0" applyNumberFormat="1" applyFont="1" applyBorder="1" applyAlignment="1">
      <alignment horizontal="right"/>
    </xf>
    <xf numFmtId="49" fontId="15" fillId="0" borderId="71" xfId="0" applyNumberFormat="1" applyFont="1" applyBorder="1" applyProtection="1">
      <protection locked="0"/>
    </xf>
    <xf numFmtId="49" fontId="55" fillId="0" borderId="114" xfId="0" applyNumberFormat="1" applyFont="1" applyBorder="1"/>
    <xf numFmtId="49" fontId="55" fillId="0" borderId="73" xfId="0" applyNumberFormat="1" applyFont="1" applyBorder="1"/>
    <xf numFmtId="49" fontId="55" fillId="0" borderId="74" xfId="0" applyNumberFormat="1" applyFont="1" applyBorder="1"/>
    <xf numFmtId="49" fontId="55" fillId="0" borderId="72" xfId="0" applyNumberFormat="1" applyFont="1" applyBorder="1"/>
    <xf numFmtId="49" fontId="55" fillId="0" borderId="115" xfId="0" applyNumberFormat="1" applyFont="1" applyBorder="1"/>
    <xf numFmtId="0" fontId="45" fillId="0" borderId="113" xfId="0" applyFont="1" applyBorder="1" applyAlignment="1" applyProtection="1">
      <alignment horizontal="left" indent="2"/>
      <protection locked="0"/>
    </xf>
    <xf numFmtId="174" fontId="45" fillId="0" borderId="65" xfId="0" applyNumberFormat="1" applyFont="1" applyBorder="1" applyAlignment="1" applyProtection="1">
      <alignment horizontal="left" indent="2"/>
      <protection locked="0"/>
    </xf>
    <xf numFmtId="174" fontId="45" fillId="0" borderId="71" xfId="0" applyNumberFormat="1" applyFont="1" applyBorder="1" applyAlignment="1" applyProtection="1">
      <alignment horizontal="left" indent="2"/>
      <protection locked="0"/>
    </xf>
    <xf numFmtId="174" fontId="45" fillId="0" borderId="116" xfId="0" applyNumberFormat="1" applyFont="1" applyBorder="1" applyAlignment="1" applyProtection="1">
      <alignment horizontal="left" indent="2"/>
      <protection locked="0"/>
    </xf>
    <xf numFmtId="14" fontId="45" fillId="0" borderId="65" xfId="0" applyNumberFormat="1" applyFont="1" applyBorder="1" applyAlignment="1" applyProtection="1">
      <alignment horizontal="center"/>
      <protection locked="0"/>
    </xf>
    <xf numFmtId="14" fontId="45" fillId="0" borderId="71" xfId="0" applyNumberFormat="1" applyFont="1" applyBorder="1" applyAlignment="1" applyProtection="1">
      <alignment horizontal="center"/>
      <protection locked="0"/>
    </xf>
    <xf numFmtId="14" fontId="45" fillId="0" borderId="117" xfId="0" applyNumberFormat="1" applyFont="1" applyBorder="1" applyAlignment="1" applyProtection="1">
      <alignment horizontal="center"/>
      <protection locked="0"/>
    </xf>
    <xf numFmtId="49" fontId="45" fillId="0" borderId="118" xfId="0" applyNumberFormat="1" applyFont="1" applyBorder="1" applyAlignment="1" applyProtection="1">
      <alignment horizontal="left" indent="2"/>
      <protection locked="0"/>
    </xf>
    <xf numFmtId="49" fontId="45" fillId="0" borderId="119" xfId="0" applyNumberFormat="1" applyFont="1" applyBorder="1" applyAlignment="1" applyProtection="1">
      <alignment horizontal="left" indent="2"/>
      <protection locked="0"/>
    </xf>
    <xf numFmtId="49" fontId="45" fillId="0" borderId="120" xfId="0" applyNumberFormat="1" applyFont="1" applyBorder="1" applyAlignment="1" applyProtection="1">
      <alignment horizontal="left" indent="2"/>
      <protection locked="0"/>
    </xf>
    <xf numFmtId="49" fontId="45" fillId="0" borderId="121" xfId="0" applyNumberFormat="1" applyFont="1" applyBorder="1" applyAlignment="1">
      <alignment horizontal="left" indent="2"/>
    </xf>
    <xf numFmtId="49" fontId="45" fillId="0" borderId="119" xfId="0" applyNumberFormat="1" applyFont="1" applyBorder="1" applyAlignment="1">
      <alignment horizontal="left" indent="2"/>
    </xf>
    <xf numFmtId="49" fontId="45" fillId="0" borderId="120" xfId="0" applyNumberFormat="1" applyFont="1" applyBorder="1" applyAlignment="1">
      <alignment horizontal="left" indent="2"/>
    </xf>
    <xf numFmtId="174" fontId="45" fillId="0" borderId="121" xfId="0" applyNumberFormat="1" applyFont="1" applyBorder="1" applyAlignment="1" applyProtection="1">
      <alignment horizontal="left" indent="1"/>
      <protection locked="0"/>
    </xf>
    <xf numFmtId="174" fontId="45" fillId="0" borderId="119" xfId="0" applyNumberFormat="1" applyFont="1" applyBorder="1" applyAlignment="1" applyProtection="1">
      <alignment horizontal="left" indent="1"/>
      <protection locked="0"/>
    </xf>
    <xf numFmtId="174" fontId="45" fillId="0" borderId="122" xfId="0" applyNumberFormat="1" applyFont="1" applyBorder="1" applyAlignment="1" applyProtection="1">
      <alignment horizontal="left" indent="1"/>
      <protection locked="0"/>
    </xf>
    <xf numFmtId="49" fontId="45" fillId="0" borderId="65" xfId="0" applyNumberFormat="1" applyFont="1" applyBorder="1" applyAlignment="1">
      <alignment horizontal="left" indent="2"/>
    </xf>
    <xf numFmtId="49" fontId="45" fillId="0" borderId="71" xfId="0" applyNumberFormat="1" applyFont="1" applyBorder="1" applyAlignment="1">
      <alignment horizontal="left" indent="2"/>
    </xf>
    <xf numFmtId="49" fontId="45" fillId="0" borderId="117" xfId="0" applyNumberFormat="1" applyFont="1" applyBorder="1" applyAlignment="1">
      <alignment horizontal="left" indent="2"/>
    </xf>
    <xf numFmtId="49" fontId="56" fillId="0" borderId="72" xfId="0" applyNumberFormat="1" applyFont="1" applyBorder="1"/>
    <xf numFmtId="49" fontId="56" fillId="0" borderId="73" xfId="0" applyNumberFormat="1" applyFont="1" applyBorder="1"/>
    <xf numFmtId="49" fontId="56" fillId="0" borderId="74" xfId="0" applyNumberFormat="1" applyFont="1" applyBorder="1"/>
    <xf numFmtId="49" fontId="69" fillId="0" borderId="0" xfId="0" applyNumberFormat="1" applyFont="1" applyAlignment="1" applyProtection="1">
      <alignment horizontal="left"/>
      <protection locked="0"/>
    </xf>
    <xf numFmtId="49" fontId="23" fillId="0" borderId="0" xfId="0" applyNumberFormat="1" applyFont="1" applyAlignment="1">
      <alignment horizontal="center"/>
    </xf>
    <xf numFmtId="49" fontId="23" fillId="0" borderId="112" xfId="0" applyNumberFormat="1" applyFont="1" applyBorder="1" applyAlignment="1">
      <alignment horizontal="center"/>
    </xf>
    <xf numFmtId="49" fontId="46" fillId="0" borderId="123" xfId="0" applyNumberFormat="1" applyFont="1" applyBorder="1"/>
    <xf numFmtId="49" fontId="46" fillId="0" borderId="108" xfId="0" applyNumberFormat="1" applyFont="1" applyBorder="1" applyAlignment="1">
      <alignment horizontal="left"/>
    </xf>
    <xf numFmtId="49" fontId="46" fillId="0" borderId="109" xfId="0" applyNumberFormat="1" applyFont="1" applyBorder="1" applyAlignment="1">
      <alignment horizontal="left"/>
    </xf>
    <xf numFmtId="49" fontId="46" fillId="0" borderId="110" xfId="0" applyNumberFormat="1" applyFont="1" applyBorder="1" applyAlignment="1">
      <alignment horizontal="left"/>
    </xf>
    <xf numFmtId="39" fontId="45" fillId="0" borderId="71" xfId="0" applyNumberFormat="1" applyFont="1" applyBorder="1" applyAlignment="1">
      <alignment horizontal="center"/>
    </xf>
    <xf numFmtId="0" fontId="58" fillId="0" borderId="113" xfId="0" applyFont="1" applyBorder="1" applyAlignment="1">
      <alignment horizontal="center"/>
    </xf>
    <xf numFmtId="0" fontId="58" fillId="0" borderId="71" xfId="0" applyFont="1" applyBorder="1" applyAlignment="1">
      <alignment horizontal="center"/>
    </xf>
    <xf numFmtId="49" fontId="56" fillId="0" borderId="111" xfId="0" applyNumberFormat="1" applyFont="1" applyBorder="1"/>
    <xf numFmtId="49" fontId="56" fillId="0" borderId="0" xfId="0" applyNumberFormat="1" applyFont="1"/>
    <xf numFmtId="49" fontId="56" fillId="0" borderId="112" xfId="0" applyNumberFormat="1" applyFont="1" applyBorder="1"/>
    <xf numFmtId="0" fontId="0" fillId="0" borderId="0" xfId="0"/>
    <xf numFmtId="0" fontId="0" fillId="0" borderId="71" xfId="0" applyBorder="1"/>
    <xf numFmtId="49" fontId="58" fillId="0" borderId="73" xfId="0" applyNumberFormat="1" applyFont="1" applyBorder="1" applyAlignment="1">
      <alignment horizontal="center"/>
    </xf>
    <xf numFmtId="0" fontId="46" fillId="0" borderId="0" xfId="62" applyFont="1" applyAlignment="1">
      <alignment horizontal="center" vertical="center" wrapText="1"/>
    </xf>
    <xf numFmtId="0" fontId="46" fillId="0" borderId="71" xfId="62" applyFont="1" applyBorder="1" applyAlignment="1">
      <alignment horizontal="center" vertical="center" wrapText="1"/>
    </xf>
    <xf numFmtId="0" fontId="69" fillId="0" borderId="0" xfId="0" applyFont="1" applyAlignment="1" applyProtection="1">
      <alignment horizontal="left" vertical="top" wrapText="1"/>
      <protection locked="0"/>
    </xf>
    <xf numFmtId="0" fontId="69" fillId="0" borderId="119" xfId="0" applyFont="1" applyBorder="1" applyAlignment="1" applyProtection="1">
      <alignment horizontal="left" vertical="top" wrapText="1"/>
      <protection locked="0"/>
    </xf>
    <xf numFmtId="49" fontId="46" fillId="0" borderId="113" xfId="62" applyNumberFormat="1" applyFont="1" applyBorder="1" applyAlignment="1">
      <alignment horizontal="left" indent="3"/>
    </xf>
    <xf numFmtId="49" fontId="46" fillId="0" borderId="71" xfId="62" applyNumberFormat="1" applyFont="1" applyBorder="1" applyAlignment="1">
      <alignment horizontal="left" indent="3"/>
    </xf>
    <xf numFmtId="49" fontId="46" fillId="0" borderId="117" xfId="62" applyNumberFormat="1" applyFont="1" applyBorder="1" applyAlignment="1">
      <alignment horizontal="left" indent="3"/>
    </xf>
    <xf numFmtId="49" fontId="56" fillId="0" borderId="114" xfId="0" applyNumberFormat="1" applyFont="1" applyBorder="1" applyAlignment="1">
      <alignment horizontal="left" vertical="top" wrapText="1"/>
    </xf>
    <xf numFmtId="49" fontId="56" fillId="0" borderId="73" xfId="0" applyNumberFormat="1" applyFont="1" applyBorder="1" applyAlignment="1">
      <alignment horizontal="left" vertical="top" wrapText="1"/>
    </xf>
    <xf numFmtId="49" fontId="56" fillId="0" borderId="111" xfId="0" applyNumberFormat="1" applyFont="1" applyBorder="1" applyAlignment="1">
      <alignment horizontal="left" vertical="top" wrapText="1"/>
    </xf>
    <xf numFmtId="49" fontId="56" fillId="0" borderId="0" xfId="0" applyNumberFormat="1" applyFont="1" applyAlignment="1">
      <alignment horizontal="left" vertical="top" wrapText="1"/>
    </xf>
    <xf numFmtId="49" fontId="56" fillId="0" borderId="118" xfId="0" applyNumberFormat="1" applyFont="1" applyBorder="1" applyAlignment="1">
      <alignment horizontal="left" vertical="top" wrapText="1"/>
    </xf>
    <xf numFmtId="49" fontId="56" fillId="0" borderId="119" xfId="0" applyNumberFormat="1" applyFont="1" applyBorder="1" applyAlignment="1">
      <alignment horizontal="left" vertical="top" wrapText="1"/>
    </xf>
    <xf numFmtId="49" fontId="104" fillId="0" borderId="109" xfId="0" applyNumberFormat="1" applyFont="1" applyBorder="1" applyAlignment="1" applyProtection="1">
      <alignment horizontal="left" wrapText="1"/>
      <protection locked="0"/>
    </xf>
    <xf numFmtId="49" fontId="104" fillId="0" borderId="0" xfId="0" applyNumberFormat="1" applyFont="1" applyAlignment="1" applyProtection="1">
      <alignment horizontal="left" wrapText="1"/>
      <protection locked="0"/>
    </xf>
    <xf numFmtId="0" fontId="96" fillId="0" borderId="124" xfId="79" applyFont="1" applyBorder="1" applyAlignment="1">
      <alignment horizontal="center"/>
    </xf>
    <xf numFmtId="0" fontId="2" fillId="26" borderId="0" xfId="79" applyFont="1" applyFill="1" applyAlignment="1" applyProtection="1">
      <alignment horizontal="center" vertical="top" wrapText="1"/>
      <protection locked="0"/>
    </xf>
    <xf numFmtId="0" fontId="2" fillId="26" borderId="126" xfId="79" applyFont="1" applyFill="1" applyBorder="1" applyAlignment="1" applyProtection="1">
      <alignment horizontal="center" vertical="top" wrapText="1"/>
      <protection locked="0"/>
    </xf>
    <xf numFmtId="0" fontId="96" fillId="0" borderId="126" xfId="79" applyFont="1" applyBorder="1" applyAlignment="1">
      <alignment horizontal="center"/>
    </xf>
    <xf numFmtId="0" fontId="1" fillId="26" borderId="0" xfId="79" applyFont="1" applyFill="1" applyAlignment="1" applyProtection="1">
      <alignment horizontal="center" vertical="top" wrapText="1"/>
      <protection locked="0"/>
    </xf>
    <xf numFmtId="0" fontId="96" fillId="0" borderId="0" xfId="79" applyFont="1" applyAlignment="1">
      <alignment horizontal="center"/>
    </xf>
    <xf numFmtId="0" fontId="94" fillId="0" borderId="0" xfId="0" applyFont="1" applyAlignment="1">
      <alignment horizontal="center" vertical="center"/>
    </xf>
    <xf numFmtId="0" fontId="32" fillId="0" borderId="66" xfId="0" applyFont="1" applyBorder="1" applyAlignment="1">
      <alignment horizontal="center"/>
    </xf>
    <xf numFmtId="0" fontId="48" fillId="0" borderId="66" xfId="0" applyFont="1" applyBorder="1" applyAlignment="1">
      <alignment horizontal="center"/>
    </xf>
    <xf numFmtId="0" fontId="48" fillId="0" borderId="99" xfId="0" applyFont="1" applyBorder="1" applyAlignment="1">
      <alignment horizontal="center"/>
    </xf>
    <xf numFmtId="0" fontId="15" fillId="0" borderId="77" xfId="0" applyFont="1" applyBorder="1" applyAlignment="1">
      <alignment horizontal="center"/>
    </xf>
    <xf numFmtId="0" fontId="15" fillId="0" borderId="78" xfId="0" applyFont="1" applyBorder="1" applyAlignment="1">
      <alignment horizontal="center"/>
    </xf>
    <xf numFmtId="0" fontId="0" fillId="0" borderId="77" xfId="0" applyBorder="1" applyAlignment="1">
      <alignment horizontal="center"/>
    </xf>
    <xf numFmtId="0" fontId="0" fillId="0" borderId="78" xfId="0" applyBorder="1" applyAlignment="1">
      <alignment horizontal="center"/>
    </xf>
    <xf numFmtId="0" fontId="15" fillId="16" borderId="103" xfId="0" applyFont="1" applyFill="1" applyBorder="1" applyAlignment="1" applyProtection="1">
      <alignment horizontal="center"/>
      <protection locked="0"/>
    </xf>
    <xf numFmtId="0" fontId="22" fillId="14" borderId="0" xfId="0" applyFont="1" applyFill="1" applyAlignment="1">
      <alignment horizontal="left" vertical="center"/>
    </xf>
    <xf numFmtId="0" fontId="15" fillId="0" borderId="0" xfId="0" applyFont="1" applyAlignment="1">
      <alignment horizontal="right"/>
    </xf>
    <xf numFmtId="0" fontId="46" fillId="16" borderId="79" xfId="0" applyFont="1" applyFill="1" applyBorder="1" applyAlignment="1" applyProtection="1">
      <alignment horizontal="center"/>
      <protection locked="0"/>
    </xf>
    <xf numFmtId="0" fontId="45" fillId="0" borderId="0" xfId="0" applyFont="1" applyAlignment="1">
      <alignment horizontal="left"/>
    </xf>
    <xf numFmtId="0" fontId="46" fillId="16" borderId="77" xfId="0" applyFont="1" applyFill="1" applyBorder="1" applyAlignment="1" applyProtection="1">
      <alignment horizontal="center"/>
      <protection locked="0"/>
    </xf>
    <xf numFmtId="0" fontId="46" fillId="16" borderId="78" xfId="0" applyFont="1" applyFill="1" applyBorder="1" applyAlignment="1" applyProtection="1">
      <alignment horizontal="center"/>
      <protection locked="0"/>
    </xf>
    <xf numFmtId="0" fontId="45" fillId="0" borderId="0" xfId="0" applyFont="1" applyAlignment="1">
      <alignment horizontal="right"/>
    </xf>
    <xf numFmtId="0" fontId="45" fillId="0" borderId="101" xfId="0" applyFont="1" applyBorder="1" applyAlignment="1">
      <alignment horizontal="right"/>
    </xf>
    <xf numFmtId="44" fontId="46" fillId="0" borderId="77" xfId="1" applyFont="1" applyBorder="1" applyAlignment="1">
      <alignment horizontal="center"/>
    </xf>
    <xf numFmtId="44" fontId="46" fillId="0" borderId="79" xfId="1" applyFont="1" applyBorder="1" applyAlignment="1">
      <alignment horizontal="center"/>
    </xf>
    <xf numFmtId="44" fontId="46" fillId="0" borderId="78" xfId="1" applyFont="1" applyBorder="1" applyAlignment="1">
      <alignment horizontal="center"/>
    </xf>
    <xf numFmtId="0" fontId="46" fillId="0" borderId="79" xfId="0" applyFont="1" applyBorder="1" applyAlignment="1">
      <alignment horizontal="center"/>
    </xf>
    <xf numFmtId="0" fontId="0" fillId="0" borderId="71" xfId="0" applyBorder="1" applyAlignment="1">
      <alignment horizontal="left" indent="1"/>
    </xf>
    <xf numFmtId="0" fontId="15" fillId="16" borderId="103" xfId="0" applyFont="1" applyFill="1" applyBorder="1" applyAlignment="1" applyProtection="1">
      <alignment horizontal="left" indent="1"/>
      <protection locked="0"/>
    </xf>
    <xf numFmtId="44" fontId="46" fillId="0" borderId="77" xfId="1" applyFont="1" applyBorder="1" applyAlignment="1">
      <alignment horizontal="right"/>
    </xf>
    <xf numFmtId="44" fontId="46" fillId="0" borderId="79" xfId="1" applyFont="1" applyBorder="1" applyAlignment="1">
      <alignment horizontal="right"/>
    </xf>
    <xf numFmtId="44" fontId="46" fillId="0" borderId="78" xfId="1" applyFont="1" applyBorder="1" applyAlignment="1">
      <alignment horizontal="right"/>
    </xf>
    <xf numFmtId="0" fontId="15" fillId="0" borderId="0" xfId="0" applyFont="1" applyAlignment="1">
      <alignment horizontal="center"/>
    </xf>
  </cellXfs>
  <cellStyles count="83">
    <cellStyle name="Calculation" xfId="82" builtinId="22"/>
    <cellStyle name="Comma" xfId="3" builtinId="3"/>
    <cellStyle name="Comma 2" xfId="38" xr:uid="{00000000-0005-0000-0000-000001000000}"/>
    <cellStyle name="Comma 2 2" xfId="6" xr:uid="{00000000-0005-0000-0000-000002000000}"/>
    <cellStyle name="Comma 2 2 2" xfId="7" xr:uid="{00000000-0005-0000-0000-000003000000}"/>
    <cellStyle name="Comma 2 3" xfId="8" xr:uid="{00000000-0005-0000-0000-000004000000}"/>
    <cellStyle name="Comma 2 3 2" xfId="9" xr:uid="{00000000-0005-0000-0000-000005000000}"/>
    <cellStyle name="Comma 2 4" xfId="10" xr:uid="{00000000-0005-0000-0000-000006000000}"/>
    <cellStyle name="Comma 2 4 2" xfId="11" xr:uid="{00000000-0005-0000-0000-000007000000}"/>
    <cellStyle name="Comma 3" xfId="12" xr:uid="{00000000-0005-0000-0000-000008000000}"/>
    <cellStyle name="Currency" xfId="1" builtinId="4"/>
    <cellStyle name="Currency 2" xfId="5" xr:uid="{00000000-0005-0000-0000-00000A000000}"/>
    <cellStyle name="Currency 2 2" xfId="13" xr:uid="{00000000-0005-0000-0000-00000B000000}"/>
    <cellStyle name="Currency 2 2 2" xfId="14" xr:uid="{00000000-0005-0000-0000-00000C000000}"/>
    <cellStyle name="Currency 2 3" xfId="15" xr:uid="{00000000-0005-0000-0000-00000D000000}"/>
    <cellStyle name="Currency 2 3 2" xfId="16" xr:uid="{00000000-0005-0000-0000-00000E000000}"/>
    <cellStyle name="Currency 2 4" xfId="17" xr:uid="{00000000-0005-0000-0000-00000F000000}"/>
    <cellStyle name="Currency 2 4 2" xfId="18" xr:uid="{00000000-0005-0000-0000-000010000000}"/>
    <cellStyle name="Currency 2 5" xfId="19" xr:uid="{00000000-0005-0000-0000-000011000000}"/>
    <cellStyle name="Currency 3" xfId="20" xr:uid="{00000000-0005-0000-0000-000012000000}"/>
    <cellStyle name="Currency 4" xfId="21" xr:uid="{00000000-0005-0000-0000-000013000000}"/>
    <cellStyle name="Currency 5" xfId="39" xr:uid="{00000000-0005-0000-0000-000014000000}"/>
    <cellStyle name="Currency 6" xfId="80" xr:uid="{00000000-0005-0000-0000-000015000000}"/>
    <cellStyle name="Date" xfId="40" xr:uid="{00000000-0005-0000-0000-000016000000}"/>
    <cellStyle name="Date 2" xfId="41" xr:uid="{00000000-0005-0000-0000-000017000000}"/>
    <cellStyle name="F2" xfId="42" xr:uid="{00000000-0005-0000-0000-000018000000}"/>
    <cellStyle name="F2 2" xfId="43" xr:uid="{00000000-0005-0000-0000-000019000000}"/>
    <cellStyle name="F3" xfId="44" xr:uid="{00000000-0005-0000-0000-00001A000000}"/>
    <cellStyle name="F3 2" xfId="45" xr:uid="{00000000-0005-0000-0000-00001B000000}"/>
    <cellStyle name="F4" xfId="46" xr:uid="{00000000-0005-0000-0000-00001C000000}"/>
    <cellStyle name="F4 2" xfId="47" xr:uid="{00000000-0005-0000-0000-00001D000000}"/>
    <cellStyle name="F5" xfId="48" xr:uid="{00000000-0005-0000-0000-00001E000000}"/>
    <cellStyle name="F5 2" xfId="49" xr:uid="{00000000-0005-0000-0000-00001F000000}"/>
    <cellStyle name="F6" xfId="50" xr:uid="{00000000-0005-0000-0000-000020000000}"/>
    <cellStyle name="F6 2" xfId="51" xr:uid="{00000000-0005-0000-0000-000021000000}"/>
    <cellStyle name="F7" xfId="52" xr:uid="{00000000-0005-0000-0000-000022000000}"/>
    <cellStyle name="F7 2" xfId="53" xr:uid="{00000000-0005-0000-0000-000023000000}"/>
    <cellStyle name="F8" xfId="54" xr:uid="{00000000-0005-0000-0000-000024000000}"/>
    <cellStyle name="F8 2" xfId="55" xr:uid="{00000000-0005-0000-0000-000025000000}"/>
    <cellStyle name="Fixed" xfId="56" xr:uid="{00000000-0005-0000-0000-000026000000}"/>
    <cellStyle name="Fixed 2" xfId="57" xr:uid="{00000000-0005-0000-0000-000027000000}"/>
    <cellStyle name="Heading 1" xfId="34" builtinId="16"/>
    <cellStyle name="Heading 2" xfId="35" builtinId="17"/>
    <cellStyle name="HEADING1" xfId="58" xr:uid="{00000000-0005-0000-0000-00002A000000}"/>
    <cellStyle name="HEADING1 2" xfId="59" xr:uid="{00000000-0005-0000-0000-00002B000000}"/>
    <cellStyle name="HEADING2" xfId="60" xr:uid="{00000000-0005-0000-0000-00002C000000}"/>
    <cellStyle name="HEADING2 2" xfId="61" xr:uid="{00000000-0005-0000-0000-00002D000000}"/>
    <cellStyle name="Hyperlink" xfId="36" builtinId="8"/>
    <cellStyle name="Input" xfId="81" builtinId="20"/>
    <cellStyle name="Normal" xfId="0" builtinId="0"/>
    <cellStyle name="Normal 10" xfId="79" xr:uid="{00000000-0005-0000-0000-000030000000}"/>
    <cellStyle name="Normal 13" xfId="62" xr:uid="{00000000-0005-0000-0000-000031000000}"/>
    <cellStyle name="Normal 14" xfId="63" xr:uid="{00000000-0005-0000-0000-000032000000}"/>
    <cellStyle name="Normal 15" xfId="64" xr:uid="{00000000-0005-0000-0000-000033000000}"/>
    <cellStyle name="Normal 16" xfId="65" xr:uid="{00000000-0005-0000-0000-000034000000}"/>
    <cellStyle name="Normal 2" xfId="22" xr:uid="{00000000-0005-0000-0000-000035000000}"/>
    <cellStyle name="Normal 2 2" xfId="23" xr:uid="{00000000-0005-0000-0000-000036000000}"/>
    <cellStyle name="Normal 3" xfId="66" xr:uid="{00000000-0005-0000-0000-000037000000}"/>
    <cellStyle name="Normal 3 10" xfId="67" xr:uid="{00000000-0005-0000-0000-000038000000}"/>
    <cellStyle name="Normal 3 2" xfId="68" xr:uid="{00000000-0005-0000-0000-000039000000}"/>
    <cellStyle name="Normal 3 3" xfId="69" xr:uid="{00000000-0005-0000-0000-00003A000000}"/>
    <cellStyle name="Normal 3 4" xfId="70" xr:uid="{00000000-0005-0000-0000-00003B000000}"/>
    <cellStyle name="Normal 3 5" xfId="71" xr:uid="{00000000-0005-0000-0000-00003C000000}"/>
    <cellStyle name="Normal 3 6" xfId="72" xr:uid="{00000000-0005-0000-0000-00003D000000}"/>
    <cellStyle name="Normal 3 7" xfId="73" xr:uid="{00000000-0005-0000-0000-00003E000000}"/>
    <cellStyle name="Normal 3 8" xfId="74" xr:uid="{00000000-0005-0000-0000-00003F000000}"/>
    <cellStyle name="Normal 3 9" xfId="75" xr:uid="{00000000-0005-0000-0000-000040000000}"/>
    <cellStyle name="Normal 4" xfId="24" xr:uid="{00000000-0005-0000-0000-000041000000}"/>
    <cellStyle name="Normal 4 2" xfId="25" xr:uid="{00000000-0005-0000-0000-000042000000}"/>
    <cellStyle name="Normal 5" xfId="26" xr:uid="{00000000-0005-0000-0000-000043000000}"/>
    <cellStyle name="Normal 6" xfId="27" xr:uid="{00000000-0005-0000-0000-000044000000}"/>
    <cellStyle name="Normal 7" xfId="28" xr:uid="{00000000-0005-0000-0000-000045000000}"/>
    <cellStyle name="Normal 8" xfId="29" xr:uid="{00000000-0005-0000-0000-000046000000}"/>
    <cellStyle name="Normal 9" xfId="37" xr:uid="{00000000-0005-0000-0000-000047000000}"/>
    <cellStyle name="Percent" xfId="2" builtinId="5"/>
    <cellStyle name="Percent 2" xfId="4" xr:uid="{00000000-0005-0000-0000-000049000000}"/>
    <cellStyle name="Percent 2 2" xfId="30" xr:uid="{00000000-0005-0000-0000-00004A000000}"/>
    <cellStyle name="Percent 3" xfId="31" xr:uid="{00000000-0005-0000-0000-00004B000000}"/>
    <cellStyle name="Percent 4" xfId="32" xr:uid="{00000000-0005-0000-0000-00004C000000}"/>
    <cellStyle name="Percent 5" xfId="76" xr:uid="{00000000-0005-0000-0000-00004D000000}"/>
    <cellStyle name="Title" xfId="33" builtinId="15"/>
    <cellStyle name="Total 2" xfId="77" xr:uid="{00000000-0005-0000-0000-00004F000000}"/>
    <cellStyle name="Total 3" xfId="78" xr:uid="{00000000-0005-0000-0000-000050000000}"/>
  </cellStyles>
  <dxfs count="573">
    <dxf>
      <font>
        <b/>
        <i val="0"/>
      </font>
      <fill>
        <patternFill>
          <bgColor rgb="FFFF0000"/>
        </patternFill>
      </fill>
    </dxf>
    <dxf>
      <fill>
        <patternFill patternType="solid">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6"/>
        </patternFill>
      </fill>
    </dxf>
    <dxf>
      <fill>
        <patternFill>
          <bgColor theme="3" tint="0.59996337778862885"/>
        </patternFill>
      </fill>
    </dxf>
    <dxf>
      <fill>
        <patternFill>
          <bgColor theme="7"/>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C000"/>
        </patternFill>
      </fill>
    </dxf>
    <dxf>
      <fill>
        <patternFill>
          <bgColor rgb="FFFFC000"/>
        </patternFill>
      </fill>
    </dxf>
    <dxf>
      <fill>
        <patternFill>
          <bgColor indexed="39"/>
        </patternFill>
      </fill>
    </dxf>
    <dxf>
      <fill>
        <patternFill>
          <bgColor indexed="10"/>
        </patternFill>
      </fill>
    </dxf>
    <dxf>
      <fill>
        <patternFill>
          <bgColor indexed="39"/>
        </patternFill>
      </fill>
    </dxf>
    <dxf>
      <fill>
        <patternFill>
          <bgColor indexed="10"/>
        </patternFill>
      </fill>
    </dxf>
    <dxf>
      <fill>
        <patternFill>
          <bgColor indexed="39"/>
        </patternFill>
      </fill>
    </dxf>
    <dxf>
      <fill>
        <patternFill>
          <bgColor indexed="10"/>
        </patternFill>
      </fill>
    </dxf>
    <dxf>
      <fill>
        <patternFill>
          <bgColor indexed="39"/>
        </patternFill>
      </fill>
    </dxf>
    <dxf>
      <fill>
        <patternFill>
          <bgColor indexed="10"/>
        </patternFill>
      </fill>
    </dxf>
    <dxf>
      <fill>
        <patternFill>
          <bgColor indexed="39"/>
        </patternFill>
      </fill>
    </dxf>
    <dxf>
      <fill>
        <patternFill>
          <bgColor indexed="10"/>
        </patternFill>
      </fill>
    </dxf>
    <dxf>
      <fill>
        <patternFill>
          <bgColor indexed="39"/>
        </patternFill>
      </fill>
    </dxf>
    <dxf>
      <fill>
        <patternFill>
          <bgColor indexed="10"/>
        </patternFill>
      </fill>
    </dxf>
    <dxf>
      <fill>
        <patternFill>
          <bgColor indexed="39"/>
        </patternFill>
      </fill>
    </dxf>
    <dxf>
      <fill>
        <patternFill>
          <bgColor indexed="10"/>
        </patternFill>
      </fill>
    </dxf>
    <dxf>
      <fill>
        <patternFill>
          <bgColor indexed="39"/>
        </patternFill>
      </fill>
    </dxf>
    <dxf>
      <fill>
        <patternFill>
          <bgColor indexed="10"/>
        </patternFill>
      </fill>
    </dxf>
    <dxf>
      <fill>
        <patternFill>
          <bgColor indexed="39"/>
        </patternFill>
      </fill>
    </dxf>
    <dxf>
      <fill>
        <patternFill>
          <bgColor indexed="10"/>
        </patternFill>
      </fill>
    </dxf>
    <dxf>
      <fill>
        <patternFill>
          <bgColor indexed="39"/>
        </patternFill>
      </fill>
    </dxf>
    <dxf>
      <fill>
        <patternFill>
          <bgColor indexed="10"/>
        </patternFill>
      </fill>
    </dxf>
    <dxf>
      <fill>
        <patternFill>
          <bgColor indexed="39"/>
        </patternFill>
      </fill>
    </dxf>
    <dxf>
      <fill>
        <patternFill>
          <bgColor indexed="10"/>
        </patternFill>
      </fill>
    </dxf>
    <dxf>
      <fill>
        <patternFill>
          <bgColor indexed="39"/>
        </patternFill>
      </fill>
    </dxf>
    <dxf>
      <fill>
        <patternFill>
          <bgColor indexed="10"/>
        </patternFill>
      </fill>
    </dxf>
    <dxf>
      <fill>
        <patternFill>
          <bgColor indexed="39"/>
        </patternFill>
      </fill>
    </dxf>
    <dxf>
      <fill>
        <patternFill>
          <bgColor indexed="10"/>
        </patternFill>
      </fill>
    </dxf>
    <dxf>
      <fill>
        <patternFill>
          <bgColor indexed="12"/>
        </patternFill>
      </fill>
    </dxf>
    <dxf>
      <fill>
        <patternFill>
          <bgColor indexed="39"/>
        </patternFill>
      </fill>
    </dxf>
    <dxf>
      <fill>
        <patternFill>
          <bgColor indexed="10"/>
        </patternFill>
      </fill>
    </dxf>
    <dxf>
      <protection locked="0"/>
    </dxf>
  </dxfs>
  <tableStyles count="0" defaultTableStyle="TableStyleMedium2" defaultPivotStyle="PivotStyleLight16"/>
  <colors>
    <mruColors>
      <color rgb="FFFFFFCC"/>
      <color rgb="FFFEF4EC"/>
      <color rgb="FFFF33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fmlaLink="$Y$123"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Radio" firstButton="1" fmlaLink="$Y$130" lockText="1" noThreeD="1"/>
</file>

<file path=xl/ctrlProps/ctrlProp16.xml><?xml version="1.0" encoding="utf-8"?>
<formControlPr xmlns="http://schemas.microsoft.com/office/spreadsheetml/2009/9/main" objectType="Radio" checked="Checked"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checked="Checked" firstButton="1" fmlaLink="$Y$157"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checked="Checked" firstButton="1" fmlaLink="$Y$54"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checked="Checked" firstButton="1" fmlaLink="$Y$18"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Radio" firstButton="1" fmlaLink="$Y$50"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checked="Checked"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fmlaLink="$K$38" lockText="1" noThreeD="1"/>
</file>

<file path=xl/ctrlProps/ctrlProp44.xml><?xml version="1.0" encoding="utf-8"?>
<formControlPr xmlns="http://schemas.microsoft.com/office/spreadsheetml/2009/9/main" objectType="CheckBox" fmlaLink="$K$72" lockText="1" noThreeD="1"/>
</file>

<file path=xl/ctrlProps/ctrlProp45.xml><?xml version="1.0" encoding="utf-8"?>
<formControlPr xmlns="http://schemas.microsoft.com/office/spreadsheetml/2009/9/main" objectType="CheckBox" fmlaLink="$K$103" lockText="1" noThreeD="1"/>
</file>

<file path=xl/ctrlProps/ctrlProp46.xml><?xml version="1.0" encoding="utf-8"?>
<formControlPr xmlns="http://schemas.microsoft.com/office/spreadsheetml/2009/9/main" objectType="CheckBox" fmlaLink="$K$136" lockText="1" noThreeD="1"/>
</file>

<file path=xl/ctrlProps/ctrlProp47.xml><?xml version="1.0" encoding="utf-8"?>
<formControlPr xmlns="http://schemas.microsoft.com/office/spreadsheetml/2009/9/main" objectType="CheckBox" fmlaLink="$K$171" lockText="1" noThreeD="1"/>
</file>

<file path=xl/ctrlProps/ctrlProp48.xml><?xml version="1.0" encoding="utf-8"?>
<formControlPr xmlns="http://schemas.microsoft.com/office/spreadsheetml/2009/9/main" objectType="CheckBox" fmlaLink="$K$202" lockText="1" noThreeD="1"/>
</file>

<file path=xl/ctrlProps/ctrlProp49.xml><?xml version="1.0" encoding="utf-8"?>
<formControlPr xmlns="http://schemas.microsoft.com/office/spreadsheetml/2009/9/main" objectType="CheckBox" fmlaLink="$K$233" lockText="1" noThreeD="1"/>
</file>

<file path=xl/ctrlProps/ctrlProp50.xml><?xml version="1.0" encoding="utf-8"?>
<formControlPr xmlns="http://schemas.microsoft.com/office/spreadsheetml/2009/9/main" objectType="CheckBox" fmlaLink="$K$264" lockText="1" noThreeD="1"/>
</file>

<file path=xl/ctrlProps/ctrlProp51.xml><?xml version="1.0" encoding="utf-8"?>
<formControlPr xmlns="http://schemas.microsoft.com/office/spreadsheetml/2009/9/main" objectType="CheckBox" fmlaLink="$K$295" lockText="1" noThreeD="1"/>
</file>

<file path=xl/ctrlProps/ctrlProp52.xml><?xml version="1.0" encoding="utf-8"?>
<formControlPr xmlns="http://schemas.microsoft.com/office/spreadsheetml/2009/9/main" objectType="CheckBox" fmlaLink="$K$326" lockText="1" noThreeD="1"/>
</file>

<file path=xl/ctrlProps/ctrlProp53.xml><?xml version="1.0" encoding="utf-8"?>
<formControlPr xmlns="http://schemas.microsoft.com/office/spreadsheetml/2009/9/main" objectType="CheckBox" fmlaLink="$K$357" lockText="1" noThreeD="1"/>
</file>

<file path=xl/ctrlProps/ctrlProp54.xml><?xml version="1.0" encoding="utf-8"?>
<formControlPr xmlns="http://schemas.microsoft.com/office/spreadsheetml/2009/9/main" objectType="CheckBox" fmlaLink="$K$388" lockText="1" noThreeD="1"/>
</file>

<file path=xl/ctrlProps/ctrlProp55.xml><?xml version="1.0" encoding="utf-8"?>
<formControlPr xmlns="http://schemas.microsoft.com/office/spreadsheetml/2009/9/main" objectType="CheckBox" fmlaLink="$K$419" lockText="1" noThreeD="1"/>
</file>

<file path=xl/ctrlProps/ctrlProp56.xml><?xml version="1.0" encoding="utf-8"?>
<formControlPr xmlns="http://schemas.microsoft.com/office/spreadsheetml/2009/9/main" objectType="CheckBox" fmlaLink="$K$450" lockText="1" noThreeD="1"/>
</file>

<file path=xl/ctrlProps/ctrlProp57.xml><?xml version="1.0" encoding="utf-8"?>
<formControlPr xmlns="http://schemas.microsoft.com/office/spreadsheetml/2009/9/main" objectType="CheckBox" fmlaLink="$K$481" lockText="1" noThreeD="1"/>
</file>

<file path=xl/ctrlProps/ctrlProp58.xml><?xml version="1.0" encoding="utf-8"?>
<formControlPr xmlns="http://schemas.microsoft.com/office/spreadsheetml/2009/9/main" objectType="CheckBox" fmlaLink="$K$512" lockText="1" noThreeD="1"/>
</file>

<file path=xl/ctrlProps/ctrlProp59.xml><?xml version="1.0" encoding="utf-8"?>
<formControlPr xmlns="http://schemas.microsoft.com/office/spreadsheetml/2009/9/main" objectType="CheckBox" fmlaLink="$K$543" lockText="1" noThreeD="1"/>
</file>

<file path=xl/ctrlProps/ctrlProp60.xml><?xml version="1.0" encoding="utf-8"?>
<formControlPr xmlns="http://schemas.microsoft.com/office/spreadsheetml/2009/9/main" objectType="CheckBox" fmlaLink="$K$574" lockText="1" noThreeD="1"/>
</file>

<file path=xl/ctrlProps/ctrlProp61.xml><?xml version="1.0" encoding="utf-8"?>
<formControlPr xmlns="http://schemas.microsoft.com/office/spreadsheetml/2009/9/main" objectType="CheckBox" fmlaLink="$K$605" lockText="1" noThreeD="1"/>
</file>

<file path=xl/ctrlProps/ctrlProp62.xml><?xml version="1.0" encoding="utf-8"?>
<formControlPr xmlns="http://schemas.microsoft.com/office/spreadsheetml/2009/9/main" objectType="CheckBox" fmlaLink="$K$636" lockText="1" noThreeD="1"/>
</file>

<file path=xl/ctrlProps/ctrlProp63.xml><?xml version="1.0" encoding="utf-8"?>
<formControlPr xmlns="http://schemas.microsoft.com/office/spreadsheetml/2009/9/main" objectType="CheckBox" fmlaLink="$K$667" lockText="1" noThreeD="1"/>
</file>

<file path=xl/ctrlProps/ctrlProp64.xml><?xml version="1.0" encoding="utf-8"?>
<formControlPr xmlns="http://schemas.microsoft.com/office/spreadsheetml/2009/9/main" objectType="CheckBox" fmlaLink="$K$698" lockText="1" noThreeD="1"/>
</file>

<file path=xl/ctrlProps/ctrlProp65.xml><?xml version="1.0" encoding="utf-8"?>
<formControlPr xmlns="http://schemas.microsoft.com/office/spreadsheetml/2009/9/main" objectType="CheckBox" fmlaLink="$K$729" lockText="1" noThreeD="1"/>
</file>

<file path=xl/ctrlProps/ctrlProp66.xml><?xml version="1.0" encoding="utf-8"?>
<formControlPr xmlns="http://schemas.microsoft.com/office/spreadsheetml/2009/9/main" objectType="CheckBox" fmlaLink="$K$760" lockText="1" noThreeD="1"/>
</file>

<file path=xl/ctrlProps/ctrlProp67.xml><?xml version="1.0" encoding="utf-8"?>
<formControlPr xmlns="http://schemas.microsoft.com/office/spreadsheetml/2009/9/main" objectType="CheckBox" fmlaLink="$K$791" lockText="1" noThreeD="1"/>
</file>

<file path=xl/ctrlProps/ctrlProp68.xml><?xml version="1.0" encoding="utf-8"?>
<formControlPr xmlns="http://schemas.microsoft.com/office/spreadsheetml/2009/9/main" objectType="CheckBox" fmlaLink="$K$822" lockText="1" noThreeD="1"/>
</file>

<file path=xl/ctrlProps/ctrlProp69.xml><?xml version="1.0" encoding="utf-8"?>
<formControlPr xmlns="http://schemas.microsoft.com/office/spreadsheetml/2009/9/main" objectType="CheckBox" fmlaLink="$K$853" lockText="1" noThreeD="1"/>
</file>

<file path=xl/ctrlProps/ctrlProp70.xml><?xml version="1.0" encoding="utf-8"?>
<formControlPr xmlns="http://schemas.microsoft.com/office/spreadsheetml/2009/9/main" objectType="CheckBox" fmlaLink="$K$884" lockText="1" noThreeD="1"/>
</file>

<file path=xl/ctrlProps/ctrlProp71.xml><?xml version="1.0" encoding="utf-8"?>
<formControlPr xmlns="http://schemas.microsoft.com/office/spreadsheetml/2009/9/main" objectType="CheckBox" fmlaLink="$K$915" lockText="1" noThreeD="1"/>
</file>

<file path=xl/ctrlProps/ctrlProp72.xml><?xml version="1.0" encoding="utf-8"?>
<formControlPr xmlns="http://schemas.microsoft.com/office/spreadsheetml/2009/9/main" objectType="CheckBox" fmlaLink="$K$946" lockText="1" noThreeD="1"/>
</file>

<file path=xl/ctrlProps/ctrlProp73.xml><?xml version="1.0" encoding="utf-8"?>
<formControlPr xmlns="http://schemas.microsoft.com/office/spreadsheetml/2009/9/main" objectType="CheckBox" fmlaLink="$K$977" lockText="1" noThreeD="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Radio" checked="Checked" firstButton="1" fmlaLink="$C$10" lockText="1" noThreeD="1"/>
</file>

<file path=xl/ctrlProps/ctrlProp77.xml><?xml version="1.0" encoding="utf-8"?>
<formControlPr xmlns="http://schemas.microsoft.com/office/spreadsheetml/2009/9/main" objectType="Radio" lockText="1" noThreeD="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GBox" noThreeD="1"/>
</file>

<file path=xl/ctrlProps/ctrlProp80.xml><?xml version="1.0" encoding="utf-8"?>
<formControlPr xmlns="http://schemas.microsoft.com/office/spreadsheetml/2009/9/main" objectType="Radio" checked="Checked" firstButton="1" fmlaLink="$B$16" lockText="1" noThreeD="1"/>
</file>

<file path=xl/ctrlProps/ctrlProp81.xml><?xml version="1.0" encoding="utf-8"?>
<formControlPr xmlns="http://schemas.microsoft.com/office/spreadsheetml/2009/9/main" objectType="Radio" lockText="1" noThreeD="1"/>
</file>

<file path=xl/ctrlProps/ctrlProp8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12</xdr:col>
          <xdr:colOff>0</xdr:colOff>
          <xdr:row>2</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Phase Codes And Generate New Time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xdr:row>
          <xdr:rowOff>0</xdr:rowOff>
        </xdr:from>
        <xdr:to>
          <xdr:col>12</xdr:col>
          <xdr:colOff>0</xdr:colOff>
          <xdr:row>4</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400-00000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Takeoff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0</xdr:rowOff>
        </xdr:from>
        <xdr:to>
          <xdr:col>12</xdr:col>
          <xdr:colOff>0</xdr:colOff>
          <xdr:row>7</xdr:row>
          <xdr:rowOff>9525</xdr:rowOff>
        </xdr:to>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400-000006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MCAA RECAP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17</xdr:col>
          <xdr:colOff>0</xdr:colOff>
          <xdr:row>58</xdr:row>
          <xdr:rowOff>9525</xdr:rowOff>
        </xdr:to>
        <xdr:sp macro="" textlink="">
          <xdr:nvSpPr>
            <xdr:cNvPr id="34817" name="Group Box 1" hidden="1">
              <a:extLst>
                <a:ext uri="{63B3BB69-23CF-44E3-9099-C40C66FF867C}">
                  <a14:compatExt spid="_x0000_s34817"/>
                </a:ext>
                <a:ext uri="{FF2B5EF4-FFF2-40B4-BE49-F238E27FC236}">
                  <a16:creationId xmlns:a16="http://schemas.microsoft.com/office/drawing/2014/main" id="{00000000-0008-0000-0800-0000018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xdr:row>
          <xdr:rowOff>161925</xdr:rowOff>
        </xdr:from>
        <xdr:to>
          <xdr:col>11</xdr:col>
          <xdr:colOff>0</xdr:colOff>
          <xdr:row>3</xdr:row>
          <xdr:rowOff>9525</xdr:rowOff>
        </xdr:to>
        <xdr:sp macro="" textlink="">
          <xdr:nvSpPr>
            <xdr:cNvPr id="34818" name="Option Button 2" hidden="1">
              <a:extLst>
                <a:ext uri="{63B3BB69-23CF-44E3-9099-C40C66FF867C}">
                  <a14:compatExt spid="_x0000_s34818"/>
                </a:ext>
                <a:ext uri="{FF2B5EF4-FFF2-40B4-BE49-F238E27FC236}">
                  <a16:creationId xmlns:a16="http://schemas.microsoft.com/office/drawing/2014/main" id="{00000000-0008-0000-0800-00000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161925</xdr:rowOff>
        </xdr:from>
        <xdr:to>
          <xdr:col>2</xdr:col>
          <xdr:colOff>0</xdr:colOff>
          <xdr:row>3</xdr:row>
          <xdr:rowOff>9525</xdr:rowOff>
        </xdr:to>
        <xdr:sp macro="" textlink="">
          <xdr:nvSpPr>
            <xdr:cNvPr id="34819" name="Option Button 3" hidden="1">
              <a:extLst>
                <a:ext uri="{63B3BB69-23CF-44E3-9099-C40C66FF867C}">
                  <a14:compatExt spid="_x0000_s34819"/>
                </a:ext>
                <a:ext uri="{FF2B5EF4-FFF2-40B4-BE49-F238E27FC236}">
                  <a16:creationId xmlns:a16="http://schemas.microsoft.com/office/drawing/2014/main" id="{00000000-0008-0000-08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161925</xdr:rowOff>
        </xdr:from>
        <xdr:to>
          <xdr:col>2</xdr:col>
          <xdr:colOff>0</xdr:colOff>
          <xdr:row>22</xdr:row>
          <xdr:rowOff>9525</xdr:rowOff>
        </xdr:to>
        <xdr:sp macro="" textlink="">
          <xdr:nvSpPr>
            <xdr:cNvPr id="34820" name="Option Button 4" hidden="1">
              <a:extLst>
                <a:ext uri="{63B3BB69-23CF-44E3-9099-C40C66FF867C}">
                  <a14:compatExt spid="_x0000_s34820"/>
                </a:ext>
                <a:ext uri="{FF2B5EF4-FFF2-40B4-BE49-F238E27FC236}">
                  <a16:creationId xmlns:a16="http://schemas.microsoft.com/office/drawing/2014/main" id="{00000000-0008-0000-0800-000004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xdr:row>
          <xdr:rowOff>161925</xdr:rowOff>
        </xdr:from>
        <xdr:to>
          <xdr:col>11</xdr:col>
          <xdr:colOff>0</xdr:colOff>
          <xdr:row>22</xdr:row>
          <xdr:rowOff>9525</xdr:rowOff>
        </xdr:to>
        <xdr:sp macro="" textlink="">
          <xdr:nvSpPr>
            <xdr:cNvPr id="34821" name="Option Button 5" hidden="1">
              <a:extLst>
                <a:ext uri="{63B3BB69-23CF-44E3-9099-C40C66FF867C}">
                  <a14:compatExt spid="_x0000_s34821"/>
                </a:ext>
                <a:ext uri="{FF2B5EF4-FFF2-40B4-BE49-F238E27FC236}">
                  <a16:creationId xmlns:a16="http://schemas.microsoft.com/office/drawing/2014/main" id="{00000000-0008-0000-0800-000005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400050</xdr:colOff>
          <xdr:row>0</xdr:row>
          <xdr:rowOff>28575</xdr:rowOff>
        </xdr:from>
        <xdr:to>
          <xdr:col>10</xdr:col>
          <xdr:colOff>209550</xdr:colOff>
          <xdr:row>0</xdr:row>
          <xdr:rowOff>180975</xdr:rowOff>
        </xdr:to>
        <xdr:sp macro="" textlink="">
          <xdr:nvSpPr>
            <xdr:cNvPr id="34822" name="Option Button 6" hidden="1">
              <a:extLst>
                <a:ext uri="{63B3BB69-23CF-44E3-9099-C40C66FF867C}">
                  <a14:compatExt spid="_x0000_s34822"/>
                </a:ext>
                <a:ext uri="{FF2B5EF4-FFF2-40B4-BE49-F238E27FC236}">
                  <a16:creationId xmlns:a16="http://schemas.microsoft.com/office/drawing/2014/main" id="{00000000-0008-0000-0800-000006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0</xdr:rowOff>
        </xdr:from>
        <xdr:to>
          <xdr:col>2</xdr:col>
          <xdr:colOff>0</xdr:colOff>
          <xdr:row>41</xdr:row>
          <xdr:rowOff>19050</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8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0</xdr:colOff>
      <xdr:row>159</xdr:row>
      <xdr:rowOff>104774</xdr:rowOff>
    </xdr:from>
    <xdr:to>
      <xdr:col>12</xdr:col>
      <xdr:colOff>57150</xdr:colOff>
      <xdr:row>161</xdr:row>
      <xdr:rowOff>57149</xdr:rowOff>
    </xdr:to>
    <xdr:sp macro="" textlink="">
      <xdr:nvSpPr>
        <xdr:cNvPr id="2" name="Oval 1">
          <a:extLst>
            <a:ext uri="{FF2B5EF4-FFF2-40B4-BE49-F238E27FC236}">
              <a16:creationId xmlns:a16="http://schemas.microsoft.com/office/drawing/2014/main" id="{00000000-0008-0000-0900-000002000000}"/>
            </a:ext>
          </a:extLst>
        </xdr:cNvPr>
        <xdr:cNvSpPr>
          <a:spLocks noChangeArrowheads="1"/>
        </xdr:cNvSpPr>
      </xdr:nvSpPr>
      <xdr:spPr bwMode="auto">
        <a:xfrm>
          <a:off x="3505200" y="25793699"/>
          <a:ext cx="1609725" cy="276225"/>
        </a:xfrm>
        <a:prstGeom prst="ellipse">
          <a:avLst/>
        </a:prstGeom>
        <a:noFill/>
        <a:ln w="9525">
          <a:solidFill>
            <a:srgbClr val="00000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8</xdr:col>
      <xdr:colOff>19050</xdr:colOff>
      <xdr:row>161</xdr:row>
      <xdr:rowOff>114300</xdr:rowOff>
    </xdr:from>
    <xdr:to>
      <xdr:col>12</xdr:col>
      <xdr:colOff>88152</xdr:colOff>
      <xdr:row>163</xdr:row>
      <xdr:rowOff>66675</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3619500" y="26498550"/>
          <a:ext cx="1621677" cy="2762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95250</xdr:colOff>
          <xdr:row>121</xdr:row>
          <xdr:rowOff>180975</xdr:rowOff>
        </xdr:from>
        <xdr:to>
          <xdr:col>16</xdr:col>
          <xdr:colOff>76200</xdr:colOff>
          <xdr:row>123</xdr:row>
          <xdr:rowOff>19050</xdr:rowOff>
        </xdr:to>
        <xdr:sp macro="" textlink="">
          <xdr:nvSpPr>
            <xdr:cNvPr id="21505" name="Option 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122</xdr:row>
          <xdr:rowOff>142875</xdr:rowOff>
        </xdr:from>
        <xdr:to>
          <xdr:col>16</xdr:col>
          <xdr:colOff>76200</xdr:colOff>
          <xdr:row>124</xdr:row>
          <xdr:rowOff>19050</xdr:rowOff>
        </xdr:to>
        <xdr:sp macro="" textlink="">
          <xdr:nvSpPr>
            <xdr:cNvPr id="21506" name="Option Button 2" hidden="1">
              <a:extLst>
                <a:ext uri="{63B3BB69-23CF-44E3-9099-C40C66FF867C}">
                  <a14:compatExt spid="_x0000_s21506"/>
                </a:ext>
                <a:ext uri="{FF2B5EF4-FFF2-40B4-BE49-F238E27FC236}">
                  <a16:creationId xmlns:a16="http://schemas.microsoft.com/office/drawing/2014/main" id="{00000000-0008-0000-09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121</xdr:row>
          <xdr:rowOff>0</xdr:rowOff>
        </xdr:from>
        <xdr:to>
          <xdr:col>18</xdr:col>
          <xdr:colOff>0</xdr:colOff>
          <xdr:row>124</xdr:row>
          <xdr:rowOff>38100</xdr:rowOff>
        </xdr:to>
        <xdr:sp macro="" textlink="">
          <xdr:nvSpPr>
            <xdr:cNvPr id="21507" name="Group Box 3" hidden="1">
              <a:extLst>
                <a:ext uri="{63B3BB69-23CF-44E3-9099-C40C66FF867C}">
                  <a14:compatExt spid="_x0000_s21507"/>
                </a:ext>
                <a:ext uri="{FF2B5EF4-FFF2-40B4-BE49-F238E27FC236}">
                  <a16:creationId xmlns:a16="http://schemas.microsoft.com/office/drawing/2014/main" id="{00000000-0008-0000-0900-000003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295275</xdr:colOff>
          <xdr:row>127</xdr:row>
          <xdr:rowOff>152400</xdr:rowOff>
        </xdr:from>
        <xdr:to>
          <xdr:col>12</xdr:col>
          <xdr:colOff>57150</xdr:colOff>
          <xdr:row>131</xdr:row>
          <xdr:rowOff>28575</xdr:rowOff>
        </xdr:to>
        <xdr:sp macro="" textlink="">
          <xdr:nvSpPr>
            <xdr:cNvPr id="21508" name="Group Box 4" hidden="1">
              <a:extLst>
                <a:ext uri="{63B3BB69-23CF-44E3-9099-C40C66FF867C}">
                  <a14:compatExt spid="_x0000_s21508"/>
                </a:ext>
                <a:ext uri="{FF2B5EF4-FFF2-40B4-BE49-F238E27FC236}">
                  <a16:creationId xmlns:a16="http://schemas.microsoft.com/office/drawing/2014/main" id="{00000000-0008-0000-0900-000004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127</xdr:row>
          <xdr:rowOff>123825</xdr:rowOff>
        </xdr:from>
        <xdr:to>
          <xdr:col>12</xdr:col>
          <xdr:colOff>114300</xdr:colOff>
          <xdr:row>129</xdr:row>
          <xdr:rowOff>38100</xdr:rowOff>
        </xdr:to>
        <xdr:sp macro="" textlink="">
          <xdr:nvSpPr>
            <xdr:cNvPr id="21509" name="Option Button 5" hidden="1">
              <a:extLst>
                <a:ext uri="{63B3BB69-23CF-44E3-9099-C40C66FF867C}">
                  <a14:compatExt spid="_x0000_s21509"/>
                </a:ext>
                <a:ext uri="{FF2B5EF4-FFF2-40B4-BE49-F238E27FC236}">
                  <a16:creationId xmlns:a16="http://schemas.microsoft.com/office/drawing/2014/main" id="{00000000-0008-0000-0900-00000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128</xdr:row>
          <xdr:rowOff>114300</xdr:rowOff>
        </xdr:from>
        <xdr:to>
          <xdr:col>12</xdr:col>
          <xdr:colOff>114300</xdr:colOff>
          <xdr:row>130</xdr:row>
          <xdr:rowOff>28575</xdr:rowOff>
        </xdr:to>
        <xdr:sp macro="" textlink="">
          <xdr:nvSpPr>
            <xdr:cNvPr id="21510" name="Option Button 6" hidden="1">
              <a:extLst>
                <a:ext uri="{63B3BB69-23CF-44E3-9099-C40C66FF867C}">
                  <a14:compatExt spid="_x0000_s21510"/>
                </a:ext>
                <a:ext uri="{FF2B5EF4-FFF2-40B4-BE49-F238E27FC236}">
                  <a16:creationId xmlns:a16="http://schemas.microsoft.com/office/drawing/2014/main" id="{00000000-0008-0000-0900-00000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352425</xdr:colOff>
          <xdr:row>129</xdr:row>
          <xdr:rowOff>123825</xdr:rowOff>
        </xdr:from>
        <xdr:to>
          <xdr:col>12</xdr:col>
          <xdr:colOff>114300</xdr:colOff>
          <xdr:row>131</xdr:row>
          <xdr:rowOff>38100</xdr:rowOff>
        </xdr:to>
        <xdr:sp macro="" textlink="">
          <xdr:nvSpPr>
            <xdr:cNvPr id="21511" name="Option Button 7" hidden="1">
              <a:extLst>
                <a:ext uri="{63B3BB69-23CF-44E3-9099-C40C66FF867C}">
                  <a14:compatExt spid="_x0000_s21511"/>
                </a:ext>
                <a:ext uri="{FF2B5EF4-FFF2-40B4-BE49-F238E27FC236}">
                  <a16:creationId xmlns:a16="http://schemas.microsoft.com/office/drawing/2014/main" id="{00000000-0008-0000-0900-00000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504825</xdr:colOff>
          <xdr:row>155</xdr:row>
          <xdr:rowOff>95250</xdr:rowOff>
        </xdr:from>
        <xdr:to>
          <xdr:col>14</xdr:col>
          <xdr:colOff>171450</xdr:colOff>
          <xdr:row>157</xdr:row>
          <xdr:rowOff>114300</xdr:rowOff>
        </xdr:to>
        <xdr:sp macro="" textlink="">
          <xdr:nvSpPr>
            <xdr:cNvPr id="21512" name="Group Box 8" hidden="1">
              <a:extLst>
                <a:ext uri="{63B3BB69-23CF-44E3-9099-C40C66FF867C}">
                  <a14:compatExt spid="_x0000_s21512"/>
                </a:ext>
                <a:ext uri="{FF2B5EF4-FFF2-40B4-BE49-F238E27FC236}">
                  <a16:creationId xmlns:a16="http://schemas.microsoft.com/office/drawing/2014/main" id="{00000000-0008-0000-0900-000008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533400</xdr:colOff>
          <xdr:row>155</xdr:row>
          <xdr:rowOff>104775</xdr:rowOff>
        </xdr:from>
        <xdr:to>
          <xdr:col>13</xdr:col>
          <xdr:colOff>104775</xdr:colOff>
          <xdr:row>157</xdr:row>
          <xdr:rowOff>104775</xdr:rowOff>
        </xdr:to>
        <xdr:sp macro="" textlink="">
          <xdr:nvSpPr>
            <xdr:cNvPr id="21513" name="Option Button 9" hidden="1">
              <a:extLst>
                <a:ext uri="{63B3BB69-23CF-44E3-9099-C40C66FF867C}">
                  <a14:compatExt spid="_x0000_s21513"/>
                </a:ext>
                <a:ext uri="{FF2B5EF4-FFF2-40B4-BE49-F238E27FC236}">
                  <a16:creationId xmlns:a16="http://schemas.microsoft.com/office/drawing/2014/main" id="{00000000-0008-0000-0900-00000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200025</xdr:colOff>
          <xdr:row>155</xdr:row>
          <xdr:rowOff>104775</xdr:rowOff>
        </xdr:from>
        <xdr:to>
          <xdr:col>14</xdr:col>
          <xdr:colOff>142875</xdr:colOff>
          <xdr:row>157</xdr:row>
          <xdr:rowOff>104775</xdr:rowOff>
        </xdr:to>
        <xdr:sp macro="" textlink="">
          <xdr:nvSpPr>
            <xdr:cNvPr id="21514" name="Option Button 10" hidden="1">
              <a:extLst>
                <a:ext uri="{63B3BB69-23CF-44E3-9099-C40C66FF867C}">
                  <a14:compatExt spid="_x0000_s21514"/>
                </a:ext>
                <a:ext uri="{FF2B5EF4-FFF2-40B4-BE49-F238E27FC236}">
                  <a16:creationId xmlns:a16="http://schemas.microsoft.com/office/drawing/2014/main" id="{00000000-0008-0000-0900-00000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514350</xdr:colOff>
          <xdr:row>53</xdr:row>
          <xdr:rowOff>85725</xdr:rowOff>
        </xdr:from>
        <xdr:to>
          <xdr:col>7</xdr:col>
          <xdr:colOff>304800</xdr:colOff>
          <xdr:row>55</xdr:row>
          <xdr:rowOff>76200</xdr:rowOff>
        </xdr:to>
        <xdr:sp macro="" textlink="">
          <xdr:nvSpPr>
            <xdr:cNvPr id="21515" name="Group Box 11" hidden="1">
              <a:extLst>
                <a:ext uri="{63B3BB69-23CF-44E3-9099-C40C66FF867C}">
                  <a14:compatExt spid="_x0000_s21515"/>
                </a:ext>
                <a:ext uri="{FF2B5EF4-FFF2-40B4-BE49-F238E27FC236}">
                  <a16:creationId xmlns:a16="http://schemas.microsoft.com/office/drawing/2014/main" id="{00000000-0008-0000-0900-00000B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552450</xdr:colOff>
          <xdr:row>53</xdr:row>
          <xdr:rowOff>123825</xdr:rowOff>
        </xdr:from>
        <xdr:to>
          <xdr:col>6</xdr:col>
          <xdr:colOff>342900</xdr:colOff>
          <xdr:row>55</xdr:row>
          <xdr:rowOff>19050</xdr:rowOff>
        </xdr:to>
        <xdr:sp macro="" textlink="">
          <xdr:nvSpPr>
            <xdr:cNvPr id="21516" name="Option Button 12" hidden="1">
              <a:extLst>
                <a:ext uri="{63B3BB69-23CF-44E3-9099-C40C66FF867C}">
                  <a14:compatExt spid="_x0000_s21516"/>
                </a:ext>
                <a:ext uri="{FF2B5EF4-FFF2-40B4-BE49-F238E27FC236}">
                  <a16:creationId xmlns:a16="http://schemas.microsoft.com/office/drawing/2014/main" id="{00000000-0008-0000-0900-00000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53</xdr:row>
          <xdr:rowOff>123825</xdr:rowOff>
        </xdr:from>
        <xdr:to>
          <xdr:col>7</xdr:col>
          <xdr:colOff>257175</xdr:colOff>
          <xdr:row>55</xdr:row>
          <xdr:rowOff>19050</xdr:rowOff>
        </xdr:to>
        <xdr:sp macro="" textlink="">
          <xdr:nvSpPr>
            <xdr:cNvPr id="21517" name="Option Button 13" hidden="1">
              <a:extLst>
                <a:ext uri="{63B3BB69-23CF-44E3-9099-C40C66FF867C}">
                  <a14:compatExt spid="_x0000_s21517"/>
                </a:ext>
                <a:ext uri="{FF2B5EF4-FFF2-40B4-BE49-F238E27FC236}">
                  <a16:creationId xmlns:a16="http://schemas.microsoft.com/office/drawing/2014/main" id="{00000000-0008-0000-0900-00000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66675</xdr:rowOff>
        </xdr:from>
        <xdr:to>
          <xdr:col>14</xdr:col>
          <xdr:colOff>390525</xdr:colOff>
          <xdr:row>19</xdr:row>
          <xdr:rowOff>95250</xdr:rowOff>
        </xdr:to>
        <xdr:sp macro="" textlink="">
          <xdr:nvSpPr>
            <xdr:cNvPr id="21518" name="Group Box 14" hidden="1">
              <a:extLst>
                <a:ext uri="{63B3BB69-23CF-44E3-9099-C40C66FF867C}">
                  <a14:compatExt spid="_x0000_s21518"/>
                </a:ext>
                <a:ext uri="{FF2B5EF4-FFF2-40B4-BE49-F238E27FC236}">
                  <a16:creationId xmlns:a16="http://schemas.microsoft.com/office/drawing/2014/main" id="{00000000-0008-0000-0900-00000E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17</xdr:row>
          <xdr:rowOff>123825</xdr:rowOff>
        </xdr:from>
        <xdr:to>
          <xdr:col>5</xdr:col>
          <xdr:colOff>800100</xdr:colOff>
          <xdr:row>19</xdr:row>
          <xdr:rowOff>19050</xdr:rowOff>
        </xdr:to>
        <xdr:sp macro="" textlink="">
          <xdr:nvSpPr>
            <xdr:cNvPr id="21519" name="Option Button 15" hidden="1">
              <a:extLst>
                <a:ext uri="{63B3BB69-23CF-44E3-9099-C40C66FF867C}">
                  <a14:compatExt spid="_x0000_s21519"/>
                </a:ext>
                <a:ext uri="{FF2B5EF4-FFF2-40B4-BE49-F238E27FC236}">
                  <a16:creationId xmlns:a16="http://schemas.microsoft.com/office/drawing/2014/main" id="{00000000-0008-0000-0900-00000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Corporation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17</xdr:row>
          <xdr:rowOff>123825</xdr:rowOff>
        </xdr:from>
        <xdr:to>
          <xdr:col>9</xdr:col>
          <xdr:colOff>19050</xdr:colOff>
          <xdr:row>19</xdr:row>
          <xdr:rowOff>19050</xdr:rowOff>
        </xdr:to>
        <xdr:sp macro="" textlink="">
          <xdr:nvSpPr>
            <xdr:cNvPr id="21520" name="Option Button 16" hidden="1">
              <a:extLst>
                <a:ext uri="{63B3BB69-23CF-44E3-9099-C40C66FF867C}">
                  <a14:compatExt spid="_x0000_s21520"/>
                </a:ext>
                <a:ext uri="{FF2B5EF4-FFF2-40B4-BE49-F238E27FC236}">
                  <a16:creationId xmlns:a16="http://schemas.microsoft.com/office/drawing/2014/main" id="{00000000-0008-0000-0900-00001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Partnership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17</xdr:row>
          <xdr:rowOff>123825</xdr:rowOff>
        </xdr:from>
        <xdr:to>
          <xdr:col>12</xdr:col>
          <xdr:colOff>66675</xdr:colOff>
          <xdr:row>19</xdr:row>
          <xdr:rowOff>19050</xdr:rowOff>
        </xdr:to>
        <xdr:sp macro="" textlink="">
          <xdr:nvSpPr>
            <xdr:cNvPr id="21521" name="Option Button 17" hidden="1">
              <a:extLst>
                <a:ext uri="{63B3BB69-23CF-44E3-9099-C40C66FF867C}">
                  <a14:compatExt spid="_x0000_s21521"/>
                </a:ext>
                <a:ext uri="{FF2B5EF4-FFF2-40B4-BE49-F238E27FC236}">
                  <a16:creationId xmlns:a16="http://schemas.microsoft.com/office/drawing/2014/main" id="{00000000-0008-0000-0900-00001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Sole Proprietorship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17</xdr:row>
          <xdr:rowOff>123825</xdr:rowOff>
        </xdr:from>
        <xdr:to>
          <xdr:col>14</xdr:col>
          <xdr:colOff>428625</xdr:colOff>
          <xdr:row>19</xdr:row>
          <xdr:rowOff>19050</xdr:rowOff>
        </xdr:to>
        <xdr:sp macro="" textlink="">
          <xdr:nvSpPr>
            <xdr:cNvPr id="21522" name="Option Button 18" hidden="1">
              <a:extLst>
                <a:ext uri="{63B3BB69-23CF-44E3-9099-C40C66FF867C}">
                  <a14:compatExt spid="_x0000_s21522"/>
                </a:ext>
                <a:ext uri="{FF2B5EF4-FFF2-40B4-BE49-F238E27FC236}">
                  <a16:creationId xmlns:a16="http://schemas.microsoft.com/office/drawing/2014/main" id="{00000000-0008-0000-0900-00001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Joint Venture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48</xdr:row>
          <xdr:rowOff>9525</xdr:rowOff>
        </xdr:from>
        <xdr:to>
          <xdr:col>15</xdr:col>
          <xdr:colOff>57150</xdr:colOff>
          <xdr:row>52</xdr:row>
          <xdr:rowOff>0</xdr:rowOff>
        </xdr:to>
        <xdr:sp macro="" textlink="">
          <xdr:nvSpPr>
            <xdr:cNvPr id="21523" name="Group Box 19" hidden="1">
              <a:extLst>
                <a:ext uri="{63B3BB69-23CF-44E3-9099-C40C66FF867C}">
                  <a14:compatExt spid="_x0000_s21523"/>
                </a:ext>
                <a:ext uri="{FF2B5EF4-FFF2-40B4-BE49-F238E27FC236}">
                  <a16:creationId xmlns:a16="http://schemas.microsoft.com/office/drawing/2014/main" id="{00000000-0008-0000-0900-000013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133350</xdr:rowOff>
        </xdr:from>
        <xdr:to>
          <xdr:col>4</xdr:col>
          <xdr:colOff>38100</xdr:colOff>
          <xdr:row>50</xdr:row>
          <xdr:rowOff>28575</xdr:rowOff>
        </xdr:to>
        <xdr:sp macro="" textlink="">
          <xdr:nvSpPr>
            <xdr:cNvPr id="21524" name="Option Button 20" hidden="1">
              <a:extLst>
                <a:ext uri="{63B3BB69-23CF-44E3-9099-C40C66FF867C}">
                  <a14:compatExt spid="_x0000_s21524"/>
                </a:ext>
                <a:ext uri="{FF2B5EF4-FFF2-40B4-BE49-F238E27FC236}">
                  <a16:creationId xmlns:a16="http://schemas.microsoft.com/office/drawing/2014/main" id="{00000000-0008-0000-0900-00001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142875</xdr:rowOff>
        </xdr:from>
        <xdr:to>
          <xdr:col>4</xdr:col>
          <xdr:colOff>38100</xdr:colOff>
          <xdr:row>51</xdr:row>
          <xdr:rowOff>38100</xdr:rowOff>
        </xdr:to>
        <xdr:sp macro="" textlink="">
          <xdr:nvSpPr>
            <xdr:cNvPr id="21525" name="Option Button 21" hidden="1">
              <a:extLst>
                <a:ext uri="{63B3BB69-23CF-44E3-9099-C40C66FF867C}">
                  <a14:compatExt spid="_x0000_s21525"/>
                </a:ext>
                <a:ext uri="{FF2B5EF4-FFF2-40B4-BE49-F238E27FC236}">
                  <a16:creationId xmlns:a16="http://schemas.microsoft.com/office/drawing/2014/main" id="{00000000-0008-0000-0900-00001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48</xdr:row>
          <xdr:rowOff>133350</xdr:rowOff>
        </xdr:from>
        <xdr:to>
          <xdr:col>10</xdr:col>
          <xdr:colOff>304800</xdr:colOff>
          <xdr:row>50</xdr:row>
          <xdr:rowOff>28575</xdr:rowOff>
        </xdr:to>
        <xdr:sp macro="" textlink="">
          <xdr:nvSpPr>
            <xdr:cNvPr id="21526" name="Option Button 22" hidden="1">
              <a:extLst>
                <a:ext uri="{63B3BB69-23CF-44E3-9099-C40C66FF867C}">
                  <a14:compatExt spid="_x0000_s21526"/>
                </a:ext>
                <a:ext uri="{FF2B5EF4-FFF2-40B4-BE49-F238E27FC236}">
                  <a16:creationId xmlns:a16="http://schemas.microsoft.com/office/drawing/2014/main" id="{00000000-0008-0000-0900-00001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49</xdr:row>
          <xdr:rowOff>133350</xdr:rowOff>
        </xdr:from>
        <xdr:to>
          <xdr:col>10</xdr:col>
          <xdr:colOff>304800</xdr:colOff>
          <xdr:row>51</xdr:row>
          <xdr:rowOff>28575</xdr:rowOff>
        </xdr:to>
        <xdr:sp macro="" textlink="">
          <xdr:nvSpPr>
            <xdr:cNvPr id="21527" name="Option Button 23" hidden="1">
              <a:extLst>
                <a:ext uri="{63B3BB69-23CF-44E3-9099-C40C66FF867C}">
                  <a14:compatExt spid="_x0000_s21527"/>
                </a:ext>
                <a:ext uri="{FF2B5EF4-FFF2-40B4-BE49-F238E27FC236}">
                  <a16:creationId xmlns:a16="http://schemas.microsoft.com/office/drawing/2014/main" id="{00000000-0008-0000-0900-00001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0</xdr:rowOff>
    </xdr:from>
    <xdr:to>
      <xdr:col>0</xdr:col>
      <xdr:colOff>1790700</xdr:colOff>
      <xdr:row>3</xdr:row>
      <xdr:rowOff>281817</xdr:rowOff>
    </xdr:to>
    <xdr:pic>
      <xdr:nvPicPr>
        <xdr:cNvPr id="2" name="Picture 1" descr="Arctic Sheet Metal Logo_Color [high res 1-12-10]2[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28575" y="0"/>
          <a:ext cx="1762125" cy="767592"/>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1749238</xdr:colOff>
      <xdr:row>3</xdr:row>
      <xdr:rowOff>14113</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0" y="0"/>
          <a:ext cx="3597088" cy="633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E00-000001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0E00-000002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Isolate SM Field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0</xdr:colOff>
          <xdr:row>1</xdr:row>
          <xdr:rowOff>0</xdr:rowOff>
        </xdr:to>
        <xdr:sp macro="" textlink="">
          <xdr:nvSpPr>
            <xdr:cNvPr id="51203" name="Button 3" hidden="1">
              <a:extLst>
                <a:ext uri="{63B3BB69-23CF-44E3-9099-C40C66FF867C}">
                  <a14:compatExt spid="_x0000_s51203"/>
                </a:ext>
                <a:ext uri="{FF2B5EF4-FFF2-40B4-BE49-F238E27FC236}">
                  <a16:creationId xmlns:a16="http://schemas.microsoft.com/office/drawing/2014/main" id="{00000000-0008-0000-0E00-000003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Isolate SM Shop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0</xdr:rowOff>
        </xdr:from>
        <xdr:to>
          <xdr:col>7</xdr:col>
          <xdr:colOff>0</xdr:colOff>
          <xdr:row>1</xdr:row>
          <xdr:rowOff>0</xdr:rowOff>
        </xdr:to>
        <xdr:sp macro="" textlink="">
          <xdr:nvSpPr>
            <xdr:cNvPr id="51204" name="Button 4" hidden="1">
              <a:extLst>
                <a:ext uri="{63B3BB69-23CF-44E3-9099-C40C66FF867C}">
                  <a14:compatExt spid="_x0000_s51204"/>
                </a:ext>
                <a:ext uri="{FF2B5EF4-FFF2-40B4-BE49-F238E27FC236}">
                  <a16:creationId xmlns:a16="http://schemas.microsoft.com/office/drawing/2014/main" id="{00000000-0008-0000-0E00-000004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Isolate Plumb/Fitt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371475</xdr:colOff>
          <xdr:row>4</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F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Insert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0</xdr:rowOff>
        </xdr:from>
        <xdr:to>
          <xdr:col>10</xdr:col>
          <xdr:colOff>0</xdr:colOff>
          <xdr:row>2</xdr:row>
          <xdr:rowOff>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F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Phase Codes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0</xdr:rowOff>
        </xdr:from>
        <xdr:to>
          <xdr:col>10</xdr:col>
          <xdr:colOff>0</xdr:colOff>
          <xdr:row>3</xdr:row>
          <xdr:rowOff>209550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F00-00000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MCAA RECAP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0</xdr:rowOff>
        </xdr:from>
        <xdr:to>
          <xdr:col>7</xdr:col>
          <xdr:colOff>266700</xdr:colOff>
          <xdr:row>2</xdr:row>
          <xdr:rowOff>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F00-000006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Move CAE to Breakdown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666750</xdr:colOff>
          <xdr:row>2</xdr:row>
          <xdr:rowOff>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F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Hide/Show Booking</a:t>
              </a:r>
            </a:p>
          </xdr:txBody>
        </xdr:sp>
        <xdr:clientData fPrintsWithSheet="0"/>
      </xdr:twoCellAnchor>
    </mc:Choice>
    <mc:Fallback/>
  </mc:AlternateContent>
  <xdr:twoCellAnchor editAs="oneCell">
    <xdr:from>
      <xdr:col>0</xdr:col>
      <xdr:colOff>0</xdr:colOff>
      <xdr:row>0</xdr:row>
      <xdr:rowOff>0</xdr:rowOff>
    </xdr:from>
    <xdr:to>
      <xdr:col>4</xdr:col>
      <xdr:colOff>0</xdr:colOff>
      <xdr:row>1</xdr:row>
      <xdr:rowOff>246504</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stretch>
          <a:fillRect/>
        </a:stretch>
      </xdr:blipFill>
      <xdr:spPr>
        <a:xfrm>
          <a:off x="0" y="0"/>
          <a:ext cx="2963333" cy="52167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11</xdr:col>
          <xdr:colOff>295275</xdr:colOff>
          <xdr:row>3</xdr:row>
          <xdr:rowOff>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F00-00001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xdr:row>
          <xdr:rowOff>0</xdr:rowOff>
        </xdr:from>
        <xdr:to>
          <xdr:col>11</xdr:col>
          <xdr:colOff>285750</xdr:colOff>
          <xdr:row>4</xdr:row>
          <xdr:rowOff>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F00-00001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xdr:row>
          <xdr:rowOff>0</xdr:rowOff>
        </xdr:from>
        <xdr:to>
          <xdr:col>11</xdr:col>
          <xdr:colOff>257175</xdr:colOff>
          <xdr:row>5</xdr:row>
          <xdr:rowOff>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F00-00001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xdr:row>
          <xdr:rowOff>0</xdr:rowOff>
        </xdr:from>
        <xdr:to>
          <xdr:col>11</xdr:col>
          <xdr:colOff>266700</xdr:colOff>
          <xdr:row>6</xdr:row>
          <xdr:rowOff>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F00-00001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0</xdr:rowOff>
        </xdr:from>
        <xdr:to>
          <xdr:col>12</xdr:col>
          <xdr:colOff>257175</xdr:colOff>
          <xdr:row>2</xdr:row>
          <xdr:rowOff>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F00-00001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xdr:row>
          <xdr:rowOff>0</xdr:rowOff>
        </xdr:from>
        <xdr:to>
          <xdr:col>12</xdr:col>
          <xdr:colOff>257175</xdr:colOff>
          <xdr:row>3</xdr:row>
          <xdr:rowOff>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F00-00001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0</xdr:rowOff>
        </xdr:from>
        <xdr:to>
          <xdr:col>12</xdr:col>
          <xdr:colOff>228600</xdr:colOff>
          <xdr:row>4</xdr:row>
          <xdr:rowOff>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F00-00002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0</xdr:rowOff>
        </xdr:from>
        <xdr:to>
          <xdr:col>12</xdr:col>
          <xdr:colOff>257175</xdr:colOff>
          <xdr:row>5</xdr:row>
          <xdr:rowOff>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F00-00002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xdr:row>
          <xdr:rowOff>0</xdr:rowOff>
        </xdr:from>
        <xdr:to>
          <xdr:col>12</xdr:col>
          <xdr:colOff>247650</xdr:colOff>
          <xdr:row>6</xdr:row>
          <xdr:rowOff>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F00-00002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xdr:row>
          <xdr:rowOff>0</xdr:rowOff>
        </xdr:from>
        <xdr:to>
          <xdr:col>13</xdr:col>
          <xdr:colOff>257175</xdr:colOff>
          <xdr:row>2</xdr:row>
          <xdr:rowOff>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F00-00002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xdr:row>
          <xdr:rowOff>0</xdr:rowOff>
        </xdr:from>
        <xdr:to>
          <xdr:col>13</xdr:col>
          <xdr:colOff>257175</xdr:colOff>
          <xdr:row>3</xdr:row>
          <xdr:rowOff>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F00-00002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xdr:row>
          <xdr:rowOff>0</xdr:rowOff>
        </xdr:from>
        <xdr:to>
          <xdr:col>13</xdr:col>
          <xdr:colOff>257175</xdr:colOff>
          <xdr:row>4</xdr:row>
          <xdr:rowOff>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F00-00002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xdr:row>
          <xdr:rowOff>0</xdr:rowOff>
        </xdr:from>
        <xdr:to>
          <xdr:col>13</xdr:col>
          <xdr:colOff>257175</xdr:colOff>
          <xdr:row>5</xdr:row>
          <xdr:rowOff>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F00-00002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xdr:row>
          <xdr:rowOff>0</xdr:rowOff>
        </xdr:from>
        <xdr:to>
          <xdr:col>13</xdr:col>
          <xdr:colOff>257175</xdr:colOff>
          <xdr:row>6</xdr:row>
          <xdr:rowOff>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F00-00002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xdr:row>
          <xdr:rowOff>0</xdr:rowOff>
        </xdr:from>
        <xdr:to>
          <xdr:col>14</xdr:col>
          <xdr:colOff>257175</xdr:colOff>
          <xdr:row>2</xdr:row>
          <xdr:rowOff>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F00-00002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xdr:row>
          <xdr:rowOff>0</xdr:rowOff>
        </xdr:from>
        <xdr:to>
          <xdr:col>14</xdr:col>
          <xdr:colOff>257175</xdr:colOff>
          <xdr:row>3</xdr:row>
          <xdr:rowOff>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F00-00002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0</xdr:rowOff>
        </xdr:from>
        <xdr:to>
          <xdr:col>14</xdr:col>
          <xdr:colOff>257175</xdr:colOff>
          <xdr:row>4</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F00-00002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xdr:row>
          <xdr:rowOff>0</xdr:rowOff>
        </xdr:from>
        <xdr:to>
          <xdr:col>14</xdr:col>
          <xdr:colOff>257175</xdr:colOff>
          <xdr:row>5</xdr:row>
          <xdr:rowOff>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F00-00002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14</xdr:col>
          <xdr:colOff>257175</xdr:colOff>
          <xdr:row>6</xdr:row>
          <xdr:rowOff>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F00-00002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15</xdr:col>
          <xdr:colOff>257175</xdr:colOff>
          <xdr:row>2</xdr:row>
          <xdr:rowOff>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F00-00002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xdr:row>
          <xdr:rowOff>0</xdr:rowOff>
        </xdr:from>
        <xdr:to>
          <xdr:col>15</xdr:col>
          <xdr:colOff>257175</xdr:colOff>
          <xdr:row>3</xdr:row>
          <xdr:rowOff>0</xdr:rowOff>
        </xdr:to>
        <xdr:sp macro="" textlink="">
          <xdr:nvSpPr>
            <xdr:cNvPr id="5166" name="Check Box 46" hidden="1">
              <a:extLst>
                <a:ext uri="{63B3BB69-23CF-44E3-9099-C40C66FF867C}">
                  <a14:compatExt spid="_x0000_s5166"/>
                </a:ext>
                <a:ext uri="{FF2B5EF4-FFF2-40B4-BE49-F238E27FC236}">
                  <a16:creationId xmlns:a16="http://schemas.microsoft.com/office/drawing/2014/main" id="{00000000-0008-0000-0F00-00002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xdr:row>
          <xdr:rowOff>0</xdr:rowOff>
        </xdr:from>
        <xdr:to>
          <xdr:col>15</xdr:col>
          <xdr:colOff>257175</xdr:colOff>
          <xdr:row>4</xdr:row>
          <xdr:rowOff>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F00-00002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0</xdr:rowOff>
        </xdr:from>
        <xdr:to>
          <xdr:col>15</xdr:col>
          <xdr:colOff>257175</xdr:colOff>
          <xdr:row>5</xdr:row>
          <xdr:rowOff>0</xdr:rowOff>
        </xdr:to>
        <xdr:sp macro="" textlink="">
          <xdr:nvSpPr>
            <xdr:cNvPr id="5168" name="Check Box 48" hidden="1">
              <a:extLst>
                <a:ext uri="{63B3BB69-23CF-44E3-9099-C40C66FF867C}">
                  <a14:compatExt spid="_x0000_s5168"/>
                </a:ext>
                <a:ext uri="{FF2B5EF4-FFF2-40B4-BE49-F238E27FC236}">
                  <a16:creationId xmlns:a16="http://schemas.microsoft.com/office/drawing/2014/main" id="{00000000-0008-0000-0F00-00003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xdr:row>
          <xdr:rowOff>0</xdr:rowOff>
        </xdr:from>
        <xdr:to>
          <xdr:col>15</xdr:col>
          <xdr:colOff>257175</xdr:colOff>
          <xdr:row>6</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F00-00003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xdr:row>
          <xdr:rowOff>0</xdr:rowOff>
        </xdr:from>
        <xdr:to>
          <xdr:col>16</xdr:col>
          <xdr:colOff>257175</xdr:colOff>
          <xdr:row>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F00-00003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xdr:row>
          <xdr:rowOff>0</xdr:rowOff>
        </xdr:from>
        <xdr:to>
          <xdr:col>16</xdr:col>
          <xdr:colOff>257175</xdr:colOff>
          <xdr:row>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F00-00003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3</xdr:row>
          <xdr:rowOff>0</xdr:rowOff>
        </xdr:from>
        <xdr:to>
          <xdr:col>16</xdr:col>
          <xdr:colOff>257175</xdr:colOff>
          <xdr:row>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F00-00003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4</xdr:row>
          <xdr:rowOff>0</xdr:rowOff>
        </xdr:from>
        <xdr:to>
          <xdr:col>16</xdr:col>
          <xdr:colOff>257175</xdr:colOff>
          <xdr:row>5</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F00-00003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5</xdr:row>
          <xdr:rowOff>0</xdr:rowOff>
        </xdr:from>
        <xdr:to>
          <xdr:col>16</xdr:col>
          <xdr:colOff>257175</xdr:colOff>
          <xdr:row>6</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F00-00003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xdr:row>
          <xdr:rowOff>0</xdr:rowOff>
        </xdr:from>
        <xdr:to>
          <xdr:col>17</xdr:col>
          <xdr:colOff>257175</xdr:colOff>
          <xdr:row>2</xdr:row>
          <xdr:rowOff>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F00-00003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xdr:row>
          <xdr:rowOff>0</xdr:rowOff>
        </xdr:from>
        <xdr:to>
          <xdr:col>17</xdr:col>
          <xdr:colOff>257175</xdr:colOff>
          <xdr:row>3</xdr:row>
          <xdr:rowOff>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F00-00003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361950</xdr:colOff>
      <xdr:row>58</xdr:row>
      <xdr:rowOff>123825</xdr:rowOff>
    </xdr:from>
    <xdr:to>
      <xdr:col>6</xdr:col>
      <xdr:colOff>809625</xdr:colOff>
      <xdr:row>58</xdr:row>
      <xdr:rowOff>123825</xdr:rowOff>
    </xdr:to>
    <xdr:sp macro="" textlink="">
      <xdr:nvSpPr>
        <xdr:cNvPr id="1038" name="Line 14">
          <a:extLst>
            <a:ext uri="{FF2B5EF4-FFF2-40B4-BE49-F238E27FC236}">
              <a16:creationId xmlns:a16="http://schemas.microsoft.com/office/drawing/2014/main" id="{00000000-0008-0000-1000-00000E040000}"/>
            </a:ext>
          </a:extLst>
        </xdr:cNvPr>
        <xdr:cNvSpPr>
          <a:spLocks noChangeShapeType="1"/>
        </xdr:cNvSpPr>
      </xdr:nvSpPr>
      <xdr:spPr bwMode="auto">
        <a:xfrm>
          <a:off x="5638800" y="12487275"/>
          <a:ext cx="447675" cy="0"/>
        </a:xfrm>
        <a:prstGeom prst="line">
          <a:avLst/>
        </a:prstGeom>
        <a:noFill/>
        <a:ln w="9525">
          <a:solidFill>
            <a:srgbClr val="000000"/>
          </a:solidFill>
          <a:round/>
          <a:headEnd/>
          <a:tailEnd type="triangle" w="med" len="med"/>
        </a:ln>
      </xdr:spPr>
    </xdr:sp>
    <xdr:clientData/>
  </xdr:twoCellAnchor>
  <mc:AlternateContent xmlns:mc="http://schemas.openxmlformats.org/markup-compatibility/2006">
    <mc:Choice xmlns:a14="http://schemas.microsoft.com/office/drawing/2010/main" Requires="a14">
      <xdr:twoCellAnchor>
        <xdr:from>
          <xdr:col>10</xdr:col>
          <xdr:colOff>0</xdr:colOff>
          <xdr:row>12</xdr:row>
          <xdr:rowOff>0</xdr:rowOff>
        </xdr:from>
        <xdr:to>
          <xdr:col>12</xdr:col>
          <xdr:colOff>0</xdr:colOff>
          <xdr:row>13</xdr:row>
          <xdr:rowOff>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Hours</a:t>
              </a:r>
            </a:p>
          </xdr:txBody>
        </xdr:sp>
        <xdr:clientData fPrintsWithSheet="0"/>
      </xdr:twoCellAnchor>
    </mc:Choice>
    <mc:Fallback/>
  </mc:AlternateContent>
  <xdr:twoCellAnchor editAs="oneCell">
    <xdr:from>
      <xdr:col>0</xdr:col>
      <xdr:colOff>0</xdr:colOff>
      <xdr:row>0</xdr:row>
      <xdr:rowOff>0</xdr:rowOff>
    </xdr:from>
    <xdr:to>
      <xdr:col>4</xdr:col>
      <xdr:colOff>0</xdr:colOff>
      <xdr:row>3</xdr:row>
      <xdr:rowOff>28120</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0" y="0"/>
          <a:ext cx="3597088" cy="633238"/>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0</xdr:colOff>
          <xdr:row>46</xdr:row>
          <xdr:rowOff>0</xdr:rowOff>
        </xdr:from>
        <xdr:to>
          <xdr:col>12</xdr:col>
          <xdr:colOff>0</xdr:colOff>
          <xdr:row>47</xdr:row>
          <xdr:rowOff>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Hours</a:t>
              </a:r>
            </a:p>
          </xdr:txBody>
        </xdr:sp>
        <xdr:clientData fPrintsWithSheet="0"/>
      </xdr:twoCellAnchor>
    </mc:Choice>
    <mc:Fallback/>
  </mc:AlternateContent>
  <xdr:twoCellAnchor editAs="oneCell">
    <xdr:from>
      <xdr:col>0</xdr:col>
      <xdr:colOff>34521</xdr:colOff>
      <xdr:row>133</xdr:row>
      <xdr:rowOff>0</xdr:rowOff>
    </xdr:from>
    <xdr:to>
      <xdr:col>8</xdr:col>
      <xdr:colOff>0</xdr:colOff>
      <xdr:row>219</xdr:row>
      <xdr:rowOff>134470</xdr:rowOff>
    </xdr:to>
    <xdr:pic>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34521" y="34267588"/>
          <a:ext cx="7832008" cy="1362635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112059</xdr:rowOff>
    </xdr:from>
    <xdr:to>
      <xdr:col>2</xdr:col>
      <xdr:colOff>699402</xdr:colOff>
      <xdr:row>1</xdr:row>
      <xdr:rowOff>257735</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0" y="112059"/>
          <a:ext cx="1909637" cy="3361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819150</xdr:colOff>
          <xdr:row>9</xdr:row>
          <xdr:rowOff>266700</xdr:rowOff>
        </xdr:to>
        <xdr:sp macro="" textlink="">
          <xdr:nvSpPr>
            <xdr:cNvPr id="4099" name="Option Button 3" hidden="1">
              <a:extLst>
                <a:ext uri="{63B3BB69-23CF-44E3-9099-C40C66FF867C}">
                  <a14:compatExt spid="_x0000_s4099"/>
                </a:ext>
                <a:ext uri="{FF2B5EF4-FFF2-40B4-BE49-F238E27FC236}">
                  <a16:creationId xmlns:a16="http://schemas.microsoft.com/office/drawing/2014/main" id="{00000000-0008-0000-13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xdr:row>
          <xdr:rowOff>0</xdr:rowOff>
        </xdr:from>
        <xdr:to>
          <xdr:col>2</xdr:col>
          <xdr:colOff>819150</xdr:colOff>
          <xdr:row>9</xdr:row>
          <xdr:rowOff>266700</xdr:rowOff>
        </xdr:to>
        <xdr:sp macro="" textlink="">
          <xdr:nvSpPr>
            <xdr:cNvPr id="4100" name="Option Button 4" hidden="1">
              <a:extLst>
                <a:ext uri="{63B3BB69-23CF-44E3-9099-C40C66FF867C}">
                  <a14:compatExt spid="_x0000_s4100"/>
                </a:ext>
                <a:ext uri="{FF2B5EF4-FFF2-40B4-BE49-F238E27FC236}">
                  <a16:creationId xmlns:a16="http://schemas.microsoft.com/office/drawing/2014/main" id="{00000000-0008-0000-13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3</xdr:col>
          <xdr:colOff>0</xdr:colOff>
          <xdr:row>10</xdr:row>
          <xdr:rowOff>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id="{00000000-0008-0000-13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2</xdr:col>
          <xdr:colOff>0</xdr:colOff>
          <xdr:row>17</xdr:row>
          <xdr:rowOff>0</xdr:rowOff>
        </xdr:to>
        <xdr:sp macro="" textlink="">
          <xdr:nvSpPr>
            <xdr:cNvPr id="4102" name="Group Box 6" hidden="1">
              <a:extLst>
                <a:ext uri="{63B3BB69-23CF-44E3-9099-C40C66FF867C}">
                  <a14:compatExt spid="_x0000_s4102"/>
                </a:ext>
                <a:ext uri="{FF2B5EF4-FFF2-40B4-BE49-F238E27FC236}">
                  <a16:creationId xmlns:a16="http://schemas.microsoft.com/office/drawing/2014/main" id="{00000000-0008-0000-1300-000006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15</xdr:row>
          <xdr:rowOff>47625</xdr:rowOff>
        </xdr:from>
        <xdr:to>
          <xdr:col>1</xdr:col>
          <xdr:colOff>76200</xdr:colOff>
          <xdr:row>15</xdr:row>
          <xdr:rowOff>266700</xdr:rowOff>
        </xdr:to>
        <xdr:sp macro="" textlink="">
          <xdr:nvSpPr>
            <xdr:cNvPr id="4104" name="Option Button 8" hidden="1">
              <a:extLst>
                <a:ext uri="{63B3BB69-23CF-44E3-9099-C40C66FF867C}">
                  <a14:compatExt spid="_x0000_s4104"/>
                </a:ext>
                <a:ext uri="{FF2B5EF4-FFF2-40B4-BE49-F238E27FC236}">
                  <a16:creationId xmlns:a16="http://schemas.microsoft.com/office/drawing/2014/main" id="{00000000-0008-0000-13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16</xdr:row>
          <xdr:rowOff>47625</xdr:rowOff>
        </xdr:from>
        <xdr:to>
          <xdr:col>1</xdr:col>
          <xdr:colOff>76200</xdr:colOff>
          <xdr:row>16</xdr:row>
          <xdr:rowOff>266700</xdr:rowOff>
        </xdr:to>
        <xdr:sp macro="" textlink="">
          <xdr:nvSpPr>
            <xdr:cNvPr id="4106" name="Option Button 10" hidden="1">
              <a:extLst>
                <a:ext uri="{63B3BB69-23CF-44E3-9099-C40C66FF867C}">
                  <a14:compatExt spid="_x0000_s4106"/>
                </a:ext>
                <a:ext uri="{FF2B5EF4-FFF2-40B4-BE49-F238E27FC236}">
                  <a16:creationId xmlns:a16="http://schemas.microsoft.com/office/drawing/2014/main" id="{00000000-0008-0000-13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0</xdr:rowOff>
        </xdr:from>
        <xdr:to>
          <xdr:col>13</xdr:col>
          <xdr:colOff>0</xdr:colOff>
          <xdr:row>7</xdr:row>
          <xdr:rowOff>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1300-00000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Up Booking</a:t>
              </a:r>
            </a:p>
            <a:p>
              <a:pPr algn="ctr" rtl="0">
                <a:defRPr sz="1000"/>
              </a:pPr>
              <a:r>
                <a:rPr lang="en-US" sz="1000" b="0" i="0" u="none" strike="noStrike" baseline="0">
                  <a:solidFill>
                    <a:srgbClr val="000000"/>
                  </a:solidFill>
                  <a:latin typeface="Arial"/>
                  <a:cs typeface="Arial"/>
                </a:rPr>
                <a:t>Phase Codes</a:t>
              </a:r>
            </a:p>
          </xdr:txBody>
        </xdr:sp>
        <xdr:clientData fPrintsWithSheet="0"/>
      </xdr:twoCellAnchor>
    </mc:Choice>
    <mc:Fallback/>
  </mc:AlternateContent>
  <xdr:twoCellAnchor editAs="oneCell">
    <xdr:from>
      <xdr:col>6</xdr:col>
      <xdr:colOff>340424</xdr:colOff>
      <xdr:row>0</xdr:row>
      <xdr:rowOff>0</xdr:rowOff>
    </xdr:from>
    <xdr:to>
      <xdr:col>9</xdr:col>
      <xdr:colOff>1360</xdr:colOff>
      <xdr:row>1</xdr:row>
      <xdr:rowOff>47625</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6179249" y="0"/>
          <a:ext cx="2326576" cy="40957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aron Vanrheen" refreshedDate="45968.283454745368" createdVersion="3" refreshedVersion="8" minRefreshableVersion="3" recordCount="1" xr:uid="{00000000-000A-0000-FFFF-FFFF1B000000}">
  <cacheSource type="worksheet">
    <worksheetSource name="QP_SM_Audit_Trail"/>
  </cacheSource>
  <cacheFields count="15">
    <cacheField name="Floor" numFmtId="0">
      <sharedItems containsNonDate="0" containsBlank="1" count="11">
        <m/>
        <s v="3rd Floor" u="1"/>
        <s v="1st Floor" u="1"/>
        <s v="Roof" u="1"/>
        <s v="Basement" u="1"/>
        <s v="N/A" u="1"/>
        <s v="2nd Floor" u="1"/>
        <s v="4th Floor" u="1"/>
        <s v="Parking3" u="1"/>
        <s v="9th Floor" u="1"/>
        <s v="Mezzanine" u="1"/>
      </sharedItems>
    </cacheField>
    <cacheField name="Service Type" numFmtId="0">
      <sharedItems containsNonDate="0" containsBlank="1" count="14">
        <m/>
        <s v="FA 4 WG" u="1"/>
        <s v="OA 2 WG" u="1"/>
        <s v="RA 4 WG" u="1"/>
        <s v="FA 2 WG" u="1"/>
        <s v="N/A" u="1"/>
        <s v="SS LP" u="1"/>
        <s v="RA 1 WG" u="1"/>
        <s v="Black Iron 16ga Welded" u="1"/>
        <s v="SA 4 WG" u="1"/>
        <s v="EA 4 WG" u="1"/>
        <s v="Alum 2 WG" u="1"/>
        <s v="EA 2 WG" u="1"/>
        <s v="SA 1 WG" u="1"/>
      </sharedItems>
    </cacheField>
    <cacheField name="Material" numFmtId="0">
      <sharedItems containsNonDate="0" containsBlank="1" count="6">
        <m/>
        <s v="N/A" u="1"/>
        <s v="3042bStainless" u="1"/>
        <s v="GALV" u="1"/>
        <s v="Black Iron" u="1"/>
        <s v="Alum" u="1"/>
      </sharedItems>
    </cacheField>
    <cacheField name="Shape" numFmtId="0">
      <sharedItems containsNonDate="0" containsBlank="1" count="29">
        <m/>
        <s v="AngleIron" u="1"/>
        <s v="Rectangular" u="1"/>
        <s v="Flex Duct" u="1"/>
        <s v="Round" u="1"/>
        <s v="Louver" u="1"/>
        <s v="HeatingUnits" u="1"/>
        <s v="Access Door" u="1"/>
        <s v="Rect-Round" u="1"/>
        <s v="Soundtraps" u="1"/>
        <s v="Exhaust Fan" u="1"/>
        <s v="Coils" u="1"/>
        <s v="Rectangular Duct" u="1"/>
        <s v="N/A" u="1"/>
        <s v="Hanger" u="1"/>
        <s v="Round-Rect" u="1"/>
        <s v="Canvas Connector" u="1"/>
        <s v="AHU" u="1"/>
        <s v="Oval-Round" u="1"/>
        <s v="Fire Smoke Damper" u="1"/>
        <s v="B-VentPipeandFittings" u="1"/>
        <s v="Oval" u="1"/>
        <s v="VAV" u="1"/>
        <s v="Air Device" u="1"/>
        <s v="Round-Oval" u="1"/>
        <s v="Control Damper" u="1"/>
        <s v="BirdScreen" u="1"/>
        <s v="Round Duct" u="1"/>
        <s v="Demolition" u="1"/>
      </sharedItems>
    </cacheField>
    <cacheField name="Cut Type" numFmtId="44">
      <sharedItems containsNonDate="0" containsBlank="1" count="31">
        <m/>
        <s v="Equipment" u="1"/>
        <s v="Connectors" u="1"/>
        <s v="Flex Duct" u="1"/>
        <s v="Housing DoubleWall" u="1"/>
        <s v="Housing-DoubleWall" u="1"/>
        <s v="Miscellaneous" u="1"/>
        <s v="Turn Vanes" u="1"/>
        <s v="Reinforcement" u="1"/>
        <s v="AirDistribution" u="1"/>
        <s v="Sealer" u="1"/>
        <s v="Duct Accessory" u="1"/>
        <s v="Rectangular Duct" u="1"/>
        <s v="N/A" u="1"/>
        <s v="Hanger" u="1"/>
        <s v="Misc" u="1"/>
        <s v="Welds" u="1"/>
        <s v="Spin-Ins" u="1"/>
        <s v="Decoiled Straight" u="1"/>
        <s v="MiscellaneousSteel" u="1"/>
        <s v="DuctAccessory" u="1"/>
        <s v="Wrap" u="1"/>
        <s v="Sleeve" u="1"/>
        <s v="Flex Connector" u="1"/>
        <s v="Hydronic" u="1"/>
        <s v="Air Device" u="1"/>
        <s v="PlenumandHousingDoors" u="1"/>
        <s v="Machine Cut" u="1"/>
        <s v="FlexDuct" u="1"/>
        <s v="Round Duct" u="1"/>
        <s v="Liner" u="1"/>
      </sharedItems>
    </cacheField>
    <cacheField name="Labor Type" numFmtId="44">
      <sharedItems containsNonDate="0" containsBlank="1" count="5">
        <m/>
        <s v="Equipment" u="1"/>
        <s v="N/A" u="1"/>
        <s v="Field" u="1"/>
        <s v="Shop" u="1"/>
      </sharedItems>
    </cacheField>
    <cacheField name="Material Cost" numFmtId="165">
      <sharedItems containsNonDate="0" containsString="0" containsBlank="1"/>
    </cacheField>
    <cacheField name="Base Labor Cost" numFmtId="44">
      <sharedItems containsNonDate="0" containsString="0" containsBlank="1"/>
    </cacheField>
    <cacheField name="Fringe Cost" numFmtId="0">
      <sharedItems containsNonDate="0" containsString="0" containsBlank="1"/>
    </cacheField>
    <cacheField name="Labor Hours" numFmtId="2">
      <sharedItems containsNonDate="0" containsString="0" containsBlank="1"/>
    </cacheField>
    <cacheField name="$/hr" numFmtId="165">
      <sharedItems containsNonDate="0" containsString="0" containsBlank="1"/>
    </cacheField>
    <cacheField name="Weight" numFmtId="0">
      <sharedItems containsNonDate="0" containsString="0" containsBlank="1"/>
    </cacheField>
    <cacheField name="Length" numFmtId="0">
      <sharedItems containsNonDate="0" containsString="0" containsBlank="1"/>
    </cacheField>
    <cacheField name="Area" numFmtId="0">
      <sharedItems containsNonDate="0" containsString="0" containsBlank="1"/>
    </cacheField>
    <cacheField name="Qty" numFmtId="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aron Vanrheen" refreshedDate="45968.283454976852" createdVersion="3" refreshedVersion="8" minRefreshableVersion="3" recordCount="1" xr:uid="{00000000-000A-0000-FFFF-FFFF0B000000}">
  <cacheSource type="worksheet">
    <worksheetSource name="SMAuditTrail"/>
  </cacheSource>
  <cacheFields count="35">
    <cacheField name="Drawing" numFmtId="0">
      <sharedItems containsNonDate="0" containsString="0" containsBlank="1"/>
    </cacheField>
    <cacheField name="Section" numFmtId="0">
      <sharedItems containsNonDate="0" containsBlank="1" count="29">
        <m/>
        <s v="Level 1" u="1"/>
        <s v="L1 W of Grid 2" u="1"/>
        <s v="Level 2" u="1"/>
        <s v="L2" u="1"/>
        <s v="Roof" u="1"/>
        <s v="L4 N Offices" u="1"/>
        <s v="Demo and add new TU's" u="1"/>
        <s v="2nd Floor Demo and New" u="1"/>
        <s v="Basement" u="1"/>
        <s v="L4" u="1"/>
        <s v="Level 3" u="1"/>
        <s v="Level 4" u="1"/>
        <s v="Level 5" u="1"/>
        <s v="Level 6" u="1"/>
        <s v="Existing" u="1"/>
        <s v="Price 1" u="1"/>
        <s v="None" u="1"/>
        <s v="Set Roof Equipment" u="1"/>
        <s v="L1" u="1"/>
        <s v="SA and RA Roof Duct" u="1"/>
        <s v="L3" u="1"/>
        <s v="Roof Duct" u="1"/>
        <s v="L5" u="1"/>
        <s v="*[9-0764_Linus Pauling]L1 E of Grid 2*" u="1"/>
        <s v="AHU 12 and 13 shaft Ducts and FSD" u="1"/>
        <s v="Lower Mech Room" u="1"/>
        <s v="Mech Room Demo and New" u="1"/>
        <s v="Upper Mech Room" u="1"/>
      </sharedItems>
    </cacheField>
    <cacheField name="Zone" numFmtId="0">
      <sharedItems containsNonDate="0" containsString="0" containsBlank="1"/>
    </cacheField>
    <cacheField name="Service" numFmtId="0">
      <sharedItems containsNonDate="0" containsBlank="1" count="48">
        <m/>
        <s v="Galv SA 4 WG" u="1"/>
        <s v="12 EA_Biosafety Cabinet or Fume Hood to TU" u="1"/>
        <s v="6 Relief Air" u="1"/>
        <s v="Galv EA 2 WG" u="1"/>
        <s v="Stainless EA 2 WG" u="1"/>
        <s v="Galv FA 2 WG" u="1"/>
        <s v="18 Transfer Air" u="1"/>
        <s v="SA (2in wg)" u="1"/>
        <s v="Prov Galv SA 6 WG" u="1"/>
        <s v="EA (2in wg)" u="1"/>
        <s v="21 EA_Stacks" u="1"/>
        <s v="7 EA_AHU 1-4 Gen Exh from TU's to AHU's" u="1"/>
        <s v="9 RA_All Return from Control Dampers through Shafts and from AHU to Return Fans" u="1"/>
        <s v="Stainless_EA 18ga Welded" u="1"/>
        <s v="16 SA_Shaft to TU's or Coil" u="1"/>
        <s v="RA -2" u="1"/>
        <s v="Com Galv SA +4wg" u="1"/>
        <s v="10 EA_EF 5-6 Mains to Fans" u="1"/>
        <s v="14 SA_Tu's or Coils to Diffusers" u="1"/>
        <s v="Alum EA 2 WG" u="1"/>
        <s v="Galv EA 4 WG" u="1"/>
        <s v="3 EA_EF 5-6 Grilles to Main" u="1"/>
        <s v="GD (16ga) 1/2in-1in Flange" u="1"/>
        <s v="2 RA_Upstream CD to Plenum Ceiling" u="1"/>
        <s v="EA (2in wg)Aluminum" u="1"/>
        <s v="Com Galv EA -2wg" u="1"/>
        <s v="None" u="1"/>
        <s v="Galv RA 2 WG" u="1"/>
        <s v="13 EA_Cage Wash" u="1"/>
        <s v="SA +4" u="1"/>
        <s v="Galv SA 2 WG" u="1"/>
        <s v="5 EA_EF 10 All Duct" u="1"/>
        <s v="1 EA_Duct from TU's to Terminations" u="1"/>
        <s v="Stainless SA 2 WG" u="1"/>
        <s v="11 EA_AHU 1-4 Tu's to AHU's from 2nd Floor ONLY" u="1"/>
        <s v="15 Outside Air" u="1"/>
        <s v="Com Galv RA -2wg" u="1"/>
        <s v="1 RA_Exh Plen to AHU" u="1"/>
        <s v="17 SA_AHU's through Shafts" u="1"/>
        <s v="GD (16ga)" u="1"/>
        <s v="8 EA_EF 7-8 Shaft to Fan" u="1"/>
        <s v="19 EA_All EF 9 Duct" u="1"/>
        <s v="EA FRP" u="1"/>
        <s v="EA_Standard" u="1"/>
        <s v="Galv SA 1 WG" u="1"/>
        <s v="4 EA_EF 7-8 Grilles to Shaft" u="1"/>
        <s v="Com Galv SA +2wg" u="1"/>
      </sharedItems>
    </cacheField>
    <cacheField name="Service Type" numFmtId="0">
      <sharedItems containsNonDate="0" containsBlank="1" count="17">
        <m/>
        <s v="Equipment" u="1"/>
        <s v="Flex Duct" u="1"/>
        <s v="Access Door" u="1"/>
        <s v="Oval Duct" u="1"/>
        <s v="Exhaust Fan" u="1"/>
        <s v="Duct Accessory" u="1"/>
        <s v="Rectangular Duct" u="1"/>
        <s v="Hanger" u="1"/>
        <s v="AHU" u="1"/>
        <s v="Fire Smoke Damper" u="1"/>
        <s v="VAV" u="1"/>
        <s v="Air Device" u="1"/>
        <s v="Damper" u="1"/>
        <s v="Control Damper" u="1"/>
        <s v="Round Duct" u="1"/>
        <s v="Fire Damper" u="1"/>
      </sharedItems>
    </cacheField>
    <cacheField name="Description" numFmtId="0">
      <sharedItems containsNonDate="0" containsString="0" containsBlank="1"/>
    </cacheField>
    <cacheField name="Alias" numFmtId="0">
      <sharedItems containsNonDate="0" containsString="0" containsBlank="1"/>
    </cacheField>
    <cacheField name="Qty" numFmtId="0">
      <sharedItems containsNonDate="0" containsString="0" containsBlank="1"/>
    </cacheField>
    <cacheField name="Specification" numFmtId="0">
      <sharedItems containsNonDate="0" containsString="0" containsBlank="1"/>
    </cacheField>
    <cacheField name="Cut Type" numFmtId="0">
      <sharedItems containsNonDate="0" containsBlank="1" count="9">
        <m/>
        <s v="Decoiled Straight" u="1"/>
        <s v="Draw Only" u="1"/>
        <s v="Equipment" u="1"/>
        <s v="Oval Straight" u="1"/>
        <s v="Sheared" u="1"/>
        <s v="Pipework" u="1"/>
        <s v="Machine Cut" u="1"/>
        <s v="Spiral Straight" u="1"/>
      </sharedItems>
    </cacheField>
    <cacheField name="Bought Out" numFmtId="0">
      <sharedItems containsNonDate="0" containsBlank="1" count="3">
        <m/>
        <s v="No" u="1"/>
        <s v="Yes" u="1"/>
      </sharedItems>
    </cacheField>
    <cacheField name="Length" numFmtId="0">
      <sharedItems containsNonDate="0" containsString="0" containsBlank="1"/>
    </cacheField>
    <cacheField name="Material" numFmtId="0">
      <sharedItems containsNonDate="0" containsBlank="1" count="6">
        <m/>
        <s v="GALV" u="1"/>
        <s v="FRP" u="1"/>
        <s v="SS 304 2B" u="1"/>
        <s v="EM SS 1/2x1" u="1"/>
        <s v="BLK" u="1"/>
      </sharedItems>
    </cacheField>
    <cacheField name="Gauge" numFmtId="2">
      <sharedItems containsNonDate="0" containsString="0" containsBlank="1"/>
    </cacheField>
    <cacheField name="M-Rate" numFmtId="2">
      <sharedItems containsNonDate="0" containsString="0" containsBlank="1"/>
    </cacheField>
    <cacheField name="Fab time" numFmtId="2">
      <sharedItems containsNonDate="0" containsString="0" containsBlank="1"/>
    </cacheField>
    <cacheField name="Install time" numFmtId="0">
      <sharedItems containsNonDate="0" containsString="0" containsBlank="1"/>
    </cacheField>
    <cacheField name="Insulation" numFmtId="0">
      <sharedItems containsNonDate="0" containsString="0" containsBlank="1"/>
    </cacheField>
    <cacheField name="Insul Material" numFmtId="0">
      <sharedItems containsNonDate="0" containsString="0" containsBlank="1"/>
    </cacheField>
    <cacheField name="Insul Thickness" numFmtId="0">
      <sharedItems containsNonDate="0" containsString="0" containsBlank="1"/>
    </cacheField>
    <cacheField name="Liner Area" numFmtId="2">
      <sharedItems containsNonDate="0" containsString="0" containsBlank="1"/>
    </cacheField>
    <cacheField name="Liner Cost" numFmtId="2">
      <sharedItems containsNonDate="0" containsString="0" containsBlank="1"/>
    </cacheField>
    <cacheField name="Ext Wrap Area" numFmtId="0">
      <sharedItems containsNonDate="0" containsString="0" containsBlank="1"/>
    </cacheField>
    <cacheField name="Ext Wrap Cost" numFmtId="0">
      <sharedItems containsNonDate="0" containsString="0" containsBlank="1"/>
    </cacheField>
    <cacheField name="Insul Fab time" numFmtId="0">
      <sharedItems containsNonDate="0" containsString="0" containsBlank="1"/>
    </cacheField>
    <cacheField name="Required Date" numFmtId="1">
      <sharedItems containsNonDate="0" containsString="0" containsBlank="1"/>
    </cacheField>
    <cacheField name="Job No" numFmtId="0">
      <sharedItems containsNonDate="0" containsString="0" containsBlank="1"/>
    </cacheField>
    <cacheField name="Date" numFmtId="14">
      <sharedItems containsNonDate="0" containsString="0" containsBlank="1"/>
    </cacheField>
    <cacheField name="Time" numFmtId="18">
      <sharedItems containsNonDate="0" containsString="0" containsBlank="1"/>
    </cacheField>
    <cacheField name="Estimate Tables" numFmtId="0">
      <sharedItems containsNonDate="0" containsString="0" containsBlank="1"/>
    </cacheField>
    <cacheField name="Fab Hours" numFmtId="0" formula="'Fab time'/60" databaseField="0"/>
    <cacheField name="Install Hours" numFmtId="0" formula="'Install time'/60" databaseField="0"/>
    <cacheField name="Insul Fab Hours" numFmtId="0" formula="'Insul Fab time'/60" databaseField="0"/>
    <cacheField name="Fab Hours No Insulation" numFmtId="0" formula="('Fab time'-'Insul Fab time') /60" databaseField="0"/>
    <cacheField name="Total Material Cost" numFmtId="0" formula="'M-Rate'-'Ext Wrap Cost'"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x v="0"/>
    <x v="0"/>
    <x v="0"/>
    <x v="0"/>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x v="0"/>
    <m/>
    <x v="0"/>
    <x v="0"/>
    <m/>
    <m/>
    <m/>
    <m/>
    <x v="0"/>
    <x v="0"/>
    <m/>
    <x v="0"/>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All Material" cacheId="1"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gridDropZones="1" multipleFieldFilters="0">
  <location ref="A6:K9" firstHeaderRow="1" firstDataRow="2" firstDataCol="5" rowPageCount="1" colPageCount="1"/>
  <pivotFields count="35">
    <pivotField compact="0" outline="0" showAll="0" defaultSubtotal="0"/>
    <pivotField axis="axisRow" compact="0" outline="0" showAll="0" includeNewItemsInFilter="1" sortType="ascending" defaultSubtotal="0">
      <items count="29">
        <item m="1" x="24"/>
        <item m="1" x="8"/>
        <item m="1" x="25"/>
        <item m="1" x="9"/>
        <item m="1" x="7"/>
        <item m="1" x="15"/>
        <item m="1" x="19"/>
        <item m="1" x="2"/>
        <item m="1" x="4"/>
        <item m="1" x="21"/>
        <item m="1" x="10"/>
        <item m="1" x="6"/>
        <item m="1" x="23"/>
        <item m="1" x="1"/>
        <item m="1" x="3"/>
        <item m="1" x="11"/>
        <item m="1" x="12"/>
        <item m="1" x="13"/>
        <item m="1" x="14"/>
        <item m="1" x="26"/>
        <item m="1" x="27"/>
        <item m="1" x="17"/>
        <item m="1" x="16"/>
        <item m="1" x="5"/>
        <item m="1" x="22"/>
        <item m="1" x="20"/>
        <item m="1" x="18"/>
        <item m="1" x="28"/>
        <item x="0"/>
      </items>
    </pivotField>
    <pivotField compact="0" outline="0" showAll="0" defaultSubtotal="0"/>
    <pivotField axis="axisRow" compact="0" outline="0" showAll="0" defaultSubtotal="0">
      <items count="48">
        <item m="1" x="33"/>
        <item m="1" x="38"/>
        <item m="1" x="18"/>
        <item m="1" x="35"/>
        <item m="1" x="2"/>
        <item m="1" x="29"/>
        <item m="1" x="19"/>
        <item m="1" x="36"/>
        <item m="1" x="15"/>
        <item m="1" x="39"/>
        <item m="1" x="7"/>
        <item m="1" x="42"/>
        <item m="1" x="24"/>
        <item m="1" x="11"/>
        <item m="1" x="22"/>
        <item m="1" x="46"/>
        <item m="1" x="32"/>
        <item m="1" x="3"/>
        <item m="1" x="12"/>
        <item m="1" x="41"/>
        <item m="1" x="13"/>
        <item m="1" x="44"/>
        <item m="1" x="27"/>
        <item x="0"/>
        <item m="1" x="28"/>
        <item m="1" x="1"/>
        <item m="1" x="5"/>
        <item m="1" x="31"/>
        <item m="1" x="20"/>
        <item m="1" x="4"/>
        <item m="1" x="25"/>
        <item m="1" x="10"/>
        <item m="1" x="23"/>
        <item m="1" x="8"/>
        <item m="1" x="14"/>
        <item m="1" x="21"/>
        <item m="1" x="6"/>
        <item m="1" x="40"/>
        <item m="1" x="43"/>
        <item m="1" x="9"/>
        <item m="1" x="45"/>
        <item m="1" x="47"/>
        <item m="1" x="34"/>
        <item m="1" x="37"/>
        <item m="1" x="16"/>
        <item m="1" x="17"/>
        <item m="1" x="30"/>
        <item m="1" x="26"/>
      </items>
    </pivotField>
    <pivotField axis="axisRow" compact="0" outline="0" showAll="0" includeNewItemsInFilter="1" defaultSubtotal="0">
      <items count="17">
        <item x="0"/>
        <item m="1" x="7"/>
        <item m="1" x="15"/>
        <item m="1" x="3"/>
        <item m="1" x="12"/>
        <item m="1" x="11"/>
        <item m="1" x="6"/>
        <item m="1" x="2"/>
        <item m="1" x="10"/>
        <item m="1" x="8"/>
        <item m="1" x="4"/>
        <item m="1" x="14"/>
        <item m="1" x="5"/>
        <item m="1" x="9"/>
        <item m="1" x="1"/>
        <item m="1" x="16"/>
        <item m="1" x="13"/>
      </items>
    </pivotField>
    <pivotField compact="0" outline="0" showAll="0"/>
    <pivotField compact="0" outline="0" showAll="0"/>
    <pivotField dataField="1" compact="0" outline="0" showAll="0" defaultSubtotal="0"/>
    <pivotField compact="0" outline="0" showAll="0" defaultSubtotal="0"/>
    <pivotField axis="axisRow" compact="0" outline="0" showAll="0" defaultSubtotal="0">
      <items count="9">
        <item x="0"/>
        <item m="1" x="7"/>
        <item m="1" x="3"/>
        <item m="1" x="8"/>
        <item m="1" x="1"/>
        <item m="1" x="5"/>
        <item m="1" x="6"/>
        <item m="1" x="4"/>
        <item m="1" x="2"/>
      </items>
    </pivotField>
    <pivotField axis="axisPage" compact="0" outline="0" showAll="0">
      <items count="4">
        <item x="0"/>
        <item m="1" x="1"/>
        <item m="1" x="2"/>
        <item t="default"/>
      </items>
    </pivotField>
    <pivotField compact="0" outline="0" showAll="0"/>
    <pivotField axis="axisRow" compact="0" outline="0" showAll="0" defaultSubtotal="0">
      <items count="6">
        <item x="0"/>
        <item m="1" x="1"/>
        <item m="1" x="5"/>
        <item m="1" x="3"/>
        <item m="1" x="2"/>
        <item m="1" x="4"/>
      </items>
    </pivotField>
    <pivotField compact="0" outline="0" showAll="0"/>
    <pivotField compact="0" outline="0" showAll="0" defaultSubtotal="0"/>
    <pivotField compact="0" numFmtId="2" outline="0" showAll="0"/>
    <pivotField compact="0" numFmtId="2" outline="0" showAll="0"/>
    <pivotField compact="0" outline="0" showAll="0"/>
    <pivotField compact="0" outline="0" showAll="0"/>
    <pivotField compact="0" outline="0" showAll="0"/>
    <pivotField compact="0" outline="0" showAll="0" defaultSubtotal="0"/>
    <pivotField compact="0" outline="0" showAll="0" defaultSubtotal="0"/>
    <pivotField dataField="1" compact="0" outline="0" showAll="0" defaultSubtotal="0"/>
    <pivotField dataField="1" compact="0" outline="0" showAll="0" defaultSubtotal="0"/>
    <pivotField compact="0" numFmtId="2" outline="0" showAll="0"/>
    <pivotField compact="0" outline="0" showAll="0" defaultSubtotal="0"/>
    <pivotField compact="0" outline="0" showAll="0"/>
    <pivotField compact="0" outline="0" showAll="0" defaultSubtotal="0"/>
    <pivotField compact="0" outline="0" showAll="0" defaultSubtotal="0"/>
    <pivotField compact="0" outline="0" showAll="0" defaultSubtotal="0"/>
    <pivotField dataField="1" compact="0" outline="0" dragToRow="0" dragToCol="0" dragToPage="0" showAll="0" defaultSubtota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 dataField="1" compact="0" outline="0" dragToRow="0" dragToCol="0" dragToPage="0" showAll="0" defaultSubtotal="0"/>
  </pivotFields>
  <rowFields count="5">
    <field x="1"/>
    <field x="3"/>
    <field x="4"/>
    <field x="12"/>
    <field x="9"/>
  </rowFields>
  <rowItems count="2">
    <i>
      <x v="28"/>
      <x v="23"/>
      <x/>
      <x/>
      <x/>
    </i>
    <i t="grand">
      <x/>
    </i>
  </rowItems>
  <colFields count="1">
    <field x="-2"/>
  </colFields>
  <colItems count="6">
    <i>
      <x/>
    </i>
    <i i="1">
      <x v="1"/>
    </i>
    <i i="2">
      <x v="2"/>
    </i>
    <i i="3">
      <x v="3"/>
    </i>
    <i i="4">
      <x v="4"/>
    </i>
    <i i="5">
      <x v="5"/>
    </i>
  </colItems>
  <pageFields count="1">
    <pageField fld="10" hier="-1"/>
  </pageFields>
  <dataFields count="6">
    <dataField name="Sum of Qty" fld="7" baseField="0" baseItem="0"/>
    <dataField name="Sum of Install Hours" fld="31" baseField="0" baseItem="0" numFmtId="2"/>
    <dataField name="Sum of Fab Hours" fld="30" baseField="0" baseItem="0" numFmtId="2"/>
    <dataField name="Sum of Total Material Cost" fld="34" baseField="0" baseItem="0" numFmtId="2"/>
    <dataField name="Sum of Ext Wrap Area" fld="22" baseField="0" baseItem="0"/>
    <dataField name="Sum of Ext Wrap Cost" fld="23" baseField="0" baseItem="0"/>
  </dataFields>
  <formats count="1">
    <format dxfId="572">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QP Wrap"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V8:W10" firstHeaderRow="1" firstDataRow="2" firstDataCol="0" rowPageCount="1" colPageCount="1"/>
  <pivotFields count="15">
    <pivotField showAll="0"/>
    <pivotField showAll="0"/>
    <pivotField showAll="0"/>
    <pivotField showAll="0"/>
    <pivotField axis="axisPage" showAll="0">
      <items count="32">
        <item m="1" x="9"/>
        <item m="1" x="2"/>
        <item m="1" x="18"/>
        <item m="1" x="20"/>
        <item m="1" x="28"/>
        <item m="1" x="14"/>
        <item m="1" x="27"/>
        <item m="1" x="15"/>
        <item m="1" x="13"/>
        <item m="1" x="8"/>
        <item m="1" x="10"/>
        <item m="1" x="17"/>
        <item m="1" x="7"/>
        <item m="1" x="16"/>
        <item m="1" x="21"/>
        <item x="0"/>
        <item m="1" x="23"/>
        <item m="1" x="22"/>
        <item m="1" x="30"/>
        <item m="1" x="4"/>
        <item m="1" x="1"/>
        <item m="1" x="26"/>
        <item m="1" x="12"/>
        <item m="1" x="29"/>
        <item m="1" x="25"/>
        <item m="1" x="11"/>
        <item m="1" x="6"/>
        <item m="1" x="19"/>
        <item m="1" x="3"/>
        <item m="1" x="5"/>
        <item m="1" x="24"/>
        <item t="default"/>
      </items>
    </pivotField>
    <pivotField showAll="0"/>
    <pivotField dataField="1" showAll="0"/>
    <pivotField showAll="0"/>
    <pivotField showAll="0"/>
    <pivotField showAll="0"/>
    <pivotField showAll="0"/>
    <pivotField showAll="0"/>
    <pivotField showAll="0"/>
    <pivotField dataField="1" showAll="0"/>
    <pivotField showAll="0"/>
  </pivotFields>
  <rowItems count="1">
    <i/>
  </rowItems>
  <colFields count="1">
    <field x="-2"/>
  </colFields>
  <colItems count="2">
    <i>
      <x/>
    </i>
    <i i="1">
      <x v="1"/>
    </i>
  </colItems>
  <pageFields count="1">
    <pageField fld="4" item="15" hier="-1"/>
  </pageFields>
  <dataFields count="2">
    <dataField name="Sum of Material Cost" fld="6" baseField="0" baseItem="0"/>
    <dataField name="Sum of Area" fld="13"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QP All"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M6:T8" firstHeaderRow="1" firstDataRow="2" firstDataCol="5" rowPageCount="1" colPageCount="1"/>
  <pivotFields count="15">
    <pivotField axis="axisRow" outline="0" showAll="0" defaultSubtotal="0">
      <items count="11">
        <item m="1" x="9"/>
        <item x="0"/>
        <item m="1" x="5"/>
        <item m="1" x="7"/>
        <item m="1" x="1"/>
        <item m="1" x="6"/>
        <item m="1" x="2"/>
        <item m="1" x="3"/>
        <item m="1" x="4"/>
        <item m="1" x="10"/>
        <item m="1" x="8"/>
      </items>
    </pivotField>
    <pivotField axis="axisRow" outline="0" showAll="0" defaultSubtotal="0">
      <items count="14">
        <item m="1" x="12"/>
        <item m="1" x="7"/>
        <item m="1" x="13"/>
        <item m="1" x="9"/>
        <item x="0"/>
        <item m="1" x="5"/>
        <item m="1" x="10"/>
        <item m="1" x="6"/>
        <item m="1" x="1"/>
        <item m="1" x="2"/>
        <item m="1" x="4"/>
        <item m="1" x="3"/>
        <item m="1" x="11"/>
        <item m="1" x="8"/>
      </items>
    </pivotField>
    <pivotField axis="axisRow" outline="0" showAll="0" defaultSubtotal="0">
      <items count="6">
        <item m="1" x="5"/>
        <item m="1" x="3"/>
        <item x="0"/>
        <item m="1" x="1"/>
        <item m="1" x="2"/>
        <item m="1" x="4"/>
      </items>
    </pivotField>
    <pivotField axis="axisRow" outline="0" showAll="0" defaultSubtotal="0">
      <items count="29">
        <item m="1" x="13"/>
        <item m="1" x="2"/>
        <item m="1" x="8"/>
        <item m="1" x="4"/>
        <item m="1" x="15"/>
        <item x="0"/>
        <item m="1" x="21"/>
        <item m="1" x="24"/>
        <item m="1" x="18"/>
        <item m="1" x="12"/>
        <item m="1" x="27"/>
        <item m="1" x="14"/>
        <item m="1" x="17"/>
        <item m="1" x="22"/>
        <item m="1" x="23"/>
        <item m="1" x="19"/>
        <item m="1" x="25"/>
        <item m="1" x="28"/>
        <item m="1" x="16"/>
        <item m="1" x="7"/>
        <item m="1" x="1"/>
        <item m="1" x="26"/>
        <item m="1" x="20"/>
        <item m="1" x="10"/>
        <item m="1" x="6"/>
        <item m="1" x="3"/>
        <item m="1" x="9"/>
        <item m="1" x="11"/>
        <item m="1" x="5"/>
      </items>
    </pivotField>
    <pivotField axis="axisRow" outline="0" multipleItemSelectionAllowed="1" showAll="0" defaultSubtotal="0">
      <items count="31">
        <item m="1" x="9"/>
        <item m="1" x="2"/>
        <item m="1" x="18"/>
        <item m="1" x="20"/>
        <item m="1" x="28"/>
        <item m="1" x="14"/>
        <item m="1" x="27"/>
        <item m="1" x="15"/>
        <item m="1" x="13"/>
        <item m="1" x="8"/>
        <item m="1" x="10"/>
        <item m="1" x="17"/>
        <item m="1" x="7"/>
        <item m="1" x="16"/>
        <item h="1" m="1" x="21"/>
        <item x="0"/>
        <item m="1" x="23"/>
        <item m="1" x="22"/>
        <item m="1" x="30"/>
        <item m="1" x="4"/>
        <item m="1" x="1"/>
        <item m="1" x="26"/>
        <item m="1" x="12"/>
        <item m="1" x="29"/>
        <item m="1" x="25"/>
        <item m="1" x="11"/>
        <item m="1" x="6"/>
        <item m="1" x="19"/>
        <item m="1" x="3"/>
        <item m="1" x="5"/>
        <item m="1" x="24"/>
      </items>
    </pivotField>
    <pivotField axis="axisPage" multipleItemSelectionAllowed="1" showAll="0" defaultSubtotal="0">
      <items count="5">
        <item n="Field" m="1" x="3"/>
        <item m="1" x="4"/>
        <item h="1" x="0"/>
        <item h="1" m="1" x="2"/>
        <item m="1" x="1"/>
      </items>
    </pivotField>
    <pivotField dataField="1" numFmtId="44" showAll="0"/>
    <pivotField numFmtId="44" showAll="0"/>
    <pivotField showAll="0"/>
    <pivotField dataField="1" numFmtId="44" showAll="0"/>
    <pivotField showAll="0"/>
    <pivotField showAll="0"/>
    <pivotField showAll="0"/>
    <pivotField showAll="0"/>
    <pivotField dataField="1" numFmtId="2" showAll="0"/>
  </pivotFields>
  <rowFields count="5">
    <field x="0"/>
    <field x="1"/>
    <field x="2"/>
    <field x="3"/>
    <field x="4"/>
  </rowFields>
  <rowItems count="1">
    <i t="grand">
      <x/>
    </i>
  </rowItems>
  <colFields count="1">
    <field x="-2"/>
  </colFields>
  <colItems count="3">
    <i>
      <x/>
    </i>
    <i i="1">
      <x v="1"/>
    </i>
    <i i="2">
      <x v="2"/>
    </i>
  </colItems>
  <pageFields count="1">
    <pageField fld="5" hier="-1"/>
  </pageFields>
  <dataFields count="3">
    <dataField name="Sum of Material Cost" fld="6" baseField="0" baseItem="0"/>
    <dataField name="Sum of Labor Hours" fld="9" baseField="0" baseItem="0"/>
    <dataField name="Sum of Qty" fld="14"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18" Type="http://schemas.openxmlformats.org/officeDocument/2006/relationships/ctrlProp" Target="../ctrlProps/ctrlProp22.xml"/><Relationship Id="rId26" Type="http://schemas.openxmlformats.org/officeDocument/2006/relationships/ctrlProp" Target="../ctrlProps/ctrlProp30.xml"/><Relationship Id="rId3" Type="http://schemas.openxmlformats.org/officeDocument/2006/relationships/hyperlink" Target="mailto:hlatherow@arcticsheetmetal.com" TargetMode="External"/><Relationship Id="rId21" Type="http://schemas.openxmlformats.org/officeDocument/2006/relationships/ctrlProp" Target="../ctrlProps/ctrlProp25.x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trlProp" Target="../ctrlProps/ctrlProp21.xml"/><Relationship Id="rId25" Type="http://schemas.openxmlformats.org/officeDocument/2006/relationships/ctrlProp" Target="../ctrlProps/ctrlProp29.xml"/><Relationship Id="rId2" Type="http://schemas.openxmlformats.org/officeDocument/2006/relationships/hyperlink" Target="mailto:pkramer@arcticsheetmetal.com" TargetMode="External"/><Relationship Id="rId16" Type="http://schemas.openxmlformats.org/officeDocument/2006/relationships/ctrlProp" Target="../ctrlProps/ctrlProp20.xml"/><Relationship Id="rId20" Type="http://schemas.openxmlformats.org/officeDocument/2006/relationships/ctrlProp" Target="../ctrlProps/ctrlProp24.xml"/><Relationship Id="rId29" Type="http://schemas.openxmlformats.org/officeDocument/2006/relationships/ctrlProp" Target="../ctrlProps/ctrlProp33.xml"/><Relationship Id="rId1" Type="http://schemas.openxmlformats.org/officeDocument/2006/relationships/hyperlink" Target="mailto:afrazier@arcticsheetmetal.com" TargetMode="External"/><Relationship Id="rId6" Type="http://schemas.openxmlformats.org/officeDocument/2006/relationships/vmlDrawing" Target="../drawings/vmlDrawing4.vml"/><Relationship Id="rId11" Type="http://schemas.openxmlformats.org/officeDocument/2006/relationships/ctrlProp" Target="../ctrlProps/ctrlProp15.xml"/><Relationship Id="rId24" Type="http://schemas.openxmlformats.org/officeDocument/2006/relationships/ctrlProp" Target="../ctrlProps/ctrlProp28.xml"/><Relationship Id="rId5" Type="http://schemas.openxmlformats.org/officeDocument/2006/relationships/drawing" Target="../drawings/drawing3.xml"/><Relationship Id="rId15" Type="http://schemas.openxmlformats.org/officeDocument/2006/relationships/ctrlProp" Target="../ctrlProps/ctrlProp19.xml"/><Relationship Id="rId23" Type="http://schemas.openxmlformats.org/officeDocument/2006/relationships/ctrlProp" Target="../ctrlProps/ctrlProp27.xml"/><Relationship Id="rId28" Type="http://schemas.openxmlformats.org/officeDocument/2006/relationships/ctrlProp" Target="../ctrlProps/ctrlProp32.xml"/><Relationship Id="rId10" Type="http://schemas.openxmlformats.org/officeDocument/2006/relationships/ctrlProp" Target="../ctrlProps/ctrlProp14.xml"/><Relationship Id="rId19" Type="http://schemas.openxmlformats.org/officeDocument/2006/relationships/ctrlProp" Target="../ctrlProps/ctrlProp23.xml"/><Relationship Id="rId4" Type="http://schemas.openxmlformats.org/officeDocument/2006/relationships/printerSettings" Target="../printerSettings/printerSettings10.bin"/><Relationship Id="rId9" Type="http://schemas.openxmlformats.org/officeDocument/2006/relationships/ctrlProp" Target="../ctrlProps/ctrlProp13.xml"/><Relationship Id="rId14" Type="http://schemas.openxmlformats.org/officeDocument/2006/relationships/ctrlProp" Target="../ctrlProps/ctrlProp18.xml"/><Relationship Id="rId22" Type="http://schemas.openxmlformats.org/officeDocument/2006/relationships/ctrlProp" Target="../ctrlProps/ctrlProp26.xml"/><Relationship Id="rId27" Type="http://schemas.openxmlformats.org/officeDocument/2006/relationships/ctrlProp" Target="../ctrlProps/ctrlProp3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37.xml"/><Relationship Id="rId2" Type="http://schemas.openxmlformats.org/officeDocument/2006/relationships/drawing" Target="../drawings/drawing6.xml"/><Relationship Id="rId1" Type="http://schemas.openxmlformats.org/officeDocument/2006/relationships/printerSettings" Target="../printerSettings/printerSettings15.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18" Type="http://schemas.openxmlformats.org/officeDocument/2006/relationships/ctrlProp" Target="../ctrlProps/ctrlProp52.xml"/><Relationship Id="rId26" Type="http://schemas.openxmlformats.org/officeDocument/2006/relationships/ctrlProp" Target="../ctrlProps/ctrlProp60.xml"/><Relationship Id="rId39" Type="http://schemas.openxmlformats.org/officeDocument/2006/relationships/ctrlProp" Target="../ctrlProps/ctrlProp73.xml"/><Relationship Id="rId3" Type="http://schemas.openxmlformats.org/officeDocument/2006/relationships/vmlDrawing" Target="../drawings/vmlDrawing6.vml"/><Relationship Id="rId21" Type="http://schemas.openxmlformats.org/officeDocument/2006/relationships/ctrlProp" Target="../ctrlProps/ctrlProp55.xml"/><Relationship Id="rId34" Type="http://schemas.openxmlformats.org/officeDocument/2006/relationships/ctrlProp" Target="../ctrlProps/ctrlProp68.xml"/><Relationship Id="rId7" Type="http://schemas.openxmlformats.org/officeDocument/2006/relationships/ctrlProp" Target="../ctrlProps/ctrlProp41.xml"/><Relationship Id="rId12" Type="http://schemas.openxmlformats.org/officeDocument/2006/relationships/ctrlProp" Target="../ctrlProps/ctrlProp46.xml"/><Relationship Id="rId17" Type="http://schemas.openxmlformats.org/officeDocument/2006/relationships/ctrlProp" Target="../ctrlProps/ctrlProp51.xml"/><Relationship Id="rId25" Type="http://schemas.openxmlformats.org/officeDocument/2006/relationships/ctrlProp" Target="../ctrlProps/ctrlProp59.xml"/><Relationship Id="rId33" Type="http://schemas.openxmlformats.org/officeDocument/2006/relationships/ctrlProp" Target="../ctrlProps/ctrlProp67.xml"/><Relationship Id="rId38" Type="http://schemas.openxmlformats.org/officeDocument/2006/relationships/ctrlProp" Target="../ctrlProps/ctrlProp72.xml"/><Relationship Id="rId2" Type="http://schemas.openxmlformats.org/officeDocument/2006/relationships/drawing" Target="../drawings/drawing7.xml"/><Relationship Id="rId16" Type="http://schemas.openxmlformats.org/officeDocument/2006/relationships/ctrlProp" Target="../ctrlProps/ctrlProp50.xml"/><Relationship Id="rId20" Type="http://schemas.openxmlformats.org/officeDocument/2006/relationships/ctrlProp" Target="../ctrlProps/ctrlProp54.xml"/><Relationship Id="rId29" Type="http://schemas.openxmlformats.org/officeDocument/2006/relationships/ctrlProp" Target="../ctrlProps/ctrlProp63.xml"/><Relationship Id="rId1" Type="http://schemas.openxmlformats.org/officeDocument/2006/relationships/printerSettings" Target="../printerSettings/printerSettings16.bin"/><Relationship Id="rId6" Type="http://schemas.openxmlformats.org/officeDocument/2006/relationships/ctrlProp" Target="../ctrlProps/ctrlProp40.xml"/><Relationship Id="rId11" Type="http://schemas.openxmlformats.org/officeDocument/2006/relationships/ctrlProp" Target="../ctrlProps/ctrlProp45.xml"/><Relationship Id="rId24" Type="http://schemas.openxmlformats.org/officeDocument/2006/relationships/ctrlProp" Target="../ctrlProps/ctrlProp58.xml"/><Relationship Id="rId32" Type="http://schemas.openxmlformats.org/officeDocument/2006/relationships/ctrlProp" Target="../ctrlProps/ctrlProp66.xml"/><Relationship Id="rId37" Type="http://schemas.openxmlformats.org/officeDocument/2006/relationships/ctrlProp" Target="../ctrlProps/ctrlProp71.xml"/><Relationship Id="rId5" Type="http://schemas.openxmlformats.org/officeDocument/2006/relationships/ctrlProp" Target="../ctrlProps/ctrlProp39.xml"/><Relationship Id="rId15" Type="http://schemas.openxmlformats.org/officeDocument/2006/relationships/ctrlProp" Target="../ctrlProps/ctrlProp49.xml"/><Relationship Id="rId23" Type="http://schemas.openxmlformats.org/officeDocument/2006/relationships/ctrlProp" Target="../ctrlProps/ctrlProp57.xml"/><Relationship Id="rId28" Type="http://schemas.openxmlformats.org/officeDocument/2006/relationships/ctrlProp" Target="../ctrlProps/ctrlProp62.xml"/><Relationship Id="rId36" Type="http://schemas.openxmlformats.org/officeDocument/2006/relationships/ctrlProp" Target="../ctrlProps/ctrlProp70.xml"/><Relationship Id="rId10" Type="http://schemas.openxmlformats.org/officeDocument/2006/relationships/ctrlProp" Target="../ctrlProps/ctrlProp44.xml"/><Relationship Id="rId19" Type="http://schemas.openxmlformats.org/officeDocument/2006/relationships/ctrlProp" Target="../ctrlProps/ctrlProp53.xml"/><Relationship Id="rId31" Type="http://schemas.openxmlformats.org/officeDocument/2006/relationships/ctrlProp" Target="../ctrlProps/ctrlProp65.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 Id="rId22" Type="http://schemas.openxmlformats.org/officeDocument/2006/relationships/ctrlProp" Target="../ctrlProps/ctrlProp56.xml"/><Relationship Id="rId27" Type="http://schemas.openxmlformats.org/officeDocument/2006/relationships/ctrlProp" Target="../ctrlProps/ctrlProp61.xml"/><Relationship Id="rId30" Type="http://schemas.openxmlformats.org/officeDocument/2006/relationships/ctrlProp" Target="../ctrlProps/ctrlProp64.xml"/><Relationship Id="rId35" Type="http://schemas.openxmlformats.org/officeDocument/2006/relationships/ctrlProp" Target="../ctrlProps/ctrlProp69.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7.bin"/><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80.xml"/><Relationship Id="rId3" Type="http://schemas.openxmlformats.org/officeDocument/2006/relationships/vmlDrawing" Target="../drawings/vmlDrawing8.vml"/><Relationship Id="rId7" Type="http://schemas.openxmlformats.org/officeDocument/2006/relationships/ctrlProp" Target="../ctrlProps/ctrlProp79.xml"/><Relationship Id="rId2" Type="http://schemas.openxmlformats.org/officeDocument/2006/relationships/drawing" Target="../drawings/drawing10.xml"/><Relationship Id="rId1" Type="http://schemas.openxmlformats.org/officeDocument/2006/relationships/printerSettings" Target="../printerSettings/printerSettings20.bin"/><Relationship Id="rId6" Type="http://schemas.openxmlformats.org/officeDocument/2006/relationships/ctrlProp" Target="../ctrlProps/ctrlProp78.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dimension ref="A1:I7"/>
  <sheetViews>
    <sheetView workbookViewId="0"/>
  </sheetViews>
  <sheetFormatPr defaultColWidth="9.140625" defaultRowHeight="12.75" x14ac:dyDescent="0.2"/>
  <cols>
    <col min="1" max="1" width="10.7109375" style="121" customWidth="1"/>
    <col min="2" max="2" width="9.140625" style="121"/>
    <col min="3" max="3" width="23.140625" style="121" bestFit="1" customWidth="1"/>
    <col min="4" max="4" width="9.140625" style="121"/>
    <col min="5" max="5" width="10.42578125" style="121" customWidth="1"/>
    <col min="6" max="7" width="9.140625" style="121"/>
    <col min="8" max="8" width="10.28515625" style="121" bestFit="1" customWidth="1"/>
    <col min="9" max="16384" width="9.140625" style="121"/>
  </cols>
  <sheetData>
    <row r="1" spans="1:9" x14ac:dyDescent="0.2">
      <c r="A1" s="121" t="s">
        <v>1334</v>
      </c>
      <c r="B1" s="121" t="str">
        <f>IF(Booking_Type=1,"Original","Change")</f>
        <v>Original</v>
      </c>
    </row>
    <row r="2" spans="1:9" x14ac:dyDescent="0.2">
      <c r="A2" s="121" t="s">
        <v>1334</v>
      </c>
      <c r="B2" s="121" t="str">
        <f>IF(Certified_Payrole=1,"Certified Payrole Yes","Certified Payrole No")</f>
        <v>Certified Payrole Yes</v>
      </c>
    </row>
    <row r="4" spans="1:9" x14ac:dyDescent="0.2">
      <c r="A4" s="121" t="s">
        <v>1335</v>
      </c>
    </row>
    <row r="5" spans="1:9" x14ac:dyDescent="0.2">
      <c r="A5" s="121" t="s">
        <v>1287</v>
      </c>
      <c r="B5" s="121">
        <f>Info_Job_Number</f>
        <v>0</v>
      </c>
      <c r="C5" s="121" t="str">
        <f>Info_Job_Name</f>
        <v>ENFRA - Columbia Gorge</v>
      </c>
      <c r="D5" s="121">
        <f>Info_Address</f>
        <v>0</v>
      </c>
      <c r="E5" s="121">
        <f>Info_City</f>
        <v>0</v>
      </c>
      <c r="F5" s="121">
        <f>Info_State</f>
        <v>0</v>
      </c>
      <c r="G5" s="121">
        <f>Info_Zip</f>
        <v>0</v>
      </c>
      <c r="H5" s="418">
        <f ca="1">TODAY()</f>
        <v>45982</v>
      </c>
    </row>
    <row r="6" spans="1:9" x14ac:dyDescent="0.2">
      <c r="A6" s="121" t="s">
        <v>1333</v>
      </c>
      <c r="B6" s="419" t="s">
        <v>231</v>
      </c>
      <c r="C6" s="121" t="str">
        <f>'Booking Report'!B22</f>
        <v>Project Management Time</v>
      </c>
      <c r="E6" s="420">
        <f ca="1">TODAY()</f>
        <v>45982</v>
      </c>
      <c r="I6" s="121">
        <v>1</v>
      </c>
    </row>
    <row r="7" spans="1:9" x14ac:dyDescent="0.2">
      <c r="A7" s="121" t="s">
        <v>1336</v>
      </c>
      <c r="B7" s="419" t="s">
        <v>231</v>
      </c>
      <c r="D7" s="121">
        <v>1</v>
      </c>
      <c r="E7" s="420">
        <f ca="1">TODAY()</f>
        <v>45982</v>
      </c>
      <c r="F7" s="120">
        <f>'Booking Report'!D22</f>
        <v>540.52</v>
      </c>
      <c r="H7" s="120">
        <f>'Booking Report'!E22</f>
        <v>60819.32</v>
      </c>
    </row>
  </sheetData>
  <sheetProtection algorithmName="SHA-512" hashValue="/+1pYJ26QcgUsbjWSfUS1+s/m5FpTdd3CE54HCLeBoSG4DkvT6BxfQoB88ycW7FEAdoURllTl7gIOUgQZzhWmA==" saltValue="H5WRnZ5QJXcxys1Z5CdYHA==" spinCount="100000" sheet="1" objects="1" scenarios="1" sort="0" autoFilter="0" pivotTables="0"/>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BH408"/>
  <sheetViews>
    <sheetView workbookViewId="0"/>
  </sheetViews>
  <sheetFormatPr defaultColWidth="9.140625" defaultRowHeight="12.75" x14ac:dyDescent="0.2"/>
  <cols>
    <col min="1" max="1" width="11.7109375" style="123" bestFit="1" customWidth="1"/>
    <col min="2" max="2" width="22.140625" style="123" customWidth="1"/>
    <col min="3" max="3" width="15.140625" style="123" customWidth="1"/>
    <col min="4" max="4" width="10.7109375" style="123" customWidth="1"/>
    <col min="5" max="5" width="11.28515625" style="123" customWidth="1"/>
    <col min="6" max="6" width="11" style="123" customWidth="1"/>
    <col min="7" max="7" width="19.42578125" style="123" customWidth="1"/>
    <col min="8" max="8" width="17.42578125" style="123" customWidth="1"/>
    <col min="9" max="9" width="25.5703125" style="123" customWidth="1"/>
    <col min="10" max="10" width="21.5703125" style="123" customWidth="1"/>
    <col min="11" max="11" width="21" style="123" customWidth="1"/>
    <col min="12" max="12" width="9.140625" style="123"/>
    <col min="13" max="13" width="13.85546875" style="123" customWidth="1"/>
    <col min="14" max="14" width="16.140625" style="123" customWidth="1"/>
    <col min="15" max="15" width="10.7109375" style="123" customWidth="1"/>
    <col min="16" max="16" width="9.140625" style="123" customWidth="1"/>
    <col min="17" max="17" width="11.28515625" style="123" customWidth="1"/>
    <col min="18" max="18" width="20.140625" style="123" customWidth="1"/>
    <col min="19" max="19" width="19.28515625" style="123" customWidth="1"/>
    <col min="20" max="20" width="11" style="123" customWidth="1"/>
    <col min="21" max="21" width="9.140625" style="123"/>
    <col min="22" max="22" width="20.140625" style="123" customWidth="1"/>
    <col min="23" max="23" width="12.28515625" style="123" customWidth="1"/>
    <col min="24" max="24" width="12.5703125" style="123" bestFit="1" customWidth="1"/>
    <col min="25" max="25" width="11.7109375" style="123" customWidth="1"/>
    <col min="26" max="26" width="16.140625" style="123" customWidth="1"/>
    <col min="27" max="27" width="20.85546875" style="123" customWidth="1"/>
    <col min="28" max="28" width="19.85546875" style="123" customWidth="1"/>
    <col min="29" max="29" width="12.140625" style="123" customWidth="1"/>
    <col min="30" max="30" width="20.85546875" style="123" customWidth="1"/>
    <col min="31" max="31" width="19.85546875" style="123" customWidth="1"/>
    <col min="32" max="32" width="11.28515625" style="123" customWidth="1"/>
    <col min="33" max="33" width="12.140625" style="123" bestFit="1" customWidth="1"/>
    <col min="34" max="34" width="17" style="123" bestFit="1" customWidth="1"/>
    <col min="35" max="35" width="15.140625" style="123" bestFit="1" customWidth="1"/>
    <col min="36" max="36" width="9" style="123" customWidth="1"/>
    <col min="37" max="37" width="7.7109375" style="123" customWidth="1"/>
    <col min="38" max="38" width="12.5703125" style="123" bestFit="1" customWidth="1"/>
    <col min="39" max="39" width="7.140625" style="123" customWidth="1"/>
    <col min="40" max="40" width="15" style="123" bestFit="1" customWidth="1"/>
    <col min="41" max="41" width="7" style="123" customWidth="1"/>
    <col min="42" max="42" width="8.7109375" style="123" customWidth="1"/>
    <col min="43" max="43" width="11.85546875" style="123" bestFit="1" customWidth="1"/>
    <col min="44" max="44" width="6.85546875" style="123" customWidth="1"/>
    <col min="45" max="45" width="10.7109375" style="123" bestFit="1" customWidth="1"/>
    <col min="46" max="46" width="14.5703125" style="123" bestFit="1" customWidth="1"/>
    <col min="47" max="47" width="12.140625" style="123" bestFit="1" customWidth="1"/>
    <col min="48" max="48" width="17" style="123" bestFit="1" customWidth="1"/>
    <col min="49" max="49" width="15.140625" style="123" bestFit="1" customWidth="1"/>
    <col min="50" max="50" width="7.7109375" style="123" customWidth="1"/>
    <col min="51" max="51" width="12.5703125" style="123" bestFit="1" customWidth="1"/>
    <col min="52" max="52" width="5.5703125" style="123" customWidth="1"/>
    <col min="53" max="53" width="15" style="123" bestFit="1" customWidth="1"/>
    <col min="54" max="54" width="7" style="123" customWidth="1"/>
    <col min="55" max="55" width="8.7109375" style="123" customWidth="1"/>
    <col min="56" max="56" width="11.85546875" style="123" bestFit="1" customWidth="1"/>
    <col min="57" max="57" width="6.85546875" style="123" customWidth="1"/>
    <col min="58" max="58" width="10.85546875" style="123" bestFit="1" customWidth="1"/>
    <col min="59" max="59" width="26" style="123" bestFit="1" customWidth="1"/>
    <col min="60" max="60" width="25.140625" style="123" bestFit="1" customWidth="1"/>
    <col min="61" max="16384" width="9.140625" style="123"/>
  </cols>
  <sheetData>
    <row r="1" spans="1:60" x14ac:dyDescent="0.2">
      <c r="A1" s="123" t="s">
        <v>1075</v>
      </c>
      <c r="M1" s="123" t="s">
        <v>1080</v>
      </c>
      <c r="V1" s="123" t="s">
        <v>1084</v>
      </c>
    </row>
    <row r="4" spans="1:60" x14ac:dyDescent="0.2">
      <c r="A4" s="122" t="s">
        <v>277</v>
      </c>
      <c r="B4" s="123" t="s">
        <v>290</v>
      </c>
      <c r="M4" s="252" t="s">
        <v>1071</v>
      </c>
      <c r="N4" t="s">
        <v>1088</v>
      </c>
      <c r="W4"/>
      <c r="X4"/>
      <c r="Y4"/>
      <c r="Z4"/>
    </row>
    <row r="5" spans="1:60" x14ac:dyDescent="0.2">
      <c r="W5"/>
      <c r="X5"/>
    </row>
    <row r="6" spans="1:60" x14ac:dyDescent="0.2">
      <c r="F6" s="122" t="s">
        <v>291</v>
      </c>
      <c r="M6"/>
      <c r="N6"/>
      <c r="O6"/>
      <c r="P6"/>
      <c r="Q6"/>
      <c r="R6" s="252" t="s">
        <v>291</v>
      </c>
      <c r="S6"/>
      <c r="T6"/>
      <c r="V6" s="252" t="s">
        <v>276</v>
      </c>
      <c r="W6" t="s">
        <v>294</v>
      </c>
      <c r="X6"/>
      <c r="Y6"/>
      <c r="Z6"/>
      <c r="AA6"/>
      <c r="AB6"/>
      <c r="AC6"/>
      <c r="AD6"/>
      <c r="AE6"/>
      <c r="AF6"/>
      <c r="AG6"/>
      <c r="AH6"/>
      <c r="AI6"/>
      <c r="AJ6"/>
      <c r="AK6"/>
      <c r="AL6"/>
      <c r="AM6"/>
      <c r="AN6"/>
      <c r="AO6"/>
      <c r="AP6"/>
      <c r="AQ6"/>
      <c r="AR6"/>
      <c r="AS6"/>
      <c r="AT6"/>
      <c r="AU6"/>
      <c r="AV6"/>
      <c r="AW6"/>
      <c r="AX6"/>
      <c r="AY6"/>
      <c r="AZ6"/>
      <c r="BA6"/>
      <c r="BB6"/>
      <c r="BC6"/>
      <c r="BD6"/>
      <c r="BE6"/>
      <c r="BF6"/>
      <c r="BG6"/>
      <c r="BH6"/>
    </row>
    <row r="7" spans="1:60" x14ac:dyDescent="0.2">
      <c r="A7" s="122" t="s">
        <v>273</v>
      </c>
      <c r="B7" s="122" t="s">
        <v>124</v>
      </c>
      <c r="C7" s="122" t="s">
        <v>275</v>
      </c>
      <c r="D7" s="122" t="s">
        <v>279</v>
      </c>
      <c r="E7" s="122" t="s">
        <v>276</v>
      </c>
      <c r="F7" s="123" t="s">
        <v>367</v>
      </c>
      <c r="G7" s="123" t="s">
        <v>293</v>
      </c>
      <c r="H7" s="123" t="s">
        <v>292</v>
      </c>
      <c r="I7" s="123" t="s">
        <v>295</v>
      </c>
      <c r="J7" s="123" t="s">
        <v>308</v>
      </c>
      <c r="K7" s="123" t="s">
        <v>305</v>
      </c>
      <c r="M7" s="252" t="s">
        <v>1081</v>
      </c>
      <c r="N7" s="252" t="s">
        <v>275</v>
      </c>
      <c r="O7" s="252" t="s">
        <v>279</v>
      </c>
      <c r="P7" s="252" t="s">
        <v>1070</v>
      </c>
      <c r="Q7" s="252" t="s">
        <v>276</v>
      </c>
      <c r="R7" t="s">
        <v>1082</v>
      </c>
      <c r="S7" t="s">
        <v>1083</v>
      </c>
      <c r="T7" t="s">
        <v>367</v>
      </c>
      <c r="V7"/>
      <c r="W7"/>
      <c r="X7"/>
      <c r="Y7"/>
      <c r="Z7"/>
      <c r="AA7"/>
      <c r="AB7"/>
      <c r="AC7"/>
      <c r="AD7"/>
      <c r="AE7"/>
      <c r="AF7"/>
      <c r="AG7"/>
      <c r="AH7"/>
      <c r="AI7"/>
      <c r="AJ7"/>
      <c r="AK7"/>
      <c r="AL7"/>
      <c r="AM7"/>
      <c r="AN7"/>
      <c r="AO7"/>
      <c r="AP7"/>
      <c r="AQ7"/>
      <c r="AR7"/>
      <c r="AS7"/>
      <c r="AT7"/>
      <c r="AU7"/>
      <c r="AV7"/>
      <c r="AW7"/>
      <c r="AX7"/>
      <c r="AY7"/>
      <c r="AZ7"/>
      <c r="BA7"/>
      <c r="BB7"/>
      <c r="BC7"/>
      <c r="BD7"/>
      <c r="BE7"/>
      <c r="BF7"/>
      <c r="BG7"/>
      <c r="BH7"/>
    </row>
    <row r="8" spans="1:60" x14ac:dyDescent="0.2">
      <c r="A8" s="123" t="s">
        <v>294</v>
      </c>
      <c r="B8" s="123" t="s">
        <v>294</v>
      </c>
      <c r="C8" s="123" t="s">
        <v>294</v>
      </c>
      <c r="D8" s="123" t="s">
        <v>294</v>
      </c>
      <c r="E8" s="123" t="s">
        <v>294</v>
      </c>
      <c r="G8" s="124">
        <v>0</v>
      </c>
      <c r="H8" s="124">
        <v>0</v>
      </c>
      <c r="I8" s="124">
        <v>0</v>
      </c>
      <c r="M8" t="s">
        <v>289</v>
      </c>
      <c r="N8"/>
      <c r="O8"/>
      <c r="P8"/>
      <c r="Q8"/>
      <c r="R8"/>
      <c r="S8"/>
      <c r="T8"/>
      <c r="V8" s="252" t="s">
        <v>291</v>
      </c>
      <c r="W8"/>
      <c r="X8"/>
      <c r="Y8"/>
      <c r="Z8"/>
      <c r="AA8"/>
      <c r="AB8"/>
      <c r="AC8"/>
      <c r="AD8"/>
      <c r="AE8"/>
      <c r="AF8"/>
      <c r="AG8"/>
      <c r="AH8"/>
      <c r="AI8"/>
      <c r="AJ8"/>
      <c r="AK8"/>
      <c r="AL8"/>
      <c r="AM8"/>
      <c r="AN8"/>
      <c r="AO8"/>
      <c r="AP8"/>
      <c r="AQ8"/>
      <c r="AR8"/>
      <c r="AS8"/>
      <c r="AT8"/>
      <c r="AU8"/>
      <c r="AV8"/>
      <c r="AW8"/>
      <c r="AX8"/>
      <c r="AY8"/>
      <c r="AZ8"/>
      <c r="BA8"/>
      <c r="BB8"/>
      <c r="BC8"/>
      <c r="BD8"/>
      <c r="BE8"/>
      <c r="BF8"/>
      <c r="BG8"/>
      <c r="BH8"/>
    </row>
    <row r="9" spans="1:60" x14ac:dyDescent="0.2">
      <c r="A9" s="123" t="s">
        <v>289</v>
      </c>
      <c r="G9" s="124">
        <v>0</v>
      </c>
      <c r="H9" s="124">
        <v>0</v>
      </c>
      <c r="I9" s="124">
        <v>0</v>
      </c>
      <c r="M9"/>
      <c r="N9"/>
      <c r="O9"/>
      <c r="P9"/>
      <c r="Q9"/>
      <c r="R9"/>
      <c r="S9"/>
      <c r="T9"/>
      <c r="V9" t="s">
        <v>1082</v>
      </c>
      <c r="W9" t="s">
        <v>1085</v>
      </c>
      <c r="X9"/>
      <c r="Y9"/>
      <c r="Z9"/>
      <c r="AA9"/>
      <c r="AB9"/>
      <c r="AC9"/>
      <c r="AD9"/>
      <c r="AE9"/>
      <c r="AF9"/>
      <c r="AG9"/>
      <c r="AH9"/>
      <c r="AI9"/>
      <c r="AJ9"/>
      <c r="AK9"/>
      <c r="AL9"/>
      <c r="AM9"/>
      <c r="AN9"/>
      <c r="AO9"/>
      <c r="AP9"/>
      <c r="AQ9"/>
      <c r="AR9"/>
      <c r="AS9"/>
      <c r="AT9"/>
      <c r="AU9"/>
      <c r="AV9"/>
      <c r="AW9"/>
      <c r="AX9"/>
      <c r="AY9"/>
      <c r="AZ9"/>
      <c r="BA9"/>
      <c r="BB9"/>
      <c r="BC9"/>
      <c r="BD9"/>
      <c r="BE9"/>
      <c r="BF9"/>
      <c r="BG9"/>
      <c r="BH9"/>
    </row>
    <row r="10" spans="1:60" x14ac:dyDescent="0.2">
      <c r="A10"/>
      <c r="B10"/>
      <c r="C10"/>
      <c r="D10"/>
      <c r="E10"/>
      <c r="F10"/>
      <c r="G10"/>
      <c r="H10"/>
      <c r="I10"/>
      <c r="J10"/>
      <c r="K10"/>
      <c r="M10"/>
      <c r="N10"/>
      <c r="O10"/>
      <c r="P10"/>
      <c r="Q10"/>
      <c r="R10"/>
      <c r="S10"/>
      <c r="T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row>
    <row r="11" spans="1:60" x14ac:dyDescent="0.2">
      <c r="A11"/>
      <c r="B11"/>
      <c r="C11"/>
      <c r="D11"/>
      <c r="E11"/>
      <c r="F11"/>
      <c r="G11"/>
      <c r="H11"/>
      <c r="I11"/>
      <c r="J11"/>
      <c r="K11"/>
      <c r="M11"/>
      <c r="N11"/>
      <c r="O11"/>
      <c r="P11"/>
      <c r="Q11"/>
      <c r="R11"/>
      <c r="S11"/>
      <c r="T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1:60" x14ac:dyDescent="0.2">
      <c r="A12"/>
      <c r="B12"/>
      <c r="C12"/>
      <c r="D12"/>
      <c r="E12"/>
      <c r="F12"/>
      <c r="G12"/>
      <c r="H12"/>
      <c r="I12"/>
      <c r="J12"/>
      <c r="K12"/>
      <c r="M12"/>
      <c r="N12"/>
      <c r="O12"/>
      <c r="P12"/>
      <c r="Q12"/>
      <c r="R12"/>
      <c r="S12"/>
      <c r="T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1:60" x14ac:dyDescent="0.2">
      <c r="A13"/>
      <c r="B13"/>
      <c r="C13"/>
      <c r="D13"/>
      <c r="E13"/>
      <c r="F13"/>
      <c r="G13"/>
      <c r="H13"/>
      <c r="I13"/>
      <c r="J13"/>
      <c r="K13"/>
      <c r="M13"/>
      <c r="N13"/>
      <c r="O13"/>
      <c r="P13"/>
      <c r="Q13"/>
      <c r="R13"/>
      <c r="S13"/>
      <c r="T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1:60" x14ac:dyDescent="0.2">
      <c r="A14"/>
      <c r="B14"/>
      <c r="C14"/>
      <c r="D14"/>
      <c r="E14"/>
      <c r="F14"/>
      <c r="G14"/>
      <c r="H14"/>
      <c r="I14"/>
      <c r="J14"/>
      <c r="K14"/>
      <c r="M14"/>
      <c r="N14"/>
      <c r="O14"/>
      <c r="P14"/>
      <c r="Q14"/>
      <c r="R14"/>
      <c r="S14"/>
      <c r="T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1:60" x14ac:dyDescent="0.2">
      <c r="A15"/>
      <c r="B15"/>
      <c r="C15"/>
      <c r="D15"/>
      <c r="E15"/>
      <c r="F15"/>
      <c r="G15"/>
      <c r="H15"/>
      <c r="I15"/>
      <c r="J15"/>
      <c r="K15"/>
      <c r="M15"/>
      <c r="N15"/>
      <c r="O15"/>
      <c r="P15"/>
      <c r="Q15"/>
      <c r="R15"/>
      <c r="S15"/>
      <c r="T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1:60" x14ac:dyDescent="0.2">
      <c r="A16"/>
      <c r="B16"/>
      <c r="C16"/>
      <c r="D16"/>
      <c r="E16"/>
      <c r="F16"/>
      <c r="G16"/>
      <c r="H16"/>
      <c r="I16"/>
      <c r="J16"/>
      <c r="K16"/>
      <c r="M16"/>
      <c r="N16"/>
      <c r="O16"/>
      <c r="P16"/>
      <c r="Q16"/>
      <c r="R16"/>
      <c r="S16"/>
      <c r="T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x14ac:dyDescent="0.2">
      <c r="A17"/>
      <c r="B17"/>
      <c r="C17"/>
      <c r="D17"/>
      <c r="E17"/>
      <c r="F17"/>
      <c r="G17"/>
      <c r="H17"/>
      <c r="I17"/>
      <c r="J17"/>
      <c r="K17"/>
      <c r="M17"/>
      <c r="N17"/>
      <c r="O17"/>
      <c r="P17"/>
      <c r="Q17"/>
      <c r="R17"/>
      <c r="S17"/>
      <c r="T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row>
    <row r="18" spans="1:60" x14ac:dyDescent="0.2">
      <c r="A18"/>
      <c r="B18"/>
      <c r="C18"/>
      <c r="D18"/>
      <c r="E18"/>
      <c r="F18"/>
      <c r="G18"/>
      <c r="H18"/>
      <c r="I18"/>
      <c r="J18"/>
      <c r="K18"/>
      <c r="M18"/>
      <c r="N18"/>
      <c r="O18"/>
      <c r="P18"/>
      <c r="Q18"/>
      <c r="R18"/>
      <c r="S18"/>
      <c r="T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row>
    <row r="19" spans="1:60" x14ac:dyDescent="0.2">
      <c r="A19"/>
      <c r="B19"/>
      <c r="C19"/>
      <c r="D19"/>
      <c r="E19"/>
      <c r="F19"/>
      <c r="G19"/>
      <c r="H19"/>
      <c r="I19"/>
      <c r="J19"/>
      <c r="K19"/>
      <c r="M19"/>
      <c r="N19"/>
      <c r="O19"/>
      <c r="P19"/>
      <c r="Q19"/>
      <c r="R19"/>
      <c r="S19"/>
      <c r="T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row>
    <row r="20" spans="1:60" x14ac:dyDescent="0.2">
      <c r="A20"/>
      <c r="B20"/>
      <c r="C20"/>
      <c r="D20"/>
      <c r="E20"/>
      <c r="F20"/>
      <c r="G20"/>
      <c r="H20"/>
      <c r="I20"/>
      <c r="J20"/>
      <c r="K20"/>
      <c r="M20"/>
      <c r="N20"/>
      <c r="O20"/>
      <c r="P20"/>
      <c r="Q20"/>
      <c r="R20"/>
      <c r="S20"/>
      <c r="T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row>
    <row r="21" spans="1:60" x14ac:dyDescent="0.2">
      <c r="A21"/>
      <c r="B21"/>
      <c r="C21"/>
      <c r="D21"/>
      <c r="E21"/>
      <c r="F21"/>
      <c r="G21"/>
      <c r="H21"/>
      <c r="I21"/>
      <c r="J21"/>
      <c r="K21"/>
      <c r="M21"/>
      <c r="N21"/>
      <c r="O21"/>
      <c r="P21"/>
      <c r="Q21"/>
      <c r="R21"/>
      <c r="S21"/>
      <c r="T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row>
    <row r="22" spans="1:60" x14ac:dyDescent="0.2">
      <c r="A22"/>
      <c r="B22"/>
      <c r="C22"/>
      <c r="D22"/>
      <c r="E22"/>
      <c r="F22"/>
      <c r="G22"/>
      <c r="H22"/>
      <c r="I22"/>
      <c r="J22"/>
      <c r="K22"/>
      <c r="M22"/>
      <c r="N22"/>
      <c r="O22"/>
      <c r="P22"/>
      <c r="Q22"/>
      <c r="R22"/>
      <c r="S22"/>
      <c r="T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row>
    <row r="23" spans="1:60" x14ac:dyDescent="0.2">
      <c r="A23"/>
      <c r="B23"/>
      <c r="C23"/>
      <c r="D23"/>
      <c r="E23"/>
      <c r="F23"/>
      <c r="G23"/>
      <c r="H23"/>
      <c r="I23"/>
      <c r="J23"/>
      <c r="K23"/>
      <c r="M23"/>
      <c r="N23"/>
      <c r="O23"/>
      <c r="P23"/>
      <c r="Q23"/>
      <c r="R23"/>
      <c r="S23"/>
      <c r="T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row>
    <row r="24" spans="1:60" x14ac:dyDescent="0.2">
      <c r="A24"/>
      <c r="B24"/>
      <c r="C24"/>
      <c r="D24"/>
      <c r="E24"/>
      <c r="F24"/>
      <c r="G24"/>
      <c r="H24"/>
      <c r="I24"/>
      <c r="J24"/>
      <c r="K24"/>
      <c r="M24"/>
      <c r="N24"/>
      <c r="O24"/>
      <c r="P24"/>
      <c r="Q24"/>
      <c r="R24"/>
      <c r="S24"/>
      <c r="T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row>
    <row r="25" spans="1:60" x14ac:dyDescent="0.2">
      <c r="A25"/>
      <c r="B25"/>
      <c r="C25"/>
      <c r="D25"/>
      <c r="E25"/>
      <c r="F25"/>
      <c r="G25"/>
      <c r="H25"/>
      <c r="I25"/>
      <c r="J25"/>
      <c r="K25"/>
      <c r="M25"/>
      <c r="N25"/>
      <c r="O25"/>
      <c r="P25"/>
      <c r="Q25"/>
      <c r="R25"/>
      <c r="S25"/>
      <c r="T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row>
    <row r="26" spans="1:60" x14ac:dyDescent="0.2">
      <c r="A26"/>
      <c r="B26"/>
      <c r="C26"/>
      <c r="D26"/>
      <c r="E26"/>
      <c r="F26"/>
      <c r="G26"/>
      <c r="H26"/>
      <c r="I26"/>
      <c r="J26"/>
      <c r="K26"/>
      <c r="M26"/>
      <c r="N26"/>
      <c r="O26"/>
      <c r="P26"/>
      <c r="Q26"/>
      <c r="R26"/>
      <c r="S26"/>
      <c r="T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row>
    <row r="27" spans="1:60" x14ac:dyDescent="0.2">
      <c r="A27"/>
      <c r="B27"/>
      <c r="C27"/>
      <c r="D27"/>
      <c r="E27"/>
      <c r="F27"/>
      <c r="G27"/>
      <c r="H27"/>
      <c r="I27"/>
      <c r="J27"/>
      <c r="K27"/>
      <c r="M27"/>
      <c r="N27"/>
      <c r="O27"/>
      <c r="P27"/>
      <c r="Q27"/>
      <c r="R27"/>
      <c r="S27"/>
      <c r="T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row>
    <row r="28" spans="1:60" x14ac:dyDescent="0.2">
      <c r="A28"/>
      <c r="B28"/>
      <c r="C28"/>
      <c r="D28"/>
      <c r="E28"/>
      <c r="F28"/>
      <c r="G28"/>
      <c r="H28"/>
      <c r="I28"/>
      <c r="J28"/>
      <c r="K28"/>
      <c r="M28"/>
      <c r="N28"/>
      <c r="O28"/>
      <c r="P28"/>
      <c r="Q28"/>
      <c r="R28"/>
      <c r="S28"/>
      <c r="T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row>
    <row r="29" spans="1:60" x14ac:dyDescent="0.2">
      <c r="A29"/>
      <c r="B29"/>
      <c r="C29"/>
      <c r="D29"/>
      <c r="E29"/>
      <c r="F29"/>
      <c r="G29"/>
      <c r="H29"/>
      <c r="I29"/>
      <c r="J29"/>
      <c r="K29"/>
      <c r="M29"/>
      <c r="N29"/>
      <c r="O29"/>
      <c r="P29"/>
      <c r="Q29"/>
      <c r="R29"/>
      <c r="S29"/>
      <c r="T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row>
    <row r="30" spans="1:60" x14ac:dyDescent="0.2">
      <c r="A30"/>
      <c r="B30"/>
      <c r="C30"/>
      <c r="D30"/>
      <c r="E30"/>
      <c r="F30"/>
      <c r="G30"/>
      <c r="H30"/>
      <c r="I30"/>
      <c r="J30"/>
      <c r="K30"/>
      <c r="M30"/>
      <c r="N30"/>
      <c r="O30"/>
      <c r="P30"/>
      <c r="Q30"/>
      <c r="R30"/>
      <c r="S30"/>
      <c r="T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row>
    <row r="31" spans="1:60" x14ac:dyDescent="0.2">
      <c r="A31"/>
      <c r="B31"/>
      <c r="C31"/>
      <c r="D31"/>
      <c r="E31"/>
      <c r="F31"/>
      <c r="G31"/>
      <c r="H31"/>
      <c r="I31"/>
      <c r="J31"/>
      <c r="K31"/>
      <c r="M31"/>
      <c r="N31"/>
      <c r="O31"/>
      <c r="P31"/>
      <c r="Q31"/>
      <c r="R31"/>
      <c r="S31"/>
      <c r="T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row>
    <row r="32" spans="1:60" x14ac:dyDescent="0.2">
      <c r="A32"/>
      <c r="B32"/>
      <c r="C32"/>
      <c r="D32"/>
      <c r="E32"/>
      <c r="F32"/>
      <c r="G32"/>
      <c r="H32"/>
      <c r="I32"/>
      <c r="J32"/>
      <c r="K32"/>
      <c r="M32"/>
      <c r="N32"/>
      <c r="O32"/>
      <c r="P32"/>
      <c r="Q32"/>
      <c r="R32"/>
      <c r="S32"/>
      <c r="T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row>
    <row r="33" spans="1:32" x14ac:dyDescent="0.2">
      <c r="A33"/>
      <c r="B33"/>
      <c r="C33"/>
      <c r="D33"/>
      <c r="E33"/>
      <c r="F33"/>
      <c r="G33"/>
      <c r="H33"/>
      <c r="I33"/>
      <c r="J33"/>
      <c r="K33"/>
      <c r="M33"/>
      <c r="N33"/>
      <c r="O33"/>
      <c r="P33"/>
      <c r="Q33"/>
      <c r="R33"/>
      <c r="S33"/>
      <c r="T33"/>
      <c r="Y33"/>
      <c r="Z33"/>
      <c r="AA33"/>
      <c r="AB33"/>
      <c r="AC33"/>
      <c r="AD33"/>
      <c r="AE33"/>
      <c r="AF33"/>
    </row>
    <row r="34" spans="1:32" x14ac:dyDescent="0.2">
      <c r="A34"/>
      <c r="B34"/>
      <c r="C34"/>
      <c r="D34"/>
      <c r="E34"/>
      <c r="F34"/>
      <c r="G34"/>
      <c r="H34"/>
      <c r="I34"/>
      <c r="J34"/>
      <c r="K34"/>
      <c r="M34"/>
      <c r="N34"/>
      <c r="O34"/>
      <c r="P34"/>
      <c r="Q34"/>
      <c r="R34"/>
      <c r="S34"/>
      <c r="T34"/>
      <c r="Y34"/>
      <c r="Z34"/>
      <c r="AA34"/>
      <c r="AB34"/>
      <c r="AC34"/>
      <c r="AD34"/>
      <c r="AE34"/>
      <c r="AF34"/>
    </row>
    <row r="35" spans="1:32" x14ac:dyDescent="0.2">
      <c r="A35"/>
      <c r="B35"/>
      <c r="C35"/>
      <c r="D35"/>
      <c r="E35"/>
      <c r="F35"/>
      <c r="G35"/>
      <c r="H35"/>
      <c r="I35"/>
      <c r="J35"/>
      <c r="K35"/>
      <c r="M35"/>
      <c r="N35"/>
      <c r="O35"/>
      <c r="P35"/>
      <c r="Q35"/>
      <c r="R35"/>
      <c r="S35"/>
      <c r="T35"/>
      <c r="Y35"/>
      <c r="Z35"/>
      <c r="AA35"/>
      <c r="AB35"/>
      <c r="AC35"/>
      <c r="AD35"/>
      <c r="AE35"/>
      <c r="AF35"/>
    </row>
    <row r="36" spans="1:32" x14ac:dyDescent="0.2">
      <c r="A36"/>
      <c r="B36"/>
      <c r="C36"/>
      <c r="D36"/>
      <c r="E36"/>
      <c r="F36"/>
      <c r="G36"/>
      <c r="H36"/>
      <c r="I36"/>
      <c r="J36"/>
      <c r="K36"/>
      <c r="M36"/>
      <c r="N36"/>
      <c r="O36"/>
      <c r="P36"/>
      <c r="Q36"/>
      <c r="R36"/>
      <c r="S36"/>
      <c r="T36"/>
      <c r="Y36"/>
      <c r="Z36"/>
      <c r="AA36"/>
      <c r="AB36"/>
      <c r="AC36"/>
      <c r="AD36"/>
      <c r="AE36"/>
      <c r="AF36"/>
    </row>
    <row r="37" spans="1:32" x14ac:dyDescent="0.2">
      <c r="A37"/>
      <c r="B37"/>
      <c r="C37"/>
      <c r="D37"/>
      <c r="E37"/>
      <c r="F37"/>
      <c r="G37"/>
      <c r="H37"/>
      <c r="I37"/>
      <c r="J37"/>
      <c r="K37"/>
      <c r="M37"/>
      <c r="N37"/>
      <c r="O37"/>
      <c r="P37"/>
      <c r="Q37"/>
      <c r="R37"/>
      <c r="S37"/>
      <c r="T37"/>
      <c r="Y37"/>
      <c r="Z37"/>
      <c r="AA37"/>
      <c r="AB37"/>
      <c r="AC37"/>
      <c r="AD37"/>
      <c r="AE37"/>
      <c r="AF37"/>
    </row>
    <row r="38" spans="1:32" x14ac:dyDescent="0.2">
      <c r="A38"/>
      <c r="B38"/>
      <c r="C38"/>
      <c r="D38"/>
      <c r="E38"/>
      <c r="F38"/>
      <c r="G38"/>
      <c r="H38"/>
      <c r="I38"/>
      <c r="J38"/>
      <c r="K38"/>
      <c r="M38"/>
      <c r="N38"/>
      <c r="O38"/>
      <c r="P38"/>
      <c r="Q38"/>
      <c r="R38"/>
      <c r="S38"/>
      <c r="T38"/>
      <c r="Y38"/>
      <c r="Z38"/>
      <c r="AA38"/>
      <c r="AB38"/>
      <c r="AC38"/>
      <c r="AD38"/>
      <c r="AE38"/>
      <c r="AF38"/>
    </row>
    <row r="39" spans="1:32" x14ac:dyDescent="0.2">
      <c r="A39"/>
      <c r="B39"/>
      <c r="C39"/>
      <c r="D39"/>
      <c r="E39"/>
      <c r="F39"/>
      <c r="G39"/>
      <c r="H39"/>
      <c r="I39"/>
      <c r="J39"/>
      <c r="K39"/>
      <c r="M39"/>
      <c r="N39"/>
      <c r="O39"/>
      <c r="P39"/>
      <c r="Q39"/>
      <c r="R39"/>
      <c r="S39"/>
      <c r="T39"/>
      <c r="Y39"/>
      <c r="Z39"/>
      <c r="AA39"/>
      <c r="AB39"/>
      <c r="AC39"/>
      <c r="AD39"/>
      <c r="AE39"/>
      <c r="AF39"/>
    </row>
    <row r="40" spans="1:32" x14ac:dyDescent="0.2">
      <c r="A40"/>
      <c r="B40"/>
      <c r="C40"/>
      <c r="D40"/>
      <c r="E40"/>
      <c r="F40"/>
      <c r="G40"/>
      <c r="H40"/>
      <c r="I40"/>
      <c r="J40"/>
      <c r="K40"/>
      <c r="M40"/>
      <c r="N40"/>
      <c r="O40"/>
      <c r="P40"/>
      <c r="Q40"/>
      <c r="R40"/>
      <c r="S40"/>
      <c r="T40"/>
      <c r="Y40"/>
      <c r="Z40"/>
      <c r="AA40"/>
      <c r="AB40"/>
      <c r="AC40"/>
      <c r="AD40"/>
      <c r="AE40"/>
      <c r="AF40"/>
    </row>
    <row r="41" spans="1:32" x14ac:dyDescent="0.2">
      <c r="A41"/>
      <c r="B41"/>
      <c r="C41"/>
      <c r="D41"/>
      <c r="E41"/>
      <c r="F41"/>
      <c r="G41"/>
      <c r="H41"/>
      <c r="I41"/>
      <c r="J41"/>
      <c r="K41"/>
      <c r="M41"/>
      <c r="N41"/>
      <c r="O41"/>
      <c r="P41"/>
      <c r="Q41"/>
      <c r="R41"/>
      <c r="S41"/>
      <c r="T41"/>
      <c r="Y41"/>
      <c r="Z41"/>
      <c r="AA41"/>
      <c r="AB41"/>
      <c r="AC41"/>
      <c r="AD41"/>
      <c r="AE41"/>
      <c r="AF41"/>
    </row>
    <row r="42" spans="1:32" x14ac:dyDescent="0.2">
      <c r="A42"/>
      <c r="B42"/>
      <c r="C42"/>
      <c r="D42"/>
      <c r="E42"/>
      <c r="F42"/>
      <c r="G42"/>
      <c r="H42"/>
      <c r="I42"/>
      <c r="J42"/>
      <c r="K42"/>
      <c r="M42"/>
      <c r="N42"/>
      <c r="O42"/>
      <c r="P42"/>
      <c r="Q42"/>
      <c r="R42"/>
      <c r="S42"/>
      <c r="T42"/>
      <c r="Y42"/>
      <c r="Z42"/>
      <c r="AA42"/>
      <c r="AB42"/>
      <c r="AC42"/>
      <c r="AD42"/>
      <c r="AE42"/>
      <c r="AF42"/>
    </row>
    <row r="43" spans="1:32" x14ac:dyDescent="0.2">
      <c r="A43"/>
      <c r="B43"/>
      <c r="C43"/>
      <c r="D43"/>
      <c r="E43"/>
      <c r="F43"/>
      <c r="G43"/>
      <c r="H43"/>
      <c r="I43"/>
      <c r="J43"/>
      <c r="K43"/>
      <c r="M43"/>
      <c r="N43"/>
      <c r="O43"/>
      <c r="P43"/>
      <c r="Q43"/>
      <c r="R43"/>
      <c r="S43"/>
      <c r="T43"/>
      <c r="Y43"/>
      <c r="Z43"/>
      <c r="AA43"/>
      <c r="AB43"/>
      <c r="AC43"/>
      <c r="AD43"/>
      <c r="AE43"/>
      <c r="AF43"/>
    </row>
    <row r="44" spans="1:32" x14ac:dyDescent="0.2">
      <c r="A44"/>
      <c r="B44"/>
      <c r="C44"/>
      <c r="D44"/>
      <c r="E44"/>
      <c r="F44"/>
      <c r="G44"/>
      <c r="H44"/>
      <c r="I44"/>
      <c r="J44"/>
      <c r="K44"/>
      <c r="M44"/>
      <c r="N44"/>
      <c r="O44"/>
      <c r="P44"/>
      <c r="Q44"/>
      <c r="R44"/>
      <c r="S44"/>
      <c r="T44"/>
      <c r="Y44"/>
      <c r="Z44"/>
      <c r="AA44"/>
      <c r="AB44"/>
      <c r="AC44"/>
      <c r="AD44"/>
      <c r="AE44"/>
      <c r="AF44"/>
    </row>
    <row r="45" spans="1:32" x14ac:dyDescent="0.2">
      <c r="A45"/>
      <c r="B45"/>
      <c r="C45"/>
      <c r="D45"/>
      <c r="E45"/>
      <c r="F45"/>
      <c r="G45"/>
      <c r="H45"/>
      <c r="I45"/>
      <c r="J45"/>
      <c r="K45"/>
      <c r="M45"/>
      <c r="N45"/>
      <c r="O45"/>
      <c r="P45"/>
      <c r="Q45"/>
      <c r="R45"/>
      <c r="S45"/>
      <c r="T45"/>
      <c r="Y45"/>
      <c r="Z45"/>
      <c r="AA45"/>
      <c r="AB45"/>
      <c r="AC45"/>
      <c r="AD45"/>
      <c r="AE45"/>
      <c r="AF45"/>
    </row>
    <row r="46" spans="1:32" x14ac:dyDescent="0.2">
      <c r="A46"/>
      <c r="B46"/>
      <c r="C46"/>
      <c r="D46"/>
      <c r="E46"/>
      <c r="F46"/>
      <c r="G46"/>
      <c r="H46"/>
      <c r="I46"/>
      <c r="J46"/>
      <c r="K46"/>
      <c r="M46"/>
      <c r="N46"/>
      <c r="O46"/>
      <c r="P46"/>
      <c r="Q46"/>
      <c r="R46"/>
      <c r="S46"/>
      <c r="T46"/>
      <c r="Y46"/>
      <c r="Z46"/>
      <c r="AA46"/>
      <c r="AB46"/>
      <c r="AC46"/>
      <c r="AD46"/>
      <c r="AE46"/>
      <c r="AF46"/>
    </row>
    <row r="47" spans="1:32" x14ac:dyDescent="0.2">
      <c r="A47"/>
      <c r="B47"/>
      <c r="C47"/>
      <c r="D47"/>
      <c r="E47"/>
      <c r="F47"/>
      <c r="G47"/>
      <c r="H47"/>
      <c r="I47"/>
      <c r="J47"/>
      <c r="K47"/>
      <c r="M47"/>
      <c r="N47"/>
      <c r="O47"/>
      <c r="P47"/>
      <c r="Q47"/>
      <c r="R47"/>
      <c r="S47"/>
      <c r="T47"/>
      <c r="Y47"/>
      <c r="Z47"/>
      <c r="AA47"/>
      <c r="AB47"/>
      <c r="AC47"/>
      <c r="AD47"/>
      <c r="AE47"/>
      <c r="AF47"/>
    </row>
    <row r="48" spans="1:32" x14ac:dyDescent="0.2">
      <c r="A48"/>
      <c r="B48"/>
      <c r="C48"/>
      <c r="D48"/>
      <c r="E48"/>
      <c r="F48"/>
      <c r="G48"/>
      <c r="H48"/>
      <c r="I48"/>
      <c r="J48"/>
      <c r="K48"/>
      <c r="M48"/>
      <c r="N48"/>
      <c r="O48"/>
      <c r="P48"/>
      <c r="Q48"/>
      <c r="R48"/>
      <c r="S48"/>
      <c r="T48"/>
      <c r="Y48"/>
      <c r="Z48"/>
      <c r="AA48"/>
      <c r="AB48"/>
      <c r="AC48"/>
      <c r="AD48"/>
      <c r="AE48"/>
      <c r="AF48"/>
    </row>
    <row r="49" spans="1:32" x14ac:dyDescent="0.2">
      <c r="A49"/>
      <c r="B49"/>
      <c r="C49"/>
      <c r="D49"/>
      <c r="E49"/>
      <c r="F49"/>
      <c r="G49"/>
      <c r="H49"/>
      <c r="I49"/>
      <c r="J49"/>
      <c r="K49"/>
      <c r="M49"/>
      <c r="N49"/>
      <c r="O49"/>
      <c r="P49"/>
      <c r="Q49"/>
      <c r="R49"/>
      <c r="S49"/>
      <c r="T49"/>
      <c r="Y49"/>
      <c r="Z49"/>
      <c r="AA49"/>
      <c r="AB49"/>
      <c r="AC49"/>
      <c r="AD49"/>
      <c r="AE49"/>
      <c r="AF49"/>
    </row>
    <row r="50" spans="1:32" x14ac:dyDescent="0.2">
      <c r="A50"/>
      <c r="B50"/>
      <c r="C50"/>
      <c r="D50"/>
      <c r="E50"/>
      <c r="F50"/>
      <c r="G50"/>
      <c r="H50"/>
      <c r="I50"/>
      <c r="J50"/>
      <c r="K50"/>
      <c r="M50"/>
      <c r="N50"/>
      <c r="O50"/>
      <c r="P50"/>
      <c r="Q50"/>
      <c r="R50"/>
      <c r="S50"/>
      <c r="T50"/>
      <c r="Y50"/>
      <c r="Z50"/>
      <c r="AA50"/>
      <c r="AB50"/>
      <c r="AC50"/>
      <c r="AD50"/>
      <c r="AE50"/>
      <c r="AF50"/>
    </row>
    <row r="51" spans="1:32" x14ac:dyDescent="0.2">
      <c r="A51"/>
      <c r="B51"/>
      <c r="C51"/>
      <c r="D51"/>
      <c r="E51"/>
      <c r="F51"/>
      <c r="G51"/>
      <c r="H51"/>
      <c r="I51"/>
      <c r="J51"/>
      <c r="K51"/>
      <c r="M51"/>
      <c r="N51"/>
      <c r="O51"/>
      <c r="P51"/>
      <c r="Q51"/>
      <c r="R51"/>
      <c r="S51"/>
      <c r="T51"/>
      <c r="Y51"/>
      <c r="Z51"/>
      <c r="AA51"/>
      <c r="AB51"/>
      <c r="AC51"/>
      <c r="AD51"/>
      <c r="AE51"/>
      <c r="AF51"/>
    </row>
    <row r="52" spans="1:32" x14ac:dyDescent="0.2">
      <c r="A52"/>
      <c r="B52"/>
      <c r="C52"/>
      <c r="D52"/>
      <c r="E52"/>
      <c r="F52"/>
      <c r="G52"/>
      <c r="H52"/>
      <c r="I52"/>
      <c r="J52"/>
      <c r="K52"/>
      <c r="M52"/>
      <c r="N52"/>
      <c r="O52"/>
      <c r="P52"/>
      <c r="Q52"/>
      <c r="R52"/>
      <c r="S52"/>
      <c r="T52"/>
      <c r="Y52"/>
      <c r="Z52"/>
      <c r="AA52"/>
      <c r="AB52"/>
      <c r="AC52"/>
      <c r="AD52"/>
      <c r="AE52"/>
      <c r="AF52"/>
    </row>
    <row r="53" spans="1:32" x14ac:dyDescent="0.2">
      <c r="A53"/>
      <c r="B53"/>
      <c r="C53"/>
      <c r="D53"/>
      <c r="E53"/>
      <c r="F53"/>
      <c r="G53"/>
      <c r="H53"/>
      <c r="I53"/>
      <c r="J53"/>
      <c r="K53"/>
      <c r="M53"/>
      <c r="N53"/>
      <c r="O53"/>
      <c r="P53"/>
      <c r="Q53"/>
      <c r="R53"/>
      <c r="S53"/>
      <c r="T53"/>
      <c r="Y53"/>
      <c r="Z53"/>
      <c r="AA53"/>
      <c r="AB53"/>
      <c r="AC53"/>
      <c r="AD53"/>
      <c r="AE53"/>
      <c r="AF53"/>
    </row>
    <row r="54" spans="1:32" x14ac:dyDescent="0.2">
      <c r="A54"/>
      <c r="B54"/>
      <c r="C54"/>
      <c r="D54"/>
      <c r="E54"/>
      <c r="F54"/>
      <c r="G54"/>
      <c r="H54"/>
      <c r="I54"/>
      <c r="J54"/>
      <c r="K54"/>
      <c r="M54"/>
      <c r="N54"/>
      <c r="O54"/>
      <c r="P54"/>
      <c r="Q54"/>
      <c r="R54"/>
      <c r="S54"/>
      <c r="T54"/>
      <c r="Y54"/>
      <c r="Z54"/>
      <c r="AA54"/>
      <c r="AB54"/>
      <c r="AC54"/>
      <c r="AD54"/>
      <c r="AE54"/>
      <c r="AF54"/>
    </row>
    <row r="55" spans="1:32" x14ac:dyDescent="0.2">
      <c r="A55"/>
      <c r="B55"/>
      <c r="C55"/>
      <c r="D55"/>
      <c r="E55"/>
      <c r="F55"/>
      <c r="G55"/>
      <c r="H55"/>
      <c r="I55"/>
      <c r="J55"/>
      <c r="K55"/>
      <c r="M55"/>
      <c r="N55"/>
      <c r="O55"/>
      <c r="P55"/>
      <c r="Q55"/>
      <c r="R55"/>
      <c r="S55"/>
      <c r="T55"/>
      <c r="Y55"/>
      <c r="Z55"/>
      <c r="AA55"/>
      <c r="AB55"/>
      <c r="AC55"/>
      <c r="AD55"/>
      <c r="AE55"/>
      <c r="AF55"/>
    </row>
    <row r="56" spans="1:32" x14ac:dyDescent="0.2">
      <c r="A56"/>
      <c r="B56"/>
      <c r="C56"/>
      <c r="D56"/>
      <c r="E56"/>
      <c r="F56"/>
      <c r="G56"/>
      <c r="H56"/>
      <c r="I56"/>
      <c r="J56"/>
      <c r="K56"/>
      <c r="M56"/>
      <c r="N56"/>
      <c r="O56"/>
      <c r="P56"/>
      <c r="Q56"/>
      <c r="R56"/>
      <c r="S56"/>
      <c r="T56"/>
      <c r="Y56"/>
      <c r="Z56"/>
      <c r="AA56"/>
      <c r="AB56"/>
      <c r="AC56"/>
      <c r="AD56"/>
      <c r="AE56"/>
      <c r="AF56"/>
    </row>
    <row r="57" spans="1:32" x14ac:dyDescent="0.2">
      <c r="A57"/>
      <c r="B57"/>
      <c r="C57"/>
      <c r="D57"/>
      <c r="E57"/>
      <c r="F57"/>
      <c r="G57"/>
      <c r="H57"/>
      <c r="I57"/>
      <c r="J57"/>
      <c r="K57"/>
      <c r="M57"/>
      <c r="N57"/>
      <c r="O57"/>
      <c r="P57"/>
      <c r="Q57"/>
      <c r="R57"/>
      <c r="S57"/>
      <c r="T57"/>
      <c r="Y57"/>
      <c r="Z57"/>
      <c r="AA57"/>
      <c r="AB57"/>
      <c r="AC57"/>
      <c r="AD57"/>
      <c r="AE57"/>
      <c r="AF57"/>
    </row>
    <row r="58" spans="1:32" x14ac:dyDescent="0.2">
      <c r="A58"/>
      <c r="B58"/>
      <c r="C58"/>
      <c r="D58"/>
      <c r="E58"/>
      <c r="F58"/>
      <c r="G58"/>
      <c r="H58"/>
      <c r="I58"/>
      <c r="J58"/>
      <c r="K58"/>
      <c r="M58"/>
      <c r="N58"/>
      <c r="O58"/>
      <c r="P58"/>
      <c r="Q58"/>
      <c r="R58"/>
      <c r="S58"/>
      <c r="T58"/>
      <c r="Y58"/>
      <c r="Z58"/>
      <c r="AA58"/>
      <c r="AB58"/>
      <c r="AC58"/>
      <c r="AD58"/>
      <c r="AE58"/>
      <c r="AF58"/>
    </row>
    <row r="59" spans="1:32" x14ac:dyDescent="0.2">
      <c r="A59"/>
      <c r="B59"/>
      <c r="C59"/>
      <c r="D59"/>
      <c r="E59"/>
      <c r="F59"/>
      <c r="G59"/>
      <c r="H59"/>
      <c r="I59"/>
      <c r="J59"/>
      <c r="K59"/>
      <c r="M59"/>
      <c r="N59"/>
      <c r="O59"/>
      <c r="P59"/>
      <c r="Q59"/>
      <c r="R59"/>
      <c r="S59"/>
      <c r="T59"/>
      <c r="Y59"/>
      <c r="Z59"/>
      <c r="AA59"/>
      <c r="AB59"/>
      <c r="AC59"/>
      <c r="AD59"/>
      <c r="AE59"/>
      <c r="AF59"/>
    </row>
    <row r="60" spans="1:32" x14ac:dyDescent="0.2">
      <c r="A60"/>
      <c r="B60"/>
      <c r="C60"/>
      <c r="D60"/>
      <c r="E60"/>
      <c r="F60"/>
      <c r="G60"/>
      <c r="H60"/>
      <c r="I60"/>
      <c r="J60"/>
      <c r="K60"/>
      <c r="M60"/>
      <c r="N60"/>
      <c r="O60"/>
      <c r="P60"/>
      <c r="Q60"/>
      <c r="R60"/>
      <c r="S60"/>
      <c r="T60"/>
      <c r="Y60"/>
      <c r="Z60"/>
      <c r="AA60"/>
      <c r="AB60"/>
      <c r="AC60"/>
      <c r="AD60"/>
      <c r="AE60"/>
      <c r="AF60"/>
    </row>
    <row r="61" spans="1:32" x14ac:dyDescent="0.2">
      <c r="A61"/>
      <c r="B61"/>
      <c r="C61"/>
      <c r="D61"/>
      <c r="E61"/>
      <c r="F61"/>
      <c r="G61"/>
      <c r="H61"/>
      <c r="I61"/>
      <c r="J61"/>
      <c r="K61"/>
      <c r="M61"/>
      <c r="N61"/>
      <c r="O61"/>
      <c r="P61"/>
      <c r="Q61"/>
      <c r="R61"/>
      <c r="S61"/>
      <c r="T61"/>
      <c r="Y61"/>
      <c r="Z61"/>
      <c r="AA61"/>
      <c r="AB61"/>
      <c r="AC61"/>
      <c r="AD61"/>
      <c r="AE61"/>
      <c r="AF61"/>
    </row>
    <row r="62" spans="1:32" x14ac:dyDescent="0.2">
      <c r="A62"/>
      <c r="B62"/>
      <c r="C62"/>
      <c r="D62"/>
      <c r="E62"/>
      <c r="F62"/>
      <c r="G62"/>
      <c r="H62"/>
      <c r="I62"/>
      <c r="J62"/>
      <c r="K62"/>
      <c r="M62"/>
      <c r="N62"/>
      <c r="O62"/>
      <c r="P62"/>
      <c r="Q62"/>
      <c r="R62"/>
      <c r="S62"/>
      <c r="T62"/>
      <c r="Y62"/>
      <c r="Z62"/>
      <c r="AA62"/>
      <c r="AB62"/>
      <c r="AC62"/>
      <c r="AD62"/>
      <c r="AE62"/>
      <c r="AF62"/>
    </row>
    <row r="63" spans="1:32" x14ac:dyDescent="0.2">
      <c r="A63"/>
      <c r="B63"/>
      <c r="C63"/>
      <c r="D63"/>
      <c r="E63"/>
      <c r="F63"/>
      <c r="G63"/>
      <c r="H63"/>
      <c r="I63"/>
      <c r="J63"/>
      <c r="K63"/>
      <c r="M63"/>
      <c r="N63"/>
      <c r="O63"/>
      <c r="P63"/>
      <c r="Q63"/>
      <c r="R63"/>
      <c r="S63"/>
      <c r="T63"/>
      <c r="Y63"/>
      <c r="Z63"/>
      <c r="AA63"/>
      <c r="AB63"/>
      <c r="AC63"/>
      <c r="AD63"/>
      <c r="AE63"/>
      <c r="AF63"/>
    </row>
    <row r="64" spans="1:32" x14ac:dyDescent="0.2">
      <c r="A64"/>
      <c r="B64"/>
      <c r="C64"/>
      <c r="D64"/>
      <c r="E64"/>
      <c r="F64"/>
      <c r="G64"/>
      <c r="H64"/>
      <c r="I64"/>
      <c r="J64"/>
      <c r="K64"/>
      <c r="M64"/>
      <c r="N64"/>
      <c r="O64"/>
      <c r="P64"/>
      <c r="Q64"/>
      <c r="R64"/>
      <c r="S64"/>
      <c r="T64"/>
      <c r="Y64"/>
      <c r="Z64"/>
      <c r="AA64"/>
      <c r="AB64"/>
      <c r="AC64"/>
      <c r="AD64"/>
      <c r="AE64"/>
      <c r="AF64"/>
    </row>
    <row r="65" spans="1:32" x14ac:dyDescent="0.2">
      <c r="A65"/>
      <c r="B65"/>
      <c r="C65"/>
      <c r="D65"/>
      <c r="E65"/>
      <c r="F65"/>
      <c r="G65"/>
      <c r="H65"/>
      <c r="I65"/>
      <c r="J65"/>
      <c r="K65"/>
      <c r="M65"/>
      <c r="N65"/>
      <c r="O65"/>
      <c r="P65"/>
      <c r="Q65"/>
      <c r="R65"/>
      <c r="S65"/>
      <c r="T65"/>
      <c r="Y65"/>
      <c r="Z65"/>
      <c r="AA65"/>
      <c r="AB65"/>
      <c r="AC65"/>
      <c r="AD65"/>
      <c r="AE65"/>
      <c r="AF65"/>
    </row>
    <row r="66" spans="1:32" x14ac:dyDescent="0.2">
      <c r="A66"/>
      <c r="B66"/>
      <c r="C66"/>
      <c r="D66"/>
      <c r="E66"/>
      <c r="F66"/>
      <c r="G66"/>
      <c r="H66"/>
      <c r="I66"/>
      <c r="J66"/>
      <c r="K66"/>
      <c r="M66"/>
      <c r="N66"/>
      <c r="O66"/>
      <c r="P66"/>
      <c r="Q66"/>
      <c r="R66"/>
      <c r="S66"/>
      <c r="T66"/>
      <c r="Y66"/>
      <c r="Z66"/>
      <c r="AA66"/>
      <c r="AB66"/>
      <c r="AC66"/>
      <c r="AD66"/>
      <c r="AE66"/>
      <c r="AF66"/>
    </row>
    <row r="67" spans="1:32" x14ac:dyDescent="0.2">
      <c r="A67"/>
      <c r="B67"/>
      <c r="C67"/>
      <c r="D67"/>
      <c r="E67"/>
      <c r="F67"/>
      <c r="G67"/>
      <c r="H67"/>
      <c r="I67"/>
      <c r="J67"/>
      <c r="K67"/>
      <c r="M67"/>
      <c r="N67"/>
      <c r="O67"/>
      <c r="P67"/>
      <c r="Q67"/>
      <c r="R67"/>
      <c r="S67"/>
      <c r="T67"/>
      <c r="Y67"/>
      <c r="Z67"/>
      <c r="AA67"/>
      <c r="AB67"/>
      <c r="AC67"/>
      <c r="AD67"/>
      <c r="AE67"/>
      <c r="AF67"/>
    </row>
    <row r="68" spans="1:32" x14ac:dyDescent="0.2">
      <c r="A68"/>
      <c r="B68"/>
      <c r="C68"/>
      <c r="D68"/>
      <c r="E68"/>
      <c r="F68"/>
      <c r="G68"/>
      <c r="H68"/>
      <c r="I68"/>
      <c r="J68"/>
      <c r="K68"/>
      <c r="M68"/>
      <c r="N68"/>
      <c r="O68"/>
      <c r="P68"/>
      <c r="Q68"/>
      <c r="R68"/>
      <c r="S68"/>
      <c r="T68"/>
      <c r="Y68"/>
      <c r="Z68"/>
      <c r="AA68"/>
      <c r="AB68"/>
      <c r="AC68"/>
      <c r="AD68"/>
      <c r="AE68"/>
      <c r="AF68"/>
    </row>
    <row r="69" spans="1:32" x14ac:dyDescent="0.2">
      <c r="A69"/>
      <c r="B69"/>
      <c r="C69"/>
      <c r="D69"/>
      <c r="E69"/>
      <c r="F69"/>
      <c r="G69"/>
      <c r="H69"/>
      <c r="I69"/>
      <c r="J69"/>
      <c r="K69"/>
      <c r="M69"/>
      <c r="N69"/>
      <c r="O69"/>
      <c r="P69"/>
      <c r="Q69"/>
      <c r="R69"/>
      <c r="S69"/>
      <c r="T69"/>
      <c r="Y69"/>
      <c r="Z69"/>
      <c r="AA69"/>
      <c r="AB69"/>
      <c r="AC69"/>
      <c r="AD69"/>
      <c r="AE69"/>
      <c r="AF69"/>
    </row>
    <row r="70" spans="1:32" x14ac:dyDescent="0.2">
      <c r="A70"/>
      <c r="B70"/>
      <c r="C70"/>
      <c r="D70"/>
      <c r="E70"/>
      <c r="F70"/>
      <c r="G70"/>
      <c r="H70"/>
      <c r="I70"/>
      <c r="J70"/>
      <c r="K70"/>
      <c r="M70"/>
      <c r="N70"/>
      <c r="O70"/>
      <c r="P70"/>
      <c r="Q70"/>
      <c r="R70"/>
      <c r="S70"/>
      <c r="T70"/>
      <c r="Y70"/>
      <c r="Z70"/>
      <c r="AA70"/>
      <c r="AB70"/>
      <c r="AC70"/>
      <c r="AD70"/>
      <c r="AE70"/>
      <c r="AF70"/>
    </row>
    <row r="71" spans="1:32" x14ac:dyDescent="0.2">
      <c r="A71"/>
      <c r="B71"/>
      <c r="C71"/>
      <c r="D71"/>
      <c r="E71"/>
      <c r="F71"/>
      <c r="G71"/>
      <c r="H71"/>
      <c r="I71"/>
      <c r="J71"/>
      <c r="K71"/>
      <c r="M71"/>
      <c r="N71"/>
      <c r="O71"/>
      <c r="P71"/>
      <c r="Q71"/>
      <c r="R71"/>
      <c r="S71"/>
      <c r="T71"/>
      <c r="Y71"/>
      <c r="Z71"/>
      <c r="AA71"/>
      <c r="AB71"/>
      <c r="AC71"/>
      <c r="AD71"/>
      <c r="AE71"/>
      <c r="AF71"/>
    </row>
    <row r="72" spans="1:32" x14ac:dyDescent="0.2">
      <c r="A72"/>
      <c r="B72"/>
      <c r="C72"/>
      <c r="D72"/>
      <c r="E72"/>
      <c r="F72"/>
      <c r="G72"/>
      <c r="H72"/>
      <c r="I72"/>
      <c r="J72"/>
      <c r="K72"/>
      <c r="M72"/>
      <c r="N72"/>
      <c r="O72"/>
      <c r="P72"/>
      <c r="Q72"/>
      <c r="R72"/>
      <c r="S72"/>
      <c r="T72"/>
      <c r="Y72"/>
      <c r="Z72"/>
      <c r="AA72"/>
      <c r="AB72"/>
      <c r="AC72"/>
      <c r="AD72"/>
      <c r="AE72"/>
      <c r="AF72"/>
    </row>
    <row r="73" spans="1:32" x14ac:dyDescent="0.2">
      <c r="A73"/>
      <c r="B73"/>
      <c r="C73"/>
      <c r="D73"/>
      <c r="E73"/>
      <c r="F73"/>
      <c r="G73"/>
      <c r="H73"/>
      <c r="I73"/>
      <c r="J73"/>
      <c r="K73"/>
      <c r="M73"/>
      <c r="N73"/>
      <c r="O73"/>
      <c r="P73"/>
      <c r="Q73"/>
      <c r="R73"/>
      <c r="S73"/>
      <c r="T73"/>
      <c r="Y73"/>
      <c r="Z73"/>
      <c r="AA73"/>
      <c r="AB73"/>
      <c r="AC73"/>
      <c r="AD73"/>
      <c r="AE73"/>
      <c r="AF73"/>
    </row>
    <row r="74" spans="1:32" x14ac:dyDescent="0.2">
      <c r="A74"/>
      <c r="B74"/>
      <c r="C74"/>
      <c r="D74"/>
      <c r="E74"/>
      <c r="F74"/>
      <c r="G74"/>
      <c r="H74"/>
      <c r="I74"/>
      <c r="J74"/>
      <c r="K74"/>
      <c r="M74"/>
      <c r="N74"/>
      <c r="O74"/>
      <c r="P74"/>
      <c r="Q74"/>
      <c r="R74"/>
      <c r="S74"/>
      <c r="T74"/>
      <c r="Y74"/>
      <c r="Z74"/>
      <c r="AA74"/>
      <c r="AB74"/>
      <c r="AC74"/>
      <c r="AD74"/>
      <c r="AE74"/>
      <c r="AF74"/>
    </row>
    <row r="75" spans="1:32" x14ac:dyDescent="0.2">
      <c r="A75"/>
      <c r="B75"/>
      <c r="C75"/>
      <c r="D75"/>
      <c r="E75"/>
      <c r="F75"/>
      <c r="G75"/>
      <c r="H75"/>
      <c r="I75"/>
      <c r="J75"/>
      <c r="K75"/>
      <c r="M75"/>
      <c r="N75"/>
      <c r="O75"/>
      <c r="P75"/>
      <c r="Q75"/>
      <c r="R75"/>
      <c r="S75"/>
      <c r="T75"/>
      <c r="Y75"/>
      <c r="Z75"/>
      <c r="AA75"/>
      <c r="AB75"/>
      <c r="AC75"/>
      <c r="AD75"/>
      <c r="AE75"/>
      <c r="AF75"/>
    </row>
    <row r="76" spans="1:32" x14ac:dyDescent="0.2">
      <c r="A76"/>
      <c r="B76"/>
      <c r="C76"/>
      <c r="D76"/>
      <c r="E76"/>
      <c r="F76"/>
      <c r="G76"/>
      <c r="H76"/>
      <c r="I76"/>
      <c r="J76"/>
      <c r="K76"/>
      <c r="M76"/>
      <c r="N76"/>
      <c r="O76"/>
      <c r="P76"/>
      <c r="Q76"/>
      <c r="R76"/>
      <c r="S76"/>
      <c r="T76"/>
      <c r="Y76"/>
      <c r="Z76"/>
      <c r="AA76"/>
      <c r="AB76"/>
      <c r="AC76"/>
      <c r="AD76"/>
      <c r="AE76"/>
      <c r="AF76"/>
    </row>
    <row r="77" spans="1:32" x14ac:dyDescent="0.2">
      <c r="A77"/>
      <c r="B77"/>
      <c r="C77"/>
      <c r="D77"/>
      <c r="E77"/>
      <c r="F77"/>
      <c r="G77"/>
      <c r="H77"/>
      <c r="I77"/>
      <c r="J77"/>
      <c r="K77"/>
      <c r="M77"/>
      <c r="N77"/>
      <c r="O77"/>
      <c r="P77"/>
      <c r="Q77"/>
      <c r="R77"/>
      <c r="S77"/>
      <c r="T77"/>
      <c r="Y77"/>
      <c r="Z77"/>
      <c r="AA77"/>
      <c r="AB77"/>
      <c r="AC77"/>
      <c r="AD77"/>
      <c r="AE77"/>
      <c r="AF77"/>
    </row>
    <row r="78" spans="1:32" x14ac:dyDescent="0.2">
      <c r="A78"/>
      <c r="B78"/>
      <c r="C78"/>
      <c r="D78"/>
      <c r="E78"/>
      <c r="F78"/>
      <c r="G78"/>
      <c r="H78"/>
      <c r="I78"/>
      <c r="J78"/>
      <c r="K78"/>
      <c r="M78"/>
      <c r="N78"/>
      <c r="O78"/>
      <c r="P78"/>
      <c r="Q78"/>
      <c r="R78"/>
      <c r="S78"/>
      <c r="T78"/>
      <c r="Y78"/>
      <c r="Z78"/>
      <c r="AA78"/>
      <c r="AB78"/>
      <c r="AC78"/>
      <c r="AD78"/>
      <c r="AE78"/>
      <c r="AF78"/>
    </row>
    <row r="79" spans="1:32" x14ac:dyDescent="0.2">
      <c r="A79"/>
      <c r="B79"/>
      <c r="C79"/>
      <c r="D79"/>
      <c r="E79"/>
      <c r="F79"/>
      <c r="G79"/>
      <c r="H79"/>
      <c r="I79"/>
      <c r="J79"/>
      <c r="K79"/>
      <c r="M79"/>
      <c r="N79"/>
      <c r="O79"/>
      <c r="P79"/>
      <c r="Q79"/>
      <c r="R79"/>
      <c r="S79"/>
      <c r="T79"/>
      <c r="Y79"/>
      <c r="Z79"/>
      <c r="AA79"/>
      <c r="AB79"/>
      <c r="AC79"/>
      <c r="AD79"/>
      <c r="AE79"/>
      <c r="AF79"/>
    </row>
    <row r="80" spans="1:32" x14ac:dyDescent="0.2">
      <c r="A80"/>
      <c r="B80"/>
      <c r="C80"/>
      <c r="D80"/>
      <c r="E80"/>
      <c r="F80"/>
      <c r="G80"/>
      <c r="H80"/>
      <c r="I80"/>
      <c r="J80"/>
      <c r="K80"/>
      <c r="M80"/>
      <c r="N80"/>
      <c r="O80"/>
      <c r="P80"/>
      <c r="Q80"/>
      <c r="R80"/>
      <c r="S80"/>
      <c r="T80"/>
      <c r="Y80"/>
      <c r="Z80"/>
      <c r="AA80"/>
      <c r="AB80"/>
      <c r="AC80"/>
      <c r="AD80"/>
      <c r="AE80"/>
      <c r="AF80"/>
    </row>
    <row r="81" spans="1:32" x14ac:dyDescent="0.2">
      <c r="A81"/>
      <c r="B81"/>
      <c r="C81"/>
      <c r="D81"/>
      <c r="E81"/>
      <c r="F81"/>
      <c r="G81"/>
      <c r="H81"/>
      <c r="I81"/>
      <c r="J81"/>
      <c r="K81"/>
      <c r="M81"/>
      <c r="N81"/>
      <c r="O81"/>
      <c r="P81"/>
      <c r="Q81"/>
      <c r="R81"/>
      <c r="S81"/>
      <c r="T81"/>
      <c r="Y81"/>
      <c r="Z81"/>
      <c r="AA81"/>
      <c r="AB81"/>
      <c r="AC81"/>
      <c r="AD81"/>
      <c r="AE81"/>
      <c r="AF81"/>
    </row>
    <row r="82" spans="1:32" x14ac:dyDescent="0.2">
      <c r="A82"/>
      <c r="B82"/>
      <c r="C82"/>
      <c r="D82"/>
      <c r="E82"/>
      <c r="F82"/>
      <c r="G82"/>
      <c r="H82"/>
      <c r="I82"/>
      <c r="J82"/>
      <c r="K82"/>
      <c r="M82"/>
      <c r="N82"/>
      <c r="O82"/>
      <c r="P82"/>
      <c r="Q82"/>
      <c r="R82"/>
      <c r="S82"/>
      <c r="T82"/>
      <c r="Y82"/>
      <c r="Z82"/>
      <c r="AA82"/>
      <c r="AB82"/>
      <c r="AC82"/>
      <c r="AD82"/>
      <c r="AE82"/>
      <c r="AF82"/>
    </row>
    <row r="83" spans="1:32" x14ac:dyDescent="0.2">
      <c r="A83"/>
      <c r="B83"/>
      <c r="C83"/>
      <c r="D83"/>
      <c r="E83"/>
      <c r="F83"/>
      <c r="G83"/>
      <c r="H83"/>
      <c r="I83"/>
      <c r="J83"/>
      <c r="K83"/>
      <c r="M83"/>
      <c r="N83"/>
      <c r="O83"/>
      <c r="P83"/>
      <c r="Q83"/>
      <c r="R83"/>
      <c r="S83"/>
      <c r="T83"/>
      <c r="Y83"/>
      <c r="Z83"/>
      <c r="AA83"/>
      <c r="AB83"/>
      <c r="AC83"/>
      <c r="AD83"/>
      <c r="AE83"/>
      <c r="AF83"/>
    </row>
    <row r="84" spans="1:32" x14ac:dyDescent="0.2">
      <c r="A84"/>
      <c r="B84"/>
      <c r="C84"/>
      <c r="D84"/>
      <c r="E84"/>
      <c r="F84"/>
      <c r="G84"/>
      <c r="H84"/>
      <c r="I84"/>
      <c r="J84"/>
      <c r="K84"/>
      <c r="M84"/>
      <c r="N84"/>
      <c r="O84"/>
      <c r="P84"/>
      <c r="Q84"/>
      <c r="R84"/>
      <c r="S84"/>
      <c r="T84"/>
      <c r="Y84"/>
      <c r="Z84"/>
      <c r="AA84"/>
      <c r="AB84"/>
      <c r="AC84"/>
      <c r="AD84"/>
      <c r="AE84"/>
      <c r="AF84"/>
    </row>
    <row r="85" spans="1:32" x14ac:dyDescent="0.2">
      <c r="A85"/>
      <c r="B85"/>
      <c r="C85"/>
      <c r="D85"/>
      <c r="E85"/>
      <c r="F85"/>
      <c r="G85"/>
      <c r="H85"/>
      <c r="I85"/>
      <c r="J85"/>
      <c r="K85"/>
      <c r="M85"/>
      <c r="N85"/>
      <c r="O85"/>
      <c r="P85"/>
      <c r="Q85"/>
      <c r="R85"/>
      <c r="S85"/>
      <c r="T85"/>
      <c r="Y85"/>
      <c r="Z85"/>
      <c r="AA85"/>
      <c r="AB85"/>
      <c r="AC85"/>
      <c r="AD85"/>
      <c r="AE85"/>
      <c r="AF85"/>
    </row>
    <row r="86" spans="1:32" x14ac:dyDescent="0.2">
      <c r="A86"/>
      <c r="B86"/>
      <c r="C86"/>
      <c r="D86"/>
      <c r="E86"/>
      <c r="F86"/>
      <c r="G86"/>
      <c r="H86"/>
      <c r="I86"/>
      <c r="J86"/>
      <c r="K86"/>
      <c r="M86"/>
      <c r="N86"/>
      <c r="O86"/>
      <c r="P86"/>
      <c r="Q86"/>
      <c r="R86"/>
      <c r="S86"/>
      <c r="T86"/>
      <c r="Y86"/>
      <c r="Z86"/>
      <c r="AA86"/>
      <c r="AB86"/>
      <c r="AC86"/>
      <c r="AD86"/>
      <c r="AE86"/>
      <c r="AF86"/>
    </row>
    <row r="87" spans="1:32" x14ac:dyDescent="0.2">
      <c r="A87"/>
      <c r="B87"/>
      <c r="C87"/>
      <c r="D87"/>
      <c r="E87"/>
      <c r="F87"/>
      <c r="G87"/>
      <c r="H87"/>
      <c r="I87"/>
      <c r="J87"/>
      <c r="K87"/>
      <c r="M87"/>
      <c r="N87"/>
      <c r="O87"/>
      <c r="P87"/>
      <c r="Q87"/>
      <c r="R87"/>
      <c r="S87"/>
      <c r="T87"/>
      <c r="Y87"/>
      <c r="Z87"/>
      <c r="AA87"/>
      <c r="AB87"/>
      <c r="AC87"/>
      <c r="AD87"/>
      <c r="AE87"/>
      <c r="AF87"/>
    </row>
    <row r="88" spans="1:32" x14ac:dyDescent="0.2">
      <c r="A88"/>
      <c r="B88"/>
      <c r="C88"/>
      <c r="D88"/>
      <c r="E88"/>
      <c r="F88"/>
      <c r="G88"/>
      <c r="H88"/>
      <c r="I88"/>
      <c r="J88"/>
      <c r="K88"/>
      <c r="M88"/>
      <c r="N88"/>
      <c r="O88"/>
      <c r="P88"/>
      <c r="Q88"/>
      <c r="R88"/>
      <c r="S88"/>
      <c r="T88"/>
      <c r="Y88"/>
      <c r="Z88"/>
      <c r="AA88"/>
      <c r="AB88"/>
      <c r="AC88"/>
      <c r="AD88"/>
      <c r="AE88"/>
      <c r="AF88"/>
    </row>
    <row r="89" spans="1:32" x14ac:dyDescent="0.2">
      <c r="A89"/>
      <c r="B89"/>
      <c r="C89"/>
      <c r="D89"/>
      <c r="E89"/>
      <c r="F89"/>
      <c r="G89"/>
      <c r="H89"/>
      <c r="I89"/>
      <c r="J89"/>
      <c r="K89"/>
      <c r="M89"/>
      <c r="N89"/>
      <c r="O89"/>
      <c r="P89"/>
      <c r="Q89"/>
      <c r="R89"/>
      <c r="S89"/>
      <c r="T89"/>
      <c r="Y89"/>
      <c r="Z89"/>
      <c r="AA89"/>
      <c r="AB89"/>
      <c r="AC89"/>
      <c r="AD89"/>
      <c r="AE89"/>
      <c r="AF89"/>
    </row>
    <row r="90" spans="1:32" x14ac:dyDescent="0.2">
      <c r="A90"/>
      <c r="B90"/>
      <c r="C90"/>
      <c r="D90"/>
      <c r="E90"/>
      <c r="F90"/>
      <c r="G90"/>
      <c r="H90"/>
      <c r="I90"/>
      <c r="J90"/>
      <c r="K90"/>
      <c r="M90"/>
      <c r="N90"/>
      <c r="O90"/>
      <c r="P90"/>
      <c r="Q90"/>
      <c r="R90"/>
      <c r="S90"/>
      <c r="T90"/>
      <c r="Y90"/>
      <c r="Z90"/>
      <c r="AA90"/>
      <c r="AB90"/>
      <c r="AC90"/>
      <c r="AD90"/>
      <c r="AE90"/>
      <c r="AF90"/>
    </row>
    <row r="91" spans="1:32" x14ac:dyDescent="0.2">
      <c r="A91"/>
      <c r="B91"/>
      <c r="C91"/>
      <c r="D91"/>
      <c r="E91"/>
      <c r="F91"/>
      <c r="G91"/>
      <c r="H91"/>
      <c r="I91"/>
      <c r="J91"/>
      <c r="K91"/>
      <c r="M91"/>
      <c r="N91"/>
      <c r="O91"/>
      <c r="P91"/>
      <c r="Q91"/>
      <c r="R91"/>
      <c r="S91"/>
      <c r="T91"/>
      <c r="Y91"/>
      <c r="Z91"/>
      <c r="AA91"/>
      <c r="AB91"/>
      <c r="AC91"/>
      <c r="AD91"/>
      <c r="AE91"/>
      <c r="AF91"/>
    </row>
    <row r="92" spans="1:32" x14ac:dyDescent="0.2">
      <c r="A92"/>
      <c r="B92"/>
      <c r="C92"/>
      <c r="D92"/>
      <c r="E92"/>
      <c r="F92"/>
      <c r="G92"/>
      <c r="H92"/>
      <c r="I92"/>
      <c r="J92"/>
      <c r="K92"/>
      <c r="M92"/>
      <c r="N92"/>
      <c r="O92"/>
      <c r="P92"/>
      <c r="Q92"/>
      <c r="R92"/>
      <c r="S92"/>
      <c r="T92"/>
      <c r="Y92"/>
      <c r="Z92"/>
      <c r="AA92"/>
      <c r="AB92"/>
      <c r="AC92"/>
      <c r="AD92"/>
      <c r="AE92"/>
      <c r="AF92"/>
    </row>
    <row r="93" spans="1:32" x14ac:dyDescent="0.2">
      <c r="A93"/>
      <c r="B93"/>
      <c r="C93"/>
      <c r="D93"/>
      <c r="E93"/>
      <c r="F93"/>
      <c r="G93"/>
      <c r="H93"/>
      <c r="I93"/>
      <c r="J93"/>
      <c r="K93"/>
      <c r="M93"/>
      <c r="N93"/>
      <c r="O93"/>
      <c r="P93"/>
      <c r="Q93"/>
      <c r="R93"/>
      <c r="S93"/>
      <c r="T93"/>
      <c r="Y93"/>
      <c r="Z93"/>
      <c r="AA93"/>
      <c r="AB93"/>
      <c r="AC93"/>
      <c r="AD93"/>
      <c r="AE93"/>
      <c r="AF93"/>
    </row>
    <row r="94" spans="1:32" x14ac:dyDescent="0.2">
      <c r="A94"/>
      <c r="B94"/>
      <c r="C94"/>
      <c r="D94"/>
      <c r="E94"/>
      <c r="F94"/>
      <c r="G94"/>
      <c r="H94"/>
      <c r="I94"/>
      <c r="J94"/>
      <c r="K94"/>
      <c r="M94"/>
      <c r="N94"/>
      <c r="O94"/>
      <c r="P94"/>
      <c r="Q94"/>
      <c r="R94"/>
      <c r="S94"/>
      <c r="T94"/>
      <c r="Y94"/>
      <c r="Z94"/>
      <c r="AA94"/>
      <c r="AB94"/>
      <c r="AC94"/>
      <c r="AD94"/>
      <c r="AE94"/>
      <c r="AF94"/>
    </row>
    <row r="95" spans="1:32" x14ac:dyDescent="0.2">
      <c r="A95"/>
      <c r="B95"/>
      <c r="C95"/>
      <c r="D95"/>
      <c r="E95"/>
      <c r="F95"/>
      <c r="G95"/>
      <c r="H95"/>
      <c r="I95"/>
      <c r="J95"/>
      <c r="K95"/>
      <c r="M95"/>
      <c r="N95"/>
      <c r="O95"/>
      <c r="P95"/>
      <c r="Q95"/>
      <c r="R95"/>
      <c r="S95"/>
      <c r="T95"/>
      <c r="Y95"/>
      <c r="Z95"/>
      <c r="AA95"/>
      <c r="AB95"/>
      <c r="AC95"/>
      <c r="AD95"/>
      <c r="AE95"/>
      <c r="AF95"/>
    </row>
    <row r="96" spans="1:32" x14ac:dyDescent="0.2">
      <c r="A96"/>
      <c r="B96"/>
      <c r="C96"/>
      <c r="D96"/>
      <c r="E96"/>
      <c r="F96"/>
      <c r="G96"/>
      <c r="H96"/>
      <c r="I96"/>
      <c r="J96"/>
      <c r="K96"/>
      <c r="M96"/>
      <c r="N96"/>
      <c r="O96"/>
      <c r="P96"/>
      <c r="Q96"/>
      <c r="R96"/>
      <c r="S96"/>
      <c r="T96"/>
      <c r="Y96"/>
      <c r="Z96"/>
      <c r="AA96"/>
      <c r="AB96"/>
      <c r="AC96"/>
      <c r="AD96"/>
      <c r="AE96"/>
      <c r="AF96"/>
    </row>
    <row r="97" spans="1:32" x14ac:dyDescent="0.2">
      <c r="A97"/>
      <c r="B97"/>
      <c r="C97"/>
      <c r="D97"/>
      <c r="E97"/>
      <c r="F97"/>
      <c r="G97"/>
      <c r="H97"/>
      <c r="I97"/>
      <c r="J97"/>
      <c r="K97"/>
      <c r="M97"/>
      <c r="N97"/>
      <c r="O97"/>
      <c r="P97"/>
      <c r="Q97"/>
      <c r="R97"/>
      <c r="S97"/>
      <c r="T97"/>
      <c r="Y97"/>
      <c r="Z97"/>
      <c r="AA97"/>
      <c r="AB97"/>
      <c r="AC97"/>
      <c r="AD97"/>
      <c r="AE97"/>
      <c r="AF97"/>
    </row>
    <row r="98" spans="1:32" x14ac:dyDescent="0.2">
      <c r="A98"/>
      <c r="B98"/>
      <c r="C98"/>
      <c r="D98"/>
      <c r="E98"/>
      <c r="F98"/>
      <c r="G98"/>
      <c r="H98"/>
      <c r="I98"/>
      <c r="J98"/>
      <c r="K98"/>
      <c r="M98"/>
      <c r="N98"/>
      <c r="O98"/>
      <c r="P98"/>
      <c r="Q98"/>
      <c r="R98"/>
      <c r="S98"/>
      <c r="T98"/>
      <c r="Y98"/>
      <c r="Z98"/>
      <c r="AA98"/>
      <c r="AB98"/>
      <c r="AC98"/>
      <c r="AD98"/>
      <c r="AE98"/>
      <c r="AF98"/>
    </row>
    <row r="99" spans="1:32" x14ac:dyDescent="0.2">
      <c r="A99"/>
      <c r="B99"/>
      <c r="C99"/>
      <c r="D99"/>
      <c r="E99"/>
      <c r="F99"/>
      <c r="G99"/>
      <c r="H99"/>
      <c r="I99"/>
      <c r="J99"/>
      <c r="K99"/>
      <c r="M99"/>
      <c r="N99"/>
      <c r="O99"/>
      <c r="P99"/>
      <c r="Q99"/>
      <c r="R99"/>
      <c r="S99"/>
      <c r="T99"/>
      <c r="Y99"/>
      <c r="Z99"/>
      <c r="AA99"/>
      <c r="AB99"/>
      <c r="AC99"/>
      <c r="AD99"/>
      <c r="AE99"/>
      <c r="AF99"/>
    </row>
    <row r="100" spans="1:32" x14ac:dyDescent="0.2">
      <c r="A100"/>
      <c r="B100"/>
      <c r="C100"/>
      <c r="D100"/>
      <c r="E100"/>
      <c r="F100"/>
      <c r="G100"/>
      <c r="H100"/>
      <c r="I100"/>
      <c r="J100"/>
      <c r="K100"/>
      <c r="M100"/>
      <c r="N100"/>
      <c r="O100"/>
      <c r="P100"/>
      <c r="Q100"/>
      <c r="R100"/>
      <c r="S100"/>
      <c r="T100"/>
      <c r="Y100"/>
      <c r="Z100"/>
      <c r="AA100"/>
      <c r="AB100"/>
      <c r="AC100"/>
      <c r="AD100"/>
      <c r="AE100"/>
      <c r="AF100"/>
    </row>
    <row r="101" spans="1:32" x14ac:dyDescent="0.2">
      <c r="A101"/>
      <c r="B101"/>
      <c r="C101"/>
      <c r="D101"/>
      <c r="E101"/>
      <c r="F101"/>
      <c r="G101"/>
      <c r="H101"/>
      <c r="I101"/>
      <c r="J101"/>
      <c r="K101"/>
      <c r="M101"/>
      <c r="N101"/>
      <c r="O101"/>
      <c r="P101"/>
      <c r="Q101"/>
      <c r="R101"/>
      <c r="S101"/>
      <c r="T101"/>
      <c r="Y101"/>
      <c r="Z101"/>
      <c r="AA101"/>
      <c r="AB101"/>
      <c r="AC101"/>
      <c r="AD101"/>
      <c r="AE101"/>
      <c r="AF101"/>
    </row>
    <row r="102" spans="1:32" x14ac:dyDescent="0.2">
      <c r="A102"/>
      <c r="B102"/>
      <c r="C102"/>
      <c r="D102"/>
      <c r="E102"/>
      <c r="F102"/>
      <c r="G102"/>
      <c r="H102"/>
      <c r="M102"/>
      <c r="N102"/>
      <c r="O102"/>
      <c r="P102"/>
      <c r="Q102"/>
      <c r="R102"/>
      <c r="S102"/>
      <c r="T102"/>
      <c r="Y102"/>
      <c r="Z102"/>
      <c r="AA102"/>
      <c r="AB102"/>
      <c r="AC102"/>
      <c r="AD102"/>
      <c r="AE102"/>
      <c r="AF102"/>
    </row>
    <row r="103" spans="1:32" x14ac:dyDescent="0.2">
      <c r="A103"/>
      <c r="B103"/>
      <c r="C103"/>
      <c r="D103"/>
      <c r="E103"/>
      <c r="F103"/>
      <c r="G103"/>
      <c r="H103"/>
      <c r="M103"/>
      <c r="N103"/>
      <c r="O103"/>
      <c r="P103"/>
      <c r="Q103"/>
      <c r="R103"/>
      <c r="S103"/>
      <c r="T103"/>
      <c r="Y103"/>
      <c r="Z103"/>
      <c r="AA103"/>
      <c r="AB103"/>
      <c r="AC103"/>
      <c r="AD103"/>
      <c r="AE103"/>
      <c r="AF103"/>
    </row>
    <row r="104" spans="1:32" x14ac:dyDescent="0.2">
      <c r="A104"/>
      <c r="B104"/>
      <c r="C104"/>
      <c r="D104"/>
      <c r="E104"/>
      <c r="F104"/>
      <c r="G104"/>
      <c r="H104"/>
      <c r="M104"/>
      <c r="N104"/>
      <c r="O104"/>
      <c r="P104"/>
      <c r="Q104"/>
      <c r="R104"/>
      <c r="S104"/>
      <c r="T104"/>
      <c r="Y104"/>
      <c r="Z104"/>
      <c r="AA104"/>
      <c r="AB104"/>
      <c r="AC104"/>
      <c r="AD104"/>
      <c r="AE104"/>
      <c r="AF104"/>
    </row>
    <row r="105" spans="1:32" x14ac:dyDescent="0.2">
      <c r="A105"/>
      <c r="B105"/>
      <c r="C105"/>
      <c r="D105"/>
      <c r="E105"/>
      <c r="F105"/>
      <c r="G105"/>
      <c r="H105"/>
      <c r="M105"/>
      <c r="N105"/>
      <c r="O105"/>
      <c r="P105"/>
      <c r="Q105"/>
      <c r="R105"/>
      <c r="S105"/>
      <c r="T105"/>
      <c r="Y105"/>
      <c r="Z105"/>
      <c r="AA105"/>
      <c r="AB105"/>
      <c r="AC105"/>
      <c r="AD105"/>
      <c r="AE105"/>
      <c r="AF105"/>
    </row>
    <row r="106" spans="1:32" x14ac:dyDescent="0.2">
      <c r="A106"/>
      <c r="B106"/>
      <c r="C106"/>
      <c r="D106"/>
      <c r="E106"/>
      <c r="F106"/>
      <c r="G106"/>
      <c r="H106"/>
      <c r="M106"/>
      <c r="N106"/>
      <c r="O106"/>
      <c r="P106"/>
      <c r="Q106"/>
      <c r="R106"/>
      <c r="S106"/>
      <c r="T106"/>
      <c r="Y106"/>
      <c r="Z106"/>
      <c r="AA106"/>
      <c r="AB106"/>
      <c r="AC106"/>
      <c r="AD106"/>
      <c r="AE106"/>
      <c r="AF106"/>
    </row>
    <row r="107" spans="1:32" x14ac:dyDescent="0.2">
      <c r="A107"/>
      <c r="B107"/>
      <c r="C107"/>
      <c r="D107"/>
      <c r="E107"/>
      <c r="F107"/>
      <c r="G107"/>
      <c r="H107"/>
      <c r="M107"/>
      <c r="N107"/>
      <c r="O107"/>
      <c r="P107"/>
      <c r="Q107"/>
      <c r="R107"/>
      <c r="S107"/>
      <c r="T107"/>
      <c r="Y107"/>
      <c r="Z107"/>
      <c r="AA107"/>
      <c r="AB107"/>
      <c r="AC107"/>
      <c r="AD107"/>
      <c r="AE107"/>
      <c r="AF107"/>
    </row>
    <row r="108" spans="1:32" x14ac:dyDescent="0.2">
      <c r="A108"/>
      <c r="B108"/>
      <c r="C108"/>
      <c r="D108"/>
      <c r="E108"/>
      <c r="F108"/>
      <c r="G108"/>
      <c r="H108"/>
      <c r="M108"/>
      <c r="N108"/>
      <c r="O108"/>
      <c r="P108"/>
      <c r="Q108"/>
      <c r="R108"/>
      <c r="S108"/>
      <c r="T108"/>
      <c r="Y108"/>
      <c r="Z108"/>
      <c r="AA108"/>
      <c r="AB108"/>
      <c r="AC108"/>
      <c r="AD108"/>
      <c r="AE108"/>
      <c r="AF108"/>
    </row>
    <row r="109" spans="1:32" x14ac:dyDescent="0.2">
      <c r="A109"/>
      <c r="B109"/>
      <c r="C109"/>
      <c r="D109"/>
      <c r="E109"/>
      <c r="F109"/>
      <c r="G109"/>
      <c r="H109"/>
      <c r="M109"/>
      <c r="N109"/>
      <c r="O109"/>
      <c r="P109"/>
      <c r="Q109"/>
      <c r="R109"/>
      <c r="S109"/>
      <c r="T109"/>
      <c r="Y109"/>
      <c r="Z109"/>
      <c r="AA109"/>
      <c r="AB109"/>
      <c r="AC109"/>
      <c r="AD109"/>
      <c r="AE109"/>
      <c r="AF109"/>
    </row>
    <row r="110" spans="1:32" x14ac:dyDescent="0.2">
      <c r="A110"/>
      <c r="B110"/>
      <c r="C110"/>
      <c r="D110"/>
      <c r="E110"/>
      <c r="F110"/>
      <c r="G110"/>
      <c r="H110"/>
      <c r="M110"/>
      <c r="N110"/>
      <c r="O110"/>
      <c r="P110"/>
      <c r="Q110"/>
      <c r="R110"/>
      <c r="S110"/>
      <c r="T110"/>
      <c r="Y110"/>
      <c r="Z110"/>
      <c r="AA110"/>
      <c r="AB110"/>
      <c r="AC110"/>
      <c r="AD110"/>
      <c r="AE110"/>
      <c r="AF110"/>
    </row>
    <row r="111" spans="1:32" x14ac:dyDescent="0.2">
      <c r="A111"/>
      <c r="B111"/>
      <c r="C111"/>
      <c r="D111"/>
      <c r="E111"/>
      <c r="F111"/>
      <c r="G111"/>
      <c r="H111"/>
      <c r="M111"/>
      <c r="N111"/>
      <c r="O111"/>
      <c r="P111"/>
      <c r="Q111"/>
      <c r="R111"/>
      <c r="S111"/>
      <c r="T111"/>
      <c r="Y111"/>
      <c r="Z111"/>
      <c r="AA111"/>
      <c r="AB111"/>
      <c r="AC111"/>
      <c r="AD111"/>
      <c r="AE111"/>
      <c r="AF111"/>
    </row>
    <row r="112" spans="1:32" x14ac:dyDescent="0.2">
      <c r="A112"/>
      <c r="B112"/>
      <c r="C112"/>
      <c r="D112"/>
      <c r="E112"/>
      <c r="F112"/>
      <c r="G112"/>
      <c r="H112"/>
      <c r="M112"/>
      <c r="N112"/>
      <c r="O112"/>
      <c r="P112"/>
      <c r="Q112"/>
      <c r="R112"/>
      <c r="S112"/>
      <c r="T112"/>
      <c r="Y112"/>
      <c r="Z112"/>
      <c r="AA112"/>
      <c r="AB112"/>
      <c r="AC112"/>
      <c r="AD112"/>
      <c r="AE112"/>
      <c r="AF112"/>
    </row>
    <row r="113" spans="1:32" x14ac:dyDescent="0.2">
      <c r="A113"/>
      <c r="B113"/>
      <c r="C113"/>
      <c r="D113"/>
      <c r="E113"/>
      <c r="F113"/>
      <c r="G113"/>
      <c r="H113"/>
      <c r="M113"/>
      <c r="N113"/>
      <c r="O113"/>
      <c r="P113"/>
      <c r="Q113"/>
      <c r="R113"/>
      <c r="S113"/>
      <c r="T113"/>
      <c r="Y113"/>
      <c r="Z113"/>
      <c r="AA113"/>
      <c r="AB113"/>
      <c r="AC113"/>
      <c r="AD113"/>
      <c r="AE113"/>
      <c r="AF113"/>
    </row>
    <row r="114" spans="1:32" x14ac:dyDescent="0.2">
      <c r="A114"/>
      <c r="B114"/>
      <c r="C114"/>
      <c r="D114"/>
      <c r="E114"/>
      <c r="F114"/>
      <c r="G114"/>
      <c r="H114"/>
      <c r="M114"/>
      <c r="N114"/>
      <c r="O114"/>
      <c r="P114"/>
      <c r="Q114"/>
      <c r="R114"/>
      <c r="S114"/>
      <c r="T114"/>
      <c r="Y114"/>
      <c r="Z114"/>
      <c r="AA114"/>
      <c r="AB114"/>
      <c r="AC114"/>
      <c r="AD114"/>
      <c r="AE114"/>
      <c r="AF114"/>
    </row>
    <row r="115" spans="1:32" x14ac:dyDescent="0.2">
      <c r="A115"/>
      <c r="B115"/>
      <c r="C115"/>
      <c r="D115"/>
      <c r="E115"/>
      <c r="F115"/>
      <c r="G115"/>
      <c r="H115"/>
      <c r="M115"/>
      <c r="N115"/>
      <c r="O115"/>
      <c r="P115"/>
      <c r="Q115"/>
      <c r="R115"/>
      <c r="S115"/>
      <c r="T115"/>
      <c r="Y115"/>
      <c r="Z115"/>
      <c r="AA115"/>
      <c r="AB115"/>
      <c r="AC115"/>
      <c r="AD115"/>
      <c r="AE115"/>
      <c r="AF115"/>
    </row>
    <row r="116" spans="1:32" x14ac:dyDescent="0.2">
      <c r="A116"/>
      <c r="B116"/>
      <c r="C116"/>
      <c r="D116"/>
      <c r="E116"/>
      <c r="F116"/>
      <c r="G116"/>
      <c r="H116"/>
      <c r="M116"/>
      <c r="N116"/>
      <c r="O116"/>
      <c r="P116"/>
      <c r="Q116"/>
      <c r="R116"/>
      <c r="S116"/>
      <c r="T116"/>
      <c r="Y116"/>
      <c r="Z116"/>
      <c r="AA116"/>
      <c r="AB116"/>
      <c r="AC116"/>
      <c r="AD116"/>
      <c r="AE116"/>
      <c r="AF116"/>
    </row>
    <row r="117" spans="1:32" x14ac:dyDescent="0.2">
      <c r="A117"/>
      <c r="B117"/>
      <c r="C117"/>
      <c r="D117"/>
      <c r="E117"/>
      <c r="F117"/>
      <c r="G117"/>
      <c r="H117"/>
      <c r="M117"/>
      <c r="N117"/>
      <c r="O117"/>
      <c r="P117"/>
      <c r="Q117"/>
      <c r="R117"/>
      <c r="S117"/>
      <c r="T117"/>
      <c r="Y117"/>
      <c r="Z117"/>
      <c r="AA117"/>
      <c r="AB117"/>
      <c r="AC117"/>
      <c r="AD117"/>
      <c r="AE117"/>
      <c r="AF117"/>
    </row>
    <row r="118" spans="1:32" x14ac:dyDescent="0.2">
      <c r="A118"/>
      <c r="B118"/>
      <c r="C118"/>
      <c r="D118"/>
      <c r="E118"/>
      <c r="F118"/>
      <c r="G118"/>
      <c r="H118"/>
      <c r="M118"/>
      <c r="N118"/>
      <c r="O118"/>
      <c r="P118"/>
      <c r="Q118"/>
      <c r="R118"/>
      <c r="S118"/>
      <c r="T118"/>
      <c r="Y118"/>
      <c r="Z118"/>
      <c r="AA118"/>
      <c r="AB118"/>
      <c r="AC118"/>
      <c r="AD118"/>
      <c r="AE118"/>
      <c r="AF118"/>
    </row>
    <row r="119" spans="1:32" x14ac:dyDescent="0.2">
      <c r="A119"/>
      <c r="B119"/>
      <c r="C119"/>
      <c r="D119"/>
      <c r="E119"/>
      <c r="F119"/>
      <c r="G119"/>
      <c r="H119"/>
      <c r="M119"/>
      <c r="N119"/>
      <c r="O119"/>
      <c r="P119"/>
      <c r="Q119"/>
      <c r="R119"/>
      <c r="S119"/>
      <c r="T119"/>
      <c r="Y119"/>
      <c r="Z119"/>
      <c r="AA119"/>
      <c r="AB119"/>
      <c r="AC119"/>
      <c r="AD119"/>
      <c r="AE119"/>
      <c r="AF119"/>
    </row>
    <row r="120" spans="1:32" x14ac:dyDescent="0.2">
      <c r="A120"/>
      <c r="B120"/>
      <c r="C120"/>
      <c r="D120"/>
      <c r="E120"/>
      <c r="F120"/>
      <c r="G120"/>
      <c r="H120"/>
      <c r="M120"/>
      <c r="N120"/>
      <c r="O120"/>
      <c r="P120"/>
      <c r="Q120"/>
      <c r="R120"/>
      <c r="S120"/>
      <c r="T120"/>
      <c r="Y120"/>
      <c r="Z120"/>
      <c r="AA120"/>
      <c r="AB120"/>
      <c r="AC120"/>
      <c r="AD120"/>
      <c r="AE120"/>
      <c r="AF120"/>
    </row>
    <row r="121" spans="1:32" x14ac:dyDescent="0.2">
      <c r="A121"/>
      <c r="B121"/>
      <c r="C121"/>
      <c r="D121"/>
      <c r="E121"/>
      <c r="F121"/>
      <c r="G121"/>
      <c r="H121"/>
      <c r="M121"/>
      <c r="N121"/>
      <c r="O121"/>
      <c r="P121"/>
      <c r="Q121"/>
      <c r="R121"/>
      <c r="S121"/>
      <c r="T121"/>
      <c r="Y121"/>
      <c r="Z121"/>
      <c r="AA121"/>
      <c r="AB121"/>
      <c r="AC121"/>
      <c r="AD121"/>
      <c r="AE121"/>
      <c r="AF121"/>
    </row>
    <row r="122" spans="1:32" x14ac:dyDescent="0.2">
      <c r="A122"/>
      <c r="B122"/>
      <c r="C122"/>
      <c r="D122"/>
      <c r="E122"/>
      <c r="F122"/>
      <c r="G122"/>
      <c r="H122"/>
      <c r="M122"/>
      <c r="N122"/>
      <c r="O122"/>
      <c r="P122"/>
      <c r="Q122"/>
      <c r="R122"/>
      <c r="S122"/>
      <c r="T122"/>
      <c r="Y122"/>
      <c r="Z122"/>
      <c r="AA122"/>
      <c r="AB122"/>
      <c r="AC122"/>
      <c r="AD122"/>
      <c r="AE122"/>
      <c r="AF122"/>
    </row>
    <row r="123" spans="1:32" x14ac:dyDescent="0.2">
      <c r="A123"/>
      <c r="B123"/>
      <c r="C123"/>
      <c r="D123"/>
      <c r="E123"/>
      <c r="F123"/>
      <c r="G123"/>
      <c r="H123"/>
      <c r="M123"/>
      <c r="N123"/>
      <c r="O123"/>
      <c r="P123"/>
      <c r="Q123"/>
      <c r="R123"/>
      <c r="S123"/>
      <c r="T123"/>
      <c r="Y123"/>
      <c r="Z123"/>
      <c r="AA123"/>
      <c r="AB123"/>
      <c r="AC123"/>
      <c r="AD123"/>
      <c r="AE123"/>
      <c r="AF123"/>
    </row>
    <row r="124" spans="1:32" x14ac:dyDescent="0.2">
      <c r="A124"/>
      <c r="B124"/>
      <c r="C124"/>
      <c r="D124"/>
      <c r="E124"/>
      <c r="F124"/>
      <c r="G124"/>
      <c r="H124"/>
      <c r="M124"/>
      <c r="N124"/>
      <c r="O124"/>
      <c r="P124"/>
      <c r="Q124"/>
      <c r="R124"/>
      <c r="S124"/>
      <c r="T124"/>
      <c r="Y124"/>
      <c r="Z124"/>
      <c r="AA124"/>
      <c r="AB124"/>
      <c r="AC124"/>
      <c r="AD124"/>
      <c r="AE124"/>
      <c r="AF124"/>
    </row>
    <row r="125" spans="1:32" x14ac:dyDescent="0.2">
      <c r="A125"/>
      <c r="B125"/>
      <c r="C125"/>
      <c r="D125"/>
      <c r="E125"/>
      <c r="F125"/>
      <c r="G125"/>
      <c r="H125"/>
      <c r="M125"/>
      <c r="N125"/>
      <c r="O125"/>
      <c r="P125"/>
      <c r="Q125"/>
      <c r="R125"/>
      <c r="S125"/>
      <c r="T125"/>
      <c r="Y125"/>
      <c r="Z125"/>
      <c r="AA125"/>
      <c r="AB125"/>
      <c r="AC125"/>
      <c r="AD125"/>
      <c r="AE125"/>
      <c r="AF125"/>
    </row>
    <row r="126" spans="1:32" x14ac:dyDescent="0.2">
      <c r="A126"/>
      <c r="B126"/>
      <c r="C126"/>
      <c r="D126"/>
      <c r="E126"/>
      <c r="F126"/>
      <c r="G126"/>
      <c r="H126"/>
      <c r="M126"/>
      <c r="N126"/>
      <c r="O126"/>
      <c r="P126"/>
      <c r="Q126"/>
      <c r="R126"/>
      <c r="S126"/>
      <c r="T126"/>
      <c r="Y126"/>
      <c r="Z126"/>
      <c r="AA126"/>
      <c r="AB126"/>
      <c r="AC126"/>
      <c r="AD126"/>
      <c r="AE126"/>
      <c r="AF126"/>
    </row>
    <row r="127" spans="1:32" x14ac:dyDescent="0.2">
      <c r="A127"/>
      <c r="B127"/>
      <c r="C127"/>
      <c r="D127"/>
      <c r="E127"/>
      <c r="F127"/>
      <c r="G127"/>
      <c r="H127"/>
      <c r="M127"/>
      <c r="N127"/>
      <c r="O127"/>
      <c r="P127"/>
      <c r="Q127"/>
      <c r="R127"/>
      <c r="S127"/>
      <c r="T127"/>
      <c r="Y127"/>
      <c r="Z127"/>
      <c r="AA127"/>
      <c r="AB127"/>
      <c r="AC127"/>
      <c r="AD127"/>
      <c r="AE127"/>
      <c r="AF127"/>
    </row>
    <row r="128" spans="1:32" x14ac:dyDescent="0.2">
      <c r="A128"/>
      <c r="B128"/>
      <c r="C128"/>
      <c r="D128"/>
      <c r="E128"/>
      <c r="F128"/>
      <c r="G128"/>
      <c r="H128"/>
      <c r="M128"/>
      <c r="N128"/>
      <c r="O128"/>
      <c r="P128"/>
      <c r="Q128"/>
      <c r="R128"/>
      <c r="S128"/>
      <c r="T128"/>
      <c r="Y128"/>
      <c r="Z128"/>
      <c r="AA128"/>
      <c r="AB128"/>
      <c r="AC128"/>
      <c r="AD128"/>
      <c r="AE128"/>
      <c r="AF128"/>
    </row>
    <row r="129" spans="1:32" x14ac:dyDescent="0.2">
      <c r="A129"/>
      <c r="B129"/>
      <c r="C129"/>
      <c r="D129"/>
      <c r="E129"/>
      <c r="F129"/>
      <c r="G129"/>
      <c r="H129"/>
      <c r="M129"/>
      <c r="N129"/>
      <c r="O129"/>
      <c r="P129"/>
      <c r="Q129"/>
      <c r="R129"/>
      <c r="S129"/>
      <c r="T129"/>
      <c r="Y129"/>
      <c r="Z129"/>
      <c r="AA129"/>
      <c r="AB129"/>
      <c r="AC129"/>
      <c r="AD129"/>
      <c r="AE129"/>
      <c r="AF129"/>
    </row>
    <row r="130" spans="1:32" x14ac:dyDescent="0.2">
      <c r="A130"/>
      <c r="B130"/>
      <c r="C130"/>
      <c r="D130"/>
      <c r="E130"/>
      <c r="F130"/>
      <c r="G130"/>
      <c r="H130"/>
      <c r="M130"/>
      <c r="N130"/>
      <c r="O130"/>
      <c r="P130"/>
      <c r="Q130"/>
      <c r="R130"/>
      <c r="S130"/>
      <c r="T130"/>
      <c r="Y130"/>
      <c r="Z130"/>
      <c r="AA130"/>
      <c r="AB130"/>
      <c r="AC130"/>
      <c r="AD130"/>
      <c r="AE130"/>
      <c r="AF130"/>
    </row>
    <row r="131" spans="1:32" x14ac:dyDescent="0.2">
      <c r="A131"/>
      <c r="B131"/>
      <c r="C131"/>
      <c r="D131"/>
      <c r="E131"/>
      <c r="F131"/>
      <c r="G131"/>
      <c r="H131"/>
      <c r="M131"/>
      <c r="N131"/>
      <c r="O131"/>
      <c r="P131"/>
      <c r="Q131"/>
      <c r="R131"/>
      <c r="S131"/>
      <c r="T131"/>
      <c r="Y131"/>
      <c r="Z131"/>
      <c r="AA131"/>
      <c r="AB131"/>
      <c r="AC131"/>
      <c r="AD131"/>
      <c r="AE131"/>
      <c r="AF131"/>
    </row>
    <row r="132" spans="1:32" x14ac:dyDescent="0.2">
      <c r="A132"/>
      <c r="B132"/>
      <c r="C132"/>
      <c r="D132"/>
      <c r="E132"/>
      <c r="F132"/>
      <c r="G132"/>
      <c r="H132"/>
      <c r="M132"/>
      <c r="N132"/>
      <c r="O132"/>
      <c r="P132"/>
      <c r="Q132"/>
      <c r="R132"/>
      <c r="S132"/>
      <c r="T132"/>
      <c r="Y132"/>
      <c r="Z132"/>
      <c r="AA132"/>
      <c r="AB132"/>
      <c r="AC132"/>
      <c r="AD132"/>
      <c r="AE132"/>
      <c r="AF132"/>
    </row>
    <row r="133" spans="1:32" x14ac:dyDescent="0.2">
      <c r="A133"/>
      <c r="B133"/>
      <c r="C133"/>
      <c r="D133"/>
      <c r="E133"/>
      <c r="F133"/>
      <c r="G133"/>
      <c r="H133"/>
      <c r="M133"/>
      <c r="N133"/>
      <c r="O133"/>
      <c r="P133"/>
      <c r="Q133"/>
      <c r="R133"/>
      <c r="S133"/>
      <c r="T133"/>
      <c r="Y133"/>
      <c r="Z133"/>
      <c r="AA133"/>
      <c r="AB133"/>
      <c r="AC133"/>
      <c r="AD133"/>
      <c r="AE133"/>
      <c r="AF133"/>
    </row>
    <row r="134" spans="1:32" x14ac:dyDescent="0.2">
      <c r="M134"/>
      <c r="N134"/>
      <c r="O134"/>
      <c r="P134"/>
      <c r="Q134"/>
      <c r="R134"/>
      <c r="S134"/>
      <c r="T134"/>
      <c r="Y134"/>
      <c r="Z134"/>
      <c r="AA134"/>
      <c r="AB134"/>
      <c r="AC134"/>
      <c r="AD134"/>
      <c r="AE134"/>
      <c r="AF134"/>
    </row>
    <row r="135" spans="1:32" x14ac:dyDescent="0.2">
      <c r="M135"/>
      <c r="N135"/>
      <c r="O135"/>
      <c r="P135"/>
      <c r="Q135"/>
      <c r="R135"/>
      <c r="S135"/>
      <c r="T135"/>
      <c r="Y135"/>
      <c r="Z135"/>
      <c r="AA135"/>
      <c r="AB135"/>
      <c r="AC135"/>
      <c r="AD135"/>
      <c r="AE135"/>
      <c r="AF135"/>
    </row>
    <row r="136" spans="1:32" x14ac:dyDescent="0.2">
      <c r="M136"/>
      <c r="N136"/>
      <c r="O136"/>
      <c r="P136"/>
      <c r="Q136"/>
      <c r="R136"/>
      <c r="S136"/>
      <c r="T136"/>
      <c r="Y136"/>
      <c r="Z136"/>
      <c r="AA136"/>
      <c r="AB136"/>
      <c r="AC136"/>
      <c r="AD136"/>
      <c r="AE136"/>
      <c r="AF136"/>
    </row>
    <row r="137" spans="1:32" x14ac:dyDescent="0.2">
      <c r="M137"/>
      <c r="N137"/>
      <c r="O137"/>
      <c r="P137"/>
      <c r="Q137"/>
      <c r="R137"/>
      <c r="S137"/>
      <c r="T137"/>
      <c r="Y137"/>
      <c r="Z137"/>
      <c r="AA137"/>
      <c r="AB137"/>
      <c r="AC137"/>
      <c r="AD137"/>
      <c r="AE137"/>
      <c r="AF137"/>
    </row>
    <row r="138" spans="1:32" x14ac:dyDescent="0.2">
      <c r="M138"/>
      <c r="N138"/>
      <c r="O138"/>
      <c r="P138"/>
      <c r="Q138"/>
      <c r="R138"/>
      <c r="S138"/>
      <c r="T138"/>
      <c r="Y138"/>
      <c r="Z138"/>
      <c r="AA138"/>
      <c r="AB138"/>
      <c r="AC138"/>
      <c r="AD138"/>
      <c r="AE138"/>
      <c r="AF138"/>
    </row>
    <row r="139" spans="1:32" x14ac:dyDescent="0.2">
      <c r="M139"/>
      <c r="N139"/>
      <c r="O139"/>
      <c r="P139"/>
      <c r="Q139"/>
      <c r="R139"/>
      <c r="S139"/>
      <c r="T139"/>
      <c r="Y139"/>
      <c r="Z139"/>
      <c r="AA139"/>
      <c r="AB139"/>
      <c r="AC139"/>
      <c r="AD139"/>
      <c r="AE139"/>
      <c r="AF139"/>
    </row>
    <row r="140" spans="1:32" x14ac:dyDescent="0.2">
      <c r="M140"/>
      <c r="N140"/>
      <c r="O140"/>
      <c r="P140"/>
      <c r="Q140"/>
      <c r="R140"/>
      <c r="S140"/>
      <c r="T140"/>
      <c r="Y140"/>
      <c r="Z140"/>
      <c r="AA140"/>
      <c r="AB140"/>
      <c r="AC140"/>
      <c r="AD140"/>
      <c r="AE140"/>
      <c r="AF140"/>
    </row>
    <row r="141" spans="1:32" x14ac:dyDescent="0.2">
      <c r="M141"/>
      <c r="N141"/>
      <c r="O141"/>
      <c r="P141"/>
      <c r="Q141"/>
      <c r="R141"/>
      <c r="S141"/>
      <c r="T141"/>
      <c r="Y141"/>
      <c r="Z141"/>
      <c r="AA141"/>
      <c r="AB141"/>
      <c r="AC141"/>
      <c r="AD141"/>
      <c r="AE141"/>
      <c r="AF141"/>
    </row>
    <row r="142" spans="1:32" x14ac:dyDescent="0.2">
      <c r="M142"/>
      <c r="N142"/>
      <c r="O142"/>
      <c r="P142"/>
      <c r="Q142"/>
      <c r="R142"/>
      <c r="S142"/>
      <c r="T142"/>
      <c r="Y142"/>
      <c r="Z142"/>
      <c r="AA142"/>
      <c r="AB142"/>
      <c r="AC142"/>
      <c r="AD142"/>
      <c r="AE142"/>
      <c r="AF142"/>
    </row>
    <row r="143" spans="1:32" x14ac:dyDescent="0.2">
      <c r="M143"/>
      <c r="N143"/>
      <c r="O143"/>
      <c r="P143"/>
      <c r="Q143"/>
      <c r="R143"/>
      <c r="S143"/>
      <c r="T143"/>
      <c r="Y143"/>
      <c r="Z143"/>
      <c r="AA143"/>
      <c r="AB143"/>
      <c r="AC143"/>
      <c r="AD143"/>
      <c r="AE143"/>
      <c r="AF143"/>
    </row>
    <row r="144" spans="1:32" x14ac:dyDescent="0.2">
      <c r="M144"/>
      <c r="N144"/>
      <c r="O144"/>
      <c r="P144"/>
      <c r="Q144"/>
      <c r="R144"/>
      <c r="S144"/>
      <c r="T144"/>
      <c r="Y144"/>
      <c r="Z144"/>
      <c r="AA144"/>
      <c r="AB144"/>
      <c r="AC144"/>
      <c r="AD144"/>
      <c r="AE144"/>
      <c r="AF144"/>
    </row>
    <row r="145" spans="13:32" x14ac:dyDescent="0.2">
      <c r="M145"/>
      <c r="N145"/>
      <c r="O145"/>
      <c r="P145"/>
      <c r="Q145"/>
      <c r="R145"/>
      <c r="S145"/>
      <c r="T145"/>
      <c r="Y145"/>
      <c r="Z145"/>
      <c r="AA145"/>
      <c r="AB145"/>
      <c r="AC145"/>
      <c r="AD145"/>
      <c r="AE145"/>
      <c r="AF145"/>
    </row>
    <row r="146" spans="13:32" x14ac:dyDescent="0.2">
      <c r="M146"/>
      <c r="N146"/>
      <c r="O146"/>
      <c r="P146"/>
      <c r="Q146"/>
      <c r="R146"/>
      <c r="S146"/>
      <c r="T146"/>
      <c r="Y146"/>
      <c r="Z146"/>
      <c r="AA146"/>
      <c r="AB146"/>
      <c r="AC146"/>
      <c r="AD146"/>
      <c r="AE146"/>
      <c r="AF146"/>
    </row>
    <row r="147" spans="13:32" x14ac:dyDescent="0.2">
      <c r="M147"/>
      <c r="N147"/>
      <c r="O147"/>
      <c r="P147"/>
      <c r="Q147"/>
      <c r="R147"/>
      <c r="S147"/>
      <c r="T147"/>
      <c r="Y147"/>
      <c r="Z147"/>
      <c r="AA147"/>
      <c r="AB147"/>
      <c r="AC147"/>
      <c r="AD147"/>
      <c r="AE147"/>
      <c r="AF147"/>
    </row>
    <row r="148" spans="13:32" x14ac:dyDescent="0.2">
      <c r="M148"/>
      <c r="N148"/>
      <c r="O148"/>
      <c r="P148"/>
      <c r="Q148"/>
      <c r="R148"/>
      <c r="S148"/>
      <c r="T148"/>
      <c r="Y148"/>
      <c r="Z148"/>
      <c r="AA148"/>
      <c r="AB148"/>
      <c r="AC148"/>
      <c r="AD148"/>
      <c r="AE148"/>
      <c r="AF148"/>
    </row>
    <row r="149" spans="13:32" x14ac:dyDescent="0.2">
      <c r="M149"/>
      <c r="N149"/>
      <c r="O149"/>
      <c r="P149"/>
      <c r="Q149"/>
      <c r="R149"/>
      <c r="S149"/>
      <c r="T149"/>
      <c r="Y149"/>
      <c r="Z149"/>
      <c r="AA149"/>
      <c r="AB149"/>
      <c r="AC149"/>
      <c r="AD149"/>
      <c r="AE149"/>
      <c r="AF149"/>
    </row>
    <row r="150" spans="13:32" x14ac:dyDescent="0.2">
      <c r="M150"/>
      <c r="N150"/>
      <c r="O150"/>
      <c r="P150"/>
      <c r="Q150"/>
      <c r="R150"/>
      <c r="S150"/>
      <c r="T150"/>
      <c r="Y150"/>
      <c r="Z150"/>
      <c r="AA150"/>
      <c r="AB150"/>
      <c r="AC150"/>
      <c r="AD150"/>
      <c r="AE150"/>
      <c r="AF150"/>
    </row>
    <row r="151" spans="13:32" x14ac:dyDescent="0.2">
      <c r="M151"/>
      <c r="N151"/>
      <c r="O151"/>
      <c r="P151"/>
      <c r="Q151"/>
      <c r="R151"/>
      <c r="S151"/>
      <c r="T151"/>
      <c r="Y151"/>
      <c r="Z151"/>
      <c r="AA151"/>
      <c r="AB151"/>
      <c r="AC151"/>
      <c r="AD151"/>
      <c r="AE151"/>
      <c r="AF151"/>
    </row>
    <row r="152" spans="13:32" x14ac:dyDescent="0.2">
      <c r="M152"/>
      <c r="N152"/>
      <c r="O152"/>
      <c r="P152"/>
      <c r="Q152"/>
      <c r="R152"/>
      <c r="S152"/>
      <c r="T152"/>
      <c r="Y152"/>
      <c r="Z152"/>
      <c r="AA152"/>
      <c r="AB152"/>
      <c r="AC152"/>
      <c r="AD152"/>
      <c r="AE152"/>
      <c r="AF152"/>
    </row>
    <row r="153" spans="13:32" x14ac:dyDescent="0.2">
      <c r="M153"/>
      <c r="N153"/>
      <c r="O153"/>
      <c r="P153"/>
      <c r="Q153"/>
      <c r="R153"/>
      <c r="S153"/>
      <c r="T153"/>
      <c r="Y153"/>
      <c r="Z153"/>
      <c r="AA153"/>
      <c r="AB153"/>
      <c r="AC153"/>
      <c r="AD153"/>
      <c r="AE153"/>
      <c r="AF153"/>
    </row>
    <row r="154" spans="13:32" x14ac:dyDescent="0.2">
      <c r="M154"/>
      <c r="N154"/>
      <c r="O154"/>
      <c r="P154"/>
      <c r="Q154"/>
      <c r="R154"/>
      <c r="S154"/>
      <c r="T154"/>
      <c r="Y154"/>
      <c r="Z154"/>
      <c r="AA154"/>
      <c r="AB154"/>
      <c r="AC154"/>
      <c r="AD154"/>
      <c r="AE154"/>
      <c r="AF154"/>
    </row>
    <row r="155" spans="13:32" x14ac:dyDescent="0.2">
      <c r="M155"/>
      <c r="N155"/>
      <c r="O155"/>
      <c r="P155"/>
      <c r="Q155"/>
      <c r="R155"/>
      <c r="S155"/>
      <c r="T155"/>
      <c r="Y155"/>
      <c r="Z155"/>
      <c r="AA155"/>
      <c r="AB155"/>
      <c r="AC155"/>
      <c r="AD155"/>
      <c r="AE155"/>
      <c r="AF155"/>
    </row>
    <row r="156" spans="13:32" x14ac:dyDescent="0.2">
      <c r="M156"/>
      <c r="N156"/>
      <c r="O156"/>
      <c r="P156"/>
      <c r="Q156"/>
      <c r="R156"/>
      <c r="S156"/>
      <c r="T156"/>
      <c r="Y156"/>
      <c r="Z156"/>
      <c r="AA156"/>
      <c r="AB156"/>
      <c r="AC156"/>
      <c r="AD156"/>
      <c r="AE156"/>
      <c r="AF156"/>
    </row>
    <row r="157" spans="13:32" x14ac:dyDescent="0.2">
      <c r="M157"/>
      <c r="N157"/>
      <c r="O157"/>
      <c r="P157"/>
      <c r="Q157"/>
      <c r="R157"/>
      <c r="S157"/>
      <c r="T157"/>
      <c r="Y157"/>
      <c r="Z157"/>
      <c r="AA157"/>
      <c r="AB157"/>
      <c r="AC157"/>
      <c r="AD157"/>
      <c r="AE157"/>
      <c r="AF157"/>
    </row>
    <row r="158" spans="13:32" x14ac:dyDescent="0.2">
      <c r="M158"/>
      <c r="N158"/>
      <c r="O158"/>
      <c r="P158"/>
      <c r="Q158"/>
      <c r="R158"/>
      <c r="S158"/>
      <c r="T158"/>
      <c r="Y158"/>
      <c r="Z158"/>
      <c r="AA158"/>
      <c r="AB158"/>
      <c r="AC158"/>
      <c r="AD158"/>
      <c r="AE158"/>
      <c r="AF158"/>
    </row>
    <row r="159" spans="13:32" x14ac:dyDescent="0.2">
      <c r="M159"/>
      <c r="N159"/>
      <c r="O159"/>
      <c r="P159"/>
      <c r="Q159"/>
      <c r="R159"/>
      <c r="S159"/>
      <c r="T159"/>
      <c r="Y159"/>
      <c r="Z159"/>
      <c r="AA159"/>
      <c r="AB159"/>
      <c r="AC159"/>
      <c r="AD159"/>
      <c r="AE159"/>
      <c r="AF159"/>
    </row>
    <row r="160" spans="13:32" x14ac:dyDescent="0.2">
      <c r="M160"/>
      <c r="N160"/>
      <c r="O160"/>
      <c r="P160"/>
      <c r="Q160"/>
      <c r="R160"/>
      <c r="S160"/>
      <c r="T160"/>
      <c r="Y160"/>
      <c r="Z160"/>
      <c r="AA160"/>
      <c r="AB160"/>
      <c r="AC160"/>
      <c r="AD160"/>
      <c r="AE160"/>
      <c r="AF160"/>
    </row>
    <row r="161" spans="13:32" x14ac:dyDescent="0.2">
      <c r="M161"/>
      <c r="N161"/>
      <c r="O161"/>
      <c r="P161"/>
      <c r="Q161"/>
      <c r="R161"/>
      <c r="S161"/>
      <c r="T161"/>
      <c r="Y161"/>
      <c r="Z161"/>
      <c r="AA161"/>
      <c r="AB161"/>
      <c r="AC161"/>
      <c r="AD161"/>
      <c r="AE161"/>
      <c r="AF161"/>
    </row>
    <row r="162" spans="13:32" x14ac:dyDescent="0.2">
      <c r="M162"/>
      <c r="N162"/>
      <c r="O162"/>
      <c r="P162"/>
      <c r="Q162"/>
      <c r="R162"/>
      <c r="S162"/>
      <c r="T162"/>
      <c r="Y162"/>
      <c r="Z162"/>
      <c r="AA162"/>
      <c r="AB162"/>
      <c r="AC162"/>
      <c r="AD162"/>
      <c r="AE162"/>
      <c r="AF162"/>
    </row>
    <row r="163" spans="13:32" x14ac:dyDescent="0.2">
      <c r="M163"/>
      <c r="N163"/>
      <c r="O163"/>
      <c r="P163"/>
      <c r="Q163"/>
      <c r="R163"/>
      <c r="S163"/>
      <c r="T163"/>
      <c r="Y163"/>
      <c r="Z163"/>
      <c r="AA163"/>
      <c r="AB163"/>
      <c r="AC163"/>
      <c r="AD163"/>
      <c r="AE163"/>
      <c r="AF163"/>
    </row>
    <row r="164" spans="13:32" x14ac:dyDescent="0.2">
      <c r="M164"/>
      <c r="N164"/>
      <c r="O164"/>
      <c r="P164"/>
      <c r="Q164"/>
      <c r="R164"/>
      <c r="S164"/>
      <c r="T164"/>
      <c r="Y164"/>
      <c r="Z164"/>
      <c r="AA164"/>
      <c r="AB164"/>
      <c r="AC164"/>
      <c r="AD164"/>
      <c r="AE164"/>
      <c r="AF164"/>
    </row>
    <row r="165" spans="13:32" x14ac:dyDescent="0.2">
      <c r="M165"/>
      <c r="N165"/>
      <c r="O165"/>
      <c r="P165"/>
      <c r="Q165"/>
      <c r="R165"/>
      <c r="S165"/>
      <c r="T165"/>
      <c r="Y165"/>
      <c r="Z165"/>
      <c r="AA165"/>
      <c r="AB165"/>
      <c r="AC165"/>
      <c r="AD165"/>
      <c r="AE165"/>
      <c r="AF165"/>
    </row>
    <row r="166" spans="13:32" x14ac:dyDescent="0.2">
      <c r="M166"/>
      <c r="N166"/>
      <c r="O166"/>
      <c r="P166"/>
      <c r="Q166"/>
      <c r="R166"/>
      <c r="S166"/>
      <c r="T166"/>
      <c r="Y166"/>
      <c r="Z166"/>
      <c r="AA166"/>
      <c r="AB166"/>
      <c r="AC166"/>
      <c r="AD166"/>
      <c r="AE166"/>
      <c r="AF166"/>
    </row>
    <row r="167" spans="13:32" x14ac:dyDescent="0.2">
      <c r="M167"/>
      <c r="N167"/>
      <c r="O167"/>
      <c r="P167"/>
      <c r="Q167"/>
      <c r="R167"/>
      <c r="S167"/>
      <c r="T167"/>
      <c r="Y167"/>
      <c r="Z167"/>
      <c r="AA167"/>
      <c r="AB167"/>
      <c r="AC167"/>
      <c r="AD167"/>
      <c r="AE167"/>
      <c r="AF167"/>
    </row>
    <row r="168" spans="13:32" x14ac:dyDescent="0.2">
      <c r="M168"/>
      <c r="N168"/>
      <c r="O168"/>
      <c r="P168"/>
      <c r="Q168"/>
      <c r="R168"/>
      <c r="S168"/>
      <c r="T168"/>
      <c r="Y168"/>
      <c r="Z168"/>
      <c r="AA168"/>
      <c r="AB168"/>
      <c r="AC168"/>
      <c r="AD168"/>
      <c r="AE168"/>
      <c r="AF168"/>
    </row>
    <row r="169" spans="13:32" x14ac:dyDescent="0.2">
      <c r="M169"/>
      <c r="N169"/>
      <c r="O169"/>
      <c r="P169"/>
      <c r="Q169"/>
      <c r="R169"/>
      <c r="S169"/>
      <c r="T169"/>
      <c r="Y169"/>
      <c r="Z169"/>
      <c r="AA169"/>
      <c r="AB169"/>
      <c r="AC169"/>
      <c r="AD169"/>
      <c r="AE169"/>
      <c r="AF169"/>
    </row>
    <row r="170" spans="13:32" x14ac:dyDescent="0.2">
      <c r="M170"/>
      <c r="N170"/>
      <c r="O170"/>
      <c r="P170"/>
      <c r="Q170"/>
      <c r="R170"/>
      <c r="S170"/>
      <c r="T170"/>
      <c r="Y170"/>
      <c r="Z170"/>
      <c r="AA170"/>
      <c r="AB170"/>
      <c r="AC170"/>
      <c r="AD170"/>
      <c r="AE170"/>
      <c r="AF170"/>
    </row>
    <row r="171" spans="13:32" x14ac:dyDescent="0.2">
      <c r="M171"/>
      <c r="N171"/>
      <c r="O171"/>
      <c r="P171"/>
      <c r="Q171"/>
      <c r="R171"/>
      <c r="S171"/>
      <c r="T171"/>
      <c r="Y171"/>
      <c r="Z171"/>
      <c r="AA171"/>
      <c r="AB171"/>
      <c r="AC171"/>
      <c r="AD171"/>
      <c r="AE171"/>
      <c r="AF171"/>
    </row>
    <row r="172" spans="13:32" x14ac:dyDescent="0.2">
      <c r="M172"/>
      <c r="N172"/>
      <c r="O172"/>
      <c r="P172"/>
      <c r="Q172"/>
      <c r="R172"/>
      <c r="S172"/>
      <c r="T172"/>
      <c r="Y172"/>
      <c r="Z172"/>
      <c r="AA172"/>
      <c r="AB172"/>
      <c r="AC172"/>
      <c r="AD172"/>
      <c r="AE172"/>
      <c r="AF172"/>
    </row>
    <row r="173" spans="13:32" x14ac:dyDescent="0.2">
      <c r="M173"/>
      <c r="N173"/>
      <c r="O173"/>
      <c r="P173"/>
      <c r="Q173"/>
      <c r="R173"/>
      <c r="S173"/>
      <c r="T173"/>
      <c r="Y173"/>
      <c r="Z173"/>
      <c r="AA173"/>
      <c r="AB173"/>
      <c r="AC173"/>
      <c r="AD173"/>
      <c r="AE173"/>
      <c r="AF173"/>
    </row>
    <row r="174" spans="13:32" x14ac:dyDescent="0.2">
      <c r="M174"/>
      <c r="N174"/>
      <c r="O174"/>
      <c r="P174"/>
      <c r="Q174"/>
      <c r="R174"/>
      <c r="S174"/>
      <c r="T174"/>
      <c r="Y174"/>
      <c r="Z174"/>
      <c r="AA174"/>
      <c r="AB174"/>
      <c r="AC174"/>
      <c r="AD174"/>
      <c r="AE174"/>
      <c r="AF174"/>
    </row>
    <row r="175" spans="13:32" x14ac:dyDescent="0.2">
      <c r="M175"/>
      <c r="N175"/>
      <c r="O175"/>
      <c r="P175"/>
      <c r="Q175"/>
      <c r="R175"/>
      <c r="S175"/>
      <c r="T175"/>
      <c r="Y175"/>
      <c r="Z175"/>
      <c r="AA175"/>
      <c r="AB175"/>
      <c r="AC175"/>
      <c r="AD175"/>
      <c r="AE175"/>
      <c r="AF175"/>
    </row>
    <row r="176" spans="13:32" x14ac:dyDescent="0.2">
      <c r="M176"/>
      <c r="N176"/>
      <c r="O176"/>
      <c r="P176"/>
      <c r="Q176"/>
      <c r="R176"/>
      <c r="S176"/>
      <c r="T176"/>
      <c r="Y176"/>
      <c r="Z176"/>
      <c r="AA176"/>
      <c r="AB176"/>
      <c r="AC176"/>
      <c r="AD176"/>
      <c r="AE176"/>
      <c r="AF176"/>
    </row>
    <row r="177" spans="13:32" x14ac:dyDescent="0.2">
      <c r="M177"/>
      <c r="N177"/>
      <c r="O177"/>
      <c r="P177"/>
      <c r="Q177"/>
      <c r="R177"/>
      <c r="S177"/>
      <c r="T177"/>
      <c r="Y177"/>
      <c r="Z177"/>
      <c r="AA177"/>
      <c r="AB177"/>
      <c r="AC177"/>
      <c r="AD177"/>
      <c r="AE177"/>
      <c r="AF177"/>
    </row>
    <row r="178" spans="13:32" x14ac:dyDescent="0.2">
      <c r="M178"/>
      <c r="N178"/>
      <c r="O178"/>
      <c r="P178"/>
      <c r="Q178"/>
      <c r="R178"/>
      <c r="S178"/>
      <c r="T178"/>
      <c r="Y178"/>
      <c r="Z178"/>
      <c r="AA178"/>
      <c r="AB178"/>
      <c r="AC178"/>
      <c r="AD178"/>
      <c r="AE178"/>
      <c r="AF178"/>
    </row>
    <row r="179" spans="13:32" x14ac:dyDescent="0.2">
      <c r="M179"/>
      <c r="N179"/>
      <c r="O179"/>
      <c r="P179"/>
      <c r="Q179"/>
      <c r="R179"/>
      <c r="S179"/>
      <c r="T179"/>
      <c r="Y179"/>
      <c r="Z179"/>
      <c r="AA179"/>
      <c r="AB179"/>
      <c r="AC179"/>
      <c r="AD179"/>
      <c r="AE179"/>
      <c r="AF179"/>
    </row>
    <row r="180" spans="13:32" x14ac:dyDescent="0.2">
      <c r="M180"/>
      <c r="N180"/>
      <c r="O180"/>
      <c r="P180"/>
      <c r="Q180"/>
      <c r="R180"/>
      <c r="S180"/>
      <c r="T180"/>
      <c r="Y180"/>
      <c r="Z180"/>
      <c r="AA180"/>
      <c r="AB180"/>
      <c r="AC180"/>
      <c r="AD180"/>
      <c r="AE180"/>
      <c r="AF180"/>
    </row>
    <row r="181" spans="13:32" x14ac:dyDescent="0.2">
      <c r="M181"/>
      <c r="N181"/>
      <c r="O181"/>
      <c r="P181"/>
      <c r="Q181"/>
      <c r="R181"/>
      <c r="S181"/>
      <c r="T181"/>
      <c r="Y181"/>
      <c r="Z181"/>
      <c r="AA181"/>
      <c r="AB181"/>
      <c r="AC181"/>
      <c r="AD181"/>
      <c r="AE181"/>
      <c r="AF181"/>
    </row>
    <row r="182" spans="13:32" x14ac:dyDescent="0.2">
      <c r="M182"/>
      <c r="N182"/>
      <c r="O182"/>
      <c r="P182"/>
      <c r="Q182"/>
      <c r="R182"/>
      <c r="S182"/>
      <c r="T182"/>
      <c r="Y182"/>
      <c r="Z182"/>
      <c r="AA182"/>
      <c r="AB182"/>
      <c r="AC182"/>
      <c r="AD182"/>
      <c r="AE182"/>
      <c r="AF182"/>
    </row>
    <row r="183" spans="13:32" x14ac:dyDescent="0.2">
      <c r="M183"/>
      <c r="N183"/>
      <c r="O183"/>
      <c r="P183"/>
      <c r="Q183"/>
      <c r="R183"/>
      <c r="S183"/>
      <c r="T183"/>
      <c r="Y183"/>
      <c r="Z183"/>
      <c r="AA183"/>
      <c r="AB183"/>
      <c r="AC183"/>
      <c r="AD183"/>
      <c r="AE183"/>
      <c r="AF183"/>
    </row>
    <row r="184" spans="13:32" x14ac:dyDescent="0.2">
      <c r="M184"/>
      <c r="N184"/>
      <c r="O184"/>
      <c r="P184"/>
      <c r="Q184"/>
      <c r="R184"/>
      <c r="S184"/>
      <c r="T184"/>
      <c r="Y184"/>
      <c r="Z184"/>
      <c r="AA184"/>
      <c r="AB184"/>
      <c r="AC184"/>
      <c r="AD184"/>
      <c r="AE184"/>
      <c r="AF184"/>
    </row>
    <row r="185" spans="13:32" x14ac:dyDescent="0.2">
      <c r="M185"/>
      <c r="N185"/>
      <c r="O185"/>
      <c r="P185"/>
      <c r="Q185"/>
      <c r="R185"/>
      <c r="S185"/>
      <c r="T185"/>
      <c r="Y185"/>
      <c r="Z185"/>
      <c r="AA185"/>
      <c r="AB185"/>
      <c r="AC185"/>
      <c r="AD185"/>
      <c r="AE185"/>
      <c r="AF185"/>
    </row>
    <row r="186" spans="13:32" x14ac:dyDescent="0.2">
      <c r="M186"/>
      <c r="N186"/>
      <c r="O186"/>
      <c r="P186"/>
      <c r="Q186"/>
      <c r="R186"/>
      <c r="S186"/>
      <c r="T186"/>
      <c r="Y186"/>
      <c r="Z186"/>
      <c r="AA186"/>
      <c r="AB186"/>
      <c r="AC186"/>
      <c r="AD186"/>
      <c r="AE186"/>
      <c r="AF186"/>
    </row>
    <row r="187" spans="13:32" x14ac:dyDescent="0.2">
      <c r="M187"/>
      <c r="N187"/>
      <c r="O187"/>
      <c r="P187"/>
      <c r="Q187"/>
      <c r="R187"/>
      <c r="S187"/>
      <c r="T187"/>
      <c r="Y187"/>
      <c r="Z187"/>
      <c r="AA187"/>
      <c r="AB187"/>
      <c r="AC187"/>
      <c r="AD187"/>
      <c r="AE187"/>
      <c r="AF187"/>
    </row>
    <row r="188" spans="13:32" x14ac:dyDescent="0.2">
      <c r="M188"/>
      <c r="N188"/>
      <c r="O188"/>
      <c r="P188"/>
      <c r="Q188"/>
      <c r="R188"/>
      <c r="S188"/>
      <c r="T188"/>
      <c r="Y188"/>
      <c r="Z188"/>
      <c r="AA188"/>
      <c r="AB188"/>
      <c r="AC188"/>
      <c r="AD188"/>
      <c r="AE188"/>
      <c r="AF188"/>
    </row>
    <row r="189" spans="13:32" x14ac:dyDescent="0.2">
      <c r="M189"/>
      <c r="N189"/>
      <c r="O189"/>
      <c r="P189"/>
      <c r="Q189"/>
      <c r="R189"/>
      <c r="S189"/>
      <c r="T189"/>
      <c r="Y189"/>
      <c r="Z189"/>
      <c r="AA189"/>
      <c r="AB189"/>
      <c r="AC189"/>
      <c r="AD189"/>
      <c r="AE189"/>
      <c r="AF189"/>
    </row>
    <row r="190" spans="13:32" x14ac:dyDescent="0.2">
      <c r="M190"/>
      <c r="N190"/>
      <c r="O190"/>
      <c r="P190"/>
      <c r="Q190"/>
      <c r="R190"/>
      <c r="S190"/>
      <c r="T190"/>
      <c r="Y190"/>
      <c r="Z190"/>
      <c r="AA190"/>
      <c r="AB190"/>
      <c r="AC190"/>
      <c r="AD190"/>
      <c r="AE190"/>
      <c r="AF190"/>
    </row>
    <row r="191" spans="13:32" x14ac:dyDescent="0.2">
      <c r="M191"/>
      <c r="N191"/>
      <c r="O191"/>
      <c r="P191"/>
      <c r="Q191"/>
      <c r="R191"/>
      <c r="S191"/>
      <c r="T191"/>
      <c r="Y191"/>
      <c r="Z191"/>
      <c r="AA191"/>
      <c r="AB191"/>
      <c r="AC191"/>
      <c r="AD191"/>
      <c r="AE191"/>
      <c r="AF191"/>
    </row>
    <row r="192" spans="13:32" x14ac:dyDescent="0.2">
      <c r="M192"/>
      <c r="N192"/>
      <c r="O192"/>
      <c r="P192"/>
      <c r="Q192"/>
      <c r="R192"/>
      <c r="S192"/>
      <c r="T192"/>
      <c r="Y192"/>
      <c r="Z192"/>
      <c r="AA192"/>
      <c r="AB192"/>
      <c r="AC192"/>
      <c r="AD192"/>
      <c r="AE192"/>
      <c r="AF192"/>
    </row>
    <row r="193" spans="13:32" x14ac:dyDescent="0.2">
      <c r="M193"/>
      <c r="N193"/>
      <c r="O193"/>
      <c r="P193"/>
      <c r="Q193"/>
      <c r="R193"/>
      <c r="S193"/>
      <c r="T193"/>
      <c r="Y193"/>
      <c r="Z193"/>
      <c r="AA193"/>
      <c r="AB193"/>
      <c r="AC193"/>
      <c r="AD193"/>
      <c r="AE193"/>
      <c r="AF193"/>
    </row>
    <row r="194" spans="13:32" x14ac:dyDescent="0.2">
      <c r="M194"/>
      <c r="N194"/>
      <c r="O194"/>
      <c r="P194"/>
      <c r="Q194"/>
      <c r="R194"/>
      <c r="S194"/>
      <c r="T194"/>
      <c r="Y194"/>
      <c r="Z194"/>
      <c r="AA194"/>
      <c r="AB194"/>
      <c r="AC194"/>
      <c r="AD194"/>
      <c r="AE194"/>
      <c r="AF194"/>
    </row>
    <row r="195" spans="13:32" x14ac:dyDescent="0.2">
      <c r="M195"/>
      <c r="N195"/>
      <c r="O195"/>
      <c r="P195"/>
      <c r="Q195"/>
      <c r="R195"/>
      <c r="S195"/>
      <c r="T195"/>
      <c r="Y195"/>
      <c r="Z195"/>
      <c r="AA195"/>
      <c r="AB195"/>
      <c r="AC195"/>
      <c r="AD195"/>
      <c r="AE195"/>
      <c r="AF195"/>
    </row>
    <row r="196" spans="13:32" x14ac:dyDescent="0.2">
      <c r="M196"/>
      <c r="N196"/>
      <c r="O196"/>
      <c r="P196"/>
      <c r="Q196"/>
      <c r="R196"/>
      <c r="S196"/>
      <c r="T196"/>
      <c r="Y196"/>
      <c r="Z196"/>
      <c r="AA196"/>
      <c r="AB196"/>
      <c r="AC196"/>
      <c r="AD196"/>
      <c r="AE196"/>
      <c r="AF196"/>
    </row>
    <row r="197" spans="13:32" x14ac:dyDescent="0.2">
      <c r="M197"/>
      <c r="N197"/>
      <c r="O197"/>
      <c r="P197"/>
      <c r="Q197"/>
      <c r="R197"/>
      <c r="S197"/>
      <c r="T197"/>
      <c r="Y197"/>
      <c r="Z197"/>
      <c r="AA197"/>
      <c r="AB197"/>
      <c r="AC197"/>
      <c r="AD197"/>
      <c r="AE197"/>
      <c r="AF197"/>
    </row>
    <row r="198" spans="13:32" x14ac:dyDescent="0.2">
      <c r="M198"/>
      <c r="N198"/>
      <c r="O198"/>
      <c r="P198"/>
      <c r="Q198"/>
      <c r="R198"/>
      <c r="S198"/>
      <c r="T198"/>
      <c r="Y198"/>
      <c r="Z198"/>
      <c r="AA198"/>
      <c r="AB198"/>
      <c r="AC198"/>
      <c r="AD198"/>
      <c r="AE198"/>
      <c r="AF198"/>
    </row>
    <row r="199" spans="13:32" x14ac:dyDescent="0.2">
      <c r="M199"/>
      <c r="N199"/>
      <c r="O199"/>
      <c r="P199"/>
      <c r="Q199"/>
      <c r="R199"/>
      <c r="S199"/>
      <c r="T199"/>
      <c r="Y199"/>
      <c r="Z199"/>
      <c r="AA199"/>
      <c r="AB199"/>
      <c r="AC199"/>
      <c r="AD199"/>
      <c r="AE199"/>
      <c r="AF199"/>
    </row>
    <row r="200" spans="13:32" x14ac:dyDescent="0.2">
      <c r="M200"/>
      <c r="N200"/>
      <c r="O200"/>
      <c r="P200"/>
      <c r="Q200"/>
      <c r="R200"/>
      <c r="S200"/>
      <c r="T200"/>
      <c r="Y200"/>
      <c r="Z200"/>
      <c r="AA200"/>
      <c r="AB200"/>
      <c r="AC200"/>
      <c r="AD200"/>
      <c r="AE200"/>
      <c r="AF200"/>
    </row>
    <row r="201" spans="13:32" x14ac:dyDescent="0.2">
      <c r="M201"/>
      <c r="N201"/>
      <c r="O201"/>
      <c r="P201"/>
      <c r="Q201"/>
      <c r="R201"/>
      <c r="S201"/>
      <c r="T201"/>
      <c r="Y201"/>
      <c r="Z201"/>
      <c r="AA201"/>
      <c r="AB201"/>
      <c r="AC201"/>
      <c r="AD201"/>
      <c r="AE201"/>
      <c r="AF201"/>
    </row>
    <row r="202" spans="13:32" x14ac:dyDescent="0.2">
      <c r="M202"/>
      <c r="N202"/>
      <c r="O202"/>
      <c r="P202"/>
      <c r="Q202"/>
      <c r="R202"/>
      <c r="S202"/>
      <c r="T202"/>
      <c r="Y202"/>
      <c r="Z202"/>
      <c r="AA202"/>
      <c r="AB202"/>
      <c r="AC202"/>
      <c r="AD202"/>
      <c r="AE202"/>
      <c r="AF202"/>
    </row>
    <row r="203" spans="13:32" x14ac:dyDescent="0.2">
      <c r="M203"/>
      <c r="N203"/>
      <c r="O203"/>
      <c r="P203"/>
      <c r="Q203"/>
      <c r="R203"/>
      <c r="S203"/>
      <c r="T203"/>
      <c r="Y203"/>
      <c r="Z203"/>
      <c r="AA203"/>
      <c r="AB203"/>
      <c r="AC203"/>
      <c r="AD203"/>
      <c r="AE203"/>
      <c r="AF203"/>
    </row>
    <row r="204" spans="13:32" x14ac:dyDescent="0.2">
      <c r="M204"/>
      <c r="N204"/>
      <c r="O204"/>
      <c r="P204"/>
      <c r="Q204"/>
      <c r="R204"/>
      <c r="S204"/>
      <c r="T204"/>
      <c r="Y204"/>
      <c r="Z204"/>
      <c r="AA204"/>
      <c r="AB204"/>
      <c r="AC204"/>
      <c r="AD204"/>
      <c r="AE204"/>
      <c r="AF204"/>
    </row>
    <row r="205" spans="13:32" x14ac:dyDescent="0.2">
      <c r="M205"/>
      <c r="N205"/>
      <c r="O205"/>
      <c r="P205"/>
      <c r="Q205"/>
      <c r="R205"/>
      <c r="S205"/>
      <c r="T205"/>
      <c r="Y205"/>
      <c r="Z205"/>
      <c r="AA205"/>
      <c r="AB205"/>
      <c r="AC205"/>
      <c r="AD205"/>
      <c r="AE205"/>
      <c r="AF205"/>
    </row>
    <row r="206" spans="13:32" x14ac:dyDescent="0.2">
      <c r="M206"/>
      <c r="N206"/>
      <c r="O206"/>
      <c r="P206"/>
      <c r="Q206"/>
      <c r="R206"/>
      <c r="S206"/>
      <c r="T206"/>
      <c r="Y206"/>
      <c r="Z206"/>
      <c r="AA206"/>
      <c r="AB206"/>
      <c r="AC206"/>
      <c r="AD206"/>
      <c r="AE206"/>
      <c r="AF206"/>
    </row>
    <row r="207" spans="13:32" x14ac:dyDescent="0.2">
      <c r="M207"/>
      <c r="N207"/>
      <c r="O207"/>
      <c r="P207"/>
      <c r="Q207"/>
      <c r="R207"/>
      <c r="S207"/>
      <c r="T207"/>
      <c r="Y207"/>
      <c r="Z207"/>
      <c r="AA207"/>
      <c r="AB207"/>
      <c r="AC207"/>
      <c r="AD207"/>
      <c r="AE207"/>
      <c r="AF207"/>
    </row>
    <row r="208" spans="13:32" x14ac:dyDescent="0.2">
      <c r="M208"/>
      <c r="N208"/>
      <c r="O208"/>
      <c r="P208"/>
      <c r="Q208"/>
      <c r="R208"/>
      <c r="S208"/>
      <c r="T208"/>
      <c r="Y208"/>
      <c r="Z208"/>
      <c r="AA208"/>
      <c r="AB208"/>
      <c r="AC208"/>
      <c r="AD208"/>
      <c r="AE208"/>
      <c r="AF208"/>
    </row>
    <row r="209" spans="13:32" x14ac:dyDescent="0.2">
      <c r="M209"/>
      <c r="N209"/>
      <c r="O209"/>
      <c r="P209"/>
      <c r="Q209"/>
      <c r="R209"/>
      <c r="S209"/>
      <c r="T209"/>
      <c r="Y209"/>
      <c r="Z209"/>
      <c r="AA209"/>
      <c r="AB209"/>
      <c r="AC209"/>
      <c r="AD209"/>
      <c r="AE209"/>
      <c r="AF209"/>
    </row>
    <row r="210" spans="13:32" x14ac:dyDescent="0.2">
      <c r="M210"/>
      <c r="N210"/>
      <c r="O210"/>
      <c r="P210"/>
      <c r="Q210"/>
      <c r="R210"/>
      <c r="S210"/>
      <c r="T210"/>
      <c r="Y210"/>
      <c r="Z210"/>
      <c r="AA210"/>
      <c r="AB210"/>
      <c r="AC210"/>
      <c r="AD210"/>
      <c r="AE210"/>
      <c r="AF210"/>
    </row>
    <row r="211" spans="13:32" x14ac:dyDescent="0.2">
      <c r="M211"/>
      <c r="N211"/>
      <c r="O211"/>
      <c r="P211"/>
      <c r="Q211"/>
      <c r="R211"/>
      <c r="S211"/>
      <c r="T211"/>
      <c r="Y211"/>
      <c r="Z211"/>
      <c r="AA211"/>
      <c r="AB211"/>
      <c r="AC211"/>
      <c r="AD211"/>
      <c r="AE211"/>
      <c r="AF211"/>
    </row>
    <row r="212" spans="13:32" x14ac:dyDescent="0.2">
      <c r="M212"/>
      <c r="N212"/>
      <c r="O212"/>
      <c r="P212"/>
      <c r="Q212"/>
      <c r="R212"/>
      <c r="S212"/>
      <c r="T212"/>
      <c r="Y212"/>
      <c r="Z212"/>
      <c r="AA212"/>
      <c r="AB212"/>
      <c r="AC212"/>
      <c r="AD212"/>
      <c r="AE212"/>
      <c r="AF212"/>
    </row>
    <row r="213" spans="13:32" x14ac:dyDescent="0.2">
      <c r="M213"/>
      <c r="N213"/>
      <c r="O213"/>
      <c r="P213"/>
      <c r="Q213"/>
      <c r="R213"/>
      <c r="S213"/>
      <c r="T213"/>
      <c r="Y213"/>
      <c r="Z213"/>
      <c r="AA213"/>
      <c r="AB213"/>
      <c r="AC213"/>
      <c r="AD213"/>
      <c r="AE213"/>
      <c r="AF213"/>
    </row>
    <row r="214" spans="13:32" x14ac:dyDescent="0.2">
      <c r="M214"/>
      <c r="N214"/>
      <c r="O214"/>
      <c r="P214"/>
      <c r="Q214"/>
      <c r="R214"/>
      <c r="S214"/>
      <c r="T214"/>
      <c r="Y214"/>
      <c r="Z214"/>
      <c r="AA214"/>
      <c r="AB214"/>
      <c r="AC214"/>
      <c r="AD214"/>
      <c r="AE214"/>
      <c r="AF214"/>
    </row>
    <row r="215" spans="13:32" x14ac:dyDescent="0.2">
      <c r="M215"/>
      <c r="N215"/>
      <c r="O215"/>
      <c r="P215"/>
      <c r="Q215"/>
      <c r="R215"/>
      <c r="S215"/>
      <c r="T215"/>
      <c r="Y215"/>
      <c r="Z215"/>
      <c r="AA215"/>
      <c r="AB215"/>
      <c r="AC215"/>
      <c r="AD215"/>
      <c r="AE215"/>
      <c r="AF215"/>
    </row>
    <row r="216" spans="13:32" x14ac:dyDescent="0.2">
      <c r="M216"/>
      <c r="N216"/>
      <c r="O216"/>
      <c r="P216"/>
      <c r="Q216"/>
      <c r="R216"/>
      <c r="S216"/>
      <c r="T216"/>
      <c r="Y216"/>
      <c r="Z216"/>
      <c r="AA216"/>
      <c r="AB216"/>
      <c r="AC216"/>
      <c r="AD216"/>
      <c r="AE216"/>
      <c r="AF216"/>
    </row>
    <row r="217" spans="13:32" x14ac:dyDescent="0.2">
      <c r="M217"/>
      <c r="N217"/>
      <c r="O217"/>
      <c r="P217"/>
      <c r="Q217"/>
      <c r="R217"/>
      <c r="S217"/>
      <c r="T217"/>
      <c r="Y217"/>
      <c r="Z217"/>
      <c r="AA217"/>
      <c r="AB217"/>
      <c r="AC217"/>
      <c r="AD217"/>
      <c r="AE217"/>
      <c r="AF217"/>
    </row>
    <row r="218" spans="13:32" x14ac:dyDescent="0.2">
      <c r="M218"/>
      <c r="N218"/>
      <c r="O218"/>
      <c r="P218"/>
      <c r="Q218"/>
      <c r="R218"/>
      <c r="S218"/>
      <c r="T218"/>
      <c r="Y218"/>
      <c r="Z218"/>
      <c r="AA218"/>
      <c r="AB218"/>
      <c r="AC218"/>
      <c r="AD218"/>
      <c r="AE218"/>
      <c r="AF218"/>
    </row>
    <row r="219" spans="13:32" x14ac:dyDescent="0.2">
      <c r="M219"/>
      <c r="N219"/>
      <c r="O219"/>
      <c r="P219"/>
      <c r="Q219"/>
      <c r="R219"/>
      <c r="S219"/>
      <c r="T219"/>
      <c r="Y219"/>
      <c r="Z219"/>
      <c r="AA219"/>
      <c r="AB219"/>
      <c r="AC219"/>
      <c r="AD219"/>
      <c r="AE219"/>
      <c r="AF219"/>
    </row>
    <row r="220" spans="13:32" x14ac:dyDescent="0.2">
      <c r="M220"/>
      <c r="N220"/>
      <c r="O220"/>
      <c r="P220"/>
      <c r="Q220"/>
      <c r="R220"/>
      <c r="S220"/>
      <c r="T220"/>
      <c r="Y220"/>
      <c r="Z220"/>
      <c r="AA220"/>
      <c r="AB220"/>
      <c r="AC220"/>
      <c r="AD220"/>
      <c r="AE220"/>
      <c r="AF220"/>
    </row>
    <row r="221" spans="13:32" x14ac:dyDescent="0.2">
      <c r="M221"/>
      <c r="N221"/>
      <c r="O221"/>
      <c r="P221"/>
      <c r="Q221"/>
      <c r="R221"/>
      <c r="S221"/>
      <c r="T221"/>
      <c r="Y221"/>
      <c r="Z221"/>
      <c r="AA221"/>
      <c r="AB221"/>
      <c r="AC221"/>
      <c r="AD221"/>
      <c r="AE221"/>
      <c r="AF221"/>
    </row>
    <row r="222" spans="13:32" x14ac:dyDescent="0.2">
      <c r="M222"/>
      <c r="N222"/>
      <c r="O222"/>
      <c r="P222"/>
      <c r="Q222"/>
      <c r="R222"/>
      <c r="S222"/>
      <c r="T222"/>
      <c r="Y222"/>
      <c r="Z222"/>
      <c r="AA222"/>
      <c r="AB222"/>
      <c r="AC222"/>
      <c r="AD222"/>
      <c r="AE222"/>
      <c r="AF222"/>
    </row>
    <row r="223" spans="13:32" x14ac:dyDescent="0.2">
      <c r="M223"/>
      <c r="N223"/>
      <c r="O223"/>
      <c r="P223"/>
      <c r="Q223"/>
      <c r="R223"/>
      <c r="S223"/>
      <c r="T223"/>
      <c r="Y223"/>
      <c r="Z223"/>
      <c r="AA223"/>
      <c r="AB223"/>
      <c r="AC223"/>
      <c r="AD223"/>
      <c r="AE223"/>
      <c r="AF223"/>
    </row>
    <row r="224" spans="13:32" x14ac:dyDescent="0.2">
      <c r="M224"/>
      <c r="N224"/>
      <c r="O224"/>
      <c r="P224"/>
      <c r="Q224"/>
      <c r="R224"/>
      <c r="S224"/>
      <c r="T224"/>
      <c r="Y224"/>
      <c r="Z224"/>
      <c r="AA224"/>
      <c r="AB224"/>
      <c r="AC224"/>
      <c r="AD224"/>
      <c r="AE224"/>
      <c r="AF224"/>
    </row>
    <row r="225" spans="13:32" x14ac:dyDescent="0.2">
      <c r="M225"/>
      <c r="N225"/>
      <c r="O225"/>
      <c r="P225"/>
      <c r="Q225"/>
      <c r="R225"/>
      <c r="S225"/>
      <c r="T225"/>
      <c r="Y225"/>
      <c r="Z225"/>
      <c r="AA225"/>
      <c r="AB225"/>
      <c r="AC225"/>
      <c r="AD225"/>
      <c r="AE225"/>
      <c r="AF225"/>
    </row>
    <row r="226" spans="13:32" x14ac:dyDescent="0.2">
      <c r="M226"/>
      <c r="N226"/>
      <c r="O226"/>
      <c r="P226"/>
      <c r="Q226"/>
      <c r="R226"/>
      <c r="S226"/>
      <c r="T226"/>
      <c r="Y226"/>
      <c r="Z226"/>
      <c r="AA226"/>
      <c r="AB226"/>
      <c r="AC226"/>
      <c r="AD226"/>
      <c r="AE226"/>
      <c r="AF226"/>
    </row>
    <row r="227" spans="13:32" x14ac:dyDescent="0.2">
      <c r="M227"/>
      <c r="N227"/>
      <c r="O227"/>
      <c r="P227"/>
      <c r="Q227"/>
      <c r="R227"/>
      <c r="S227"/>
      <c r="T227"/>
      <c r="Y227"/>
      <c r="Z227"/>
      <c r="AA227"/>
      <c r="AB227"/>
      <c r="AC227"/>
      <c r="AD227"/>
      <c r="AE227"/>
      <c r="AF227"/>
    </row>
    <row r="228" spans="13:32" x14ac:dyDescent="0.2">
      <c r="M228"/>
      <c r="N228"/>
      <c r="O228"/>
      <c r="P228"/>
      <c r="Q228"/>
      <c r="R228"/>
      <c r="S228"/>
      <c r="T228"/>
      <c r="Y228"/>
      <c r="Z228"/>
      <c r="AA228"/>
      <c r="AB228"/>
      <c r="AC228"/>
      <c r="AD228"/>
      <c r="AE228"/>
      <c r="AF228"/>
    </row>
    <row r="229" spans="13:32" x14ac:dyDescent="0.2">
      <c r="M229"/>
      <c r="N229"/>
      <c r="O229"/>
      <c r="P229"/>
      <c r="Q229"/>
      <c r="R229"/>
      <c r="S229"/>
      <c r="T229"/>
      <c r="Y229"/>
      <c r="Z229"/>
      <c r="AA229"/>
      <c r="AB229"/>
      <c r="AC229"/>
      <c r="AD229"/>
      <c r="AE229"/>
      <c r="AF229"/>
    </row>
    <row r="230" spans="13:32" x14ac:dyDescent="0.2">
      <c r="M230"/>
      <c r="N230"/>
      <c r="O230"/>
      <c r="P230"/>
      <c r="Q230"/>
      <c r="R230"/>
      <c r="S230"/>
      <c r="T230"/>
      <c r="Y230"/>
      <c r="Z230"/>
      <c r="AA230"/>
      <c r="AB230"/>
      <c r="AC230"/>
      <c r="AD230"/>
      <c r="AE230"/>
      <c r="AF230"/>
    </row>
    <row r="231" spans="13:32" x14ac:dyDescent="0.2">
      <c r="M231"/>
      <c r="N231"/>
      <c r="O231"/>
      <c r="P231"/>
      <c r="Q231"/>
      <c r="R231"/>
      <c r="S231"/>
      <c r="T231"/>
      <c r="Y231"/>
      <c r="Z231"/>
      <c r="AA231"/>
      <c r="AB231"/>
      <c r="AC231"/>
      <c r="AD231"/>
      <c r="AE231"/>
      <c r="AF231"/>
    </row>
    <row r="232" spans="13:32" x14ac:dyDescent="0.2">
      <c r="M232"/>
      <c r="N232"/>
      <c r="O232"/>
      <c r="P232"/>
      <c r="Q232"/>
      <c r="R232"/>
      <c r="S232"/>
      <c r="T232"/>
      <c r="Y232"/>
      <c r="Z232"/>
      <c r="AA232"/>
      <c r="AB232"/>
      <c r="AC232"/>
      <c r="AD232"/>
      <c r="AE232"/>
      <c r="AF232"/>
    </row>
    <row r="233" spans="13:32" x14ac:dyDescent="0.2">
      <c r="M233"/>
      <c r="N233"/>
      <c r="O233"/>
      <c r="P233"/>
      <c r="Q233"/>
      <c r="R233"/>
      <c r="S233"/>
      <c r="T233"/>
      <c r="Y233"/>
      <c r="Z233"/>
      <c r="AA233"/>
      <c r="AB233"/>
      <c r="AC233"/>
      <c r="AD233"/>
      <c r="AE233"/>
      <c r="AF233"/>
    </row>
    <row r="234" spans="13:32" x14ac:dyDescent="0.2">
      <c r="M234"/>
      <c r="N234"/>
      <c r="O234"/>
      <c r="P234"/>
      <c r="Q234"/>
      <c r="R234"/>
      <c r="S234"/>
      <c r="T234"/>
      <c r="Y234"/>
      <c r="Z234"/>
      <c r="AA234"/>
      <c r="AB234"/>
      <c r="AC234"/>
      <c r="AD234"/>
      <c r="AE234"/>
      <c r="AF234"/>
    </row>
    <row r="235" spans="13:32" x14ac:dyDescent="0.2">
      <c r="M235"/>
      <c r="N235"/>
      <c r="O235"/>
      <c r="P235"/>
      <c r="Q235"/>
      <c r="R235"/>
      <c r="S235"/>
      <c r="T235"/>
      <c r="Y235"/>
      <c r="Z235"/>
      <c r="AA235"/>
      <c r="AB235"/>
      <c r="AC235"/>
      <c r="AD235"/>
      <c r="AE235"/>
      <c r="AF235"/>
    </row>
    <row r="236" spans="13:32" x14ac:dyDescent="0.2">
      <c r="M236"/>
      <c r="N236"/>
      <c r="O236"/>
      <c r="P236"/>
      <c r="Q236"/>
      <c r="R236"/>
      <c r="S236"/>
      <c r="T236"/>
      <c r="Y236"/>
      <c r="Z236"/>
      <c r="AA236"/>
      <c r="AB236"/>
      <c r="AC236"/>
      <c r="AD236"/>
      <c r="AE236"/>
      <c r="AF236"/>
    </row>
    <row r="237" spans="13:32" x14ac:dyDescent="0.2">
      <c r="M237"/>
      <c r="N237"/>
      <c r="O237"/>
      <c r="P237"/>
      <c r="Q237"/>
      <c r="R237"/>
      <c r="S237"/>
      <c r="T237"/>
      <c r="Y237"/>
      <c r="Z237"/>
      <c r="AA237"/>
      <c r="AB237"/>
      <c r="AC237"/>
      <c r="AD237"/>
      <c r="AE237"/>
      <c r="AF237"/>
    </row>
    <row r="238" spans="13:32" x14ac:dyDescent="0.2">
      <c r="M238"/>
      <c r="N238"/>
      <c r="O238"/>
      <c r="P238"/>
      <c r="Q238"/>
      <c r="R238"/>
      <c r="S238"/>
      <c r="T238"/>
      <c r="Y238"/>
      <c r="Z238"/>
      <c r="AA238"/>
      <c r="AB238"/>
      <c r="AC238"/>
      <c r="AD238"/>
      <c r="AE238"/>
      <c r="AF238"/>
    </row>
    <row r="239" spans="13:32" x14ac:dyDescent="0.2">
      <c r="M239"/>
      <c r="N239"/>
      <c r="O239"/>
      <c r="P239"/>
      <c r="Q239"/>
      <c r="R239"/>
      <c r="S239"/>
      <c r="T239"/>
      <c r="Y239"/>
      <c r="Z239"/>
      <c r="AA239"/>
      <c r="AB239"/>
      <c r="AC239"/>
      <c r="AD239"/>
      <c r="AE239"/>
      <c r="AF239"/>
    </row>
    <row r="240" spans="13:32" x14ac:dyDescent="0.2">
      <c r="M240"/>
      <c r="N240"/>
      <c r="O240"/>
      <c r="P240"/>
      <c r="Q240"/>
      <c r="R240"/>
      <c r="S240"/>
      <c r="T240"/>
      <c r="Y240"/>
      <c r="Z240"/>
      <c r="AA240"/>
      <c r="AB240"/>
      <c r="AC240"/>
      <c r="AD240"/>
      <c r="AE240"/>
      <c r="AF240"/>
    </row>
    <row r="241" spans="13:32" x14ac:dyDescent="0.2">
      <c r="M241"/>
      <c r="N241"/>
      <c r="O241"/>
      <c r="P241"/>
      <c r="Q241"/>
      <c r="R241"/>
      <c r="S241"/>
      <c r="T241"/>
      <c r="Y241"/>
      <c r="Z241"/>
      <c r="AA241"/>
      <c r="AB241"/>
      <c r="AC241"/>
      <c r="AD241"/>
      <c r="AE241"/>
      <c r="AF241"/>
    </row>
    <row r="242" spans="13:32" x14ac:dyDescent="0.2">
      <c r="M242"/>
      <c r="N242"/>
      <c r="O242"/>
      <c r="P242"/>
      <c r="Q242"/>
      <c r="R242"/>
      <c r="S242"/>
      <c r="T242"/>
      <c r="Y242"/>
      <c r="Z242"/>
      <c r="AA242"/>
      <c r="AB242"/>
      <c r="AC242"/>
      <c r="AD242"/>
      <c r="AE242"/>
      <c r="AF242"/>
    </row>
    <row r="243" spans="13:32" x14ac:dyDescent="0.2">
      <c r="M243"/>
      <c r="N243"/>
      <c r="O243"/>
      <c r="P243"/>
      <c r="Q243"/>
      <c r="R243"/>
      <c r="S243"/>
      <c r="T243"/>
      <c r="Y243"/>
      <c r="Z243"/>
      <c r="AA243"/>
      <c r="AB243"/>
      <c r="AC243"/>
      <c r="AD243"/>
      <c r="AE243"/>
      <c r="AF243"/>
    </row>
    <row r="244" spans="13:32" x14ac:dyDescent="0.2">
      <c r="M244"/>
      <c r="N244"/>
      <c r="O244"/>
      <c r="P244"/>
      <c r="Q244"/>
      <c r="R244"/>
      <c r="S244"/>
      <c r="T244"/>
      <c r="Y244"/>
      <c r="Z244"/>
      <c r="AA244"/>
      <c r="AB244"/>
      <c r="AC244"/>
      <c r="AD244"/>
      <c r="AE244"/>
      <c r="AF244"/>
    </row>
    <row r="245" spans="13:32" x14ac:dyDescent="0.2">
      <c r="M245"/>
      <c r="N245"/>
      <c r="O245"/>
      <c r="P245"/>
      <c r="Q245"/>
      <c r="R245"/>
      <c r="S245"/>
      <c r="T245"/>
      <c r="Y245"/>
      <c r="Z245"/>
      <c r="AA245"/>
      <c r="AB245"/>
      <c r="AC245"/>
      <c r="AD245"/>
      <c r="AE245"/>
      <c r="AF245"/>
    </row>
    <row r="246" spans="13:32" x14ac:dyDescent="0.2">
      <c r="M246"/>
      <c r="N246"/>
      <c r="O246"/>
      <c r="P246"/>
      <c r="Q246"/>
      <c r="R246"/>
      <c r="S246"/>
      <c r="T246"/>
      <c r="Y246"/>
      <c r="Z246"/>
      <c r="AA246"/>
      <c r="AB246"/>
      <c r="AC246"/>
      <c r="AD246"/>
      <c r="AE246"/>
      <c r="AF246"/>
    </row>
    <row r="247" spans="13:32" x14ac:dyDescent="0.2">
      <c r="M247"/>
      <c r="N247"/>
      <c r="O247"/>
      <c r="P247"/>
      <c r="Q247"/>
      <c r="R247"/>
      <c r="S247"/>
      <c r="T247"/>
      <c r="Y247"/>
      <c r="Z247"/>
      <c r="AA247"/>
      <c r="AB247"/>
      <c r="AC247"/>
      <c r="AD247"/>
      <c r="AE247"/>
      <c r="AF247"/>
    </row>
    <row r="248" spans="13:32" x14ac:dyDescent="0.2">
      <c r="M248"/>
      <c r="N248"/>
      <c r="O248"/>
      <c r="P248"/>
      <c r="Q248"/>
      <c r="R248"/>
      <c r="S248"/>
      <c r="T248"/>
      <c r="Y248"/>
      <c r="Z248"/>
      <c r="AA248"/>
      <c r="AB248"/>
      <c r="AC248"/>
      <c r="AD248"/>
      <c r="AE248"/>
      <c r="AF248"/>
    </row>
    <row r="249" spans="13:32" x14ac:dyDescent="0.2">
      <c r="M249"/>
      <c r="N249"/>
      <c r="O249"/>
      <c r="P249"/>
      <c r="Q249"/>
      <c r="R249"/>
      <c r="S249"/>
      <c r="T249"/>
      <c r="Y249"/>
      <c r="Z249"/>
      <c r="AA249"/>
      <c r="AB249"/>
      <c r="AC249"/>
      <c r="AD249"/>
      <c r="AE249"/>
      <c r="AF249"/>
    </row>
    <row r="250" spans="13:32" x14ac:dyDescent="0.2">
      <c r="M250"/>
      <c r="N250"/>
      <c r="O250"/>
      <c r="P250"/>
      <c r="Q250"/>
      <c r="R250"/>
      <c r="S250"/>
      <c r="T250"/>
      <c r="Y250"/>
      <c r="Z250"/>
      <c r="AA250"/>
      <c r="AB250"/>
      <c r="AC250"/>
      <c r="AD250"/>
      <c r="AE250"/>
      <c r="AF250"/>
    </row>
    <row r="251" spans="13:32" x14ac:dyDescent="0.2">
      <c r="M251"/>
      <c r="N251"/>
      <c r="O251"/>
      <c r="P251"/>
      <c r="Q251"/>
      <c r="R251"/>
      <c r="S251"/>
      <c r="T251"/>
      <c r="Y251"/>
      <c r="Z251"/>
      <c r="AA251"/>
      <c r="AB251"/>
      <c r="AC251"/>
      <c r="AD251"/>
      <c r="AE251"/>
      <c r="AF251"/>
    </row>
    <row r="252" spans="13:32" x14ac:dyDescent="0.2">
      <c r="M252"/>
      <c r="N252"/>
      <c r="O252"/>
      <c r="P252"/>
      <c r="Q252"/>
      <c r="R252"/>
      <c r="S252"/>
      <c r="T252"/>
      <c r="Y252"/>
      <c r="Z252"/>
      <c r="AA252"/>
      <c r="AB252"/>
      <c r="AC252"/>
      <c r="AD252"/>
      <c r="AE252"/>
      <c r="AF252"/>
    </row>
    <row r="253" spans="13:32" x14ac:dyDescent="0.2">
      <c r="M253"/>
      <c r="N253"/>
      <c r="O253"/>
      <c r="P253"/>
      <c r="Q253"/>
      <c r="R253"/>
      <c r="S253"/>
      <c r="T253"/>
      <c r="Y253"/>
      <c r="Z253"/>
      <c r="AA253"/>
      <c r="AB253"/>
      <c r="AC253"/>
      <c r="AD253"/>
      <c r="AE253"/>
      <c r="AF253"/>
    </row>
    <row r="254" spans="13:32" x14ac:dyDescent="0.2">
      <c r="M254"/>
      <c r="N254"/>
      <c r="O254"/>
      <c r="P254"/>
      <c r="Q254"/>
      <c r="R254"/>
      <c r="S254"/>
      <c r="T254"/>
      <c r="Y254"/>
      <c r="Z254"/>
      <c r="AA254"/>
      <c r="AB254"/>
      <c r="AC254"/>
      <c r="AD254"/>
      <c r="AE254"/>
      <c r="AF254"/>
    </row>
    <row r="255" spans="13:32" x14ac:dyDescent="0.2">
      <c r="M255"/>
      <c r="N255"/>
      <c r="O255"/>
      <c r="P255"/>
      <c r="Q255"/>
      <c r="R255"/>
      <c r="S255"/>
      <c r="T255"/>
      <c r="Y255"/>
      <c r="Z255"/>
      <c r="AA255"/>
      <c r="AB255"/>
      <c r="AC255"/>
      <c r="AD255"/>
      <c r="AE255"/>
      <c r="AF255"/>
    </row>
    <row r="256" spans="13:32" x14ac:dyDescent="0.2">
      <c r="M256"/>
      <c r="N256"/>
      <c r="O256"/>
      <c r="P256"/>
      <c r="Q256"/>
      <c r="R256"/>
      <c r="S256"/>
      <c r="T256"/>
      <c r="Y256"/>
      <c r="Z256"/>
      <c r="AA256"/>
      <c r="AB256"/>
      <c r="AC256"/>
      <c r="AD256"/>
      <c r="AE256"/>
      <c r="AF256"/>
    </row>
    <row r="257" spans="13:32" x14ac:dyDescent="0.2">
      <c r="M257"/>
      <c r="N257"/>
      <c r="O257"/>
      <c r="P257"/>
      <c r="Q257"/>
      <c r="R257"/>
      <c r="S257"/>
      <c r="T257"/>
      <c r="Y257"/>
      <c r="Z257"/>
      <c r="AA257"/>
      <c r="AB257"/>
      <c r="AC257"/>
      <c r="AD257"/>
      <c r="AE257"/>
      <c r="AF257"/>
    </row>
    <row r="258" spans="13:32" x14ac:dyDescent="0.2">
      <c r="M258"/>
      <c r="N258"/>
      <c r="O258"/>
      <c r="P258"/>
      <c r="Q258"/>
      <c r="R258"/>
      <c r="S258"/>
      <c r="T258"/>
      <c r="Y258"/>
      <c r="Z258"/>
      <c r="AA258"/>
      <c r="AB258"/>
      <c r="AC258"/>
      <c r="AD258"/>
      <c r="AE258"/>
      <c r="AF258"/>
    </row>
    <row r="259" spans="13:32" x14ac:dyDescent="0.2">
      <c r="M259"/>
      <c r="N259"/>
      <c r="O259"/>
      <c r="P259"/>
      <c r="Q259"/>
      <c r="R259"/>
      <c r="S259"/>
      <c r="T259"/>
      <c r="Y259"/>
      <c r="Z259"/>
      <c r="AA259"/>
      <c r="AB259"/>
      <c r="AC259"/>
      <c r="AD259"/>
      <c r="AE259"/>
      <c r="AF259"/>
    </row>
    <row r="260" spans="13:32" x14ac:dyDescent="0.2">
      <c r="M260"/>
      <c r="N260"/>
      <c r="O260"/>
      <c r="P260"/>
      <c r="Q260"/>
      <c r="R260"/>
      <c r="S260"/>
      <c r="T260"/>
      <c r="Y260"/>
      <c r="Z260"/>
      <c r="AA260"/>
      <c r="AB260"/>
      <c r="AC260"/>
      <c r="AD260"/>
      <c r="AE260"/>
      <c r="AF260"/>
    </row>
    <row r="261" spans="13:32" x14ac:dyDescent="0.2">
      <c r="M261"/>
      <c r="N261"/>
      <c r="O261"/>
      <c r="P261"/>
      <c r="Q261"/>
      <c r="R261"/>
      <c r="S261"/>
      <c r="T261"/>
      <c r="Y261"/>
      <c r="Z261"/>
      <c r="AA261"/>
      <c r="AB261"/>
      <c r="AC261"/>
      <c r="AD261"/>
      <c r="AE261"/>
      <c r="AF261"/>
    </row>
    <row r="262" spans="13:32" x14ac:dyDescent="0.2">
      <c r="M262"/>
      <c r="N262"/>
      <c r="O262"/>
      <c r="P262"/>
      <c r="Q262"/>
      <c r="R262"/>
      <c r="S262"/>
      <c r="T262"/>
      <c r="Y262"/>
      <c r="Z262"/>
      <c r="AA262"/>
      <c r="AB262"/>
      <c r="AC262"/>
      <c r="AD262"/>
      <c r="AE262"/>
      <c r="AF262"/>
    </row>
    <row r="263" spans="13:32" x14ac:dyDescent="0.2">
      <c r="M263"/>
      <c r="N263"/>
      <c r="O263"/>
      <c r="P263"/>
      <c r="Q263"/>
      <c r="R263"/>
      <c r="S263"/>
      <c r="T263"/>
      <c r="Y263"/>
      <c r="Z263"/>
      <c r="AA263"/>
      <c r="AB263"/>
      <c r="AC263"/>
      <c r="AD263"/>
      <c r="AE263"/>
      <c r="AF263"/>
    </row>
    <row r="264" spans="13:32" x14ac:dyDescent="0.2">
      <c r="M264"/>
      <c r="N264"/>
      <c r="O264"/>
      <c r="P264"/>
      <c r="Q264"/>
      <c r="R264"/>
      <c r="S264"/>
      <c r="T264"/>
      <c r="Y264"/>
      <c r="Z264"/>
      <c r="AA264"/>
      <c r="AB264"/>
      <c r="AC264"/>
      <c r="AD264"/>
      <c r="AE264"/>
      <c r="AF264"/>
    </row>
    <row r="265" spans="13:32" x14ac:dyDescent="0.2">
      <c r="M265"/>
      <c r="N265"/>
      <c r="O265"/>
      <c r="P265"/>
      <c r="Q265"/>
      <c r="R265"/>
      <c r="S265"/>
      <c r="T265"/>
      <c r="Y265"/>
      <c r="Z265"/>
      <c r="AA265"/>
      <c r="AB265"/>
      <c r="AC265"/>
      <c r="AD265"/>
      <c r="AE265"/>
      <c r="AF265"/>
    </row>
    <row r="266" spans="13:32" x14ac:dyDescent="0.2">
      <c r="M266"/>
      <c r="N266"/>
      <c r="O266"/>
      <c r="P266"/>
      <c r="Q266"/>
      <c r="R266"/>
      <c r="S266"/>
      <c r="T266"/>
      <c r="Y266"/>
      <c r="Z266"/>
      <c r="AA266"/>
      <c r="AB266"/>
      <c r="AC266"/>
      <c r="AD266"/>
      <c r="AE266"/>
      <c r="AF266"/>
    </row>
    <row r="267" spans="13:32" x14ac:dyDescent="0.2">
      <c r="M267"/>
      <c r="N267"/>
      <c r="O267"/>
      <c r="P267"/>
      <c r="Q267"/>
      <c r="R267"/>
      <c r="S267"/>
      <c r="T267"/>
      <c r="Y267"/>
      <c r="Z267"/>
      <c r="AA267"/>
      <c r="AB267"/>
      <c r="AC267"/>
      <c r="AD267"/>
      <c r="AE267"/>
      <c r="AF267"/>
    </row>
    <row r="268" spans="13:32" x14ac:dyDescent="0.2">
      <c r="M268"/>
      <c r="N268"/>
      <c r="O268"/>
      <c r="P268"/>
      <c r="Q268"/>
      <c r="R268"/>
      <c r="S268"/>
      <c r="T268"/>
      <c r="Y268"/>
      <c r="Z268"/>
      <c r="AA268"/>
      <c r="AB268"/>
      <c r="AC268"/>
      <c r="AD268"/>
      <c r="AE268"/>
      <c r="AF268"/>
    </row>
    <row r="269" spans="13:32" x14ac:dyDescent="0.2">
      <c r="M269"/>
      <c r="N269"/>
      <c r="O269"/>
      <c r="P269"/>
      <c r="Q269"/>
      <c r="R269"/>
      <c r="S269"/>
      <c r="T269"/>
      <c r="Y269"/>
      <c r="Z269"/>
      <c r="AA269"/>
      <c r="AB269"/>
      <c r="AC269"/>
      <c r="AD269"/>
      <c r="AE269"/>
      <c r="AF269"/>
    </row>
    <row r="270" spans="13:32" x14ac:dyDescent="0.2">
      <c r="M270"/>
      <c r="N270"/>
      <c r="O270"/>
      <c r="P270"/>
      <c r="Q270"/>
      <c r="R270"/>
      <c r="S270"/>
      <c r="T270"/>
      <c r="Y270"/>
      <c r="Z270"/>
      <c r="AA270"/>
      <c r="AB270"/>
      <c r="AC270"/>
      <c r="AD270"/>
      <c r="AE270"/>
      <c r="AF270"/>
    </row>
    <row r="271" spans="13:32" x14ac:dyDescent="0.2">
      <c r="M271"/>
      <c r="N271"/>
      <c r="O271"/>
      <c r="P271"/>
      <c r="Q271"/>
      <c r="R271"/>
      <c r="S271"/>
      <c r="T271"/>
      <c r="Y271"/>
      <c r="Z271"/>
      <c r="AA271"/>
      <c r="AB271"/>
      <c r="AC271"/>
      <c r="AD271"/>
      <c r="AE271"/>
      <c r="AF271"/>
    </row>
    <row r="272" spans="13:32" x14ac:dyDescent="0.2">
      <c r="M272"/>
      <c r="N272"/>
      <c r="O272"/>
      <c r="P272"/>
      <c r="Q272"/>
      <c r="R272"/>
      <c r="S272"/>
      <c r="T272"/>
      <c r="Y272"/>
      <c r="Z272"/>
      <c r="AA272"/>
      <c r="AB272"/>
      <c r="AC272"/>
      <c r="AD272"/>
      <c r="AE272"/>
      <c r="AF272"/>
    </row>
    <row r="273" spans="13:32" x14ac:dyDescent="0.2">
      <c r="M273"/>
      <c r="N273"/>
      <c r="O273"/>
      <c r="P273"/>
      <c r="Q273"/>
      <c r="R273"/>
      <c r="S273"/>
      <c r="T273"/>
      <c r="Y273"/>
      <c r="Z273"/>
      <c r="AA273"/>
      <c r="AB273"/>
      <c r="AC273"/>
      <c r="AD273"/>
      <c r="AE273"/>
      <c r="AF273"/>
    </row>
    <row r="274" spans="13:32" x14ac:dyDescent="0.2">
      <c r="M274"/>
      <c r="N274"/>
      <c r="O274"/>
      <c r="P274"/>
      <c r="Q274"/>
      <c r="R274"/>
      <c r="S274"/>
      <c r="T274"/>
      <c r="Y274"/>
      <c r="Z274"/>
      <c r="AA274"/>
      <c r="AB274"/>
      <c r="AC274"/>
      <c r="AD274"/>
      <c r="AE274"/>
      <c r="AF274"/>
    </row>
    <row r="275" spans="13:32" x14ac:dyDescent="0.2">
      <c r="M275"/>
      <c r="N275"/>
      <c r="O275"/>
      <c r="P275"/>
      <c r="Q275"/>
      <c r="R275"/>
      <c r="S275"/>
      <c r="T275"/>
      <c r="Y275"/>
      <c r="Z275"/>
      <c r="AA275"/>
      <c r="AB275"/>
      <c r="AC275"/>
      <c r="AD275"/>
      <c r="AE275"/>
      <c r="AF275"/>
    </row>
    <row r="276" spans="13:32" x14ac:dyDescent="0.2">
      <c r="M276"/>
      <c r="N276"/>
      <c r="O276"/>
      <c r="P276"/>
      <c r="Q276"/>
      <c r="R276"/>
      <c r="S276"/>
      <c r="T276"/>
      <c r="Y276"/>
      <c r="Z276"/>
      <c r="AA276"/>
      <c r="AB276"/>
      <c r="AC276"/>
      <c r="AD276"/>
      <c r="AE276"/>
      <c r="AF276"/>
    </row>
    <row r="277" spans="13:32" x14ac:dyDescent="0.2">
      <c r="M277"/>
      <c r="N277"/>
      <c r="O277"/>
      <c r="P277"/>
      <c r="Q277"/>
      <c r="R277"/>
      <c r="S277"/>
      <c r="T277"/>
      <c r="Y277"/>
      <c r="Z277"/>
      <c r="AA277"/>
      <c r="AB277"/>
      <c r="AC277"/>
      <c r="AD277"/>
      <c r="AE277"/>
      <c r="AF277"/>
    </row>
    <row r="278" spans="13:32" x14ac:dyDescent="0.2">
      <c r="M278"/>
      <c r="N278"/>
      <c r="O278"/>
      <c r="P278"/>
      <c r="Q278"/>
      <c r="R278"/>
      <c r="S278"/>
      <c r="T278"/>
      <c r="Y278"/>
      <c r="Z278"/>
      <c r="AA278"/>
      <c r="AB278"/>
      <c r="AC278"/>
      <c r="AD278"/>
      <c r="AE278"/>
      <c r="AF278"/>
    </row>
    <row r="279" spans="13:32" x14ac:dyDescent="0.2">
      <c r="M279"/>
      <c r="N279"/>
      <c r="O279"/>
      <c r="P279"/>
      <c r="Q279"/>
      <c r="R279"/>
      <c r="S279"/>
      <c r="T279"/>
      <c r="Y279"/>
      <c r="Z279"/>
      <c r="AA279"/>
      <c r="AB279"/>
      <c r="AC279"/>
      <c r="AD279"/>
      <c r="AE279"/>
      <c r="AF279"/>
    </row>
    <row r="280" spans="13:32" x14ac:dyDescent="0.2">
      <c r="M280"/>
      <c r="N280"/>
      <c r="O280"/>
      <c r="P280"/>
      <c r="Q280"/>
      <c r="R280"/>
      <c r="S280"/>
      <c r="T280"/>
      <c r="Y280"/>
      <c r="Z280"/>
      <c r="AA280"/>
      <c r="AB280"/>
      <c r="AC280"/>
      <c r="AD280"/>
      <c r="AE280"/>
      <c r="AF280"/>
    </row>
    <row r="281" spans="13:32" x14ac:dyDescent="0.2">
      <c r="M281"/>
      <c r="N281"/>
      <c r="O281"/>
      <c r="P281"/>
      <c r="Q281"/>
      <c r="R281"/>
      <c r="S281"/>
      <c r="T281"/>
      <c r="Y281"/>
      <c r="Z281"/>
      <c r="AA281"/>
      <c r="AB281"/>
      <c r="AC281"/>
      <c r="AD281"/>
      <c r="AE281"/>
      <c r="AF281"/>
    </row>
    <row r="282" spans="13:32" x14ac:dyDescent="0.2">
      <c r="M282"/>
      <c r="N282"/>
      <c r="O282"/>
      <c r="P282"/>
      <c r="Q282"/>
      <c r="R282"/>
      <c r="S282"/>
      <c r="T282"/>
      <c r="Y282"/>
      <c r="Z282"/>
      <c r="AA282"/>
      <c r="AB282"/>
      <c r="AC282"/>
      <c r="AD282"/>
      <c r="AE282"/>
      <c r="AF282"/>
    </row>
    <row r="283" spans="13:32" x14ac:dyDescent="0.2">
      <c r="M283"/>
      <c r="N283"/>
      <c r="O283"/>
      <c r="P283"/>
      <c r="Q283"/>
      <c r="R283"/>
      <c r="S283"/>
      <c r="T283"/>
      <c r="Y283"/>
      <c r="Z283"/>
      <c r="AA283"/>
      <c r="AB283"/>
      <c r="AC283"/>
      <c r="AD283"/>
      <c r="AE283"/>
      <c r="AF283"/>
    </row>
    <row r="284" spans="13:32" x14ac:dyDescent="0.2">
      <c r="M284"/>
      <c r="N284"/>
      <c r="O284"/>
      <c r="P284"/>
      <c r="Q284"/>
      <c r="R284"/>
      <c r="S284"/>
      <c r="T284"/>
      <c r="Y284"/>
      <c r="Z284"/>
      <c r="AA284"/>
      <c r="AB284"/>
      <c r="AC284"/>
      <c r="AD284"/>
      <c r="AE284"/>
      <c r="AF284"/>
    </row>
    <row r="285" spans="13:32" x14ac:dyDescent="0.2">
      <c r="M285"/>
      <c r="N285"/>
      <c r="O285"/>
      <c r="P285"/>
      <c r="Q285"/>
      <c r="R285"/>
      <c r="S285"/>
      <c r="T285"/>
      <c r="Y285"/>
      <c r="Z285"/>
      <c r="AA285"/>
      <c r="AB285"/>
      <c r="AC285"/>
      <c r="AD285"/>
      <c r="AE285"/>
      <c r="AF285"/>
    </row>
    <row r="286" spans="13:32" x14ac:dyDescent="0.2">
      <c r="M286"/>
      <c r="N286"/>
      <c r="O286"/>
      <c r="P286"/>
      <c r="Q286"/>
      <c r="R286"/>
      <c r="S286"/>
      <c r="T286"/>
      <c r="Y286"/>
      <c r="Z286"/>
      <c r="AA286"/>
      <c r="AB286"/>
      <c r="AC286"/>
      <c r="AD286"/>
      <c r="AE286"/>
      <c r="AF286"/>
    </row>
    <row r="287" spans="13:32" x14ac:dyDescent="0.2">
      <c r="M287"/>
      <c r="N287"/>
      <c r="O287"/>
      <c r="P287"/>
      <c r="Q287"/>
      <c r="R287"/>
      <c r="S287"/>
      <c r="T287"/>
      <c r="Y287"/>
      <c r="Z287"/>
      <c r="AA287"/>
      <c r="AB287"/>
      <c r="AC287"/>
      <c r="AD287"/>
      <c r="AE287"/>
      <c r="AF287"/>
    </row>
    <row r="288" spans="13:32" x14ac:dyDescent="0.2">
      <c r="M288"/>
      <c r="N288"/>
      <c r="O288"/>
      <c r="P288"/>
      <c r="Q288"/>
      <c r="R288"/>
      <c r="S288"/>
      <c r="T288"/>
      <c r="Y288"/>
      <c r="Z288"/>
      <c r="AA288"/>
      <c r="AB288"/>
      <c r="AC288"/>
      <c r="AD288"/>
      <c r="AE288"/>
      <c r="AF288"/>
    </row>
    <row r="289" spans="13:32" x14ac:dyDescent="0.2">
      <c r="M289"/>
      <c r="N289"/>
      <c r="O289"/>
      <c r="P289"/>
      <c r="Q289"/>
      <c r="R289"/>
      <c r="S289"/>
      <c r="T289"/>
      <c r="Y289"/>
      <c r="Z289"/>
      <c r="AA289"/>
      <c r="AB289"/>
      <c r="AC289"/>
      <c r="AD289"/>
      <c r="AE289"/>
      <c r="AF289"/>
    </row>
    <row r="290" spans="13:32" x14ac:dyDescent="0.2">
      <c r="M290"/>
      <c r="N290"/>
      <c r="O290"/>
      <c r="P290"/>
      <c r="Q290"/>
      <c r="R290"/>
      <c r="S290"/>
      <c r="T290"/>
      <c r="Y290"/>
      <c r="Z290"/>
      <c r="AA290"/>
      <c r="AB290"/>
      <c r="AC290"/>
      <c r="AD290"/>
      <c r="AE290"/>
      <c r="AF290"/>
    </row>
    <row r="291" spans="13:32" x14ac:dyDescent="0.2">
      <c r="M291"/>
      <c r="N291"/>
      <c r="O291"/>
      <c r="P291"/>
      <c r="Q291"/>
      <c r="R291"/>
      <c r="S291"/>
      <c r="T291"/>
      <c r="Y291"/>
      <c r="Z291"/>
      <c r="AA291"/>
      <c r="AB291"/>
      <c r="AC291"/>
      <c r="AD291"/>
      <c r="AE291"/>
      <c r="AF291"/>
    </row>
    <row r="292" spans="13:32" x14ac:dyDescent="0.2">
      <c r="M292"/>
      <c r="N292"/>
      <c r="O292"/>
      <c r="P292"/>
      <c r="Q292"/>
      <c r="R292"/>
      <c r="S292"/>
      <c r="T292"/>
      <c r="Y292"/>
      <c r="Z292"/>
      <c r="AA292"/>
      <c r="AB292"/>
      <c r="AC292"/>
      <c r="AD292"/>
      <c r="AE292"/>
      <c r="AF292"/>
    </row>
    <row r="293" spans="13:32" x14ac:dyDescent="0.2">
      <c r="M293"/>
      <c r="N293"/>
      <c r="O293"/>
      <c r="P293"/>
      <c r="Q293"/>
      <c r="R293"/>
      <c r="S293"/>
      <c r="T293"/>
      <c r="Y293"/>
      <c r="Z293"/>
      <c r="AA293"/>
      <c r="AB293"/>
      <c r="AC293"/>
      <c r="AD293"/>
      <c r="AE293"/>
      <c r="AF293"/>
    </row>
    <row r="294" spans="13:32" x14ac:dyDescent="0.2">
      <c r="M294"/>
      <c r="N294"/>
      <c r="O294"/>
      <c r="P294"/>
      <c r="Q294"/>
      <c r="R294"/>
      <c r="S294"/>
      <c r="T294"/>
      <c r="Y294"/>
      <c r="Z294"/>
      <c r="AA294"/>
      <c r="AB294"/>
      <c r="AC294"/>
      <c r="AD294"/>
      <c r="AE294"/>
      <c r="AF294"/>
    </row>
    <row r="295" spans="13:32" x14ac:dyDescent="0.2">
      <c r="M295"/>
      <c r="N295"/>
      <c r="O295"/>
      <c r="P295"/>
      <c r="Q295"/>
      <c r="R295"/>
      <c r="S295"/>
      <c r="T295"/>
      <c r="Y295"/>
      <c r="Z295"/>
      <c r="AA295"/>
      <c r="AB295"/>
      <c r="AC295"/>
      <c r="AD295"/>
      <c r="AE295"/>
      <c r="AF295"/>
    </row>
    <row r="296" spans="13:32" x14ac:dyDescent="0.2">
      <c r="M296"/>
      <c r="N296"/>
      <c r="O296"/>
      <c r="P296"/>
      <c r="Q296"/>
      <c r="R296"/>
      <c r="S296"/>
      <c r="T296"/>
      <c r="Y296"/>
      <c r="Z296"/>
      <c r="AA296"/>
      <c r="AB296"/>
      <c r="AC296"/>
      <c r="AD296"/>
      <c r="AE296"/>
      <c r="AF296"/>
    </row>
    <row r="297" spans="13:32" x14ac:dyDescent="0.2">
      <c r="M297"/>
      <c r="N297"/>
      <c r="O297"/>
      <c r="P297"/>
      <c r="Q297"/>
      <c r="R297"/>
      <c r="S297"/>
      <c r="T297"/>
      <c r="Y297"/>
      <c r="Z297"/>
      <c r="AA297"/>
      <c r="AB297"/>
      <c r="AC297"/>
      <c r="AD297"/>
      <c r="AE297"/>
      <c r="AF297"/>
    </row>
    <row r="298" spans="13:32" x14ac:dyDescent="0.2">
      <c r="M298"/>
      <c r="N298"/>
      <c r="O298"/>
      <c r="P298"/>
      <c r="Q298"/>
      <c r="R298"/>
      <c r="S298"/>
      <c r="T298"/>
      <c r="Y298"/>
      <c r="Z298"/>
      <c r="AA298"/>
      <c r="AB298"/>
      <c r="AC298"/>
      <c r="AD298"/>
      <c r="AE298"/>
      <c r="AF298"/>
    </row>
    <row r="299" spans="13:32" x14ac:dyDescent="0.2">
      <c r="M299"/>
      <c r="N299"/>
      <c r="O299"/>
      <c r="P299"/>
      <c r="Q299"/>
      <c r="R299"/>
      <c r="S299"/>
      <c r="T299"/>
      <c r="Y299"/>
      <c r="Z299"/>
      <c r="AA299"/>
      <c r="AB299"/>
      <c r="AC299"/>
      <c r="AD299"/>
      <c r="AE299"/>
      <c r="AF299"/>
    </row>
    <row r="300" spans="13:32" x14ac:dyDescent="0.2">
      <c r="M300"/>
      <c r="N300"/>
      <c r="O300"/>
      <c r="P300"/>
      <c r="Q300"/>
      <c r="R300"/>
      <c r="S300"/>
      <c r="T300"/>
      <c r="Y300"/>
      <c r="Z300"/>
      <c r="AA300"/>
      <c r="AB300"/>
      <c r="AC300"/>
      <c r="AD300"/>
      <c r="AE300"/>
      <c r="AF300"/>
    </row>
    <row r="301" spans="13:32" x14ac:dyDescent="0.2">
      <c r="M301"/>
      <c r="N301"/>
      <c r="O301"/>
      <c r="P301"/>
      <c r="Q301"/>
      <c r="R301"/>
      <c r="S301"/>
      <c r="T301"/>
      <c r="Y301"/>
      <c r="Z301"/>
      <c r="AA301"/>
      <c r="AB301"/>
      <c r="AC301"/>
      <c r="AD301"/>
      <c r="AE301"/>
      <c r="AF301"/>
    </row>
    <row r="302" spans="13:32" x14ac:dyDescent="0.2">
      <c r="M302"/>
      <c r="N302"/>
      <c r="O302"/>
      <c r="P302"/>
      <c r="Q302"/>
      <c r="R302"/>
      <c r="S302"/>
      <c r="T302"/>
      <c r="Y302"/>
      <c r="Z302"/>
      <c r="AA302"/>
      <c r="AB302"/>
      <c r="AC302"/>
      <c r="AD302"/>
      <c r="AE302"/>
      <c r="AF302"/>
    </row>
    <row r="303" spans="13:32" x14ac:dyDescent="0.2">
      <c r="M303"/>
      <c r="N303"/>
      <c r="O303"/>
      <c r="P303"/>
      <c r="Q303"/>
      <c r="R303"/>
      <c r="S303"/>
      <c r="T303"/>
      <c r="Y303"/>
      <c r="Z303"/>
      <c r="AA303"/>
      <c r="AB303"/>
      <c r="AC303"/>
      <c r="AD303"/>
      <c r="AE303"/>
      <c r="AF303"/>
    </row>
    <row r="304" spans="13:32" x14ac:dyDescent="0.2">
      <c r="M304"/>
      <c r="N304"/>
      <c r="O304"/>
      <c r="P304"/>
      <c r="Q304"/>
      <c r="R304"/>
      <c r="S304"/>
      <c r="T304"/>
      <c r="Y304"/>
      <c r="Z304"/>
      <c r="AA304"/>
      <c r="AB304"/>
      <c r="AC304"/>
      <c r="AD304"/>
      <c r="AE304"/>
      <c r="AF304"/>
    </row>
    <row r="305" spans="13:32" x14ac:dyDescent="0.2">
      <c r="M305"/>
      <c r="N305"/>
      <c r="O305"/>
      <c r="P305"/>
      <c r="Q305"/>
      <c r="R305"/>
      <c r="S305"/>
      <c r="T305"/>
      <c r="Y305"/>
      <c r="Z305"/>
      <c r="AA305"/>
      <c r="AB305"/>
      <c r="AC305"/>
      <c r="AD305"/>
      <c r="AE305"/>
      <c r="AF305"/>
    </row>
    <row r="306" spans="13:32" x14ac:dyDescent="0.2">
      <c r="M306"/>
      <c r="N306"/>
      <c r="O306"/>
      <c r="P306"/>
      <c r="Q306"/>
      <c r="R306"/>
      <c r="S306"/>
      <c r="T306"/>
      <c r="Y306"/>
      <c r="Z306"/>
      <c r="AA306"/>
      <c r="AB306"/>
      <c r="AC306"/>
      <c r="AD306"/>
      <c r="AE306"/>
      <c r="AF306"/>
    </row>
    <row r="307" spans="13:32" x14ac:dyDescent="0.2">
      <c r="M307"/>
      <c r="N307"/>
      <c r="O307"/>
      <c r="P307"/>
      <c r="Q307"/>
      <c r="R307"/>
      <c r="S307"/>
      <c r="T307"/>
      <c r="Y307"/>
      <c r="Z307"/>
      <c r="AA307"/>
      <c r="AB307"/>
      <c r="AC307"/>
      <c r="AD307"/>
      <c r="AE307"/>
      <c r="AF307"/>
    </row>
    <row r="308" spans="13:32" x14ac:dyDescent="0.2">
      <c r="M308"/>
      <c r="N308"/>
      <c r="O308"/>
      <c r="P308"/>
      <c r="Q308"/>
      <c r="R308"/>
      <c r="S308"/>
      <c r="T308"/>
      <c r="Y308"/>
      <c r="Z308"/>
      <c r="AA308"/>
      <c r="AB308"/>
      <c r="AC308"/>
      <c r="AD308"/>
      <c r="AE308"/>
      <c r="AF308"/>
    </row>
    <row r="309" spans="13:32" x14ac:dyDescent="0.2">
      <c r="M309"/>
      <c r="N309"/>
      <c r="O309"/>
      <c r="P309"/>
      <c r="Q309"/>
      <c r="R309"/>
      <c r="S309"/>
      <c r="T309"/>
      <c r="Y309"/>
      <c r="Z309"/>
      <c r="AA309"/>
      <c r="AB309"/>
      <c r="AC309"/>
      <c r="AD309"/>
      <c r="AE309"/>
      <c r="AF309"/>
    </row>
    <row r="310" spans="13:32" x14ac:dyDescent="0.2">
      <c r="M310"/>
      <c r="N310"/>
      <c r="O310"/>
      <c r="P310"/>
      <c r="Q310"/>
      <c r="R310"/>
      <c r="S310"/>
      <c r="T310"/>
      <c r="Y310"/>
      <c r="Z310"/>
      <c r="AA310"/>
      <c r="AB310"/>
      <c r="AC310"/>
      <c r="AD310"/>
      <c r="AE310"/>
      <c r="AF310"/>
    </row>
    <row r="311" spans="13:32" x14ac:dyDescent="0.2">
      <c r="M311"/>
      <c r="N311"/>
      <c r="O311"/>
      <c r="P311"/>
      <c r="Q311"/>
      <c r="R311"/>
      <c r="S311"/>
      <c r="T311"/>
      <c r="Y311"/>
      <c r="Z311"/>
      <c r="AA311"/>
      <c r="AB311"/>
      <c r="AC311"/>
      <c r="AD311"/>
      <c r="AE311"/>
      <c r="AF311"/>
    </row>
    <row r="312" spans="13:32" x14ac:dyDescent="0.2">
      <c r="M312"/>
      <c r="N312"/>
      <c r="O312"/>
      <c r="P312"/>
      <c r="Q312"/>
      <c r="R312"/>
      <c r="S312"/>
      <c r="T312"/>
      <c r="Y312"/>
      <c r="Z312"/>
      <c r="AA312"/>
      <c r="AB312"/>
      <c r="AC312"/>
      <c r="AD312"/>
      <c r="AE312"/>
      <c r="AF312"/>
    </row>
    <row r="313" spans="13:32" x14ac:dyDescent="0.2">
      <c r="M313"/>
      <c r="N313"/>
      <c r="O313"/>
      <c r="P313"/>
      <c r="Q313"/>
      <c r="R313"/>
      <c r="S313"/>
      <c r="T313"/>
      <c r="Y313"/>
      <c r="Z313"/>
      <c r="AA313"/>
      <c r="AB313"/>
      <c r="AC313"/>
      <c r="AD313"/>
      <c r="AE313"/>
      <c r="AF313"/>
    </row>
    <row r="314" spans="13:32" x14ac:dyDescent="0.2">
      <c r="M314"/>
      <c r="N314"/>
      <c r="O314"/>
      <c r="P314"/>
      <c r="Q314"/>
      <c r="R314"/>
      <c r="S314"/>
      <c r="T314"/>
      <c r="Y314"/>
      <c r="Z314"/>
      <c r="AA314"/>
      <c r="AB314"/>
      <c r="AC314"/>
      <c r="AD314"/>
      <c r="AE314"/>
      <c r="AF314"/>
    </row>
    <row r="315" spans="13:32" x14ac:dyDescent="0.2">
      <c r="M315"/>
      <c r="N315"/>
      <c r="O315"/>
      <c r="P315"/>
      <c r="Q315"/>
      <c r="R315"/>
      <c r="S315"/>
      <c r="T315"/>
      <c r="Y315"/>
      <c r="Z315"/>
      <c r="AA315"/>
      <c r="AB315"/>
      <c r="AC315"/>
      <c r="AD315"/>
      <c r="AE315"/>
      <c r="AF315"/>
    </row>
    <row r="316" spans="13:32" x14ac:dyDescent="0.2">
      <c r="M316"/>
      <c r="N316"/>
      <c r="O316"/>
      <c r="P316"/>
      <c r="Q316"/>
      <c r="R316"/>
      <c r="S316"/>
      <c r="T316"/>
      <c r="Y316"/>
      <c r="Z316"/>
      <c r="AA316"/>
      <c r="AB316"/>
      <c r="AC316"/>
      <c r="AD316"/>
      <c r="AE316"/>
      <c r="AF316"/>
    </row>
    <row r="317" spans="13:32" x14ac:dyDescent="0.2">
      <c r="M317"/>
      <c r="N317"/>
      <c r="O317"/>
      <c r="P317"/>
      <c r="Q317"/>
      <c r="R317"/>
      <c r="S317"/>
      <c r="T317"/>
      <c r="Y317"/>
      <c r="Z317"/>
      <c r="AA317"/>
      <c r="AB317"/>
      <c r="AC317"/>
      <c r="AD317"/>
      <c r="AE317"/>
      <c r="AF317"/>
    </row>
    <row r="318" spans="13:32" x14ac:dyDescent="0.2">
      <c r="M318"/>
      <c r="N318"/>
      <c r="O318"/>
      <c r="P318"/>
      <c r="Q318"/>
      <c r="R318"/>
      <c r="S318"/>
      <c r="T318"/>
      <c r="Y318"/>
      <c r="Z318"/>
      <c r="AA318"/>
      <c r="AB318"/>
      <c r="AC318"/>
      <c r="AD318"/>
      <c r="AE318"/>
      <c r="AF318"/>
    </row>
    <row r="319" spans="13:32" x14ac:dyDescent="0.2">
      <c r="M319"/>
      <c r="N319"/>
      <c r="O319"/>
      <c r="P319"/>
      <c r="Q319"/>
      <c r="R319"/>
      <c r="S319"/>
      <c r="T319"/>
      <c r="Y319"/>
      <c r="Z319"/>
      <c r="AA319"/>
      <c r="AB319"/>
      <c r="AC319"/>
      <c r="AD319"/>
      <c r="AE319"/>
      <c r="AF319"/>
    </row>
    <row r="320" spans="13:32" x14ac:dyDescent="0.2">
      <c r="M320"/>
      <c r="N320"/>
      <c r="O320"/>
      <c r="P320"/>
      <c r="Q320"/>
      <c r="R320"/>
      <c r="S320"/>
      <c r="T320"/>
      <c r="Y320"/>
      <c r="Z320"/>
      <c r="AA320"/>
      <c r="AB320"/>
      <c r="AC320"/>
      <c r="AD320"/>
      <c r="AE320"/>
      <c r="AF320"/>
    </row>
    <row r="321" spans="13:32" x14ac:dyDescent="0.2">
      <c r="M321"/>
      <c r="N321"/>
      <c r="O321"/>
      <c r="P321"/>
      <c r="Q321"/>
      <c r="R321"/>
      <c r="S321"/>
      <c r="T321"/>
      <c r="Y321"/>
      <c r="Z321"/>
      <c r="AA321"/>
      <c r="AB321"/>
      <c r="AC321"/>
      <c r="AD321"/>
      <c r="AE321"/>
      <c r="AF321"/>
    </row>
    <row r="322" spans="13:32" x14ac:dyDescent="0.2">
      <c r="M322"/>
      <c r="N322"/>
      <c r="O322"/>
      <c r="P322"/>
      <c r="Q322"/>
      <c r="R322"/>
      <c r="S322"/>
      <c r="T322"/>
      <c r="Y322"/>
      <c r="Z322"/>
      <c r="AA322"/>
      <c r="AB322"/>
      <c r="AC322"/>
      <c r="AD322"/>
      <c r="AE322"/>
      <c r="AF322"/>
    </row>
    <row r="323" spans="13:32" x14ac:dyDescent="0.2">
      <c r="M323"/>
      <c r="N323"/>
      <c r="O323"/>
      <c r="P323"/>
      <c r="Q323"/>
      <c r="R323"/>
      <c r="S323"/>
      <c r="T323"/>
      <c r="Y323"/>
      <c r="Z323"/>
      <c r="AA323"/>
      <c r="AB323"/>
      <c r="AC323"/>
      <c r="AD323"/>
      <c r="AE323"/>
      <c r="AF323"/>
    </row>
    <row r="324" spans="13:32" x14ac:dyDescent="0.2">
      <c r="M324"/>
      <c r="N324"/>
      <c r="O324"/>
      <c r="P324"/>
      <c r="Q324"/>
      <c r="R324"/>
      <c r="S324"/>
      <c r="T324"/>
      <c r="Y324"/>
      <c r="Z324"/>
      <c r="AA324"/>
      <c r="AB324"/>
      <c r="AC324"/>
      <c r="AD324"/>
      <c r="AE324"/>
      <c r="AF324"/>
    </row>
    <row r="325" spans="13:32" x14ac:dyDescent="0.2">
      <c r="M325"/>
      <c r="N325"/>
      <c r="O325"/>
      <c r="P325"/>
      <c r="Q325"/>
      <c r="R325"/>
      <c r="S325"/>
      <c r="T325"/>
      <c r="Y325"/>
      <c r="Z325"/>
      <c r="AA325"/>
      <c r="AB325"/>
      <c r="AC325"/>
      <c r="AD325"/>
      <c r="AE325"/>
      <c r="AF325"/>
    </row>
    <row r="326" spans="13:32" x14ac:dyDescent="0.2">
      <c r="M326"/>
      <c r="N326"/>
      <c r="O326"/>
      <c r="P326"/>
      <c r="Q326"/>
      <c r="R326"/>
      <c r="S326"/>
      <c r="T326"/>
      <c r="Y326"/>
      <c r="Z326"/>
      <c r="AA326"/>
      <c r="AB326"/>
      <c r="AC326"/>
      <c r="AD326"/>
      <c r="AE326"/>
      <c r="AF326"/>
    </row>
    <row r="327" spans="13:32" x14ac:dyDescent="0.2">
      <c r="M327"/>
      <c r="N327"/>
      <c r="O327"/>
      <c r="P327"/>
      <c r="Q327"/>
      <c r="R327"/>
      <c r="S327"/>
      <c r="T327"/>
      <c r="Y327"/>
      <c r="Z327"/>
      <c r="AA327"/>
      <c r="AB327"/>
      <c r="AC327"/>
      <c r="AD327"/>
      <c r="AE327"/>
      <c r="AF327"/>
    </row>
    <row r="328" spans="13:32" x14ac:dyDescent="0.2">
      <c r="M328"/>
      <c r="N328"/>
      <c r="O328"/>
      <c r="P328"/>
      <c r="Q328"/>
      <c r="R328"/>
      <c r="S328"/>
      <c r="T328"/>
      <c r="Y328"/>
      <c r="Z328"/>
      <c r="AA328"/>
      <c r="AB328"/>
      <c r="AC328"/>
      <c r="AD328"/>
      <c r="AE328"/>
      <c r="AF328"/>
    </row>
    <row r="329" spans="13:32" x14ac:dyDescent="0.2">
      <c r="M329"/>
      <c r="N329"/>
      <c r="O329"/>
      <c r="P329"/>
      <c r="Q329"/>
      <c r="R329"/>
      <c r="S329"/>
      <c r="T329"/>
      <c r="Y329"/>
      <c r="Z329"/>
      <c r="AA329"/>
      <c r="AB329"/>
      <c r="AC329"/>
      <c r="AD329"/>
      <c r="AE329"/>
      <c r="AF329"/>
    </row>
    <row r="330" spans="13:32" x14ac:dyDescent="0.2">
      <c r="M330"/>
      <c r="N330"/>
      <c r="O330"/>
      <c r="P330"/>
      <c r="Q330"/>
      <c r="R330"/>
      <c r="S330"/>
      <c r="T330"/>
      <c r="Y330"/>
      <c r="Z330"/>
      <c r="AA330"/>
      <c r="AB330"/>
      <c r="AC330"/>
      <c r="AD330"/>
      <c r="AE330"/>
      <c r="AF330"/>
    </row>
    <row r="331" spans="13:32" x14ac:dyDescent="0.2">
      <c r="M331"/>
      <c r="N331"/>
      <c r="O331"/>
      <c r="P331"/>
      <c r="Q331"/>
      <c r="R331"/>
      <c r="S331"/>
      <c r="T331"/>
      <c r="Y331"/>
      <c r="Z331"/>
      <c r="AA331"/>
      <c r="AB331"/>
      <c r="AC331"/>
      <c r="AD331"/>
      <c r="AE331"/>
      <c r="AF331"/>
    </row>
    <row r="332" spans="13:32" x14ac:dyDescent="0.2">
      <c r="M332"/>
      <c r="N332"/>
      <c r="O332"/>
      <c r="P332"/>
      <c r="Q332"/>
      <c r="R332"/>
      <c r="S332"/>
      <c r="T332"/>
      <c r="Y332"/>
      <c r="Z332"/>
      <c r="AA332"/>
      <c r="AB332"/>
      <c r="AC332"/>
      <c r="AD332"/>
      <c r="AE332"/>
      <c r="AF332"/>
    </row>
    <row r="333" spans="13:32" x14ac:dyDescent="0.2">
      <c r="M333"/>
      <c r="N333"/>
      <c r="O333"/>
      <c r="P333"/>
      <c r="Q333"/>
      <c r="R333"/>
      <c r="S333"/>
      <c r="T333"/>
      <c r="Y333"/>
      <c r="Z333"/>
      <c r="AA333"/>
      <c r="AB333"/>
      <c r="AC333"/>
      <c r="AD333"/>
      <c r="AE333"/>
      <c r="AF333"/>
    </row>
    <row r="334" spans="13:32" x14ac:dyDescent="0.2">
      <c r="M334"/>
      <c r="N334"/>
      <c r="O334"/>
      <c r="P334"/>
      <c r="Q334"/>
      <c r="R334"/>
      <c r="S334"/>
      <c r="T334"/>
      <c r="Y334"/>
      <c r="Z334"/>
      <c r="AA334"/>
      <c r="AB334"/>
      <c r="AC334"/>
      <c r="AD334"/>
      <c r="AE334"/>
      <c r="AF334"/>
    </row>
    <row r="335" spans="13:32" x14ac:dyDescent="0.2">
      <c r="M335"/>
      <c r="N335"/>
      <c r="O335"/>
      <c r="P335"/>
      <c r="Q335"/>
      <c r="R335"/>
      <c r="S335"/>
      <c r="T335"/>
      <c r="Y335"/>
      <c r="Z335"/>
      <c r="AA335"/>
      <c r="AB335"/>
      <c r="AC335"/>
      <c r="AD335"/>
      <c r="AE335"/>
      <c r="AF335"/>
    </row>
    <row r="336" spans="13:32" x14ac:dyDescent="0.2">
      <c r="M336"/>
      <c r="N336"/>
      <c r="O336"/>
      <c r="P336"/>
      <c r="Q336"/>
      <c r="R336"/>
      <c r="S336"/>
      <c r="T336"/>
      <c r="Y336"/>
      <c r="Z336"/>
      <c r="AA336"/>
      <c r="AB336"/>
      <c r="AC336"/>
      <c r="AD336"/>
      <c r="AE336"/>
      <c r="AF336"/>
    </row>
    <row r="337" spans="13:32" x14ac:dyDescent="0.2">
      <c r="M337"/>
      <c r="N337"/>
      <c r="O337"/>
      <c r="P337"/>
      <c r="Q337"/>
      <c r="R337"/>
      <c r="S337"/>
      <c r="T337"/>
      <c r="Y337"/>
      <c r="Z337"/>
      <c r="AA337"/>
      <c r="AB337"/>
      <c r="AC337"/>
      <c r="AD337"/>
      <c r="AE337"/>
      <c r="AF337"/>
    </row>
    <row r="338" spans="13:32" x14ac:dyDescent="0.2">
      <c r="M338"/>
      <c r="N338"/>
      <c r="O338"/>
      <c r="P338"/>
      <c r="Q338"/>
      <c r="R338"/>
      <c r="S338"/>
      <c r="T338"/>
      <c r="Y338"/>
      <c r="Z338"/>
      <c r="AA338"/>
      <c r="AB338"/>
      <c r="AC338"/>
      <c r="AD338"/>
      <c r="AE338"/>
      <c r="AF338"/>
    </row>
    <row r="339" spans="13:32" x14ac:dyDescent="0.2">
      <c r="M339"/>
      <c r="N339"/>
      <c r="O339"/>
      <c r="P339"/>
      <c r="Q339"/>
      <c r="R339"/>
      <c r="S339"/>
      <c r="T339"/>
      <c r="Y339"/>
      <c r="Z339"/>
      <c r="AA339"/>
      <c r="AB339"/>
      <c r="AC339"/>
      <c r="AD339"/>
      <c r="AE339"/>
      <c r="AF339"/>
    </row>
    <row r="340" spans="13:32" x14ac:dyDescent="0.2">
      <c r="M340"/>
      <c r="N340"/>
      <c r="O340"/>
      <c r="P340"/>
      <c r="Q340"/>
      <c r="R340"/>
      <c r="S340"/>
      <c r="T340"/>
      <c r="Y340"/>
      <c r="Z340"/>
      <c r="AA340"/>
      <c r="AB340"/>
      <c r="AC340"/>
      <c r="AD340"/>
      <c r="AE340"/>
      <c r="AF340"/>
    </row>
    <row r="341" spans="13:32" x14ac:dyDescent="0.2">
      <c r="M341"/>
      <c r="N341"/>
      <c r="O341"/>
      <c r="P341"/>
      <c r="Q341"/>
      <c r="R341"/>
      <c r="S341"/>
      <c r="T341"/>
      <c r="Y341"/>
      <c r="Z341"/>
      <c r="AA341"/>
      <c r="AB341"/>
      <c r="AC341"/>
      <c r="AD341"/>
      <c r="AE341"/>
      <c r="AF341"/>
    </row>
    <row r="342" spans="13:32" x14ac:dyDescent="0.2">
      <c r="M342"/>
      <c r="N342"/>
      <c r="O342"/>
      <c r="P342"/>
      <c r="Q342"/>
      <c r="R342"/>
      <c r="S342"/>
      <c r="T342"/>
      <c r="Y342"/>
      <c r="Z342"/>
      <c r="AA342"/>
      <c r="AB342"/>
      <c r="AC342"/>
      <c r="AD342"/>
      <c r="AE342"/>
      <c r="AF342"/>
    </row>
    <row r="343" spans="13:32" x14ac:dyDescent="0.2">
      <c r="M343"/>
      <c r="N343"/>
      <c r="O343"/>
      <c r="P343"/>
      <c r="Q343"/>
      <c r="R343"/>
      <c r="S343"/>
      <c r="T343"/>
      <c r="Y343"/>
      <c r="Z343"/>
      <c r="AA343"/>
      <c r="AB343"/>
      <c r="AC343"/>
      <c r="AD343"/>
      <c r="AE343"/>
      <c r="AF343"/>
    </row>
    <row r="344" spans="13:32" x14ac:dyDescent="0.2">
      <c r="M344"/>
      <c r="N344"/>
      <c r="O344"/>
      <c r="P344"/>
      <c r="Q344"/>
      <c r="R344"/>
      <c r="S344"/>
      <c r="T344"/>
      <c r="Y344"/>
      <c r="Z344"/>
      <c r="AA344"/>
      <c r="AB344"/>
      <c r="AC344"/>
      <c r="AD344"/>
      <c r="AE344"/>
      <c r="AF344"/>
    </row>
    <row r="345" spans="13:32" x14ac:dyDescent="0.2">
      <c r="M345"/>
      <c r="N345"/>
      <c r="O345"/>
      <c r="P345"/>
      <c r="Q345"/>
      <c r="R345"/>
      <c r="S345"/>
      <c r="T345"/>
      <c r="Y345"/>
      <c r="Z345"/>
      <c r="AA345"/>
      <c r="AB345"/>
      <c r="AC345"/>
      <c r="AD345"/>
      <c r="AE345"/>
      <c r="AF345"/>
    </row>
    <row r="346" spans="13:32" x14ac:dyDescent="0.2">
      <c r="M346"/>
      <c r="N346"/>
      <c r="O346"/>
      <c r="P346"/>
      <c r="Q346"/>
      <c r="R346"/>
      <c r="S346"/>
      <c r="T346"/>
      <c r="Y346"/>
      <c r="Z346"/>
      <c r="AA346"/>
      <c r="AB346"/>
      <c r="AC346"/>
      <c r="AD346"/>
      <c r="AE346"/>
      <c r="AF346"/>
    </row>
    <row r="347" spans="13:32" x14ac:dyDescent="0.2">
      <c r="M347"/>
      <c r="N347"/>
      <c r="O347"/>
      <c r="P347"/>
      <c r="Q347"/>
      <c r="R347"/>
      <c r="S347"/>
      <c r="T347"/>
      <c r="Y347"/>
      <c r="Z347"/>
      <c r="AA347"/>
      <c r="AB347"/>
      <c r="AC347"/>
      <c r="AD347"/>
      <c r="AE347"/>
      <c r="AF347"/>
    </row>
    <row r="348" spans="13:32" x14ac:dyDescent="0.2">
      <c r="M348"/>
      <c r="N348"/>
      <c r="O348"/>
      <c r="P348"/>
      <c r="Q348"/>
      <c r="R348"/>
      <c r="S348"/>
      <c r="T348"/>
      <c r="Y348"/>
      <c r="Z348"/>
      <c r="AA348"/>
      <c r="AB348"/>
      <c r="AC348"/>
      <c r="AD348"/>
      <c r="AE348"/>
      <c r="AF348"/>
    </row>
    <row r="349" spans="13:32" x14ac:dyDescent="0.2">
      <c r="M349"/>
      <c r="N349"/>
      <c r="O349"/>
      <c r="P349"/>
      <c r="Q349"/>
      <c r="R349"/>
      <c r="S349"/>
      <c r="T349"/>
      <c r="Y349"/>
      <c r="Z349"/>
      <c r="AA349"/>
      <c r="AB349"/>
      <c r="AC349"/>
      <c r="AD349"/>
      <c r="AE349"/>
      <c r="AF349"/>
    </row>
    <row r="350" spans="13:32" x14ac:dyDescent="0.2">
      <c r="M350"/>
      <c r="N350"/>
      <c r="O350"/>
      <c r="P350"/>
      <c r="Q350"/>
      <c r="R350"/>
      <c r="S350"/>
      <c r="T350"/>
      <c r="Y350"/>
      <c r="Z350"/>
      <c r="AA350"/>
      <c r="AB350"/>
      <c r="AC350"/>
      <c r="AD350"/>
      <c r="AE350"/>
      <c r="AF350"/>
    </row>
    <row r="351" spans="13:32" x14ac:dyDescent="0.2">
      <c r="M351"/>
      <c r="N351"/>
      <c r="O351"/>
      <c r="P351"/>
      <c r="Q351"/>
      <c r="R351"/>
      <c r="S351"/>
      <c r="T351"/>
      <c r="Y351"/>
      <c r="Z351"/>
      <c r="AA351"/>
      <c r="AB351"/>
      <c r="AC351"/>
      <c r="AD351"/>
      <c r="AE351"/>
      <c r="AF351"/>
    </row>
    <row r="352" spans="13:32" x14ac:dyDescent="0.2">
      <c r="M352"/>
      <c r="N352"/>
      <c r="O352"/>
      <c r="P352"/>
      <c r="Q352"/>
      <c r="R352"/>
      <c r="S352"/>
      <c r="T352"/>
      <c r="Y352"/>
      <c r="Z352"/>
      <c r="AA352"/>
      <c r="AB352"/>
      <c r="AC352"/>
      <c r="AD352"/>
      <c r="AE352"/>
      <c r="AF352"/>
    </row>
    <row r="353" spans="13:32" x14ac:dyDescent="0.2">
      <c r="M353"/>
      <c r="N353"/>
      <c r="O353"/>
      <c r="P353"/>
      <c r="Q353"/>
      <c r="R353"/>
      <c r="S353"/>
      <c r="T353"/>
      <c r="Y353"/>
      <c r="Z353"/>
      <c r="AA353"/>
      <c r="AB353"/>
      <c r="AC353"/>
      <c r="AD353"/>
      <c r="AE353"/>
      <c r="AF353"/>
    </row>
    <row r="354" spans="13:32" x14ac:dyDescent="0.2">
      <c r="M354"/>
      <c r="N354"/>
      <c r="O354"/>
      <c r="P354"/>
      <c r="Q354"/>
      <c r="R354"/>
      <c r="S354"/>
      <c r="T354"/>
      <c r="Y354"/>
      <c r="Z354"/>
      <c r="AA354"/>
      <c r="AB354"/>
      <c r="AC354"/>
      <c r="AD354"/>
      <c r="AE354"/>
      <c r="AF354"/>
    </row>
    <row r="355" spans="13:32" x14ac:dyDescent="0.2">
      <c r="M355"/>
      <c r="N355"/>
      <c r="O355"/>
      <c r="P355"/>
      <c r="Q355"/>
      <c r="R355"/>
      <c r="S355"/>
      <c r="T355"/>
      <c r="Y355"/>
      <c r="Z355"/>
      <c r="AA355"/>
      <c r="AB355"/>
      <c r="AC355"/>
      <c r="AD355"/>
      <c r="AE355"/>
      <c r="AF355"/>
    </row>
    <row r="356" spans="13:32" x14ac:dyDescent="0.2">
      <c r="M356"/>
      <c r="N356"/>
      <c r="O356"/>
      <c r="P356"/>
      <c r="Q356"/>
      <c r="R356"/>
      <c r="S356"/>
      <c r="T356"/>
      <c r="Y356"/>
      <c r="Z356"/>
      <c r="AA356"/>
      <c r="AB356"/>
      <c r="AC356"/>
      <c r="AD356"/>
      <c r="AE356"/>
      <c r="AF356"/>
    </row>
    <row r="357" spans="13:32" x14ac:dyDescent="0.2">
      <c r="M357"/>
      <c r="N357"/>
      <c r="O357"/>
      <c r="P357"/>
      <c r="Q357"/>
      <c r="R357"/>
      <c r="S357"/>
      <c r="T357"/>
      <c r="Y357"/>
      <c r="Z357"/>
      <c r="AA357"/>
      <c r="AB357"/>
      <c r="AC357"/>
      <c r="AD357"/>
      <c r="AE357"/>
      <c r="AF357"/>
    </row>
    <row r="358" spans="13:32" x14ac:dyDescent="0.2">
      <c r="M358"/>
      <c r="N358"/>
      <c r="O358"/>
      <c r="P358"/>
      <c r="Q358"/>
      <c r="R358"/>
      <c r="S358"/>
      <c r="T358"/>
      <c r="Y358"/>
      <c r="Z358"/>
      <c r="AA358"/>
      <c r="AB358"/>
      <c r="AC358"/>
      <c r="AD358"/>
      <c r="AE358"/>
      <c r="AF358"/>
    </row>
    <row r="359" spans="13:32" x14ac:dyDescent="0.2">
      <c r="M359"/>
      <c r="N359"/>
      <c r="O359"/>
      <c r="P359"/>
      <c r="Q359"/>
      <c r="R359"/>
      <c r="S359"/>
      <c r="T359"/>
      <c r="Y359"/>
      <c r="Z359"/>
      <c r="AA359"/>
      <c r="AB359"/>
      <c r="AC359"/>
      <c r="AD359"/>
      <c r="AE359"/>
      <c r="AF359"/>
    </row>
    <row r="360" spans="13:32" x14ac:dyDescent="0.2">
      <c r="M360"/>
      <c r="N360"/>
      <c r="O360"/>
      <c r="P360"/>
      <c r="Q360"/>
      <c r="R360"/>
      <c r="S360"/>
      <c r="T360"/>
      <c r="Y360"/>
      <c r="Z360"/>
      <c r="AA360"/>
      <c r="AB360"/>
      <c r="AC360"/>
      <c r="AD360"/>
      <c r="AE360"/>
      <c r="AF360"/>
    </row>
    <row r="361" spans="13:32" x14ac:dyDescent="0.2">
      <c r="M361"/>
      <c r="N361"/>
      <c r="O361"/>
      <c r="P361"/>
      <c r="Q361"/>
      <c r="R361"/>
      <c r="S361"/>
      <c r="T361"/>
      <c r="Y361"/>
      <c r="Z361"/>
      <c r="AA361"/>
      <c r="AB361"/>
      <c r="AC361"/>
      <c r="AD361"/>
      <c r="AE361"/>
      <c r="AF361"/>
    </row>
    <row r="362" spans="13:32" x14ac:dyDescent="0.2">
      <c r="M362"/>
      <c r="N362"/>
      <c r="O362"/>
      <c r="P362"/>
      <c r="Q362"/>
      <c r="R362"/>
      <c r="S362"/>
      <c r="T362"/>
      <c r="Y362"/>
      <c r="Z362"/>
      <c r="AA362"/>
      <c r="AB362"/>
      <c r="AC362"/>
      <c r="AD362"/>
      <c r="AE362"/>
      <c r="AF362"/>
    </row>
    <row r="363" spans="13:32" x14ac:dyDescent="0.2">
      <c r="M363"/>
      <c r="N363"/>
      <c r="O363"/>
      <c r="P363"/>
      <c r="Q363"/>
      <c r="R363"/>
      <c r="S363"/>
      <c r="T363"/>
      <c r="Y363"/>
      <c r="Z363"/>
      <c r="AA363"/>
      <c r="AB363"/>
      <c r="AC363"/>
      <c r="AD363"/>
      <c r="AE363"/>
      <c r="AF363"/>
    </row>
    <row r="364" spans="13:32" x14ac:dyDescent="0.2">
      <c r="M364"/>
      <c r="N364"/>
      <c r="O364"/>
      <c r="P364"/>
      <c r="Q364"/>
      <c r="R364"/>
      <c r="S364"/>
      <c r="T364"/>
      <c r="Y364"/>
      <c r="Z364"/>
      <c r="AA364"/>
      <c r="AB364"/>
      <c r="AC364"/>
      <c r="AD364"/>
      <c r="AE364"/>
      <c r="AF364"/>
    </row>
    <row r="365" spans="13:32" x14ac:dyDescent="0.2">
      <c r="M365"/>
      <c r="N365"/>
      <c r="O365"/>
      <c r="P365"/>
      <c r="Q365"/>
      <c r="R365"/>
      <c r="S365"/>
      <c r="T365"/>
      <c r="Y365"/>
      <c r="Z365"/>
      <c r="AA365"/>
      <c r="AB365"/>
      <c r="AC365"/>
      <c r="AD365"/>
      <c r="AE365"/>
      <c r="AF365"/>
    </row>
    <row r="366" spans="13:32" x14ac:dyDescent="0.2">
      <c r="M366"/>
      <c r="N366"/>
      <c r="O366"/>
      <c r="P366"/>
      <c r="Q366"/>
      <c r="R366"/>
      <c r="S366"/>
      <c r="T366"/>
      <c r="Y366"/>
      <c r="Z366"/>
      <c r="AA366"/>
      <c r="AB366"/>
      <c r="AC366"/>
      <c r="AD366"/>
      <c r="AE366"/>
      <c r="AF366"/>
    </row>
    <row r="367" spans="13:32" x14ac:dyDescent="0.2">
      <c r="M367"/>
      <c r="N367"/>
      <c r="O367"/>
      <c r="P367"/>
      <c r="Q367"/>
      <c r="R367"/>
      <c r="S367"/>
      <c r="T367"/>
      <c r="Y367"/>
      <c r="Z367"/>
      <c r="AA367"/>
      <c r="AB367"/>
      <c r="AC367"/>
      <c r="AD367"/>
      <c r="AE367"/>
      <c r="AF367"/>
    </row>
    <row r="368" spans="13:32" x14ac:dyDescent="0.2">
      <c r="M368"/>
      <c r="N368"/>
      <c r="O368"/>
      <c r="P368"/>
      <c r="Q368"/>
      <c r="R368"/>
      <c r="S368"/>
      <c r="T368"/>
      <c r="Y368"/>
      <c r="Z368"/>
      <c r="AA368"/>
      <c r="AB368"/>
      <c r="AC368"/>
      <c r="AD368"/>
      <c r="AE368"/>
      <c r="AF368"/>
    </row>
    <row r="369" spans="13:32" x14ac:dyDescent="0.2">
      <c r="M369"/>
      <c r="N369"/>
      <c r="O369"/>
      <c r="P369"/>
      <c r="Q369"/>
      <c r="R369"/>
      <c r="S369"/>
      <c r="T369"/>
      <c r="Y369"/>
      <c r="Z369"/>
      <c r="AA369"/>
      <c r="AB369"/>
      <c r="AC369"/>
      <c r="AD369"/>
      <c r="AE369"/>
      <c r="AF369"/>
    </row>
    <row r="370" spans="13:32" x14ac:dyDescent="0.2">
      <c r="M370"/>
      <c r="N370"/>
      <c r="O370"/>
      <c r="P370"/>
      <c r="Q370"/>
      <c r="R370"/>
      <c r="S370"/>
      <c r="T370"/>
      <c r="Y370"/>
      <c r="Z370"/>
      <c r="AA370"/>
      <c r="AB370"/>
      <c r="AC370"/>
      <c r="AD370"/>
      <c r="AE370"/>
      <c r="AF370"/>
    </row>
    <row r="371" spans="13:32" x14ac:dyDescent="0.2">
      <c r="M371"/>
      <c r="N371"/>
      <c r="O371"/>
      <c r="P371"/>
      <c r="Q371"/>
      <c r="R371"/>
      <c r="S371"/>
      <c r="T371"/>
      <c r="Y371"/>
      <c r="Z371"/>
      <c r="AA371"/>
      <c r="AB371"/>
      <c r="AC371"/>
      <c r="AD371"/>
      <c r="AE371"/>
      <c r="AF371"/>
    </row>
    <row r="372" spans="13:32" x14ac:dyDescent="0.2">
      <c r="M372"/>
      <c r="N372"/>
      <c r="O372"/>
      <c r="P372"/>
      <c r="Q372"/>
      <c r="R372"/>
      <c r="S372"/>
      <c r="T372"/>
      <c r="Y372"/>
      <c r="Z372"/>
      <c r="AA372"/>
      <c r="AB372"/>
      <c r="AC372"/>
      <c r="AD372"/>
      <c r="AE372"/>
      <c r="AF372"/>
    </row>
    <row r="373" spans="13:32" x14ac:dyDescent="0.2">
      <c r="M373"/>
      <c r="N373"/>
      <c r="O373"/>
      <c r="P373"/>
      <c r="Q373"/>
      <c r="R373"/>
      <c r="S373"/>
      <c r="T373"/>
      <c r="Y373"/>
      <c r="Z373"/>
      <c r="AA373"/>
      <c r="AB373"/>
      <c r="AC373"/>
      <c r="AD373"/>
      <c r="AE373"/>
      <c r="AF373"/>
    </row>
    <row r="374" spans="13:32" x14ac:dyDescent="0.2">
      <c r="M374"/>
      <c r="N374"/>
      <c r="O374"/>
      <c r="P374"/>
      <c r="Q374"/>
      <c r="R374"/>
      <c r="S374"/>
      <c r="T374"/>
      <c r="Y374"/>
      <c r="Z374"/>
      <c r="AA374"/>
      <c r="AB374"/>
      <c r="AC374"/>
      <c r="AD374"/>
      <c r="AE374"/>
      <c r="AF374"/>
    </row>
    <row r="375" spans="13:32" x14ac:dyDescent="0.2">
      <c r="M375"/>
      <c r="N375"/>
      <c r="O375"/>
      <c r="P375"/>
      <c r="Q375"/>
      <c r="R375"/>
      <c r="S375"/>
      <c r="T375"/>
      <c r="Y375"/>
      <c r="Z375"/>
      <c r="AA375"/>
      <c r="AB375"/>
      <c r="AC375"/>
      <c r="AD375"/>
      <c r="AE375"/>
      <c r="AF375"/>
    </row>
    <row r="376" spans="13:32" x14ac:dyDescent="0.2">
      <c r="M376"/>
      <c r="N376"/>
      <c r="O376"/>
      <c r="P376"/>
      <c r="Q376"/>
      <c r="R376"/>
      <c r="S376"/>
      <c r="T376"/>
      <c r="Y376"/>
      <c r="Z376"/>
      <c r="AA376"/>
      <c r="AB376"/>
      <c r="AC376"/>
      <c r="AD376"/>
      <c r="AE376"/>
      <c r="AF376"/>
    </row>
    <row r="377" spans="13:32" x14ac:dyDescent="0.2">
      <c r="M377"/>
      <c r="N377"/>
      <c r="O377"/>
      <c r="P377"/>
      <c r="Q377"/>
      <c r="R377"/>
      <c r="S377"/>
      <c r="T377"/>
      <c r="Y377"/>
      <c r="Z377"/>
      <c r="AA377"/>
      <c r="AB377"/>
      <c r="AC377"/>
      <c r="AD377"/>
      <c r="AE377"/>
      <c r="AF377"/>
    </row>
    <row r="378" spans="13:32" x14ac:dyDescent="0.2">
      <c r="M378"/>
      <c r="N378"/>
      <c r="O378"/>
      <c r="P378"/>
      <c r="Q378"/>
      <c r="R378"/>
      <c r="S378"/>
      <c r="T378"/>
      <c r="Y378"/>
      <c r="Z378"/>
      <c r="AA378"/>
      <c r="AB378"/>
      <c r="AC378"/>
      <c r="AD378"/>
      <c r="AE378"/>
      <c r="AF378"/>
    </row>
    <row r="379" spans="13:32" x14ac:dyDescent="0.2">
      <c r="M379"/>
      <c r="N379"/>
      <c r="O379"/>
      <c r="P379"/>
      <c r="Q379"/>
      <c r="R379"/>
      <c r="S379"/>
      <c r="T379"/>
      <c r="Y379"/>
      <c r="Z379"/>
      <c r="AA379"/>
      <c r="AB379"/>
      <c r="AC379"/>
      <c r="AD379"/>
      <c r="AE379"/>
      <c r="AF379"/>
    </row>
    <row r="380" spans="13:32" x14ac:dyDescent="0.2">
      <c r="M380"/>
      <c r="N380"/>
      <c r="O380"/>
      <c r="P380"/>
      <c r="Q380"/>
      <c r="R380"/>
      <c r="S380"/>
      <c r="T380"/>
      <c r="Y380"/>
      <c r="Z380"/>
      <c r="AA380"/>
      <c r="AB380"/>
      <c r="AC380"/>
      <c r="AD380"/>
      <c r="AE380"/>
      <c r="AF380"/>
    </row>
    <row r="381" spans="13:32" x14ac:dyDescent="0.2">
      <c r="M381"/>
      <c r="N381"/>
      <c r="O381"/>
      <c r="P381"/>
      <c r="Q381"/>
      <c r="R381"/>
      <c r="S381"/>
      <c r="T381"/>
      <c r="Y381"/>
      <c r="Z381"/>
      <c r="AA381"/>
      <c r="AB381"/>
      <c r="AC381"/>
      <c r="AD381"/>
      <c r="AE381"/>
      <c r="AF381"/>
    </row>
    <row r="382" spans="13:32" x14ac:dyDescent="0.2">
      <c r="M382"/>
      <c r="N382"/>
      <c r="O382"/>
      <c r="P382"/>
      <c r="Q382"/>
      <c r="R382"/>
      <c r="S382"/>
      <c r="T382"/>
      <c r="Y382"/>
      <c r="Z382"/>
      <c r="AA382"/>
      <c r="AB382"/>
      <c r="AC382"/>
      <c r="AD382"/>
      <c r="AE382"/>
      <c r="AF382"/>
    </row>
    <row r="383" spans="13:32" x14ac:dyDescent="0.2">
      <c r="M383"/>
      <c r="N383"/>
      <c r="O383"/>
      <c r="P383"/>
      <c r="Q383"/>
      <c r="R383"/>
      <c r="S383"/>
      <c r="T383"/>
      <c r="Y383"/>
      <c r="Z383"/>
      <c r="AA383"/>
      <c r="AB383"/>
      <c r="AC383"/>
      <c r="AD383"/>
      <c r="AE383"/>
      <c r="AF383"/>
    </row>
    <row r="384" spans="13:32" x14ac:dyDescent="0.2">
      <c r="M384"/>
      <c r="N384"/>
      <c r="O384"/>
      <c r="P384"/>
      <c r="Q384"/>
      <c r="R384"/>
      <c r="S384"/>
      <c r="T384"/>
      <c r="Y384"/>
      <c r="Z384"/>
      <c r="AA384"/>
      <c r="AB384"/>
      <c r="AC384"/>
      <c r="AD384"/>
      <c r="AE384"/>
      <c r="AF384"/>
    </row>
    <row r="385" spans="13:32" x14ac:dyDescent="0.2">
      <c r="M385"/>
      <c r="N385"/>
      <c r="O385"/>
      <c r="P385"/>
      <c r="Q385"/>
      <c r="R385"/>
      <c r="S385"/>
      <c r="T385"/>
      <c r="Y385"/>
      <c r="Z385"/>
      <c r="AA385"/>
      <c r="AB385"/>
      <c r="AC385"/>
      <c r="AD385"/>
      <c r="AE385"/>
      <c r="AF385"/>
    </row>
    <row r="386" spans="13:32" x14ac:dyDescent="0.2">
      <c r="M386"/>
      <c r="N386"/>
      <c r="O386"/>
      <c r="P386"/>
      <c r="Q386"/>
      <c r="R386"/>
      <c r="S386"/>
      <c r="T386"/>
      <c r="Y386"/>
      <c r="Z386"/>
      <c r="AA386"/>
      <c r="AB386"/>
      <c r="AC386"/>
      <c r="AD386"/>
      <c r="AE386"/>
      <c r="AF386"/>
    </row>
    <row r="387" spans="13:32" x14ac:dyDescent="0.2">
      <c r="M387"/>
      <c r="N387"/>
      <c r="O387"/>
      <c r="P387"/>
      <c r="Q387"/>
      <c r="R387"/>
      <c r="S387"/>
      <c r="T387"/>
      <c r="Y387"/>
      <c r="Z387"/>
      <c r="AA387"/>
      <c r="AB387"/>
      <c r="AC387"/>
      <c r="AD387"/>
      <c r="AE387"/>
      <c r="AF387"/>
    </row>
    <row r="388" spans="13:32" x14ac:dyDescent="0.2">
      <c r="M388"/>
      <c r="N388"/>
      <c r="O388"/>
      <c r="P388"/>
      <c r="Q388"/>
      <c r="R388"/>
      <c r="S388"/>
      <c r="T388"/>
      <c r="Y388"/>
      <c r="Z388"/>
      <c r="AA388"/>
      <c r="AB388"/>
      <c r="AC388"/>
      <c r="AD388"/>
      <c r="AE388"/>
      <c r="AF388"/>
    </row>
    <row r="389" spans="13:32" x14ac:dyDescent="0.2">
      <c r="M389"/>
      <c r="N389"/>
      <c r="O389"/>
      <c r="P389"/>
      <c r="Q389"/>
      <c r="R389"/>
      <c r="S389"/>
      <c r="T389"/>
      <c r="Y389"/>
      <c r="Z389"/>
      <c r="AA389"/>
      <c r="AB389"/>
      <c r="AC389"/>
      <c r="AD389"/>
      <c r="AE389"/>
      <c r="AF389"/>
    </row>
    <row r="390" spans="13:32" x14ac:dyDescent="0.2">
      <c r="M390"/>
      <c r="N390"/>
      <c r="O390"/>
      <c r="P390"/>
      <c r="Q390"/>
      <c r="R390"/>
      <c r="S390"/>
      <c r="T390"/>
      <c r="Y390"/>
      <c r="Z390"/>
      <c r="AA390"/>
      <c r="AB390"/>
      <c r="AC390"/>
      <c r="AD390"/>
      <c r="AE390"/>
      <c r="AF390"/>
    </row>
    <row r="391" spans="13:32" x14ac:dyDescent="0.2">
      <c r="M391"/>
      <c r="N391"/>
      <c r="O391"/>
      <c r="P391"/>
      <c r="Q391"/>
      <c r="R391"/>
      <c r="S391"/>
      <c r="T391"/>
      <c r="Y391"/>
      <c r="Z391"/>
      <c r="AA391"/>
      <c r="AB391"/>
      <c r="AC391"/>
      <c r="AD391"/>
      <c r="AE391"/>
      <c r="AF391"/>
    </row>
    <row r="392" spans="13:32" x14ac:dyDescent="0.2">
      <c r="M392"/>
      <c r="N392"/>
      <c r="O392"/>
      <c r="P392"/>
      <c r="Q392"/>
      <c r="R392"/>
      <c r="S392"/>
      <c r="T392"/>
      <c r="Y392"/>
      <c r="Z392"/>
      <c r="AA392"/>
      <c r="AB392"/>
      <c r="AC392"/>
      <c r="AD392"/>
      <c r="AE392"/>
      <c r="AF392"/>
    </row>
    <row r="393" spans="13:32" x14ac:dyDescent="0.2">
      <c r="M393"/>
      <c r="N393"/>
      <c r="O393"/>
      <c r="P393"/>
      <c r="Q393"/>
      <c r="R393"/>
      <c r="S393"/>
      <c r="T393"/>
      <c r="Y393"/>
      <c r="Z393"/>
      <c r="AA393"/>
      <c r="AB393"/>
      <c r="AC393"/>
      <c r="AD393"/>
      <c r="AE393"/>
      <c r="AF393"/>
    </row>
    <row r="394" spans="13:32" x14ac:dyDescent="0.2">
      <c r="M394"/>
      <c r="N394"/>
      <c r="O394"/>
      <c r="P394"/>
      <c r="Q394"/>
      <c r="R394"/>
      <c r="S394"/>
      <c r="T394"/>
      <c r="Y394"/>
      <c r="Z394"/>
      <c r="AA394"/>
      <c r="AB394"/>
      <c r="AC394"/>
      <c r="AD394"/>
      <c r="AE394"/>
      <c r="AF394"/>
    </row>
    <row r="395" spans="13:32" x14ac:dyDescent="0.2">
      <c r="M395"/>
      <c r="N395"/>
      <c r="O395"/>
      <c r="P395"/>
      <c r="Q395"/>
      <c r="R395"/>
      <c r="S395"/>
      <c r="T395"/>
      <c r="Y395"/>
      <c r="Z395"/>
      <c r="AA395"/>
      <c r="AB395"/>
      <c r="AC395"/>
      <c r="AD395"/>
      <c r="AE395"/>
      <c r="AF395"/>
    </row>
    <row r="396" spans="13:32" x14ac:dyDescent="0.2">
      <c r="M396"/>
      <c r="N396"/>
      <c r="O396"/>
      <c r="P396"/>
      <c r="Q396"/>
      <c r="R396"/>
      <c r="S396"/>
      <c r="T396"/>
      <c r="Y396"/>
      <c r="Z396"/>
      <c r="AA396"/>
      <c r="AB396"/>
      <c r="AC396"/>
      <c r="AD396"/>
      <c r="AE396"/>
      <c r="AF396"/>
    </row>
    <row r="397" spans="13:32" x14ac:dyDescent="0.2">
      <c r="M397"/>
      <c r="N397"/>
      <c r="O397"/>
      <c r="P397"/>
      <c r="Q397"/>
      <c r="R397"/>
      <c r="S397"/>
      <c r="T397"/>
      <c r="Y397"/>
      <c r="Z397"/>
      <c r="AA397"/>
      <c r="AB397"/>
      <c r="AC397"/>
      <c r="AD397"/>
      <c r="AE397"/>
      <c r="AF397"/>
    </row>
    <row r="398" spans="13:32" x14ac:dyDescent="0.2">
      <c r="M398"/>
      <c r="N398"/>
      <c r="O398"/>
      <c r="P398"/>
      <c r="Q398"/>
      <c r="R398"/>
      <c r="S398"/>
      <c r="T398"/>
      <c r="Y398"/>
      <c r="Z398"/>
      <c r="AA398"/>
      <c r="AB398"/>
      <c r="AC398"/>
      <c r="AD398"/>
      <c r="AE398"/>
      <c r="AF398"/>
    </row>
    <row r="399" spans="13:32" x14ac:dyDescent="0.2">
      <c r="M399"/>
      <c r="N399"/>
      <c r="O399"/>
      <c r="P399"/>
      <c r="Q399"/>
      <c r="R399"/>
      <c r="S399"/>
      <c r="T399"/>
      <c r="Y399"/>
      <c r="Z399"/>
      <c r="AA399"/>
      <c r="AB399"/>
      <c r="AC399"/>
      <c r="AD399"/>
      <c r="AE399"/>
      <c r="AF399"/>
    </row>
    <row r="400" spans="13:32" x14ac:dyDescent="0.2">
      <c r="M400"/>
      <c r="N400"/>
      <c r="O400"/>
      <c r="P400"/>
      <c r="Q400"/>
      <c r="R400"/>
      <c r="S400"/>
      <c r="T400"/>
      <c r="Y400"/>
      <c r="Z400"/>
      <c r="AA400"/>
      <c r="AB400"/>
      <c r="AC400"/>
      <c r="AD400"/>
      <c r="AE400"/>
      <c r="AF400"/>
    </row>
    <row r="401" spans="13:32" x14ac:dyDescent="0.2">
      <c r="M401"/>
      <c r="N401"/>
      <c r="O401"/>
      <c r="P401"/>
      <c r="Q401"/>
      <c r="R401"/>
      <c r="S401"/>
      <c r="T401"/>
      <c r="Y401"/>
      <c r="Z401"/>
      <c r="AA401"/>
      <c r="AB401"/>
      <c r="AC401"/>
      <c r="AD401"/>
      <c r="AE401"/>
      <c r="AF401"/>
    </row>
    <row r="402" spans="13:32" x14ac:dyDescent="0.2">
      <c r="M402"/>
      <c r="N402"/>
      <c r="O402"/>
      <c r="P402"/>
      <c r="Q402"/>
      <c r="R402"/>
      <c r="S402"/>
      <c r="T402"/>
      <c r="Y402"/>
      <c r="Z402"/>
      <c r="AA402"/>
      <c r="AB402"/>
      <c r="AC402"/>
      <c r="AD402"/>
      <c r="AE402"/>
      <c r="AF402"/>
    </row>
    <row r="403" spans="13:32" x14ac:dyDescent="0.2">
      <c r="M403"/>
      <c r="N403"/>
      <c r="O403"/>
      <c r="P403"/>
      <c r="Q403"/>
      <c r="R403"/>
      <c r="S403"/>
      <c r="T403"/>
      <c r="Y403"/>
      <c r="Z403"/>
      <c r="AA403"/>
      <c r="AB403"/>
      <c r="AC403"/>
      <c r="AD403"/>
      <c r="AE403"/>
      <c r="AF403"/>
    </row>
    <row r="404" spans="13:32" x14ac:dyDescent="0.2">
      <c r="M404"/>
      <c r="N404"/>
      <c r="O404"/>
      <c r="P404"/>
      <c r="Q404"/>
      <c r="R404"/>
      <c r="S404"/>
      <c r="T404"/>
      <c r="Y404"/>
      <c r="Z404"/>
      <c r="AA404"/>
      <c r="AB404"/>
      <c r="AC404"/>
      <c r="AD404"/>
      <c r="AE404"/>
      <c r="AF404"/>
    </row>
    <row r="405" spans="13:32" x14ac:dyDescent="0.2">
      <c r="M405"/>
      <c r="N405"/>
      <c r="O405"/>
      <c r="P405"/>
      <c r="Q405"/>
      <c r="R405"/>
      <c r="S405"/>
      <c r="T405"/>
      <c r="Y405"/>
      <c r="Z405"/>
      <c r="AA405"/>
      <c r="AB405"/>
      <c r="AC405"/>
      <c r="AD405"/>
      <c r="AE405"/>
      <c r="AF405"/>
    </row>
    <row r="406" spans="13:32" x14ac:dyDescent="0.2">
      <c r="M406"/>
      <c r="N406"/>
      <c r="O406"/>
      <c r="P406"/>
      <c r="Q406"/>
      <c r="R406"/>
      <c r="S406"/>
      <c r="T406"/>
      <c r="Y406"/>
      <c r="Z406"/>
      <c r="AA406"/>
      <c r="AB406"/>
      <c r="AC406"/>
      <c r="AD406"/>
      <c r="AE406"/>
      <c r="AF406"/>
    </row>
    <row r="407" spans="13:32" x14ac:dyDescent="0.2">
      <c r="M407"/>
      <c r="N407"/>
      <c r="O407"/>
      <c r="P407"/>
      <c r="Q407"/>
      <c r="R407"/>
      <c r="S407"/>
      <c r="T407"/>
      <c r="Y407"/>
      <c r="Z407"/>
      <c r="AA407"/>
      <c r="AB407"/>
      <c r="AC407"/>
      <c r="AD407"/>
      <c r="AE407"/>
      <c r="AF407"/>
    </row>
    <row r="408" spans="13:32" x14ac:dyDescent="0.2">
      <c r="M408"/>
      <c r="N408"/>
      <c r="O408"/>
      <c r="P408"/>
      <c r="Q408"/>
      <c r="R408"/>
      <c r="S408"/>
      <c r="T408"/>
      <c r="Y408"/>
      <c r="Z408"/>
      <c r="AA408"/>
      <c r="AB408"/>
      <c r="AC408"/>
      <c r="AD408"/>
      <c r="AE408"/>
      <c r="AF408"/>
    </row>
  </sheetData>
  <sheetProtection algorithmName="SHA-512" hashValue="SQqdvl4em399qDIou81C81jAYwN0HhV7/TTmr3SJxQBc7IDiuJ3cnbGZKrxl7H0ae1iR0My9MCRH9JJdHNHnjA==" saltValue="2pzxWYQWmZ8HSbQKoSYjzw==" spinCount="100000" sheet="1" objects="1" scenarios="1" sort="0" autoFilter="0" pivotTables="0"/>
  <pageMargins left="0.7" right="0.7" top="0.75" bottom="0.75" header="0.3" footer="0.3"/>
  <pageSetup orientation="portrait"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AB731"/>
  <sheetViews>
    <sheetView workbookViewId="0">
      <selection activeCell="A2" sqref="A2:T800000"/>
    </sheetView>
  </sheetViews>
  <sheetFormatPr defaultColWidth="15" defaultRowHeight="12.75" x14ac:dyDescent="0.2"/>
  <cols>
    <col min="1" max="3" width="15" style="25"/>
    <col min="4" max="4" width="18" style="25" customWidth="1"/>
    <col min="5" max="5" width="19.5703125" style="253" bestFit="1" customWidth="1"/>
    <col min="6" max="6" width="15" style="253"/>
    <col min="7" max="7" width="18.42578125" style="256" customWidth="1"/>
    <col min="8" max="8" width="20.28515625" style="253" customWidth="1"/>
    <col min="9" max="9" width="15" style="251"/>
    <col min="10" max="10" width="15" style="255"/>
    <col min="11" max="11" width="15" style="257"/>
    <col min="12" max="12" width="15" style="25"/>
    <col min="13" max="13" width="15" style="248"/>
    <col min="14" max="14" width="15" style="249"/>
    <col min="15" max="15" width="15" style="248"/>
    <col min="16" max="19" width="15" style="121"/>
    <col min="20" max="21" width="15" style="120"/>
    <col min="22" max="24" width="15" style="121"/>
    <col min="25" max="25" width="15" style="129"/>
    <col min="26" max="26" width="15" style="121"/>
    <col min="27" max="27" width="15" style="131"/>
    <col min="28" max="16384" width="15" style="121"/>
  </cols>
  <sheetData>
    <row r="1" spans="1:28" x14ac:dyDescent="0.2">
      <c r="A1" s="25" t="s">
        <v>1069</v>
      </c>
      <c r="B1" s="25" t="s">
        <v>275</v>
      </c>
      <c r="C1" s="25" t="s">
        <v>279</v>
      </c>
      <c r="D1" s="25" t="s">
        <v>1070</v>
      </c>
      <c r="E1" s="253" t="s">
        <v>276</v>
      </c>
      <c r="F1" s="253" t="s">
        <v>1071</v>
      </c>
      <c r="G1" s="256" t="s">
        <v>298</v>
      </c>
      <c r="H1" s="253" t="s">
        <v>1073</v>
      </c>
      <c r="I1" s="253" t="s">
        <v>1074</v>
      </c>
      <c r="J1" s="254" t="s">
        <v>326</v>
      </c>
      <c r="K1" s="256" t="s">
        <v>1072</v>
      </c>
      <c r="L1" s="25" t="s">
        <v>1076</v>
      </c>
      <c r="M1" s="25" t="s">
        <v>278</v>
      </c>
      <c r="N1" s="248" t="s">
        <v>1077</v>
      </c>
      <c r="O1" s="249" t="s">
        <v>261</v>
      </c>
    </row>
    <row r="2" spans="1:28" x14ac:dyDescent="0.2">
      <c r="M2" s="25"/>
      <c r="N2" s="25"/>
      <c r="AB2" s="188"/>
    </row>
    <row r="3" spans="1:28" x14ac:dyDescent="0.2">
      <c r="M3" s="25"/>
      <c r="N3" s="25"/>
      <c r="AB3" s="188"/>
    </row>
    <row r="4" spans="1:28" x14ac:dyDescent="0.2">
      <c r="D4" s="253"/>
      <c r="E4" s="25"/>
      <c r="M4" s="25"/>
      <c r="N4" s="25"/>
      <c r="AB4" s="188"/>
    </row>
    <row r="5" spans="1:28" x14ac:dyDescent="0.2">
      <c r="D5" s="253"/>
      <c r="E5" s="25"/>
      <c r="M5" s="25"/>
      <c r="N5" s="25"/>
      <c r="AB5" s="188"/>
    </row>
    <row r="6" spans="1:28" x14ac:dyDescent="0.2">
      <c r="D6" s="253"/>
      <c r="E6" s="25"/>
      <c r="M6" s="25"/>
      <c r="N6" s="25"/>
      <c r="AB6" s="188"/>
    </row>
    <row r="7" spans="1:28" x14ac:dyDescent="0.2">
      <c r="D7" s="253"/>
      <c r="E7" s="25"/>
      <c r="M7" s="25"/>
      <c r="N7" s="25"/>
      <c r="AB7" s="188"/>
    </row>
    <row r="8" spans="1:28" x14ac:dyDescent="0.2">
      <c r="D8" s="253"/>
      <c r="E8" s="25"/>
      <c r="M8" s="25"/>
      <c r="N8" s="25"/>
      <c r="AB8" s="188"/>
    </row>
    <row r="9" spans="1:28" x14ac:dyDescent="0.2">
      <c r="M9" s="25"/>
      <c r="N9" s="25"/>
      <c r="AB9" s="188"/>
    </row>
    <row r="10" spans="1:28" x14ac:dyDescent="0.2">
      <c r="AB10" s="188"/>
    </row>
    <row r="11" spans="1:28" x14ac:dyDescent="0.2">
      <c r="D11" s="253"/>
      <c r="E11" s="25"/>
      <c r="AB11" s="188"/>
    </row>
    <row r="12" spans="1:28" x14ac:dyDescent="0.2">
      <c r="D12" s="253"/>
      <c r="E12" s="25"/>
      <c r="AB12" s="188"/>
    </row>
    <row r="13" spans="1:28" x14ac:dyDescent="0.2">
      <c r="AB13" s="188"/>
    </row>
    <row r="14" spans="1:28" x14ac:dyDescent="0.2">
      <c r="D14" s="253"/>
      <c r="E14" s="25"/>
      <c r="AB14" s="188"/>
    </row>
    <row r="15" spans="1:28" x14ac:dyDescent="0.2">
      <c r="AB15" s="188"/>
    </row>
    <row r="16" spans="1:28" x14ac:dyDescent="0.2">
      <c r="D16" s="253"/>
      <c r="E16" s="25"/>
      <c r="AB16" s="188"/>
    </row>
    <row r="17" spans="4:28" x14ac:dyDescent="0.2">
      <c r="D17" s="253"/>
      <c r="E17" s="25"/>
      <c r="AB17" s="188"/>
    </row>
    <row r="18" spans="4:28" x14ac:dyDescent="0.2">
      <c r="AB18" s="188"/>
    </row>
    <row r="19" spans="4:28" x14ac:dyDescent="0.2">
      <c r="D19" s="253"/>
      <c r="E19" s="25"/>
      <c r="AB19" s="188"/>
    </row>
    <row r="20" spans="4:28" x14ac:dyDescent="0.2">
      <c r="D20" s="253"/>
      <c r="E20" s="25"/>
      <c r="AB20" s="188"/>
    </row>
    <row r="21" spans="4:28" x14ac:dyDescent="0.2">
      <c r="D21" s="253"/>
      <c r="E21" s="25"/>
      <c r="AB21" s="188"/>
    </row>
    <row r="22" spans="4:28" x14ac:dyDescent="0.2">
      <c r="D22" s="253"/>
      <c r="E22" s="25"/>
      <c r="AB22" s="188"/>
    </row>
    <row r="23" spans="4:28" x14ac:dyDescent="0.2">
      <c r="D23" s="253"/>
      <c r="E23" s="25"/>
      <c r="AB23" s="188"/>
    </row>
    <row r="24" spans="4:28" x14ac:dyDescent="0.2">
      <c r="D24" s="253"/>
      <c r="E24" s="25"/>
      <c r="AB24" s="188"/>
    </row>
    <row r="25" spans="4:28" x14ac:dyDescent="0.2">
      <c r="D25" s="253"/>
      <c r="E25" s="25"/>
      <c r="AB25" s="188"/>
    </row>
    <row r="26" spans="4:28" x14ac:dyDescent="0.2">
      <c r="AB26" s="188"/>
    </row>
    <row r="27" spans="4:28" x14ac:dyDescent="0.2">
      <c r="D27" s="253"/>
      <c r="E27" s="25"/>
      <c r="AB27" s="188"/>
    </row>
    <row r="28" spans="4:28" x14ac:dyDescent="0.2">
      <c r="D28" s="253"/>
      <c r="E28" s="25"/>
      <c r="AB28" s="188"/>
    </row>
    <row r="29" spans="4:28" x14ac:dyDescent="0.2">
      <c r="AB29" s="188"/>
    </row>
    <row r="30" spans="4:28" x14ac:dyDescent="0.2">
      <c r="AB30" s="188"/>
    </row>
    <row r="31" spans="4:28" x14ac:dyDescent="0.2">
      <c r="AB31" s="188"/>
    </row>
    <row r="32" spans="4:28" x14ac:dyDescent="0.2">
      <c r="AB32" s="188"/>
    </row>
    <row r="33" spans="28:28" x14ac:dyDescent="0.2">
      <c r="AB33" s="188"/>
    </row>
    <row r="34" spans="28:28" x14ac:dyDescent="0.2">
      <c r="AB34" s="188"/>
    </row>
    <row r="35" spans="28:28" x14ac:dyDescent="0.2">
      <c r="AB35" s="188"/>
    </row>
    <row r="36" spans="28:28" x14ac:dyDescent="0.2">
      <c r="AB36" s="188"/>
    </row>
    <row r="37" spans="28:28" x14ac:dyDescent="0.2">
      <c r="AB37" s="188"/>
    </row>
    <row r="38" spans="28:28" x14ac:dyDescent="0.2">
      <c r="AB38" s="188"/>
    </row>
    <row r="39" spans="28:28" x14ac:dyDescent="0.2">
      <c r="AB39" s="188"/>
    </row>
    <row r="40" spans="28:28" x14ac:dyDescent="0.2">
      <c r="AB40" s="188"/>
    </row>
    <row r="41" spans="28:28" x14ac:dyDescent="0.2">
      <c r="AB41" s="188"/>
    </row>
    <row r="42" spans="28:28" x14ac:dyDescent="0.2">
      <c r="AB42" s="188"/>
    </row>
    <row r="43" spans="28:28" x14ac:dyDescent="0.2">
      <c r="AB43" s="188"/>
    </row>
    <row r="44" spans="28:28" x14ac:dyDescent="0.2">
      <c r="AB44" s="188"/>
    </row>
    <row r="45" spans="28:28" x14ac:dyDescent="0.2">
      <c r="AB45" s="188"/>
    </row>
    <row r="46" spans="28:28" x14ac:dyDescent="0.2">
      <c r="AB46" s="188"/>
    </row>
    <row r="47" spans="28:28" x14ac:dyDescent="0.2">
      <c r="AB47" s="188"/>
    </row>
    <row r="48" spans="28:28" x14ac:dyDescent="0.2">
      <c r="AB48" s="188"/>
    </row>
    <row r="49" spans="4:28" x14ac:dyDescent="0.2">
      <c r="AB49" s="188"/>
    </row>
    <row r="50" spans="4:28" x14ac:dyDescent="0.2">
      <c r="AB50" s="188"/>
    </row>
    <row r="51" spans="4:28" x14ac:dyDescent="0.2">
      <c r="AB51" s="188"/>
    </row>
    <row r="52" spans="4:28" x14ac:dyDescent="0.2">
      <c r="AB52" s="188"/>
    </row>
    <row r="53" spans="4:28" x14ac:dyDescent="0.2">
      <c r="AB53" s="188"/>
    </row>
    <row r="54" spans="4:28" x14ac:dyDescent="0.2">
      <c r="AB54" s="188"/>
    </row>
    <row r="55" spans="4:28" x14ac:dyDescent="0.2">
      <c r="AB55" s="188"/>
    </row>
    <row r="56" spans="4:28" x14ac:dyDescent="0.2">
      <c r="AB56" s="188"/>
    </row>
    <row r="57" spans="4:28" x14ac:dyDescent="0.2">
      <c r="AB57" s="188"/>
    </row>
    <row r="58" spans="4:28" x14ac:dyDescent="0.2">
      <c r="AB58" s="188"/>
    </row>
    <row r="59" spans="4:28" x14ac:dyDescent="0.2">
      <c r="AB59" s="188"/>
    </row>
    <row r="60" spans="4:28" x14ac:dyDescent="0.2">
      <c r="D60" s="253"/>
      <c r="E60" s="25"/>
      <c r="AB60" s="188"/>
    </row>
    <row r="61" spans="4:28" x14ac:dyDescent="0.2">
      <c r="AB61" s="188"/>
    </row>
    <row r="62" spans="4:28" x14ac:dyDescent="0.2">
      <c r="AB62" s="188"/>
    </row>
    <row r="63" spans="4:28" x14ac:dyDescent="0.2">
      <c r="AB63" s="188"/>
    </row>
    <row r="64" spans="4:28" x14ac:dyDescent="0.2">
      <c r="AB64" s="188"/>
    </row>
    <row r="65" spans="28:28" x14ac:dyDescent="0.2">
      <c r="AB65" s="188"/>
    </row>
    <row r="66" spans="28:28" x14ac:dyDescent="0.2">
      <c r="AB66" s="188"/>
    </row>
    <row r="67" spans="28:28" x14ac:dyDescent="0.2">
      <c r="AB67" s="188"/>
    </row>
    <row r="68" spans="28:28" x14ac:dyDescent="0.2">
      <c r="AB68" s="188"/>
    </row>
    <row r="69" spans="28:28" x14ac:dyDescent="0.2">
      <c r="AB69" s="188"/>
    </row>
    <row r="70" spans="28:28" x14ac:dyDescent="0.2">
      <c r="AB70" s="188"/>
    </row>
    <row r="71" spans="28:28" x14ac:dyDescent="0.2">
      <c r="AB71" s="188"/>
    </row>
    <row r="72" spans="28:28" x14ac:dyDescent="0.2">
      <c r="AB72" s="188"/>
    </row>
    <row r="73" spans="28:28" x14ac:dyDescent="0.2">
      <c r="AB73" s="188"/>
    </row>
    <row r="74" spans="28:28" x14ac:dyDescent="0.2">
      <c r="AB74" s="188"/>
    </row>
    <row r="75" spans="28:28" x14ac:dyDescent="0.2">
      <c r="AB75" s="188"/>
    </row>
    <row r="76" spans="28:28" x14ac:dyDescent="0.2">
      <c r="AB76" s="188"/>
    </row>
    <row r="77" spans="28:28" x14ac:dyDescent="0.2">
      <c r="AB77" s="188"/>
    </row>
    <row r="78" spans="28:28" x14ac:dyDescent="0.2">
      <c r="AB78" s="188"/>
    </row>
    <row r="79" spans="28:28" x14ac:dyDescent="0.2">
      <c r="AB79" s="188"/>
    </row>
    <row r="80" spans="28:28" x14ac:dyDescent="0.2">
      <c r="AB80" s="188"/>
    </row>
    <row r="81" spans="28:28" x14ac:dyDescent="0.2">
      <c r="AB81" s="188"/>
    </row>
    <row r="82" spans="28:28" x14ac:dyDescent="0.2">
      <c r="AB82" s="188"/>
    </row>
    <row r="83" spans="28:28" x14ac:dyDescent="0.2">
      <c r="AB83" s="188"/>
    </row>
    <row r="84" spans="28:28" x14ac:dyDescent="0.2">
      <c r="AB84" s="188"/>
    </row>
    <row r="85" spans="28:28" x14ac:dyDescent="0.2">
      <c r="AB85" s="188"/>
    </row>
    <row r="86" spans="28:28" x14ac:dyDescent="0.2">
      <c r="AB86" s="188"/>
    </row>
    <row r="87" spans="28:28" x14ac:dyDescent="0.2">
      <c r="AB87" s="188"/>
    </row>
    <row r="88" spans="28:28" x14ac:dyDescent="0.2">
      <c r="AB88" s="188"/>
    </row>
    <row r="89" spans="28:28" x14ac:dyDescent="0.2">
      <c r="AB89" s="188"/>
    </row>
    <row r="90" spans="28:28" x14ac:dyDescent="0.2">
      <c r="AB90" s="188"/>
    </row>
    <row r="91" spans="28:28" x14ac:dyDescent="0.2">
      <c r="AB91" s="188"/>
    </row>
    <row r="92" spans="28:28" x14ac:dyDescent="0.2">
      <c r="AB92" s="188"/>
    </row>
    <row r="93" spans="28:28" x14ac:dyDescent="0.2">
      <c r="AB93" s="188"/>
    </row>
    <row r="94" spans="28:28" x14ac:dyDescent="0.2">
      <c r="AB94" s="188"/>
    </row>
    <row r="95" spans="28:28" x14ac:dyDescent="0.2">
      <c r="AB95" s="188"/>
    </row>
    <row r="96" spans="28:28" x14ac:dyDescent="0.2">
      <c r="AB96" s="188"/>
    </row>
    <row r="97" spans="28:28" x14ac:dyDescent="0.2">
      <c r="AB97" s="188"/>
    </row>
    <row r="98" spans="28:28" x14ac:dyDescent="0.2">
      <c r="AB98" s="188"/>
    </row>
    <row r="99" spans="28:28" x14ac:dyDescent="0.2">
      <c r="AB99" s="188"/>
    </row>
    <row r="100" spans="28:28" x14ac:dyDescent="0.2">
      <c r="AB100" s="188"/>
    </row>
    <row r="101" spans="28:28" x14ac:dyDescent="0.2">
      <c r="AB101" s="188"/>
    </row>
    <row r="102" spans="28:28" x14ac:dyDescent="0.2">
      <c r="AB102" s="188"/>
    </row>
    <row r="103" spans="28:28" x14ac:dyDescent="0.2">
      <c r="AB103" s="188"/>
    </row>
    <row r="104" spans="28:28" x14ac:dyDescent="0.2">
      <c r="AB104" s="188"/>
    </row>
    <row r="105" spans="28:28" x14ac:dyDescent="0.2">
      <c r="AB105" s="188"/>
    </row>
    <row r="106" spans="28:28" x14ac:dyDescent="0.2">
      <c r="AB106" s="188"/>
    </row>
    <row r="107" spans="28:28" x14ac:dyDescent="0.2">
      <c r="AB107" s="188"/>
    </row>
    <row r="108" spans="28:28" x14ac:dyDescent="0.2">
      <c r="AB108" s="188"/>
    </row>
    <row r="109" spans="28:28" x14ac:dyDescent="0.2">
      <c r="AB109" s="188"/>
    </row>
    <row r="110" spans="28:28" x14ac:dyDescent="0.2">
      <c r="AB110" s="188"/>
    </row>
    <row r="111" spans="28:28" x14ac:dyDescent="0.2">
      <c r="AB111" s="188"/>
    </row>
    <row r="112" spans="28:28" x14ac:dyDescent="0.2">
      <c r="AB112" s="188"/>
    </row>
    <row r="113" spans="28:28" x14ac:dyDescent="0.2">
      <c r="AB113" s="188"/>
    </row>
    <row r="114" spans="28:28" x14ac:dyDescent="0.2">
      <c r="AB114" s="188"/>
    </row>
    <row r="115" spans="28:28" x14ac:dyDescent="0.2">
      <c r="AB115" s="188"/>
    </row>
    <row r="116" spans="28:28" x14ac:dyDescent="0.2">
      <c r="AB116" s="188"/>
    </row>
    <row r="117" spans="28:28" x14ac:dyDescent="0.2">
      <c r="AB117" s="188"/>
    </row>
    <row r="118" spans="28:28" x14ac:dyDescent="0.2">
      <c r="AB118" s="188"/>
    </row>
    <row r="119" spans="28:28" x14ac:dyDescent="0.2">
      <c r="AB119" s="188"/>
    </row>
    <row r="120" spans="28:28" x14ac:dyDescent="0.2">
      <c r="AB120" s="188"/>
    </row>
    <row r="121" spans="28:28" x14ac:dyDescent="0.2">
      <c r="AB121" s="188"/>
    </row>
    <row r="122" spans="28:28" x14ac:dyDescent="0.2">
      <c r="AB122" s="188"/>
    </row>
    <row r="123" spans="28:28" x14ac:dyDescent="0.2">
      <c r="AB123" s="188"/>
    </row>
    <row r="124" spans="28:28" x14ac:dyDescent="0.2">
      <c r="AB124" s="188"/>
    </row>
    <row r="125" spans="28:28" x14ac:dyDescent="0.2">
      <c r="AB125" s="188"/>
    </row>
    <row r="126" spans="28:28" x14ac:dyDescent="0.2">
      <c r="AB126" s="188"/>
    </row>
    <row r="127" spans="28:28" x14ac:dyDescent="0.2">
      <c r="AB127" s="188"/>
    </row>
    <row r="128" spans="28:28" x14ac:dyDescent="0.2">
      <c r="AB128" s="188"/>
    </row>
    <row r="129" spans="28:28" x14ac:dyDescent="0.2">
      <c r="AB129" s="188"/>
    </row>
    <row r="130" spans="28:28" x14ac:dyDescent="0.2">
      <c r="AB130" s="188"/>
    </row>
    <row r="131" spans="28:28" x14ac:dyDescent="0.2">
      <c r="AB131" s="188"/>
    </row>
    <row r="132" spans="28:28" x14ac:dyDescent="0.2">
      <c r="AB132" s="188"/>
    </row>
    <row r="133" spans="28:28" x14ac:dyDescent="0.2">
      <c r="AB133" s="188"/>
    </row>
    <row r="134" spans="28:28" x14ac:dyDescent="0.2">
      <c r="AB134" s="188"/>
    </row>
    <row r="135" spans="28:28" x14ac:dyDescent="0.2">
      <c r="AB135" s="188"/>
    </row>
    <row r="136" spans="28:28" x14ac:dyDescent="0.2">
      <c r="AB136" s="188"/>
    </row>
    <row r="137" spans="28:28" x14ac:dyDescent="0.2">
      <c r="AB137" s="188"/>
    </row>
    <row r="138" spans="28:28" x14ac:dyDescent="0.2">
      <c r="AB138" s="188"/>
    </row>
    <row r="139" spans="28:28" x14ac:dyDescent="0.2">
      <c r="AB139" s="188"/>
    </row>
    <row r="140" spans="28:28" x14ac:dyDescent="0.2">
      <c r="AB140" s="188"/>
    </row>
    <row r="141" spans="28:28" x14ac:dyDescent="0.2">
      <c r="AB141" s="188"/>
    </row>
    <row r="142" spans="28:28" x14ac:dyDescent="0.2">
      <c r="AB142" s="188"/>
    </row>
    <row r="143" spans="28:28" x14ac:dyDescent="0.2">
      <c r="AB143" s="188"/>
    </row>
    <row r="144" spans="28:28" x14ac:dyDescent="0.2">
      <c r="AB144" s="188"/>
    </row>
    <row r="145" spans="28:28" x14ac:dyDescent="0.2">
      <c r="AB145" s="188"/>
    </row>
    <row r="146" spans="28:28" x14ac:dyDescent="0.2">
      <c r="AB146" s="188"/>
    </row>
    <row r="147" spans="28:28" x14ac:dyDescent="0.2">
      <c r="AB147" s="188"/>
    </row>
    <row r="148" spans="28:28" x14ac:dyDescent="0.2">
      <c r="AB148" s="188"/>
    </row>
    <row r="149" spans="28:28" x14ac:dyDescent="0.2">
      <c r="AB149" s="188"/>
    </row>
    <row r="150" spans="28:28" x14ac:dyDescent="0.2">
      <c r="AB150" s="188"/>
    </row>
    <row r="151" spans="28:28" x14ac:dyDescent="0.2">
      <c r="AB151" s="188"/>
    </row>
    <row r="152" spans="28:28" x14ac:dyDescent="0.2">
      <c r="AB152" s="188"/>
    </row>
    <row r="153" spans="28:28" x14ac:dyDescent="0.2">
      <c r="AB153" s="188"/>
    </row>
    <row r="154" spans="28:28" x14ac:dyDescent="0.2">
      <c r="AB154" s="188"/>
    </row>
    <row r="155" spans="28:28" x14ac:dyDescent="0.2">
      <c r="AB155" s="188"/>
    </row>
    <row r="156" spans="28:28" x14ac:dyDescent="0.2">
      <c r="AB156" s="188"/>
    </row>
    <row r="157" spans="28:28" x14ac:dyDescent="0.2">
      <c r="AB157" s="188"/>
    </row>
    <row r="158" spans="28:28" x14ac:dyDescent="0.2">
      <c r="AB158" s="188"/>
    </row>
    <row r="159" spans="28:28" x14ac:dyDescent="0.2">
      <c r="AB159" s="188"/>
    </row>
    <row r="160" spans="28:28" x14ac:dyDescent="0.2">
      <c r="AB160" s="188"/>
    </row>
    <row r="161" spans="28:28" x14ac:dyDescent="0.2">
      <c r="AB161" s="188"/>
    </row>
    <row r="162" spans="28:28" x14ac:dyDescent="0.2">
      <c r="AB162" s="188"/>
    </row>
    <row r="163" spans="28:28" x14ac:dyDescent="0.2">
      <c r="AB163" s="188"/>
    </row>
    <row r="164" spans="28:28" x14ac:dyDescent="0.2">
      <c r="AB164" s="188"/>
    </row>
    <row r="165" spans="28:28" x14ac:dyDescent="0.2">
      <c r="AB165" s="188"/>
    </row>
    <row r="166" spans="28:28" x14ac:dyDescent="0.2">
      <c r="AB166" s="188"/>
    </row>
    <row r="167" spans="28:28" x14ac:dyDescent="0.2">
      <c r="AB167" s="188"/>
    </row>
    <row r="168" spans="28:28" x14ac:dyDescent="0.2">
      <c r="AB168" s="188"/>
    </row>
    <row r="169" spans="28:28" x14ac:dyDescent="0.2">
      <c r="AB169" s="188"/>
    </row>
    <row r="170" spans="28:28" x14ac:dyDescent="0.2">
      <c r="AB170" s="188"/>
    </row>
    <row r="171" spans="28:28" x14ac:dyDescent="0.2">
      <c r="AB171" s="188"/>
    </row>
    <row r="172" spans="28:28" x14ac:dyDescent="0.2">
      <c r="AB172" s="188"/>
    </row>
    <row r="173" spans="28:28" x14ac:dyDescent="0.2">
      <c r="AB173" s="188"/>
    </row>
    <row r="174" spans="28:28" x14ac:dyDescent="0.2">
      <c r="AB174" s="188"/>
    </row>
    <row r="175" spans="28:28" x14ac:dyDescent="0.2">
      <c r="AB175" s="188"/>
    </row>
    <row r="176" spans="28:28" x14ac:dyDescent="0.2">
      <c r="AB176" s="188"/>
    </row>
    <row r="177" spans="28:28" x14ac:dyDescent="0.2">
      <c r="AB177" s="188"/>
    </row>
    <row r="178" spans="28:28" x14ac:dyDescent="0.2">
      <c r="AB178" s="188"/>
    </row>
    <row r="179" spans="28:28" x14ac:dyDescent="0.2">
      <c r="AB179" s="188"/>
    </row>
    <row r="180" spans="28:28" x14ac:dyDescent="0.2">
      <c r="AB180" s="188"/>
    </row>
    <row r="181" spans="28:28" x14ac:dyDescent="0.2">
      <c r="AB181" s="188"/>
    </row>
    <row r="182" spans="28:28" x14ac:dyDescent="0.2">
      <c r="AB182" s="188"/>
    </row>
    <row r="183" spans="28:28" x14ac:dyDescent="0.2">
      <c r="AB183" s="188"/>
    </row>
    <row r="184" spans="28:28" x14ac:dyDescent="0.2">
      <c r="AB184" s="188"/>
    </row>
    <row r="185" spans="28:28" x14ac:dyDescent="0.2">
      <c r="AB185" s="188"/>
    </row>
    <row r="186" spans="28:28" x14ac:dyDescent="0.2">
      <c r="AB186" s="188"/>
    </row>
    <row r="187" spans="28:28" x14ac:dyDescent="0.2">
      <c r="AB187" s="188"/>
    </row>
    <row r="188" spans="28:28" x14ac:dyDescent="0.2">
      <c r="AB188" s="188"/>
    </row>
    <row r="189" spans="28:28" x14ac:dyDescent="0.2">
      <c r="AB189" s="188"/>
    </row>
    <row r="190" spans="28:28" x14ac:dyDescent="0.2">
      <c r="AB190" s="188"/>
    </row>
    <row r="191" spans="28:28" x14ac:dyDescent="0.2">
      <c r="AB191" s="188"/>
    </row>
    <row r="192" spans="28:28" x14ac:dyDescent="0.2">
      <c r="AB192" s="188"/>
    </row>
    <row r="193" spans="28:28" x14ac:dyDescent="0.2">
      <c r="AB193" s="188"/>
    </row>
    <row r="194" spans="28:28" x14ac:dyDescent="0.2">
      <c r="AB194" s="188"/>
    </row>
    <row r="195" spans="28:28" x14ac:dyDescent="0.2">
      <c r="AB195" s="188"/>
    </row>
    <row r="196" spans="28:28" x14ac:dyDescent="0.2">
      <c r="AB196" s="188"/>
    </row>
    <row r="197" spans="28:28" x14ac:dyDescent="0.2">
      <c r="AB197" s="188"/>
    </row>
    <row r="198" spans="28:28" x14ac:dyDescent="0.2">
      <c r="AB198" s="188"/>
    </row>
    <row r="199" spans="28:28" x14ac:dyDescent="0.2">
      <c r="AB199" s="188"/>
    </row>
    <row r="200" spans="28:28" x14ac:dyDescent="0.2">
      <c r="AB200" s="188"/>
    </row>
    <row r="201" spans="28:28" x14ac:dyDescent="0.2">
      <c r="AB201" s="188"/>
    </row>
    <row r="202" spans="28:28" x14ac:dyDescent="0.2">
      <c r="AB202" s="188"/>
    </row>
    <row r="203" spans="28:28" x14ac:dyDescent="0.2">
      <c r="AB203" s="188"/>
    </row>
    <row r="204" spans="28:28" x14ac:dyDescent="0.2">
      <c r="AB204" s="188"/>
    </row>
    <row r="205" spans="28:28" x14ac:dyDescent="0.2">
      <c r="AB205" s="188"/>
    </row>
    <row r="206" spans="28:28" x14ac:dyDescent="0.2">
      <c r="AB206" s="188"/>
    </row>
    <row r="207" spans="28:28" x14ac:dyDescent="0.2">
      <c r="AB207" s="188"/>
    </row>
    <row r="208" spans="28:28" x14ac:dyDescent="0.2">
      <c r="AB208" s="188"/>
    </row>
    <row r="209" spans="28:28" x14ac:dyDescent="0.2">
      <c r="AB209" s="188"/>
    </row>
    <row r="210" spans="28:28" x14ac:dyDescent="0.2">
      <c r="AB210" s="188"/>
    </row>
    <row r="211" spans="28:28" x14ac:dyDescent="0.2">
      <c r="AB211" s="188"/>
    </row>
    <row r="212" spans="28:28" x14ac:dyDescent="0.2">
      <c r="AB212" s="188"/>
    </row>
    <row r="213" spans="28:28" x14ac:dyDescent="0.2">
      <c r="AB213" s="188"/>
    </row>
    <row r="214" spans="28:28" x14ac:dyDescent="0.2">
      <c r="AB214" s="188"/>
    </row>
    <row r="215" spans="28:28" x14ac:dyDescent="0.2">
      <c r="AB215" s="188"/>
    </row>
    <row r="216" spans="28:28" x14ac:dyDescent="0.2">
      <c r="AB216" s="188"/>
    </row>
    <row r="217" spans="28:28" x14ac:dyDescent="0.2">
      <c r="AB217" s="188"/>
    </row>
    <row r="218" spans="28:28" x14ac:dyDescent="0.2">
      <c r="AB218" s="188"/>
    </row>
    <row r="219" spans="28:28" x14ac:dyDescent="0.2">
      <c r="AB219" s="188"/>
    </row>
    <row r="220" spans="28:28" x14ac:dyDescent="0.2">
      <c r="AB220" s="188"/>
    </row>
    <row r="221" spans="28:28" x14ac:dyDescent="0.2">
      <c r="AB221" s="188"/>
    </row>
    <row r="222" spans="28:28" x14ac:dyDescent="0.2">
      <c r="AB222" s="188"/>
    </row>
    <row r="223" spans="28:28" x14ac:dyDescent="0.2">
      <c r="AB223" s="188"/>
    </row>
    <row r="224" spans="28:28" x14ac:dyDescent="0.2">
      <c r="AB224" s="188"/>
    </row>
    <row r="225" spans="28:28" x14ac:dyDescent="0.2">
      <c r="AB225" s="188"/>
    </row>
    <row r="226" spans="28:28" x14ac:dyDescent="0.2">
      <c r="AB226" s="188"/>
    </row>
    <row r="227" spans="28:28" x14ac:dyDescent="0.2">
      <c r="AB227" s="188"/>
    </row>
    <row r="228" spans="28:28" x14ac:dyDescent="0.2">
      <c r="AB228" s="188"/>
    </row>
    <row r="229" spans="28:28" x14ac:dyDescent="0.2">
      <c r="AB229" s="188"/>
    </row>
    <row r="230" spans="28:28" x14ac:dyDescent="0.2">
      <c r="AB230" s="188"/>
    </row>
    <row r="231" spans="28:28" x14ac:dyDescent="0.2">
      <c r="AB231" s="188"/>
    </row>
    <row r="232" spans="28:28" x14ac:dyDescent="0.2">
      <c r="AB232" s="188"/>
    </row>
    <row r="233" spans="28:28" x14ac:dyDescent="0.2">
      <c r="AB233" s="188"/>
    </row>
    <row r="234" spans="28:28" x14ac:dyDescent="0.2">
      <c r="AB234" s="188"/>
    </row>
    <row r="235" spans="28:28" x14ac:dyDescent="0.2">
      <c r="AB235" s="188"/>
    </row>
    <row r="236" spans="28:28" x14ac:dyDescent="0.2">
      <c r="AB236" s="188"/>
    </row>
    <row r="237" spans="28:28" x14ac:dyDescent="0.2">
      <c r="AB237" s="188"/>
    </row>
    <row r="238" spans="28:28" x14ac:dyDescent="0.2">
      <c r="AB238" s="188"/>
    </row>
    <row r="239" spans="28:28" x14ac:dyDescent="0.2">
      <c r="AB239" s="188"/>
    </row>
    <row r="240" spans="28:28" x14ac:dyDescent="0.2">
      <c r="AB240" s="188"/>
    </row>
    <row r="241" spans="28:28" x14ac:dyDescent="0.2">
      <c r="AB241" s="188"/>
    </row>
    <row r="242" spans="28:28" x14ac:dyDescent="0.2">
      <c r="AB242" s="188"/>
    </row>
    <row r="243" spans="28:28" x14ac:dyDescent="0.2">
      <c r="AB243" s="188"/>
    </row>
    <row r="244" spans="28:28" x14ac:dyDescent="0.2">
      <c r="AB244" s="188"/>
    </row>
    <row r="245" spans="28:28" x14ac:dyDescent="0.2">
      <c r="AB245" s="188"/>
    </row>
    <row r="246" spans="28:28" x14ac:dyDescent="0.2">
      <c r="AB246" s="188"/>
    </row>
    <row r="247" spans="28:28" x14ac:dyDescent="0.2">
      <c r="AB247" s="188"/>
    </row>
    <row r="248" spans="28:28" x14ac:dyDescent="0.2">
      <c r="AB248" s="188"/>
    </row>
    <row r="249" spans="28:28" x14ac:dyDescent="0.2">
      <c r="AB249" s="188"/>
    </row>
    <row r="250" spans="28:28" x14ac:dyDescent="0.2">
      <c r="AB250" s="188"/>
    </row>
    <row r="251" spans="28:28" x14ac:dyDescent="0.2">
      <c r="AB251" s="188"/>
    </row>
    <row r="252" spans="28:28" x14ac:dyDescent="0.2">
      <c r="AB252" s="188"/>
    </row>
    <row r="253" spans="28:28" x14ac:dyDescent="0.2">
      <c r="AB253" s="188"/>
    </row>
    <row r="254" spans="28:28" x14ac:dyDescent="0.2">
      <c r="AB254" s="188"/>
    </row>
    <row r="255" spans="28:28" x14ac:dyDescent="0.2">
      <c r="AB255" s="188"/>
    </row>
    <row r="256" spans="28:28" x14ac:dyDescent="0.2">
      <c r="AB256" s="188"/>
    </row>
    <row r="257" spans="28:28" x14ac:dyDescent="0.2">
      <c r="AB257" s="188"/>
    </row>
    <row r="258" spans="28:28" x14ac:dyDescent="0.2">
      <c r="AB258" s="188"/>
    </row>
    <row r="259" spans="28:28" x14ac:dyDescent="0.2">
      <c r="AB259" s="188"/>
    </row>
    <row r="260" spans="28:28" x14ac:dyDescent="0.2">
      <c r="AB260" s="188"/>
    </row>
    <row r="261" spans="28:28" x14ac:dyDescent="0.2">
      <c r="AB261" s="188"/>
    </row>
    <row r="262" spans="28:28" x14ac:dyDescent="0.2">
      <c r="AB262" s="188"/>
    </row>
    <row r="263" spans="28:28" x14ac:dyDescent="0.2">
      <c r="AB263" s="188"/>
    </row>
    <row r="264" spans="28:28" x14ac:dyDescent="0.2">
      <c r="AB264" s="188"/>
    </row>
    <row r="265" spans="28:28" x14ac:dyDescent="0.2">
      <c r="AB265" s="188"/>
    </row>
    <row r="266" spans="28:28" x14ac:dyDescent="0.2">
      <c r="AB266" s="188"/>
    </row>
    <row r="267" spans="28:28" x14ac:dyDescent="0.2">
      <c r="AB267" s="188"/>
    </row>
    <row r="268" spans="28:28" x14ac:dyDescent="0.2">
      <c r="AB268" s="188"/>
    </row>
    <row r="269" spans="28:28" x14ac:dyDescent="0.2">
      <c r="AB269" s="188"/>
    </row>
    <row r="270" spans="28:28" x14ac:dyDescent="0.2">
      <c r="AB270" s="188"/>
    </row>
    <row r="271" spans="28:28" x14ac:dyDescent="0.2">
      <c r="AB271" s="188"/>
    </row>
    <row r="272" spans="28:28" x14ac:dyDescent="0.2">
      <c r="AB272" s="188"/>
    </row>
    <row r="273" spans="28:28" x14ac:dyDescent="0.2">
      <c r="AB273" s="188"/>
    </row>
    <row r="274" spans="28:28" x14ac:dyDescent="0.2">
      <c r="AB274" s="188"/>
    </row>
    <row r="275" spans="28:28" x14ac:dyDescent="0.2">
      <c r="AB275" s="188"/>
    </row>
    <row r="276" spans="28:28" x14ac:dyDescent="0.2">
      <c r="AB276" s="188"/>
    </row>
    <row r="277" spans="28:28" x14ac:dyDescent="0.2">
      <c r="AB277" s="188"/>
    </row>
    <row r="278" spans="28:28" x14ac:dyDescent="0.2">
      <c r="AB278" s="188"/>
    </row>
    <row r="279" spans="28:28" x14ac:dyDescent="0.2">
      <c r="AB279" s="188"/>
    </row>
    <row r="280" spans="28:28" x14ac:dyDescent="0.2">
      <c r="AB280" s="188"/>
    </row>
    <row r="281" spans="28:28" x14ac:dyDescent="0.2">
      <c r="AB281" s="188"/>
    </row>
    <row r="282" spans="28:28" x14ac:dyDescent="0.2">
      <c r="AB282" s="188"/>
    </row>
    <row r="283" spans="28:28" x14ac:dyDescent="0.2">
      <c r="AB283" s="188"/>
    </row>
    <row r="284" spans="28:28" x14ac:dyDescent="0.2">
      <c r="AB284" s="188"/>
    </row>
    <row r="285" spans="28:28" x14ac:dyDescent="0.2">
      <c r="AB285" s="188"/>
    </row>
    <row r="286" spans="28:28" x14ac:dyDescent="0.2">
      <c r="AB286" s="188"/>
    </row>
    <row r="287" spans="28:28" x14ac:dyDescent="0.2">
      <c r="AB287" s="188"/>
    </row>
    <row r="288" spans="28:28" x14ac:dyDescent="0.2">
      <c r="AB288" s="188"/>
    </row>
    <row r="289" spans="28:28" x14ac:dyDescent="0.2">
      <c r="AB289" s="188"/>
    </row>
    <row r="290" spans="28:28" x14ac:dyDescent="0.2">
      <c r="AB290" s="188"/>
    </row>
    <row r="291" spans="28:28" x14ac:dyDescent="0.2">
      <c r="AB291" s="188"/>
    </row>
    <row r="292" spans="28:28" x14ac:dyDescent="0.2">
      <c r="AB292" s="188"/>
    </row>
    <row r="293" spans="28:28" x14ac:dyDescent="0.2">
      <c r="AB293" s="188"/>
    </row>
    <row r="294" spans="28:28" x14ac:dyDescent="0.2">
      <c r="AB294" s="188"/>
    </row>
    <row r="295" spans="28:28" x14ac:dyDescent="0.2">
      <c r="AB295" s="188"/>
    </row>
    <row r="296" spans="28:28" x14ac:dyDescent="0.2">
      <c r="AB296" s="188"/>
    </row>
    <row r="297" spans="28:28" x14ac:dyDescent="0.2">
      <c r="AB297" s="188"/>
    </row>
    <row r="298" spans="28:28" x14ac:dyDescent="0.2">
      <c r="AB298" s="188"/>
    </row>
    <row r="299" spans="28:28" x14ac:dyDescent="0.2">
      <c r="AB299" s="188"/>
    </row>
    <row r="300" spans="28:28" x14ac:dyDescent="0.2">
      <c r="AB300" s="188"/>
    </row>
    <row r="301" spans="28:28" x14ac:dyDescent="0.2">
      <c r="AB301" s="188"/>
    </row>
    <row r="302" spans="28:28" x14ac:dyDescent="0.2">
      <c r="AB302" s="188"/>
    </row>
    <row r="303" spans="28:28" x14ac:dyDescent="0.2">
      <c r="AB303" s="188"/>
    </row>
    <row r="304" spans="28:28" x14ac:dyDescent="0.2">
      <c r="AB304" s="188"/>
    </row>
    <row r="305" spans="28:28" x14ac:dyDescent="0.2">
      <c r="AB305" s="188"/>
    </row>
    <row r="306" spans="28:28" x14ac:dyDescent="0.2">
      <c r="AB306" s="188"/>
    </row>
    <row r="307" spans="28:28" x14ac:dyDescent="0.2">
      <c r="AB307" s="188"/>
    </row>
    <row r="308" spans="28:28" x14ac:dyDescent="0.2">
      <c r="AB308" s="188"/>
    </row>
    <row r="309" spans="28:28" x14ac:dyDescent="0.2">
      <c r="AB309" s="188"/>
    </row>
    <row r="310" spans="28:28" x14ac:dyDescent="0.2">
      <c r="AB310" s="188"/>
    </row>
    <row r="311" spans="28:28" x14ac:dyDescent="0.2">
      <c r="AB311" s="188"/>
    </row>
    <row r="312" spans="28:28" x14ac:dyDescent="0.2">
      <c r="AB312" s="188"/>
    </row>
    <row r="313" spans="28:28" x14ac:dyDescent="0.2">
      <c r="AB313" s="188"/>
    </row>
    <row r="314" spans="28:28" x14ac:dyDescent="0.2">
      <c r="AB314" s="188"/>
    </row>
    <row r="315" spans="28:28" x14ac:dyDescent="0.2">
      <c r="AB315" s="188"/>
    </row>
    <row r="316" spans="28:28" x14ac:dyDescent="0.2">
      <c r="AB316" s="188"/>
    </row>
    <row r="317" spans="28:28" x14ac:dyDescent="0.2">
      <c r="AB317" s="188"/>
    </row>
    <row r="318" spans="28:28" x14ac:dyDescent="0.2">
      <c r="AB318" s="188"/>
    </row>
    <row r="319" spans="28:28" x14ac:dyDescent="0.2">
      <c r="AB319" s="188"/>
    </row>
    <row r="320" spans="28:28" x14ac:dyDescent="0.2">
      <c r="AB320" s="188"/>
    </row>
    <row r="321" spans="28:28" x14ac:dyDescent="0.2">
      <c r="AB321" s="188"/>
    </row>
    <row r="322" spans="28:28" x14ac:dyDescent="0.2">
      <c r="AB322" s="188"/>
    </row>
    <row r="323" spans="28:28" x14ac:dyDescent="0.2">
      <c r="AB323" s="188"/>
    </row>
    <row r="324" spans="28:28" x14ac:dyDescent="0.2">
      <c r="AB324" s="188"/>
    </row>
    <row r="325" spans="28:28" x14ac:dyDescent="0.2">
      <c r="AB325" s="188"/>
    </row>
    <row r="326" spans="28:28" x14ac:dyDescent="0.2">
      <c r="AB326" s="188"/>
    </row>
    <row r="327" spans="28:28" x14ac:dyDescent="0.2">
      <c r="AB327" s="188"/>
    </row>
    <row r="328" spans="28:28" x14ac:dyDescent="0.2">
      <c r="AB328" s="188"/>
    </row>
    <row r="329" spans="28:28" x14ac:dyDescent="0.2">
      <c r="AB329" s="188"/>
    </row>
    <row r="330" spans="28:28" x14ac:dyDescent="0.2">
      <c r="AB330" s="188"/>
    </row>
    <row r="331" spans="28:28" x14ac:dyDescent="0.2">
      <c r="AB331" s="188"/>
    </row>
    <row r="332" spans="28:28" x14ac:dyDescent="0.2">
      <c r="AB332" s="188"/>
    </row>
    <row r="333" spans="28:28" x14ac:dyDescent="0.2">
      <c r="AB333" s="188"/>
    </row>
    <row r="334" spans="28:28" x14ac:dyDescent="0.2">
      <c r="AB334" s="188"/>
    </row>
    <row r="335" spans="28:28" x14ac:dyDescent="0.2">
      <c r="AB335" s="188"/>
    </row>
    <row r="336" spans="28:28" x14ac:dyDescent="0.2">
      <c r="AB336" s="188"/>
    </row>
    <row r="337" spans="28:28" x14ac:dyDescent="0.2">
      <c r="AB337" s="188"/>
    </row>
    <row r="338" spans="28:28" x14ac:dyDescent="0.2">
      <c r="AB338" s="188"/>
    </row>
    <row r="339" spans="28:28" x14ac:dyDescent="0.2">
      <c r="AB339" s="188"/>
    </row>
    <row r="340" spans="28:28" x14ac:dyDescent="0.2">
      <c r="AB340" s="188"/>
    </row>
    <row r="341" spans="28:28" x14ac:dyDescent="0.2">
      <c r="AB341" s="188"/>
    </row>
    <row r="342" spans="28:28" x14ac:dyDescent="0.2">
      <c r="AB342" s="188"/>
    </row>
    <row r="343" spans="28:28" x14ac:dyDescent="0.2">
      <c r="AB343" s="188"/>
    </row>
    <row r="344" spans="28:28" x14ac:dyDescent="0.2">
      <c r="AB344" s="188"/>
    </row>
    <row r="345" spans="28:28" x14ac:dyDescent="0.2">
      <c r="AB345" s="188"/>
    </row>
    <row r="346" spans="28:28" x14ac:dyDescent="0.2">
      <c r="AB346" s="188"/>
    </row>
    <row r="347" spans="28:28" x14ac:dyDescent="0.2">
      <c r="AB347" s="188"/>
    </row>
    <row r="348" spans="28:28" x14ac:dyDescent="0.2">
      <c r="AB348" s="188"/>
    </row>
    <row r="349" spans="28:28" x14ac:dyDescent="0.2">
      <c r="AB349" s="188"/>
    </row>
    <row r="350" spans="28:28" x14ac:dyDescent="0.2">
      <c r="AB350" s="188"/>
    </row>
    <row r="351" spans="28:28" x14ac:dyDescent="0.2">
      <c r="AB351" s="188"/>
    </row>
    <row r="352" spans="28:28" x14ac:dyDescent="0.2">
      <c r="AB352" s="188"/>
    </row>
    <row r="353" spans="28:28" x14ac:dyDescent="0.2">
      <c r="AB353" s="188"/>
    </row>
    <row r="354" spans="28:28" x14ac:dyDescent="0.2">
      <c r="AB354" s="188"/>
    </row>
    <row r="355" spans="28:28" x14ac:dyDescent="0.2">
      <c r="AB355" s="188"/>
    </row>
    <row r="356" spans="28:28" x14ac:dyDescent="0.2">
      <c r="AB356" s="188"/>
    </row>
    <row r="357" spans="28:28" x14ac:dyDescent="0.2">
      <c r="AB357" s="188"/>
    </row>
    <row r="358" spans="28:28" x14ac:dyDescent="0.2">
      <c r="AB358" s="188"/>
    </row>
    <row r="359" spans="28:28" x14ac:dyDescent="0.2">
      <c r="AB359" s="188"/>
    </row>
    <row r="360" spans="28:28" x14ac:dyDescent="0.2">
      <c r="AB360" s="188"/>
    </row>
    <row r="361" spans="28:28" x14ac:dyDescent="0.2">
      <c r="AB361" s="188"/>
    </row>
    <row r="362" spans="28:28" x14ac:dyDescent="0.2">
      <c r="AB362" s="188"/>
    </row>
    <row r="363" spans="28:28" x14ac:dyDescent="0.2">
      <c r="AB363" s="188"/>
    </row>
    <row r="364" spans="28:28" x14ac:dyDescent="0.2">
      <c r="AB364" s="188"/>
    </row>
    <row r="365" spans="28:28" x14ac:dyDescent="0.2">
      <c r="AB365" s="188"/>
    </row>
    <row r="366" spans="28:28" x14ac:dyDescent="0.2">
      <c r="AB366" s="188"/>
    </row>
    <row r="367" spans="28:28" x14ac:dyDescent="0.2">
      <c r="AB367" s="188"/>
    </row>
    <row r="368" spans="28:28" x14ac:dyDescent="0.2">
      <c r="AB368" s="188"/>
    </row>
    <row r="369" spans="28:28" x14ac:dyDescent="0.2">
      <c r="AB369" s="188"/>
    </row>
    <row r="370" spans="28:28" x14ac:dyDescent="0.2">
      <c r="AB370" s="188"/>
    </row>
    <row r="371" spans="28:28" x14ac:dyDescent="0.2">
      <c r="AB371" s="188"/>
    </row>
    <row r="372" spans="28:28" x14ac:dyDescent="0.2">
      <c r="AB372" s="188"/>
    </row>
    <row r="373" spans="28:28" x14ac:dyDescent="0.2">
      <c r="AB373" s="188"/>
    </row>
    <row r="374" spans="28:28" x14ac:dyDescent="0.2">
      <c r="AB374" s="188"/>
    </row>
    <row r="375" spans="28:28" x14ac:dyDescent="0.2">
      <c r="AB375" s="188"/>
    </row>
    <row r="376" spans="28:28" x14ac:dyDescent="0.2">
      <c r="AB376" s="188"/>
    </row>
    <row r="377" spans="28:28" x14ac:dyDescent="0.2">
      <c r="AB377" s="188"/>
    </row>
    <row r="378" spans="28:28" x14ac:dyDescent="0.2">
      <c r="AB378" s="188"/>
    </row>
    <row r="379" spans="28:28" x14ac:dyDescent="0.2">
      <c r="AB379" s="188"/>
    </row>
    <row r="380" spans="28:28" x14ac:dyDescent="0.2">
      <c r="AB380" s="188"/>
    </row>
    <row r="381" spans="28:28" x14ac:dyDescent="0.2">
      <c r="AB381" s="188"/>
    </row>
    <row r="382" spans="28:28" x14ac:dyDescent="0.2">
      <c r="AB382" s="188"/>
    </row>
    <row r="383" spans="28:28" x14ac:dyDescent="0.2">
      <c r="AB383" s="188"/>
    </row>
    <row r="384" spans="28:28" x14ac:dyDescent="0.2">
      <c r="AB384" s="188"/>
    </row>
    <row r="385" spans="28:28" x14ac:dyDescent="0.2">
      <c r="AB385" s="188"/>
    </row>
    <row r="386" spans="28:28" x14ac:dyDescent="0.2">
      <c r="AB386" s="188"/>
    </row>
    <row r="387" spans="28:28" x14ac:dyDescent="0.2">
      <c r="AB387" s="188"/>
    </row>
    <row r="388" spans="28:28" x14ac:dyDescent="0.2">
      <c r="AB388" s="188"/>
    </row>
    <row r="389" spans="28:28" x14ac:dyDescent="0.2">
      <c r="AB389" s="188"/>
    </row>
    <row r="390" spans="28:28" x14ac:dyDescent="0.2">
      <c r="AB390" s="188"/>
    </row>
    <row r="391" spans="28:28" x14ac:dyDescent="0.2">
      <c r="AB391" s="188"/>
    </row>
    <row r="392" spans="28:28" x14ac:dyDescent="0.2">
      <c r="AB392" s="188"/>
    </row>
    <row r="393" spans="28:28" x14ac:dyDescent="0.2">
      <c r="AB393" s="188"/>
    </row>
    <row r="394" spans="28:28" x14ac:dyDescent="0.2">
      <c r="AB394" s="188"/>
    </row>
    <row r="395" spans="28:28" x14ac:dyDescent="0.2">
      <c r="AB395" s="188"/>
    </row>
    <row r="396" spans="28:28" x14ac:dyDescent="0.2">
      <c r="AB396" s="188"/>
    </row>
    <row r="397" spans="28:28" x14ac:dyDescent="0.2">
      <c r="AB397" s="188"/>
    </row>
    <row r="398" spans="28:28" x14ac:dyDescent="0.2">
      <c r="AB398" s="188"/>
    </row>
    <row r="399" spans="28:28" x14ac:dyDescent="0.2">
      <c r="AB399" s="188"/>
    </row>
    <row r="400" spans="28:28" x14ac:dyDescent="0.2">
      <c r="AB400" s="188"/>
    </row>
    <row r="401" spans="28:28" x14ac:dyDescent="0.2">
      <c r="AB401" s="188"/>
    </row>
    <row r="402" spans="28:28" x14ac:dyDescent="0.2">
      <c r="AB402" s="188"/>
    </row>
    <row r="403" spans="28:28" x14ac:dyDescent="0.2">
      <c r="AB403" s="188"/>
    </row>
    <row r="404" spans="28:28" x14ac:dyDescent="0.2">
      <c r="AB404" s="188"/>
    </row>
    <row r="405" spans="28:28" x14ac:dyDescent="0.2">
      <c r="AB405" s="188"/>
    </row>
    <row r="406" spans="28:28" x14ac:dyDescent="0.2">
      <c r="AB406" s="188"/>
    </row>
    <row r="407" spans="28:28" x14ac:dyDescent="0.2">
      <c r="AB407" s="188"/>
    </row>
    <row r="408" spans="28:28" x14ac:dyDescent="0.2">
      <c r="AB408" s="188"/>
    </row>
    <row r="409" spans="28:28" x14ac:dyDescent="0.2">
      <c r="AB409" s="188"/>
    </row>
    <row r="410" spans="28:28" x14ac:dyDescent="0.2">
      <c r="AB410" s="188"/>
    </row>
    <row r="411" spans="28:28" x14ac:dyDescent="0.2">
      <c r="AB411" s="188"/>
    </row>
    <row r="412" spans="28:28" x14ac:dyDescent="0.2">
      <c r="AB412" s="188"/>
    </row>
    <row r="413" spans="28:28" x14ac:dyDescent="0.2">
      <c r="AB413" s="188"/>
    </row>
    <row r="414" spans="28:28" x14ac:dyDescent="0.2">
      <c r="AB414" s="188"/>
    </row>
    <row r="415" spans="28:28" x14ac:dyDescent="0.2">
      <c r="AB415" s="188"/>
    </row>
    <row r="416" spans="28:28" x14ac:dyDescent="0.2">
      <c r="AB416" s="188"/>
    </row>
    <row r="417" spans="28:28" x14ac:dyDescent="0.2">
      <c r="AB417" s="188"/>
    </row>
    <row r="418" spans="28:28" x14ac:dyDescent="0.2">
      <c r="AB418" s="188"/>
    </row>
    <row r="419" spans="28:28" x14ac:dyDescent="0.2">
      <c r="AB419" s="188"/>
    </row>
    <row r="420" spans="28:28" x14ac:dyDescent="0.2">
      <c r="AB420" s="188"/>
    </row>
    <row r="421" spans="28:28" x14ac:dyDescent="0.2">
      <c r="AB421" s="188"/>
    </row>
    <row r="422" spans="28:28" x14ac:dyDescent="0.2">
      <c r="AB422" s="188"/>
    </row>
    <row r="423" spans="28:28" x14ac:dyDescent="0.2">
      <c r="AB423" s="188"/>
    </row>
    <row r="424" spans="28:28" x14ac:dyDescent="0.2">
      <c r="AB424" s="188"/>
    </row>
    <row r="425" spans="28:28" x14ac:dyDescent="0.2">
      <c r="AB425" s="188"/>
    </row>
    <row r="426" spans="28:28" x14ac:dyDescent="0.2">
      <c r="AB426" s="188"/>
    </row>
    <row r="427" spans="28:28" x14ac:dyDescent="0.2">
      <c r="AB427" s="188"/>
    </row>
    <row r="428" spans="28:28" x14ac:dyDescent="0.2">
      <c r="AB428" s="188"/>
    </row>
    <row r="429" spans="28:28" x14ac:dyDescent="0.2">
      <c r="AB429" s="188"/>
    </row>
    <row r="430" spans="28:28" x14ac:dyDescent="0.2">
      <c r="AB430" s="188"/>
    </row>
    <row r="431" spans="28:28" x14ac:dyDescent="0.2">
      <c r="AB431" s="188"/>
    </row>
    <row r="432" spans="28:28" x14ac:dyDescent="0.2">
      <c r="AB432" s="188"/>
    </row>
    <row r="433" spans="28:28" x14ac:dyDescent="0.2">
      <c r="AB433" s="188"/>
    </row>
    <row r="434" spans="28:28" x14ac:dyDescent="0.2">
      <c r="AB434" s="188"/>
    </row>
    <row r="435" spans="28:28" x14ac:dyDescent="0.2">
      <c r="AB435" s="188"/>
    </row>
    <row r="436" spans="28:28" x14ac:dyDescent="0.2">
      <c r="AB436" s="188"/>
    </row>
    <row r="437" spans="28:28" x14ac:dyDescent="0.2">
      <c r="AB437" s="188"/>
    </row>
    <row r="438" spans="28:28" x14ac:dyDescent="0.2">
      <c r="AB438" s="188"/>
    </row>
    <row r="439" spans="28:28" x14ac:dyDescent="0.2">
      <c r="AB439" s="188"/>
    </row>
    <row r="440" spans="28:28" x14ac:dyDescent="0.2">
      <c r="AB440" s="188"/>
    </row>
    <row r="441" spans="28:28" x14ac:dyDescent="0.2">
      <c r="AB441" s="188"/>
    </row>
    <row r="442" spans="28:28" x14ac:dyDescent="0.2">
      <c r="AB442" s="188"/>
    </row>
    <row r="443" spans="28:28" x14ac:dyDescent="0.2">
      <c r="AB443" s="188"/>
    </row>
    <row r="444" spans="28:28" x14ac:dyDescent="0.2">
      <c r="AB444" s="188"/>
    </row>
    <row r="445" spans="28:28" x14ac:dyDescent="0.2">
      <c r="AB445" s="188"/>
    </row>
    <row r="446" spans="28:28" x14ac:dyDescent="0.2">
      <c r="AB446" s="188"/>
    </row>
    <row r="447" spans="28:28" x14ac:dyDescent="0.2">
      <c r="AB447" s="188"/>
    </row>
    <row r="448" spans="28:28" x14ac:dyDescent="0.2">
      <c r="AB448" s="188"/>
    </row>
    <row r="449" spans="28:28" x14ac:dyDescent="0.2">
      <c r="AB449" s="188"/>
    </row>
    <row r="450" spans="28:28" x14ac:dyDescent="0.2">
      <c r="AB450" s="188"/>
    </row>
    <row r="451" spans="28:28" x14ac:dyDescent="0.2">
      <c r="AB451" s="188"/>
    </row>
    <row r="452" spans="28:28" x14ac:dyDescent="0.2">
      <c r="AB452" s="188"/>
    </row>
    <row r="453" spans="28:28" x14ac:dyDescent="0.2">
      <c r="AB453" s="188"/>
    </row>
    <row r="454" spans="28:28" x14ac:dyDescent="0.2">
      <c r="AB454" s="188"/>
    </row>
    <row r="455" spans="28:28" x14ac:dyDescent="0.2">
      <c r="AB455" s="188"/>
    </row>
    <row r="456" spans="28:28" x14ac:dyDescent="0.2">
      <c r="AB456" s="188"/>
    </row>
    <row r="457" spans="28:28" x14ac:dyDescent="0.2">
      <c r="AB457" s="188"/>
    </row>
    <row r="458" spans="28:28" x14ac:dyDescent="0.2">
      <c r="AB458" s="188"/>
    </row>
    <row r="459" spans="28:28" x14ac:dyDescent="0.2">
      <c r="AB459" s="188"/>
    </row>
    <row r="460" spans="28:28" x14ac:dyDescent="0.2">
      <c r="AB460" s="188"/>
    </row>
    <row r="461" spans="28:28" x14ac:dyDescent="0.2">
      <c r="AB461" s="188"/>
    </row>
    <row r="462" spans="28:28" x14ac:dyDescent="0.2">
      <c r="AB462" s="188"/>
    </row>
    <row r="463" spans="28:28" x14ac:dyDescent="0.2">
      <c r="AB463" s="188"/>
    </row>
    <row r="464" spans="28:28" x14ac:dyDescent="0.2">
      <c r="AB464" s="188"/>
    </row>
    <row r="465" spans="28:28" x14ac:dyDescent="0.2">
      <c r="AB465" s="188"/>
    </row>
    <row r="466" spans="28:28" x14ac:dyDescent="0.2">
      <c r="AB466" s="188"/>
    </row>
    <row r="467" spans="28:28" x14ac:dyDescent="0.2">
      <c r="AB467" s="188"/>
    </row>
    <row r="468" spans="28:28" x14ac:dyDescent="0.2">
      <c r="AB468" s="188"/>
    </row>
    <row r="469" spans="28:28" x14ac:dyDescent="0.2">
      <c r="AB469" s="188"/>
    </row>
    <row r="470" spans="28:28" x14ac:dyDescent="0.2">
      <c r="AB470" s="188"/>
    </row>
    <row r="471" spans="28:28" x14ac:dyDescent="0.2">
      <c r="AB471" s="188"/>
    </row>
    <row r="472" spans="28:28" x14ac:dyDescent="0.2">
      <c r="AB472" s="188"/>
    </row>
    <row r="473" spans="28:28" x14ac:dyDescent="0.2">
      <c r="AB473" s="188"/>
    </row>
    <row r="474" spans="28:28" x14ac:dyDescent="0.2">
      <c r="AB474" s="188"/>
    </row>
    <row r="475" spans="28:28" x14ac:dyDescent="0.2">
      <c r="AB475" s="188"/>
    </row>
    <row r="476" spans="28:28" x14ac:dyDescent="0.2">
      <c r="AB476" s="188"/>
    </row>
    <row r="477" spans="28:28" x14ac:dyDescent="0.2">
      <c r="AB477" s="188"/>
    </row>
    <row r="478" spans="28:28" x14ac:dyDescent="0.2">
      <c r="AB478" s="188"/>
    </row>
    <row r="479" spans="28:28" x14ac:dyDescent="0.2">
      <c r="AB479" s="188"/>
    </row>
    <row r="480" spans="28:28" x14ac:dyDescent="0.2">
      <c r="AB480" s="188"/>
    </row>
    <row r="481" spans="28:28" x14ac:dyDescent="0.2">
      <c r="AB481" s="188"/>
    </row>
    <row r="482" spans="28:28" x14ac:dyDescent="0.2">
      <c r="AB482" s="188"/>
    </row>
    <row r="483" spans="28:28" x14ac:dyDescent="0.2">
      <c r="AB483" s="188"/>
    </row>
    <row r="484" spans="28:28" x14ac:dyDescent="0.2">
      <c r="AB484" s="188"/>
    </row>
    <row r="485" spans="28:28" x14ac:dyDescent="0.2">
      <c r="AB485" s="188"/>
    </row>
    <row r="486" spans="28:28" x14ac:dyDescent="0.2">
      <c r="AB486" s="188"/>
    </row>
    <row r="487" spans="28:28" x14ac:dyDescent="0.2">
      <c r="AB487" s="188"/>
    </row>
    <row r="488" spans="28:28" x14ac:dyDescent="0.2">
      <c r="AB488" s="188"/>
    </row>
    <row r="489" spans="28:28" x14ac:dyDescent="0.2">
      <c r="AB489" s="188"/>
    </row>
    <row r="490" spans="28:28" x14ac:dyDescent="0.2">
      <c r="AB490" s="188"/>
    </row>
    <row r="491" spans="28:28" x14ac:dyDescent="0.2">
      <c r="AB491" s="188"/>
    </row>
    <row r="492" spans="28:28" x14ac:dyDescent="0.2">
      <c r="AB492" s="188"/>
    </row>
    <row r="493" spans="28:28" x14ac:dyDescent="0.2">
      <c r="AB493" s="188"/>
    </row>
    <row r="494" spans="28:28" x14ac:dyDescent="0.2">
      <c r="AB494" s="188"/>
    </row>
    <row r="495" spans="28:28" x14ac:dyDescent="0.2">
      <c r="AB495" s="188"/>
    </row>
    <row r="496" spans="28:28" x14ac:dyDescent="0.2">
      <c r="AB496" s="188"/>
    </row>
    <row r="497" spans="28:28" x14ac:dyDescent="0.2">
      <c r="AB497" s="188"/>
    </row>
    <row r="498" spans="28:28" x14ac:dyDescent="0.2">
      <c r="AB498" s="188"/>
    </row>
    <row r="499" spans="28:28" x14ac:dyDescent="0.2">
      <c r="AB499" s="188"/>
    </row>
    <row r="500" spans="28:28" x14ac:dyDescent="0.2">
      <c r="AB500" s="188"/>
    </row>
    <row r="501" spans="28:28" x14ac:dyDescent="0.2">
      <c r="AB501" s="188"/>
    </row>
    <row r="502" spans="28:28" x14ac:dyDescent="0.2">
      <c r="AB502" s="188"/>
    </row>
    <row r="503" spans="28:28" x14ac:dyDescent="0.2">
      <c r="AB503" s="188"/>
    </row>
    <row r="504" spans="28:28" x14ac:dyDescent="0.2">
      <c r="AB504" s="188"/>
    </row>
    <row r="505" spans="28:28" x14ac:dyDescent="0.2">
      <c r="AB505" s="188"/>
    </row>
    <row r="506" spans="28:28" x14ac:dyDescent="0.2">
      <c r="AB506" s="188"/>
    </row>
    <row r="507" spans="28:28" x14ac:dyDescent="0.2">
      <c r="AB507" s="188"/>
    </row>
    <row r="508" spans="28:28" x14ac:dyDescent="0.2">
      <c r="AB508" s="188"/>
    </row>
    <row r="509" spans="28:28" x14ac:dyDescent="0.2">
      <c r="AB509" s="188"/>
    </row>
    <row r="510" spans="28:28" x14ac:dyDescent="0.2">
      <c r="AB510" s="188"/>
    </row>
    <row r="511" spans="28:28" x14ac:dyDescent="0.2">
      <c r="AB511" s="188"/>
    </row>
    <row r="512" spans="28:28" x14ac:dyDescent="0.2">
      <c r="AB512" s="188"/>
    </row>
    <row r="513" spans="28:28" x14ac:dyDescent="0.2">
      <c r="AB513" s="188"/>
    </row>
    <row r="514" spans="28:28" x14ac:dyDescent="0.2">
      <c r="AB514" s="188"/>
    </row>
    <row r="515" spans="28:28" x14ac:dyDescent="0.2">
      <c r="AB515" s="188"/>
    </row>
    <row r="516" spans="28:28" x14ac:dyDescent="0.2">
      <c r="AB516" s="188"/>
    </row>
    <row r="517" spans="28:28" x14ac:dyDescent="0.2">
      <c r="AB517" s="188"/>
    </row>
    <row r="518" spans="28:28" x14ac:dyDescent="0.2">
      <c r="AB518" s="188"/>
    </row>
    <row r="519" spans="28:28" x14ac:dyDescent="0.2">
      <c r="AB519" s="188"/>
    </row>
    <row r="520" spans="28:28" x14ac:dyDescent="0.2">
      <c r="AB520" s="188"/>
    </row>
    <row r="521" spans="28:28" x14ac:dyDescent="0.2">
      <c r="AB521" s="188"/>
    </row>
    <row r="522" spans="28:28" x14ac:dyDescent="0.2">
      <c r="AB522" s="188"/>
    </row>
    <row r="523" spans="28:28" x14ac:dyDescent="0.2">
      <c r="AB523" s="188"/>
    </row>
    <row r="524" spans="28:28" x14ac:dyDescent="0.2">
      <c r="AB524" s="188"/>
    </row>
    <row r="525" spans="28:28" x14ac:dyDescent="0.2">
      <c r="AB525" s="188"/>
    </row>
    <row r="526" spans="28:28" x14ac:dyDescent="0.2">
      <c r="AB526" s="188"/>
    </row>
    <row r="527" spans="28:28" x14ac:dyDescent="0.2">
      <c r="AB527" s="188"/>
    </row>
    <row r="528" spans="28:28" x14ac:dyDescent="0.2">
      <c r="AB528" s="188"/>
    </row>
    <row r="529" spans="28:28" x14ac:dyDescent="0.2">
      <c r="AB529" s="188"/>
    </row>
    <row r="530" spans="28:28" x14ac:dyDescent="0.2">
      <c r="AB530" s="188"/>
    </row>
    <row r="531" spans="28:28" x14ac:dyDescent="0.2">
      <c r="AB531" s="188"/>
    </row>
    <row r="532" spans="28:28" x14ac:dyDescent="0.2">
      <c r="AB532" s="188"/>
    </row>
    <row r="533" spans="28:28" x14ac:dyDescent="0.2">
      <c r="AB533" s="188"/>
    </row>
    <row r="534" spans="28:28" x14ac:dyDescent="0.2">
      <c r="AB534" s="188"/>
    </row>
    <row r="535" spans="28:28" x14ac:dyDescent="0.2">
      <c r="AB535" s="188"/>
    </row>
    <row r="536" spans="28:28" x14ac:dyDescent="0.2">
      <c r="AB536" s="188"/>
    </row>
    <row r="537" spans="28:28" x14ac:dyDescent="0.2">
      <c r="AB537" s="188"/>
    </row>
    <row r="538" spans="28:28" x14ac:dyDescent="0.2">
      <c r="AB538" s="188"/>
    </row>
    <row r="539" spans="28:28" x14ac:dyDescent="0.2">
      <c r="AB539" s="188"/>
    </row>
    <row r="540" spans="28:28" x14ac:dyDescent="0.2">
      <c r="AB540" s="188"/>
    </row>
    <row r="541" spans="28:28" x14ac:dyDescent="0.2">
      <c r="AB541" s="188"/>
    </row>
    <row r="542" spans="28:28" x14ac:dyDescent="0.2">
      <c r="AB542" s="188"/>
    </row>
    <row r="543" spans="28:28" x14ac:dyDescent="0.2">
      <c r="AB543" s="188"/>
    </row>
    <row r="544" spans="28:28" x14ac:dyDescent="0.2">
      <c r="AB544" s="188"/>
    </row>
    <row r="545" spans="28:28" x14ac:dyDescent="0.2">
      <c r="AB545" s="188"/>
    </row>
    <row r="546" spans="28:28" x14ac:dyDescent="0.2">
      <c r="AB546" s="188"/>
    </row>
    <row r="547" spans="28:28" x14ac:dyDescent="0.2">
      <c r="AB547" s="188"/>
    </row>
    <row r="548" spans="28:28" x14ac:dyDescent="0.2">
      <c r="AB548" s="188"/>
    </row>
    <row r="549" spans="28:28" x14ac:dyDescent="0.2">
      <c r="AB549" s="188"/>
    </row>
    <row r="550" spans="28:28" x14ac:dyDescent="0.2">
      <c r="AB550" s="188"/>
    </row>
    <row r="551" spans="28:28" x14ac:dyDescent="0.2">
      <c r="AB551" s="188"/>
    </row>
    <row r="552" spans="28:28" x14ac:dyDescent="0.2">
      <c r="AB552" s="188"/>
    </row>
    <row r="553" spans="28:28" x14ac:dyDescent="0.2">
      <c r="AB553" s="188"/>
    </row>
    <row r="554" spans="28:28" x14ac:dyDescent="0.2">
      <c r="AB554" s="188"/>
    </row>
    <row r="555" spans="28:28" x14ac:dyDescent="0.2">
      <c r="AB555" s="188"/>
    </row>
    <row r="556" spans="28:28" x14ac:dyDescent="0.2">
      <c r="AB556" s="188"/>
    </row>
    <row r="557" spans="28:28" x14ac:dyDescent="0.2">
      <c r="AB557" s="188"/>
    </row>
    <row r="558" spans="28:28" x14ac:dyDescent="0.2">
      <c r="AB558" s="188"/>
    </row>
    <row r="559" spans="28:28" x14ac:dyDescent="0.2">
      <c r="AB559" s="188"/>
    </row>
    <row r="560" spans="28:28" x14ac:dyDescent="0.2">
      <c r="AB560" s="188"/>
    </row>
    <row r="561" spans="28:28" x14ac:dyDescent="0.2">
      <c r="AB561" s="188"/>
    </row>
    <row r="562" spans="28:28" x14ac:dyDescent="0.2">
      <c r="AB562" s="188"/>
    </row>
    <row r="563" spans="28:28" x14ac:dyDescent="0.2">
      <c r="AB563" s="188"/>
    </row>
    <row r="564" spans="28:28" x14ac:dyDescent="0.2">
      <c r="AB564" s="188"/>
    </row>
    <row r="565" spans="28:28" x14ac:dyDescent="0.2">
      <c r="AB565" s="188"/>
    </row>
    <row r="566" spans="28:28" x14ac:dyDescent="0.2">
      <c r="AB566" s="188"/>
    </row>
    <row r="567" spans="28:28" x14ac:dyDescent="0.2">
      <c r="AB567" s="188"/>
    </row>
    <row r="568" spans="28:28" x14ac:dyDescent="0.2">
      <c r="AB568" s="188"/>
    </row>
    <row r="569" spans="28:28" x14ac:dyDescent="0.2">
      <c r="AB569" s="188"/>
    </row>
    <row r="570" spans="28:28" x14ac:dyDescent="0.2">
      <c r="AB570" s="188"/>
    </row>
    <row r="571" spans="28:28" x14ac:dyDescent="0.2">
      <c r="AB571" s="188"/>
    </row>
    <row r="572" spans="28:28" x14ac:dyDescent="0.2">
      <c r="AB572" s="188"/>
    </row>
    <row r="573" spans="28:28" x14ac:dyDescent="0.2">
      <c r="AB573" s="188"/>
    </row>
    <row r="574" spans="28:28" x14ac:dyDescent="0.2">
      <c r="AB574" s="188"/>
    </row>
    <row r="575" spans="28:28" x14ac:dyDescent="0.2">
      <c r="AB575" s="188"/>
    </row>
    <row r="576" spans="28:28" x14ac:dyDescent="0.2">
      <c r="AB576" s="188"/>
    </row>
    <row r="577" spans="28:28" x14ac:dyDescent="0.2">
      <c r="AB577" s="188"/>
    </row>
    <row r="578" spans="28:28" x14ac:dyDescent="0.2">
      <c r="AB578" s="188"/>
    </row>
    <row r="579" spans="28:28" x14ac:dyDescent="0.2">
      <c r="AB579" s="188"/>
    </row>
    <row r="580" spans="28:28" x14ac:dyDescent="0.2">
      <c r="AB580" s="188"/>
    </row>
    <row r="581" spans="28:28" x14ac:dyDescent="0.2">
      <c r="AB581" s="188"/>
    </row>
    <row r="582" spans="28:28" x14ac:dyDescent="0.2">
      <c r="AB582" s="188"/>
    </row>
    <row r="583" spans="28:28" x14ac:dyDescent="0.2">
      <c r="AB583" s="188"/>
    </row>
    <row r="584" spans="28:28" x14ac:dyDescent="0.2">
      <c r="AB584" s="188"/>
    </row>
    <row r="585" spans="28:28" x14ac:dyDescent="0.2">
      <c r="AB585" s="188"/>
    </row>
    <row r="586" spans="28:28" x14ac:dyDescent="0.2">
      <c r="AB586" s="188"/>
    </row>
    <row r="587" spans="28:28" x14ac:dyDescent="0.2">
      <c r="AB587" s="188"/>
    </row>
    <row r="588" spans="28:28" x14ac:dyDescent="0.2">
      <c r="AB588" s="188"/>
    </row>
    <row r="589" spans="28:28" x14ac:dyDescent="0.2">
      <c r="AB589" s="188"/>
    </row>
    <row r="590" spans="28:28" x14ac:dyDescent="0.2">
      <c r="AB590" s="188"/>
    </row>
    <row r="591" spans="28:28" x14ac:dyDescent="0.2">
      <c r="AB591" s="188"/>
    </row>
    <row r="592" spans="28:28" x14ac:dyDescent="0.2">
      <c r="AB592" s="188"/>
    </row>
    <row r="593" spans="28:28" x14ac:dyDescent="0.2">
      <c r="AB593" s="188"/>
    </row>
    <row r="594" spans="28:28" x14ac:dyDescent="0.2">
      <c r="AB594" s="188"/>
    </row>
    <row r="595" spans="28:28" x14ac:dyDescent="0.2">
      <c r="AB595" s="188"/>
    </row>
    <row r="596" spans="28:28" x14ac:dyDescent="0.2">
      <c r="AB596" s="188"/>
    </row>
    <row r="597" spans="28:28" x14ac:dyDescent="0.2">
      <c r="AB597" s="188"/>
    </row>
    <row r="598" spans="28:28" x14ac:dyDescent="0.2">
      <c r="AB598" s="188"/>
    </row>
    <row r="599" spans="28:28" x14ac:dyDescent="0.2">
      <c r="AB599" s="188"/>
    </row>
    <row r="600" spans="28:28" x14ac:dyDescent="0.2">
      <c r="AB600" s="188"/>
    </row>
    <row r="601" spans="28:28" x14ac:dyDescent="0.2">
      <c r="AB601" s="188"/>
    </row>
    <row r="602" spans="28:28" x14ac:dyDescent="0.2">
      <c r="AB602" s="188"/>
    </row>
    <row r="603" spans="28:28" x14ac:dyDescent="0.2">
      <c r="AB603" s="188"/>
    </row>
    <row r="604" spans="28:28" x14ac:dyDescent="0.2">
      <c r="AB604" s="188"/>
    </row>
    <row r="605" spans="28:28" x14ac:dyDescent="0.2">
      <c r="AB605" s="188"/>
    </row>
    <row r="606" spans="28:28" x14ac:dyDescent="0.2">
      <c r="AB606" s="188"/>
    </row>
    <row r="607" spans="28:28" x14ac:dyDescent="0.2">
      <c r="AB607" s="188"/>
    </row>
    <row r="608" spans="28:28" x14ac:dyDescent="0.2">
      <c r="AB608" s="188"/>
    </row>
    <row r="609" spans="28:28" x14ac:dyDescent="0.2">
      <c r="AB609" s="188"/>
    </row>
    <row r="610" spans="28:28" x14ac:dyDescent="0.2">
      <c r="AB610" s="188"/>
    </row>
    <row r="611" spans="28:28" x14ac:dyDescent="0.2">
      <c r="AB611" s="188"/>
    </row>
    <row r="612" spans="28:28" x14ac:dyDescent="0.2">
      <c r="AB612" s="188"/>
    </row>
    <row r="613" spans="28:28" x14ac:dyDescent="0.2">
      <c r="AB613" s="188"/>
    </row>
    <row r="614" spans="28:28" x14ac:dyDescent="0.2">
      <c r="AB614" s="188"/>
    </row>
    <row r="615" spans="28:28" x14ac:dyDescent="0.2">
      <c r="AB615" s="188"/>
    </row>
    <row r="616" spans="28:28" x14ac:dyDescent="0.2">
      <c r="AB616" s="188"/>
    </row>
    <row r="617" spans="28:28" x14ac:dyDescent="0.2">
      <c r="AB617" s="188"/>
    </row>
    <row r="618" spans="28:28" x14ac:dyDescent="0.2">
      <c r="AB618" s="188"/>
    </row>
    <row r="619" spans="28:28" x14ac:dyDescent="0.2">
      <c r="AB619" s="188"/>
    </row>
    <row r="620" spans="28:28" x14ac:dyDescent="0.2">
      <c r="AB620" s="188"/>
    </row>
    <row r="621" spans="28:28" x14ac:dyDescent="0.2">
      <c r="AB621" s="188"/>
    </row>
    <row r="622" spans="28:28" x14ac:dyDescent="0.2">
      <c r="AB622" s="188"/>
    </row>
    <row r="623" spans="28:28" x14ac:dyDescent="0.2">
      <c r="AB623" s="188"/>
    </row>
    <row r="624" spans="28:28" x14ac:dyDescent="0.2">
      <c r="AB624" s="188"/>
    </row>
    <row r="625" spans="28:28" x14ac:dyDescent="0.2">
      <c r="AB625" s="188"/>
    </row>
    <row r="626" spans="28:28" x14ac:dyDescent="0.2">
      <c r="AB626" s="188"/>
    </row>
    <row r="627" spans="28:28" x14ac:dyDescent="0.2">
      <c r="AB627" s="188"/>
    </row>
    <row r="628" spans="28:28" x14ac:dyDescent="0.2">
      <c r="AB628" s="188"/>
    </row>
    <row r="629" spans="28:28" x14ac:dyDescent="0.2">
      <c r="AB629" s="188"/>
    </row>
    <row r="630" spans="28:28" x14ac:dyDescent="0.2">
      <c r="AB630" s="188"/>
    </row>
    <row r="631" spans="28:28" x14ac:dyDescent="0.2">
      <c r="AB631" s="188"/>
    </row>
    <row r="632" spans="28:28" x14ac:dyDescent="0.2">
      <c r="AB632" s="188"/>
    </row>
    <row r="633" spans="28:28" x14ac:dyDescent="0.2">
      <c r="AB633" s="188"/>
    </row>
    <row r="634" spans="28:28" x14ac:dyDescent="0.2">
      <c r="AB634" s="188"/>
    </row>
    <row r="635" spans="28:28" x14ac:dyDescent="0.2">
      <c r="AB635" s="188"/>
    </row>
    <row r="636" spans="28:28" x14ac:dyDescent="0.2">
      <c r="AB636" s="188"/>
    </row>
    <row r="637" spans="28:28" x14ac:dyDescent="0.2">
      <c r="AB637" s="188"/>
    </row>
    <row r="638" spans="28:28" x14ac:dyDescent="0.2">
      <c r="AB638" s="188"/>
    </row>
    <row r="639" spans="28:28" x14ac:dyDescent="0.2">
      <c r="AB639" s="188"/>
    </row>
    <row r="640" spans="28:28" x14ac:dyDescent="0.2">
      <c r="AB640" s="188"/>
    </row>
    <row r="641" spans="28:28" x14ac:dyDescent="0.2">
      <c r="AB641" s="188"/>
    </row>
    <row r="642" spans="28:28" x14ac:dyDescent="0.2">
      <c r="AB642" s="188"/>
    </row>
    <row r="643" spans="28:28" x14ac:dyDescent="0.2">
      <c r="AB643" s="188"/>
    </row>
    <row r="644" spans="28:28" x14ac:dyDescent="0.2">
      <c r="AB644" s="188"/>
    </row>
    <row r="645" spans="28:28" x14ac:dyDescent="0.2">
      <c r="AB645" s="188"/>
    </row>
    <row r="646" spans="28:28" x14ac:dyDescent="0.2">
      <c r="AB646" s="188"/>
    </row>
    <row r="647" spans="28:28" x14ac:dyDescent="0.2">
      <c r="AB647" s="188"/>
    </row>
    <row r="648" spans="28:28" x14ac:dyDescent="0.2">
      <c r="AB648" s="188"/>
    </row>
    <row r="649" spans="28:28" x14ac:dyDescent="0.2">
      <c r="AB649" s="188"/>
    </row>
    <row r="650" spans="28:28" x14ac:dyDescent="0.2">
      <c r="AB650" s="188"/>
    </row>
    <row r="651" spans="28:28" x14ac:dyDescent="0.2">
      <c r="AB651" s="188"/>
    </row>
    <row r="652" spans="28:28" x14ac:dyDescent="0.2">
      <c r="AB652" s="188"/>
    </row>
    <row r="653" spans="28:28" x14ac:dyDescent="0.2">
      <c r="AB653" s="188"/>
    </row>
    <row r="654" spans="28:28" x14ac:dyDescent="0.2">
      <c r="AB654" s="188"/>
    </row>
    <row r="655" spans="28:28" x14ac:dyDescent="0.2">
      <c r="AB655" s="188"/>
    </row>
    <row r="656" spans="28:28" x14ac:dyDescent="0.2">
      <c r="AB656" s="188"/>
    </row>
    <row r="657" spans="28:28" x14ac:dyDescent="0.2">
      <c r="AB657" s="188"/>
    </row>
    <row r="658" spans="28:28" x14ac:dyDescent="0.2">
      <c r="AB658" s="188"/>
    </row>
    <row r="659" spans="28:28" x14ac:dyDescent="0.2">
      <c r="AB659" s="188"/>
    </row>
    <row r="660" spans="28:28" x14ac:dyDescent="0.2">
      <c r="AB660" s="188"/>
    </row>
    <row r="661" spans="28:28" x14ac:dyDescent="0.2">
      <c r="AB661" s="188"/>
    </row>
    <row r="662" spans="28:28" x14ac:dyDescent="0.2">
      <c r="AB662" s="188"/>
    </row>
    <row r="663" spans="28:28" x14ac:dyDescent="0.2">
      <c r="AB663" s="188"/>
    </row>
    <row r="664" spans="28:28" x14ac:dyDescent="0.2">
      <c r="AB664" s="188"/>
    </row>
    <row r="665" spans="28:28" x14ac:dyDescent="0.2">
      <c r="AB665" s="188"/>
    </row>
    <row r="666" spans="28:28" x14ac:dyDescent="0.2">
      <c r="AB666" s="188"/>
    </row>
    <row r="667" spans="28:28" x14ac:dyDescent="0.2">
      <c r="AB667" s="188"/>
    </row>
    <row r="668" spans="28:28" x14ac:dyDescent="0.2">
      <c r="AB668" s="188"/>
    </row>
    <row r="669" spans="28:28" x14ac:dyDescent="0.2">
      <c r="AB669" s="188"/>
    </row>
    <row r="670" spans="28:28" x14ac:dyDescent="0.2">
      <c r="AB670" s="188"/>
    </row>
    <row r="671" spans="28:28" x14ac:dyDescent="0.2">
      <c r="AB671" s="188"/>
    </row>
    <row r="672" spans="28:28" x14ac:dyDescent="0.2">
      <c r="AB672" s="188"/>
    </row>
    <row r="673" spans="28:28" x14ac:dyDescent="0.2">
      <c r="AB673" s="188"/>
    </row>
    <row r="674" spans="28:28" x14ac:dyDescent="0.2">
      <c r="AB674" s="188"/>
    </row>
    <row r="675" spans="28:28" x14ac:dyDescent="0.2">
      <c r="AB675" s="188"/>
    </row>
    <row r="676" spans="28:28" x14ac:dyDescent="0.2">
      <c r="AB676" s="188"/>
    </row>
    <row r="677" spans="28:28" x14ac:dyDescent="0.2">
      <c r="AB677" s="188"/>
    </row>
    <row r="678" spans="28:28" x14ac:dyDescent="0.2">
      <c r="AB678" s="188"/>
    </row>
    <row r="679" spans="28:28" x14ac:dyDescent="0.2">
      <c r="AB679" s="188"/>
    </row>
    <row r="680" spans="28:28" x14ac:dyDescent="0.2">
      <c r="AB680" s="188"/>
    </row>
    <row r="681" spans="28:28" x14ac:dyDescent="0.2">
      <c r="AB681" s="188"/>
    </row>
    <row r="682" spans="28:28" x14ac:dyDescent="0.2">
      <c r="AB682" s="188"/>
    </row>
    <row r="683" spans="28:28" x14ac:dyDescent="0.2">
      <c r="AB683" s="188"/>
    </row>
    <row r="684" spans="28:28" x14ac:dyDescent="0.2">
      <c r="AB684" s="188"/>
    </row>
    <row r="685" spans="28:28" x14ac:dyDescent="0.2">
      <c r="AB685" s="188"/>
    </row>
    <row r="686" spans="28:28" x14ac:dyDescent="0.2">
      <c r="AB686" s="188"/>
    </row>
    <row r="687" spans="28:28" x14ac:dyDescent="0.2">
      <c r="AB687" s="188"/>
    </row>
    <row r="688" spans="28:28" x14ac:dyDescent="0.2">
      <c r="AB688" s="188"/>
    </row>
    <row r="689" spans="28:28" x14ac:dyDescent="0.2">
      <c r="AB689" s="188"/>
    </row>
    <row r="690" spans="28:28" x14ac:dyDescent="0.2">
      <c r="AB690" s="188"/>
    </row>
    <row r="691" spans="28:28" x14ac:dyDescent="0.2">
      <c r="AB691" s="188"/>
    </row>
    <row r="692" spans="28:28" x14ac:dyDescent="0.2">
      <c r="AB692" s="188"/>
    </row>
    <row r="693" spans="28:28" x14ac:dyDescent="0.2">
      <c r="AB693" s="188"/>
    </row>
    <row r="694" spans="28:28" x14ac:dyDescent="0.2">
      <c r="AB694" s="188"/>
    </row>
    <row r="695" spans="28:28" x14ac:dyDescent="0.2">
      <c r="AB695" s="188"/>
    </row>
    <row r="696" spans="28:28" x14ac:dyDescent="0.2">
      <c r="AB696" s="188"/>
    </row>
    <row r="697" spans="28:28" x14ac:dyDescent="0.2">
      <c r="AB697" s="188"/>
    </row>
    <row r="698" spans="28:28" x14ac:dyDescent="0.2">
      <c r="AB698" s="188"/>
    </row>
    <row r="699" spans="28:28" x14ac:dyDescent="0.2">
      <c r="AB699" s="188"/>
    </row>
    <row r="700" spans="28:28" x14ac:dyDescent="0.2">
      <c r="AB700" s="188"/>
    </row>
    <row r="701" spans="28:28" x14ac:dyDescent="0.2">
      <c r="AB701" s="188"/>
    </row>
    <row r="702" spans="28:28" x14ac:dyDescent="0.2">
      <c r="AB702" s="188"/>
    </row>
    <row r="703" spans="28:28" x14ac:dyDescent="0.2">
      <c r="AB703" s="188"/>
    </row>
    <row r="704" spans="28:28" x14ac:dyDescent="0.2">
      <c r="AB704" s="188"/>
    </row>
    <row r="705" spans="28:28" x14ac:dyDescent="0.2">
      <c r="AB705" s="188"/>
    </row>
    <row r="706" spans="28:28" x14ac:dyDescent="0.2">
      <c r="AB706" s="188"/>
    </row>
    <row r="707" spans="28:28" x14ac:dyDescent="0.2">
      <c r="AB707" s="188"/>
    </row>
    <row r="708" spans="28:28" x14ac:dyDescent="0.2">
      <c r="AB708" s="188"/>
    </row>
    <row r="709" spans="28:28" x14ac:dyDescent="0.2">
      <c r="AB709" s="188"/>
    </row>
    <row r="710" spans="28:28" x14ac:dyDescent="0.2">
      <c r="AB710" s="188"/>
    </row>
    <row r="711" spans="28:28" x14ac:dyDescent="0.2">
      <c r="AB711" s="188"/>
    </row>
    <row r="712" spans="28:28" x14ac:dyDescent="0.2">
      <c r="AB712" s="188"/>
    </row>
    <row r="713" spans="28:28" x14ac:dyDescent="0.2">
      <c r="AB713" s="188"/>
    </row>
    <row r="714" spans="28:28" x14ac:dyDescent="0.2">
      <c r="AB714" s="188"/>
    </row>
    <row r="715" spans="28:28" x14ac:dyDescent="0.2">
      <c r="AB715" s="188"/>
    </row>
    <row r="716" spans="28:28" x14ac:dyDescent="0.2">
      <c r="AB716" s="188"/>
    </row>
    <row r="717" spans="28:28" x14ac:dyDescent="0.2">
      <c r="AB717" s="188"/>
    </row>
    <row r="718" spans="28:28" x14ac:dyDescent="0.2">
      <c r="AB718" s="188"/>
    </row>
    <row r="719" spans="28:28" x14ac:dyDescent="0.2">
      <c r="AB719" s="188"/>
    </row>
    <row r="720" spans="28:28" x14ac:dyDescent="0.2">
      <c r="AB720" s="188"/>
    </row>
    <row r="721" spans="28:28" x14ac:dyDescent="0.2">
      <c r="AB721" s="188"/>
    </row>
    <row r="722" spans="28:28" x14ac:dyDescent="0.2">
      <c r="AB722" s="188"/>
    </row>
    <row r="723" spans="28:28" x14ac:dyDescent="0.2">
      <c r="AB723" s="188"/>
    </row>
    <row r="724" spans="28:28" x14ac:dyDescent="0.2">
      <c r="AB724" s="188"/>
    </row>
    <row r="725" spans="28:28" x14ac:dyDescent="0.2">
      <c r="AB725" s="188"/>
    </row>
    <row r="726" spans="28:28" x14ac:dyDescent="0.2">
      <c r="AB726" s="188"/>
    </row>
    <row r="727" spans="28:28" x14ac:dyDescent="0.2">
      <c r="AB727" s="188"/>
    </row>
    <row r="728" spans="28:28" x14ac:dyDescent="0.2">
      <c r="AB728" s="188"/>
    </row>
    <row r="729" spans="28:28" x14ac:dyDescent="0.2">
      <c r="AB729" s="188"/>
    </row>
    <row r="730" spans="28:28" x14ac:dyDescent="0.2">
      <c r="AB730" s="188"/>
    </row>
    <row r="731" spans="28:28" x14ac:dyDescent="0.2">
      <c r="AB731" s="188"/>
    </row>
  </sheetData>
  <sheetProtection algorithmName="SHA-512" hashValue="E9EeS2UKwcrfOafey7hCUqTnPmhxFEqD479k3X6I/MI7tD6IXxuYZmvgNx8MLZ4z6Gk7ZheptAMc42Z3toFqVw==" saltValue="U3MmjMTzjPHySmjRqBHZSQ==" spinCount="100000" sheet="1" objects="1" scenarios="1" sort="0" autoFilter="0" pivotTables="0"/>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AD1137"/>
  <sheetViews>
    <sheetView workbookViewId="0">
      <selection activeCell="B1" sqref="B1"/>
    </sheetView>
  </sheetViews>
  <sheetFormatPr defaultColWidth="9.140625" defaultRowHeight="12.75" x14ac:dyDescent="0.2"/>
  <cols>
    <col min="1" max="1" width="7.5703125" style="121" bestFit="1" customWidth="1"/>
    <col min="2" max="2" width="7.28515625" style="121" bestFit="1" customWidth="1"/>
    <col min="3" max="3" width="5" style="121" bestFit="1" customWidth="1"/>
    <col min="4" max="4" width="13.28515625" style="121" bestFit="1" customWidth="1"/>
    <col min="5" max="5" width="15.42578125" style="121" bestFit="1" customWidth="1"/>
    <col min="6" max="6" width="24.7109375" style="121" bestFit="1" customWidth="1"/>
    <col min="7" max="7" width="15.7109375" style="121" bestFit="1" customWidth="1"/>
    <col min="8" max="8" width="4" style="121" bestFit="1" customWidth="1"/>
    <col min="9" max="9" width="11.5703125" style="121" bestFit="1" customWidth="1"/>
    <col min="10" max="10" width="15.28515625" style="121" bestFit="1" customWidth="1"/>
    <col min="11" max="11" width="10.42578125" style="121" bestFit="1" customWidth="1"/>
    <col min="12" max="12" width="6.5703125" style="121" bestFit="1" customWidth="1"/>
    <col min="13" max="13" width="7.5703125" style="121" bestFit="1" customWidth="1"/>
    <col min="14" max="14" width="6.42578125" style="120" bestFit="1" customWidth="1"/>
    <col min="15" max="15" width="16.42578125" style="120" bestFit="1" customWidth="1"/>
    <col min="16" max="16" width="8.28515625" style="120" bestFit="1" customWidth="1"/>
    <col min="17" max="17" width="10" style="121" bestFit="1" customWidth="1"/>
    <col min="18" max="18" width="8.85546875" style="121" bestFit="1" customWidth="1"/>
    <col min="19" max="19" width="12" style="121" bestFit="1" customWidth="1"/>
    <col min="20" max="20" width="14" style="121" bestFit="1" customWidth="1"/>
    <col min="21" max="22" width="9.42578125" style="120" bestFit="1" customWidth="1"/>
    <col min="23" max="24" width="13.42578125" style="121" bestFit="1" customWidth="1"/>
    <col min="25" max="25" width="12.7109375" style="121" bestFit="1" customWidth="1"/>
    <col min="26" max="26" width="9.28515625" style="129" bestFit="1" customWidth="1"/>
    <col min="27" max="27" width="9" style="121" bestFit="1" customWidth="1"/>
    <col min="28" max="28" width="9.140625" style="131" bestFit="1" customWidth="1"/>
    <col min="29" max="29" width="9" style="121" bestFit="1" customWidth="1"/>
    <col min="30" max="30" width="14.5703125" style="121" bestFit="1" customWidth="1"/>
    <col min="31" max="16384" width="9.140625" style="121"/>
  </cols>
  <sheetData>
    <row r="1" spans="1:30" x14ac:dyDescent="0.2">
      <c r="A1" s="121" t="s">
        <v>272</v>
      </c>
      <c r="B1" s="121" t="s">
        <v>273</v>
      </c>
      <c r="C1" s="121" t="s">
        <v>274</v>
      </c>
      <c r="D1" s="121" t="s">
        <v>124</v>
      </c>
      <c r="E1" s="121" t="s">
        <v>275</v>
      </c>
      <c r="F1" s="121" t="s">
        <v>0</v>
      </c>
      <c r="G1" s="121" t="s">
        <v>283</v>
      </c>
      <c r="H1" s="121" t="s">
        <v>261</v>
      </c>
      <c r="I1" s="121" t="s">
        <v>1296</v>
      </c>
      <c r="J1" s="121" t="s">
        <v>276</v>
      </c>
      <c r="K1" s="121" t="s">
        <v>277</v>
      </c>
      <c r="L1" s="121" t="s">
        <v>278</v>
      </c>
      <c r="M1" s="121" t="s">
        <v>279</v>
      </c>
      <c r="N1" s="120" t="s">
        <v>280</v>
      </c>
      <c r="O1" s="120" t="s">
        <v>309</v>
      </c>
      <c r="P1" s="120" t="s">
        <v>284</v>
      </c>
      <c r="Q1" s="121" t="s">
        <v>285</v>
      </c>
      <c r="R1" s="121" t="s">
        <v>27</v>
      </c>
      <c r="S1" s="121" t="s">
        <v>286</v>
      </c>
      <c r="T1" s="121" t="s">
        <v>287</v>
      </c>
      <c r="U1" s="120" t="s">
        <v>306</v>
      </c>
      <c r="V1" s="120" t="s">
        <v>303</v>
      </c>
      <c r="W1" s="121" t="s">
        <v>307</v>
      </c>
      <c r="X1" s="121" t="s">
        <v>304</v>
      </c>
      <c r="Y1" s="121" t="s">
        <v>288</v>
      </c>
      <c r="Z1" s="129" t="s">
        <v>1635</v>
      </c>
      <c r="AA1" s="121" t="s">
        <v>281</v>
      </c>
      <c r="AB1" s="131" t="s">
        <v>296</v>
      </c>
      <c r="AC1" s="121" t="s">
        <v>297</v>
      </c>
      <c r="AD1" s="121" t="s">
        <v>282</v>
      </c>
    </row>
    <row r="2" spans="1:30" x14ac:dyDescent="0.2">
      <c r="AC2" s="188"/>
    </row>
    <row r="3" spans="1:30" x14ac:dyDescent="0.2">
      <c r="AC3" s="188"/>
    </row>
    <row r="4" spans="1:30" x14ac:dyDescent="0.2">
      <c r="AC4" s="188"/>
    </row>
    <row r="5" spans="1:30" x14ac:dyDescent="0.2">
      <c r="AC5" s="188"/>
    </row>
    <row r="6" spans="1:30" x14ac:dyDescent="0.2">
      <c r="AC6" s="188"/>
    </row>
    <row r="7" spans="1:30" x14ac:dyDescent="0.2">
      <c r="AC7" s="188"/>
    </row>
    <row r="8" spans="1:30" x14ac:dyDescent="0.2">
      <c r="AC8" s="188"/>
    </row>
    <row r="9" spans="1:30" x14ac:dyDescent="0.2">
      <c r="AC9" s="188"/>
    </row>
    <row r="10" spans="1:30" x14ac:dyDescent="0.2">
      <c r="AC10" s="188"/>
    </row>
    <row r="11" spans="1:30" x14ac:dyDescent="0.2">
      <c r="AC11" s="188"/>
    </row>
    <row r="12" spans="1:30" x14ac:dyDescent="0.2">
      <c r="AC12" s="188"/>
    </row>
    <row r="13" spans="1:30" x14ac:dyDescent="0.2">
      <c r="AC13" s="188"/>
    </row>
    <row r="14" spans="1:30" x14ac:dyDescent="0.2">
      <c r="AC14" s="188"/>
    </row>
    <row r="15" spans="1:30" x14ac:dyDescent="0.2">
      <c r="AC15" s="188"/>
    </row>
    <row r="16" spans="1:30" x14ac:dyDescent="0.2">
      <c r="AC16" s="188"/>
    </row>
    <row r="17" spans="29:29" x14ac:dyDescent="0.2">
      <c r="AC17" s="188"/>
    </row>
    <row r="18" spans="29:29" x14ac:dyDescent="0.2">
      <c r="AC18" s="188"/>
    </row>
    <row r="19" spans="29:29" x14ac:dyDescent="0.2">
      <c r="AC19" s="188"/>
    </row>
    <row r="20" spans="29:29" x14ac:dyDescent="0.2">
      <c r="AC20" s="188"/>
    </row>
    <row r="21" spans="29:29" x14ac:dyDescent="0.2">
      <c r="AC21" s="188"/>
    </row>
    <row r="22" spans="29:29" x14ac:dyDescent="0.2">
      <c r="AC22" s="188"/>
    </row>
    <row r="23" spans="29:29" x14ac:dyDescent="0.2">
      <c r="AC23" s="188"/>
    </row>
    <row r="24" spans="29:29" x14ac:dyDescent="0.2">
      <c r="AC24" s="188"/>
    </row>
    <row r="25" spans="29:29" x14ac:dyDescent="0.2">
      <c r="AC25" s="188"/>
    </row>
    <row r="26" spans="29:29" x14ac:dyDescent="0.2">
      <c r="AC26" s="188"/>
    </row>
    <row r="27" spans="29:29" x14ac:dyDescent="0.2">
      <c r="AC27" s="188"/>
    </row>
    <row r="28" spans="29:29" x14ac:dyDescent="0.2">
      <c r="AC28" s="188"/>
    </row>
    <row r="29" spans="29:29" x14ac:dyDescent="0.2">
      <c r="AC29" s="188"/>
    </row>
    <row r="30" spans="29:29" x14ac:dyDescent="0.2">
      <c r="AC30" s="188"/>
    </row>
    <row r="31" spans="29:29" x14ac:dyDescent="0.2">
      <c r="AC31" s="188"/>
    </row>
    <row r="32" spans="29:29" x14ac:dyDescent="0.2">
      <c r="AC32" s="188"/>
    </row>
    <row r="33" spans="29:29" x14ac:dyDescent="0.2">
      <c r="AC33" s="188"/>
    </row>
    <row r="34" spans="29:29" x14ac:dyDescent="0.2">
      <c r="AC34" s="188"/>
    </row>
    <row r="35" spans="29:29" x14ac:dyDescent="0.2">
      <c r="AC35" s="188"/>
    </row>
    <row r="36" spans="29:29" x14ac:dyDescent="0.2">
      <c r="AC36" s="188"/>
    </row>
    <row r="37" spans="29:29" x14ac:dyDescent="0.2">
      <c r="AC37" s="188"/>
    </row>
    <row r="38" spans="29:29" x14ac:dyDescent="0.2">
      <c r="AC38" s="188"/>
    </row>
    <row r="39" spans="29:29" x14ac:dyDescent="0.2">
      <c r="AC39" s="188"/>
    </row>
    <row r="40" spans="29:29" x14ac:dyDescent="0.2">
      <c r="AC40" s="188"/>
    </row>
    <row r="41" spans="29:29" x14ac:dyDescent="0.2">
      <c r="AC41" s="188"/>
    </row>
    <row r="42" spans="29:29" x14ac:dyDescent="0.2">
      <c r="AC42" s="188"/>
    </row>
    <row r="43" spans="29:29" x14ac:dyDescent="0.2">
      <c r="AC43" s="188"/>
    </row>
    <row r="44" spans="29:29" x14ac:dyDescent="0.2">
      <c r="AC44" s="188"/>
    </row>
    <row r="45" spans="29:29" x14ac:dyDescent="0.2">
      <c r="AC45" s="188"/>
    </row>
    <row r="46" spans="29:29" x14ac:dyDescent="0.2">
      <c r="AC46" s="188"/>
    </row>
    <row r="47" spans="29:29" x14ac:dyDescent="0.2">
      <c r="AC47" s="188"/>
    </row>
    <row r="48" spans="29:29" x14ac:dyDescent="0.2">
      <c r="AC48" s="188"/>
    </row>
    <row r="49" spans="29:29" x14ac:dyDescent="0.2">
      <c r="AC49" s="188"/>
    </row>
    <row r="50" spans="29:29" x14ac:dyDescent="0.2">
      <c r="AC50" s="188"/>
    </row>
    <row r="51" spans="29:29" x14ac:dyDescent="0.2">
      <c r="AC51" s="188"/>
    </row>
    <row r="52" spans="29:29" x14ac:dyDescent="0.2">
      <c r="AC52" s="188"/>
    </row>
    <row r="53" spans="29:29" x14ac:dyDescent="0.2">
      <c r="AC53" s="188"/>
    </row>
    <row r="54" spans="29:29" x14ac:dyDescent="0.2">
      <c r="AC54" s="188"/>
    </row>
    <row r="55" spans="29:29" x14ac:dyDescent="0.2">
      <c r="AC55" s="188"/>
    </row>
    <row r="56" spans="29:29" x14ac:dyDescent="0.2">
      <c r="AC56" s="188"/>
    </row>
    <row r="57" spans="29:29" x14ac:dyDescent="0.2">
      <c r="AC57" s="188"/>
    </row>
    <row r="58" spans="29:29" x14ac:dyDescent="0.2">
      <c r="AC58" s="188"/>
    </row>
    <row r="59" spans="29:29" x14ac:dyDescent="0.2">
      <c r="AC59" s="188"/>
    </row>
    <row r="60" spans="29:29" x14ac:dyDescent="0.2">
      <c r="AC60" s="188"/>
    </row>
    <row r="61" spans="29:29" x14ac:dyDescent="0.2">
      <c r="AC61" s="188"/>
    </row>
    <row r="62" spans="29:29" x14ac:dyDescent="0.2">
      <c r="AC62" s="188"/>
    </row>
    <row r="63" spans="29:29" x14ac:dyDescent="0.2">
      <c r="AC63" s="188"/>
    </row>
    <row r="64" spans="29:29" x14ac:dyDescent="0.2">
      <c r="AC64" s="188"/>
    </row>
    <row r="65" spans="29:29" x14ac:dyDescent="0.2">
      <c r="AC65" s="188"/>
    </row>
    <row r="66" spans="29:29" x14ac:dyDescent="0.2">
      <c r="AC66" s="188"/>
    </row>
    <row r="67" spans="29:29" x14ac:dyDescent="0.2">
      <c r="AC67" s="188"/>
    </row>
    <row r="68" spans="29:29" x14ac:dyDescent="0.2">
      <c r="AC68" s="188"/>
    </row>
    <row r="69" spans="29:29" x14ac:dyDescent="0.2">
      <c r="AC69" s="188"/>
    </row>
    <row r="70" spans="29:29" x14ac:dyDescent="0.2">
      <c r="AC70" s="188"/>
    </row>
    <row r="71" spans="29:29" x14ac:dyDescent="0.2">
      <c r="AC71" s="188"/>
    </row>
    <row r="72" spans="29:29" x14ac:dyDescent="0.2">
      <c r="AC72" s="188"/>
    </row>
    <row r="73" spans="29:29" x14ac:dyDescent="0.2">
      <c r="AC73" s="188"/>
    </row>
    <row r="74" spans="29:29" x14ac:dyDescent="0.2">
      <c r="AC74" s="188"/>
    </row>
    <row r="75" spans="29:29" x14ac:dyDescent="0.2">
      <c r="AC75" s="188"/>
    </row>
    <row r="76" spans="29:29" x14ac:dyDescent="0.2">
      <c r="AC76" s="188"/>
    </row>
    <row r="77" spans="29:29" x14ac:dyDescent="0.2">
      <c r="AC77" s="188"/>
    </row>
    <row r="78" spans="29:29" x14ac:dyDescent="0.2">
      <c r="AC78" s="188"/>
    </row>
    <row r="79" spans="29:29" x14ac:dyDescent="0.2">
      <c r="AC79" s="188"/>
    </row>
    <row r="80" spans="29:29" x14ac:dyDescent="0.2">
      <c r="AC80" s="188"/>
    </row>
    <row r="81" spans="29:29" x14ac:dyDescent="0.2">
      <c r="AC81" s="188"/>
    </row>
    <row r="82" spans="29:29" x14ac:dyDescent="0.2">
      <c r="AC82" s="188"/>
    </row>
    <row r="83" spans="29:29" x14ac:dyDescent="0.2">
      <c r="AC83" s="188"/>
    </row>
    <row r="84" spans="29:29" x14ac:dyDescent="0.2">
      <c r="AC84" s="188"/>
    </row>
    <row r="85" spans="29:29" x14ac:dyDescent="0.2">
      <c r="AC85" s="188"/>
    </row>
    <row r="86" spans="29:29" x14ac:dyDescent="0.2">
      <c r="AC86" s="188"/>
    </row>
    <row r="87" spans="29:29" x14ac:dyDescent="0.2">
      <c r="AC87" s="188"/>
    </row>
    <row r="88" spans="29:29" x14ac:dyDescent="0.2">
      <c r="AC88" s="188"/>
    </row>
    <row r="89" spans="29:29" x14ac:dyDescent="0.2">
      <c r="AC89" s="188"/>
    </row>
    <row r="90" spans="29:29" x14ac:dyDescent="0.2">
      <c r="AC90" s="188"/>
    </row>
    <row r="91" spans="29:29" x14ac:dyDescent="0.2">
      <c r="AC91" s="188"/>
    </row>
    <row r="92" spans="29:29" x14ac:dyDescent="0.2">
      <c r="AC92" s="188"/>
    </row>
    <row r="93" spans="29:29" x14ac:dyDescent="0.2">
      <c r="AC93" s="188"/>
    </row>
    <row r="94" spans="29:29" x14ac:dyDescent="0.2">
      <c r="AC94" s="188"/>
    </row>
    <row r="95" spans="29:29" x14ac:dyDescent="0.2">
      <c r="AC95" s="188"/>
    </row>
    <row r="96" spans="29:29" x14ac:dyDescent="0.2">
      <c r="AC96" s="188"/>
    </row>
    <row r="97" spans="29:29" x14ac:dyDescent="0.2">
      <c r="AC97" s="188"/>
    </row>
    <row r="98" spans="29:29" x14ac:dyDescent="0.2">
      <c r="AC98" s="188"/>
    </row>
    <row r="99" spans="29:29" x14ac:dyDescent="0.2">
      <c r="AC99" s="188"/>
    </row>
    <row r="100" spans="29:29" x14ac:dyDescent="0.2">
      <c r="AC100" s="188"/>
    </row>
    <row r="101" spans="29:29" x14ac:dyDescent="0.2">
      <c r="AC101" s="188"/>
    </row>
    <row r="102" spans="29:29" x14ac:dyDescent="0.2">
      <c r="AC102" s="188"/>
    </row>
    <row r="103" spans="29:29" x14ac:dyDescent="0.2">
      <c r="AC103" s="188"/>
    </row>
    <row r="104" spans="29:29" x14ac:dyDescent="0.2">
      <c r="AC104" s="188"/>
    </row>
    <row r="105" spans="29:29" x14ac:dyDescent="0.2">
      <c r="AC105" s="188"/>
    </row>
    <row r="106" spans="29:29" x14ac:dyDescent="0.2">
      <c r="AC106" s="188"/>
    </row>
    <row r="107" spans="29:29" x14ac:dyDescent="0.2">
      <c r="AC107" s="188"/>
    </row>
    <row r="108" spans="29:29" x14ac:dyDescent="0.2">
      <c r="AC108" s="188"/>
    </row>
    <row r="109" spans="29:29" x14ac:dyDescent="0.2">
      <c r="AC109" s="188"/>
    </row>
    <row r="110" spans="29:29" x14ac:dyDescent="0.2">
      <c r="AC110" s="188"/>
    </row>
    <row r="111" spans="29:29" x14ac:dyDescent="0.2">
      <c r="AC111" s="188"/>
    </row>
    <row r="112" spans="29:29" x14ac:dyDescent="0.2">
      <c r="AC112" s="188"/>
    </row>
    <row r="113" spans="29:29" x14ac:dyDescent="0.2">
      <c r="AC113" s="188"/>
    </row>
    <row r="114" spans="29:29" x14ac:dyDescent="0.2">
      <c r="AC114" s="188"/>
    </row>
    <row r="115" spans="29:29" x14ac:dyDescent="0.2">
      <c r="AC115" s="188"/>
    </row>
    <row r="116" spans="29:29" x14ac:dyDescent="0.2">
      <c r="AC116" s="188"/>
    </row>
    <row r="117" spans="29:29" x14ac:dyDescent="0.2">
      <c r="AC117" s="188"/>
    </row>
    <row r="118" spans="29:29" x14ac:dyDescent="0.2">
      <c r="AC118" s="188"/>
    </row>
    <row r="119" spans="29:29" x14ac:dyDescent="0.2">
      <c r="AC119" s="188"/>
    </row>
    <row r="120" spans="29:29" x14ac:dyDescent="0.2">
      <c r="AC120" s="188"/>
    </row>
    <row r="121" spans="29:29" x14ac:dyDescent="0.2">
      <c r="AC121" s="188"/>
    </row>
    <row r="122" spans="29:29" x14ac:dyDescent="0.2">
      <c r="AC122" s="188"/>
    </row>
    <row r="123" spans="29:29" x14ac:dyDescent="0.2">
      <c r="AC123" s="188"/>
    </row>
    <row r="124" spans="29:29" x14ac:dyDescent="0.2">
      <c r="AC124" s="188"/>
    </row>
    <row r="125" spans="29:29" x14ac:dyDescent="0.2">
      <c r="AC125" s="188"/>
    </row>
    <row r="126" spans="29:29" x14ac:dyDescent="0.2">
      <c r="AC126" s="188"/>
    </row>
    <row r="127" spans="29:29" x14ac:dyDescent="0.2">
      <c r="AC127" s="188"/>
    </row>
    <row r="128" spans="29:29" x14ac:dyDescent="0.2">
      <c r="AC128" s="188"/>
    </row>
    <row r="129" spans="29:29" x14ac:dyDescent="0.2">
      <c r="AC129" s="188"/>
    </row>
    <row r="130" spans="29:29" x14ac:dyDescent="0.2">
      <c r="AC130" s="188"/>
    </row>
    <row r="131" spans="29:29" x14ac:dyDescent="0.2">
      <c r="AC131" s="188"/>
    </row>
    <row r="132" spans="29:29" x14ac:dyDescent="0.2">
      <c r="AC132" s="188"/>
    </row>
    <row r="133" spans="29:29" x14ac:dyDescent="0.2">
      <c r="AC133" s="188"/>
    </row>
    <row r="134" spans="29:29" x14ac:dyDescent="0.2">
      <c r="AC134" s="188"/>
    </row>
    <row r="135" spans="29:29" x14ac:dyDescent="0.2">
      <c r="AC135" s="188"/>
    </row>
    <row r="136" spans="29:29" x14ac:dyDescent="0.2">
      <c r="AC136" s="188"/>
    </row>
    <row r="137" spans="29:29" x14ac:dyDescent="0.2">
      <c r="AC137" s="188"/>
    </row>
    <row r="138" spans="29:29" x14ac:dyDescent="0.2">
      <c r="AC138" s="188"/>
    </row>
    <row r="139" spans="29:29" x14ac:dyDescent="0.2">
      <c r="AC139" s="188"/>
    </row>
    <row r="140" spans="29:29" x14ac:dyDescent="0.2">
      <c r="AC140" s="188"/>
    </row>
    <row r="141" spans="29:29" x14ac:dyDescent="0.2">
      <c r="AC141" s="188"/>
    </row>
    <row r="142" spans="29:29" x14ac:dyDescent="0.2">
      <c r="AC142" s="188"/>
    </row>
    <row r="143" spans="29:29" x14ac:dyDescent="0.2">
      <c r="AC143" s="188"/>
    </row>
    <row r="144" spans="29:29" x14ac:dyDescent="0.2">
      <c r="AC144" s="188"/>
    </row>
    <row r="145" spans="29:29" x14ac:dyDescent="0.2">
      <c r="AC145" s="188"/>
    </row>
    <row r="146" spans="29:29" x14ac:dyDescent="0.2">
      <c r="AC146" s="188"/>
    </row>
    <row r="147" spans="29:29" x14ac:dyDescent="0.2">
      <c r="AC147" s="188"/>
    </row>
    <row r="148" spans="29:29" x14ac:dyDescent="0.2">
      <c r="AC148" s="188"/>
    </row>
    <row r="149" spans="29:29" x14ac:dyDescent="0.2">
      <c r="AC149" s="188"/>
    </row>
    <row r="150" spans="29:29" x14ac:dyDescent="0.2">
      <c r="AC150" s="188"/>
    </row>
    <row r="151" spans="29:29" x14ac:dyDescent="0.2">
      <c r="AC151" s="188"/>
    </row>
    <row r="152" spans="29:29" x14ac:dyDescent="0.2">
      <c r="AC152" s="188"/>
    </row>
    <row r="153" spans="29:29" x14ac:dyDescent="0.2">
      <c r="AC153" s="188"/>
    </row>
    <row r="154" spans="29:29" x14ac:dyDescent="0.2">
      <c r="AC154" s="188"/>
    </row>
    <row r="155" spans="29:29" x14ac:dyDescent="0.2">
      <c r="AC155" s="188"/>
    </row>
    <row r="156" spans="29:29" x14ac:dyDescent="0.2">
      <c r="AC156" s="188"/>
    </row>
    <row r="157" spans="29:29" x14ac:dyDescent="0.2">
      <c r="AC157" s="188"/>
    </row>
    <row r="158" spans="29:29" x14ac:dyDescent="0.2">
      <c r="AC158" s="188"/>
    </row>
    <row r="159" spans="29:29" x14ac:dyDescent="0.2">
      <c r="AC159" s="188"/>
    </row>
    <row r="160" spans="29:29" x14ac:dyDescent="0.2">
      <c r="AC160" s="188"/>
    </row>
    <row r="161" spans="29:29" x14ac:dyDescent="0.2">
      <c r="AC161" s="188"/>
    </row>
    <row r="162" spans="29:29" x14ac:dyDescent="0.2">
      <c r="AC162" s="188"/>
    </row>
    <row r="163" spans="29:29" x14ac:dyDescent="0.2">
      <c r="AC163" s="188"/>
    </row>
    <row r="164" spans="29:29" x14ac:dyDescent="0.2">
      <c r="AC164" s="188"/>
    </row>
    <row r="165" spans="29:29" x14ac:dyDescent="0.2">
      <c r="AC165" s="188"/>
    </row>
    <row r="166" spans="29:29" x14ac:dyDescent="0.2">
      <c r="AC166" s="188"/>
    </row>
    <row r="167" spans="29:29" x14ac:dyDescent="0.2">
      <c r="AC167" s="188"/>
    </row>
    <row r="168" spans="29:29" x14ac:dyDescent="0.2">
      <c r="AC168" s="188"/>
    </row>
    <row r="169" spans="29:29" x14ac:dyDescent="0.2">
      <c r="AC169" s="188"/>
    </row>
    <row r="170" spans="29:29" x14ac:dyDescent="0.2">
      <c r="AC170" s="188"/>
    </row>
    <row r="171" spans="29:29" x14ac:dyDescent="0.2">
      <c r="AC171" s="188"/>
    </row>
    <row r="172" spans="29:29" x14ac:dyDescent="0.2">
      <c r="AC172" s="188"/>
    </row>
    <row r="173" spans="29:29" x14ac:dyDescent="0.2">
      <c r="AC173" s="188"/>
    </row>
    <row r="174" spans="29:29" x14ac:dyDescent="0.2">
      <c r="AC174" s="188"/>
    </row>
    <row r="175" spans="29:29" x14ac:dyDescent="0.2">
      <c r="AC175" s="188"/>
    </row>
    <row r="176" spans="29:29" x14ac:dyDescent="0.2">
      <c r="AC176" s="188"/>
    </row>
    <row r="177" spans="29:29" x14ac:dyDescent="0.2">
      <c r="AC177" s="188"/>
    </row>
    <row r="178" spans="29:29" x14ac:dyDescent="0.2">
      <c r="AC178" s="188"/>
    </row>
    <row r="179" spans="29:29" x14ac:dyDescent="0.2">
      <c r="AC179" s="188"/>
    </row>
    <row r="180" spans="29:29" x14ac:dyDescent="0.2">
      <c r="AC180" s="188"/>
    </row>
    <row r="181" spans="29:29" x14ac:dyDescent="0.2">
      <c r="AC181" s="188"/>
    </row>
    <row r="182" spans="29:29" x14ac:dyDescent="0.2">
      <c r="AC182" s="188"/>
    </row>
    <row r="183" spans="29:29" x14ac:dyDescent="0.2">
      <c r="AC183" s="188"/>
    </row>
    <row r="184" spans="29:29" x14ac:dyDescent="0.2">
      <c r="AC184" s="188"/>
    </row>
    <row r="185" spans="29:29" x14ac:dyDescent="0.2">
      <c r="AC185" s="188"/>
    </row>
    <row r="186" spans="29:29" x14ac:dyDescent="0.2">
      <c r="AC186" s="188"/>
    </row>
    <row r="187" spans="29:29" x14ac:dyDescent="0.2">
      <c r="AC187" s="188"/>
    </row>
    <row r="188" spans="29:29" x14ac:dyDescent="0.2">
      <c r="AC188" s="188"/>
    </row>
    <row r="189" spans="29:29" x14ac:dyDescent="0.2">
      <c r="AC189" s="188"/>
    </row>
    <row r="190" spans="29:29" x14ac:dyDescent="0.2">
      <c r="AC190" s="188"/>
    </row>
    <row r="191" spans="29:29" x14ac:dyDescent="0.2">
      <c r="AC191" s="188"/>
    </row>
    <row r="192" spans="29:29" x14ac:dyDescent="0.2">
      <c r="AC192" s="188"/>
    </row>
    <row r="193" spans="29:29" x14ac:dyDescent="0.2">
      <c r="AC193" s="188"/>
    </row>
    <row r="194" spans="29:29" x14ac:dyDescent="0.2">
      <c r="AC194" s="188"/>
    </row>
    <row r="195" spans="29:29" x14ac:dyDescent="0.2">
      <c r="AC195" s="188"/>
    </row>
    <row r="196" spans="29:29" x14ac:dyDescent="0.2">
      <c r="AC196" s="188"/>
    </row>
    <row r="197" spans="29:29" x14ac:dyDescent="0.2">
      <c r="AC197" s="188"/>
    </row>
    <row r="198" spans="29:29" x14ac:dyDescent="0.2">
      <c r="AC198" s="188"/>
    </row>
    <row r="199" spans="29:29" x14ac:dyDescent="0.2">
      <c r="AC199" s="188"/>
    </row>
    <row r="200" spans="29:29" x14ac:dyDescent="0.2">
      <c r="AC200" s="188"/>
    </row>
    <row r="201" spans="29:29" x14ac:dyDescent="0.2">
      <c r="AC201" s="188"/>
    </row>
    <row r="202" spans="29:29" x14ac:dyDescent="0.2">
      <c r="AC202" s="188"/>
    </row>
    <row r="203" spans="29:29" x14ac:dyDescent="0.2">
      <c r="AC203" s="188"/>
    </row>
    <row r="204" spans="29:29" x14ac:dyDescent="0.2">
      <c r="AC204" s="188"/>
    </row>
    <row r="205" spans="29:29" x14ac:dyDescent="0.2">
      <c r="AC205" s="188"/>
    </row>
    <row r="206" spans="29:29" x14ac:dyDescent="0.2">
      <c r="AC206" s="188"/>
    </row>
    <row r="207" spans="29:29" x14ac:dyDescent="0.2">
      <c r="AC207" s="188"/>
    </row>
    <row r="208" spans="29:29" x14ac:dyDescent="0.2">
      <c r="AC208" s="188"/>
    </row>
    <row r="209" spans="29:29" x14ac:dyDescent="0.2">
      <c r="AC209" s="188"/>
    </row>
    <row r="210" spans="29:29" x14ac:dyDescent="0.2">
      <c r="AC210" s="188"/>
    </row>
    <row r="211" spans="29:29" x14ac:dyDescent="0.2">
      <c r="AC211" s="188"/>
    </row>
    <row r="212" spans="29:29" x14ac:dyDescent="0.2">
      <c r="AC212" s="188"/>
    </row>
    <row r="213" spans="29:29" x14ac:dyDescent="0.2">
      <c r="AC213" s="188"/>
    </row>
    <row r="214" spans="29:29" x14ac:dyDescent="0.2">
      <c r="AC214" s="188"/>
    </row>
    <row r="215" spans="29:29" x14ac:dyDescent="0.2">
      <c r="AC215" s="188"/>
    </row>
    <row r="216" spans="29:29" x14ac:dyDescent="0.2">
      <c r="AC216" s="188"/>
    </row>
    <row r="217" spans="29:29" x14ac:dyDescent="0.2">
      <c r="AC217" s="188"/>
    </row>
    <row r="218" spans="29:29" x14ac:dyDescent="0.2">
      <c r="AC218" s="188"/>
    </row>
    <row r="219" spans="29:29" x14ac:dyDescent="0.2">
      <c r="AC219" s="188"/>
    </row>
    <row r="220" spans="29:29" x14ac:dyDescent="0.2">
      <c r="AC220" s="188"/>
    </row>
    <row r="221" spans="29:29" x14ac:dyDescent="0.2">
      <c r="AC221" s="188"/>
    </row>
    <row r="222" spans="29:29" x14ac:dyDescent="0.2">
      <c r="AC222" s="188"/>
    </row>
    <row r="223" spans="29:29" x14ac:dyDescent="0.2">
      <c r="AC223" s="188"/>
    </row>
    <row r="224" spans="29:29" x14ac:dyDescent="0.2">
      <c r="AC224" s="188"/>
    </row>
    <row r="225" spans="29:29" x14ac:dyDescent="0.2">
      <c r="AC225" s="188"/>
    </row>
    <row r="226" spans="29:29" x14ac:dyDescent="0.2">
      <c r="AC226" s="188"/>
    </row>
    <row r="227" spans="29:29" x14ac:dyDescent="0.2">
      <c r="AC227" s="188"/>
    </row>
    <row r="228" spans="29:29" x14ac:dyDescent="0.2">
      <c r="AC228" s="188"/>
    </row>
    <row r="229" spans="29:29" x14ac:dyDescent="0.2">
      <c r="AC229" s="188"/>
    </row>
    <row r="230" spans="29:29" x14ac:dyDescent="0.2">
      <c r="AC230" s="188"/>
    </row>
    <row r="231" spans="29:29" x14ac:dyDescent="0.2">
      <c r="AC231" s="188"/>
    </row>
    <row r="232" spans="29:29" x14ac:dyDescent="0.2">
      <c r="AC232" s="188"/>
    </row>
    <row r="233" spans="29:29" x14ac:dyDescent="0.2">
      <c r="AC233" s="188"/>
    </row>
    <row r="234" spans="29:29" x14ac:dyDescent="0.2">
      <c r="AC234" s="188"/>
    </row>
    <row r="235" spans="29:29" x14ac:dyDescent="0.2">
      <c r="AC235" s="188"/>
    </row>
    <row r="236" spans="29:29" x14ac:dyDescent="0.2">
      <c r="AC236" s="188"/>
    </row>
    <row r="237" spans="29:29" x14ac:dyDescent="0.2">
      <c r="AC237" s="188"/>
    </row>
    <row r="238" spans="29:29" x14ac:dyDescent="0.2">
      <c r="AC238" s="188"/>
    </row>
    <row r="239" spans="29:29" x14ac:dyDescent="0.2">
      <c r="AC239" s="188"/>
    </row>
    <row r="240" spans="29:29" x14ac:dyDescent="0.2">
      <c r="AC240" s="188"/>
    </row>
    <row r="241" spans="29:29" x14ac:dyDescent="0.2">
      <c r="AC241" s="188"/>
    </row>
    <row r="242" spans="29:29" x14ac:dyDescent="0.2">
      <c r="AC242" s="188"/>
    </row>
    <row r="243" spans="29:29" x14ac:dyDescent="0.2">
      <c r="AC243" s="188"/>
    </row>
    <row r="244" spans="29:29" x14ac:dyDescent="0.2">
      <c r="AC244" s="188"/>
    </row>
    <row r="245" spans="29:29" x14ac:dyDescent="0.2">
      <c r="AC245" s="188"/>
    </row>
    <row r="246" spans="29:29" x14ac:dyDescent="0.2">
      <c r="AC246" s="188"/>
    </row>
    <row r="247" spans="29:29" x14ac:dyDescent="0.2">
      <c r="AC247" s="188"/>
    </row>
    <row r="248" spans="29:29" x14ac:dyDescent="0.2">
      <c r="AC248" s="188"/>
    </row>
    <row r="249" spans="29:29" x14ac:dyDescent="0.2">
      <c r="AC249" s="188"/>
    </row>
    <row r="250" spans="29:29" x14ac:dyDescent="0.2">
      <c r="AC250" s="188"/>
    </row>
    <row r="251" spans="29:29" x14ac:dyDescent="0.2">
      <c r="AC251" s="188"/>
    </row>
    <row r="252" spans="29:29" x14ac:dyDescent="0.2">
      <c r="AC252" s="188"/>
    </row>
    <row r="253" spans="29:29" x14ac:dyDescent="0.2">
      <c r="AC253" s="188"/>
    </row>
    <row r="254" spans="29:29" x14ac:dyDescent="0.2">
      <c r="AC254" s="188"/>
    </row>
    <row r="255" spans="29:29" x14ac:dyDescent="0.2">
      <c r="AC255" s="188"/>
    </row>
    <row r="256" spans="29:29" x14ac:dyDescent="0.2">
      <c r="AC256" s="188"/>
    </row>
    <row r="257" spans="29:29" x14ac:dyDescent="0.2">
      <c r="AC257" s="188"/>
    </row>
    <row r="258" spans="29:29" x14ac:dyDescent="0.2">
      <c r="AC258" s="188"/>
    </row>
    <row r="259" spans="29:29" x14ac:dyDescent="0.2">
      <c r="AC259" s="188"/>
    </row>
    <row r="260" spans="29:29" x14ac:dyDescent="0.2">
      <c r="AC260" s="188"/>
    </row>
    <row r="261" spans="29:29" x14ac:dyDescent="0.2">
      <c r="AC261" s="188"/>
    </row>
    <row r="262" spans="29:29" x14ac:dyDescent="0.2">
      <c r="AC262" s="188"/>
    </row>
    <row r="263" spans="29:29" x14ac:dyDescent="0.2">
      <c r="AC263" s="188"/>
    </row>
    <row r="264" spans="29:29" x14ac:dyDescent="0.2">
      <c r="AC264" s="188"/>
    </row>
    <row r="265" spans="29:29" x14ac:dyDescent="0.2">
      <c r="AC265" s="188"/>
    </row>
    <row r="266" spans="29:29" x14ac:dyDescent="0.2">
      <c r="AC266" s="188"/>
    </row>
    <row r="267" spans="29:29" x14ac:dyDescent="0.2">
      <c r="AC267" s="188"/>
    </row>
    <row r="268" spans="29:29" x14ac:dyDescent="0.2">
      <c r="AC268" s="188"/>
    </row>
    <row r="269" spans="29:29" x14ac:dyDescent="0.2">
      <c r="AC269" s="188"/>
    </row>
    <row r="270" spans="29:29" x14ac:dyDescent="0.2">
      <c r="AC270" s="188"/>
    </row>
    <row r="271" spans="29:29" x14ac:dyDescent="0.2">
      <c r="AC271" s="188"/>
    </row>
    <row r="272" spans="29:29" x14ac:dyDescent="0.2">
      <c r="AC272" s="188"/>
    </row>
    <row r="273" spans="29:29" x14ac:dyDescent="0.2">
      <c r="AC273" s="188"/>
    </row>
    <row r="274" spans="29:29" x14ac:dyDescent="0.2">
      <c r="AC274" s="188"/>
    </row>
    <row r="275" spans="29:29" x14ac:dyDescent="0.2">
      <c r="AC275" s="188"/>
    </row>
    <row r="276" spans="29:29" x14ac:dyDescent="0.2">
      <c r="AC276" s="188"/>
    </row>
    <row r="277" spans="29:29" x14ac:dyDescent="0.2">
      <c r="AC277" s="188"/>
    </row>
    <row r="278" spans="29:29" x14ac:dyDescent="0.2">
      <c r="AC278" s="188"/>
    </row>
    <row r="279" spans="29:29" x14ac:dyDescent="0.2">
      <c r="AC279" s="188"/>
    </row>
    <row r="280" spans="29:29" x14ac:dyDescent="0.2">
      <c r="AC280" s="188"/>
    </row>
    <row r="281" spans="29:29" x14ac:dyDescent="0.2">
      <c r="AC281" s="188"/>
    </row>
    <row r="282" spans="29:29" x14ac:dyDescent="0.2">
      <c r="AC282" s="188"/>
    </row>
    <row r="283" spans="29:29" x14ac:dyDescent="0.2">
      <c r="AC283" s="188"/>
    </row>
    <row r="284" spans="29:29" x14ac:dyDescent="0.2">
      <c r="AC284" s="188"/>
    </row>
    <row r="285" spans="29:29" x14ac:dyDescent="0.2">
      <c r="AC285" s="188"/>
    </row>
    <row r="286" spans="29:29" x14ac:dyDescent="0.2">
      <c r="AC286" s="188"/>
    </row>
    <row r="287" spans="29:29" x14ac:dyDescent="0.2">
      <c r="AC287" s="188"/>
    </row>
    <row r="288" spans="29:29" x14ac:dyDescent="0.2">
      <c r="AC288" s="188"/>
    </row>
    <row r="289" spans="29:29" x14ac:dyDescent="0.2">
      <c r="AC289" s="188"/>
    </row>
    <row r="290" spans="29:29" x14ac:dyDescent="0.2">
      <c r="AC290" s="188"/>
    </row>
    <row r="291" spans="29:29" x14ac:dyDescent="0.2">
      <c r="AC291" s="188"/>
    </row>
    <row r="292" spans="29:29" x14ac:dyDescent="0.2">
      <c r="AC292" s="188"/>
    </row>
    <row r="293" spans="29:29" x14ac:dyDescent="0.2">
      <c r="AC293" s="188"/>
    </row>
    <row r="294" spans="29:29" x14ac:dyDescent="0.2">
      <c r="AC294" s="188"/>
    </row>
    <row r="295" spans="29:29" x14ac:dyDescent="0.2">
      <c r="AC295" s="188"/>
    </row>
    <row r="296" spans="29:29" x14ac:dyDescent="0.2">
      <c r="AC296" s="188"/>
    </row>
    <row r="297" spans="29:29" x14ac:dyDescent="0.2">
      <c r="AC297" s="188"/>
    </row>
    <row r="298" spans="29:29" x14ac:dyDescent="0.2">
      <c r="AC298" s="188"/>
    </row>
    <row r="299" spans="29:29" x14ac:dyDescent="0.2">
      <c r="AC299" s="188"/>
    </row>
    <row r="300" spans="29:29" x14ac:dyDescent="0.2">
      <c r="AC300" s="188"/>
    </row>
    <row r="301" spans="29:29" x14ac:dyDescent="0.2">
      <c r="AC301" s="188"/>
    </row>
    <row r="302" spans="29:29" x14ac:dyDescent="0.2">
      <c r="AC302" s="188"/>
    </row>
    <row r="303" spans="29:29" x14ac:dyDescent="0.2">
      <c r="AC303" s="188"/>
    </row>
    <row r="304" spans="29:29" x14ac:dyDescent="0.2">
      <c r="AC304" s="188"/>
    </row>
    <row r="305" spans="29:29" x14ac:dyDescent="0.2">
      <c r="AC305" s="188"/>
    </row>
    <row r="306" spans="29:29" x14ac:dyDescent="0.2">
      <c r="AC306" s="188"/>
    </row>
    <row r="307" spans="29:29" x14ac:dyDescent="0.2">
      <c r="AC307" s="188"/>
    </row>
    <row r="308" spans="29:29" x14ac:dyDescent="0.2">
      <c r="AC308" s="188"/>
    </row>
    <row r="309" spans="29:29" x14ac:dyDescent="0.2">
      <c r="AC309" s="188"/>
    </row>
    <row r="310" spans="29:29" x14ac:dyDescent="0.2">
      <c r="AC310" s="188"/>
    </row>
    <row r="311" spans="29:29" x14ac:dyDescent="0.2">
      <c r="AC311" s="188"/>
    </row>
    <row r="312" spans="29:29" x14ac:dyDescent="0.2">
      <c r="AC312" s="188"/>
    </row>
    <row r="313" spans="29:29" x14ac:dyDescent="0.2">
      <c r="AC313" s="188"/>
    </row>
    <row r="314" spans="29:29" x14ac:dyDescent="0.2">
      <c r="AC314" s="188"/>
    </row>
    <row r="315" spans="29:29" x14ac:dyDescent="0.2">
      <c r="AC315" s="188"/>
    </row>
    <row r="316" spans="29:29" x14ac:dyDescent="0.2">
      <c r="AC316" s="188"/>
    </row>
    <row r="317" spans="29:29" x14ac:dyDescent="0.2">
      <c r="AC317" s="188"/>
    </row>
    <row r="318" spans="29:29" x14ac:dyDescent="0.2">
      <c r="AC318" s="188"/>
    </row>
    <row r="319" spans="29:29" x14ac:dyDescent="0.2">
      <c r="AC319" s="188"/>
    </row>
    <row r="320" spans="29:29" x14ac:dyDescent="0.2">
      <c r="AC320" s="188"/>
    </row>
    <row r="321" spans="29:29" x14ac:dyDescent="0.2">
      <c r="AC321" s="188"/>
    </row>
    <row r="322" spans="29:29" x14ac:dyDescent="0.2">
      <c r="AC322" s="188"/>
    </row>
    <row r="323" spans="29:29" x14ac:dyDescent="0.2">
      <c r="AC323" s="188"/>
    </row>
    <row r="324" spans="29:29" x14ac:dyDescent="0.2">
      <c r="AC324" s="188"/>
    </row>
    <row r="325" spans="29:29" x14ac:dyDescent="0.2">
      <c r="AC325" s="188"/>
    </row>
    <row r="326" spans="29:29" x14ac:dyDescent="0.2">
      <c r="AC326" s="188"/>
    </row>
    <row r="327" spans="29:29" x14ac:dyDescent="0.2">
      <c r="AC327" s="188"/>
    </row>
    <row r="328" spans="29:29" x14ac:dyDescent="0.2">
      <c r="AC328" s="188"/>
    </row>
    <row r="329" spans="29:29" x14ac:dyDescent="0.2">
      <c r="AC329" s="188"/>
    </row>
    <row r="330" spans="29:29" x14ac:dyDescent="0.2">
      <c r="AC330" s="188"/>
    </row>
    <row r="331" spans="29:29" x14ac:dyDescent="0.2">
      <c r="AC331" s="188"/>
    </row>
    <row r="332" spans="29:29" x14ac:dyDescent="0.2">
      <c r="AC332" s="188"/>
    </row>
    <row r="333" spans="29:29" x14ac:dyDescent="0.2">
      <c r="AC333" s="188"/>
    </row>
    <row r="334" spans="29:29" x14ac:dyDescent="0.2">
      <c r="AC334" s="188"/>
    </row>
    <row r="335" spans="29:29" x14ac:dyDescent="0.2">
      <c r="AC335" s="188"/>
    </row>
    <row r="336" spans="29:29" x14ac:dyDescent="0.2">
      <c r="AC336" s="188"/>
    </row>
    <row r="337" spans="29:29" x14ac:dyDescent="0.2">
      <c r="AC337" s="188"/>
    </row>
    <row r="338" spans="29:29" x14ac:dyDescent="0.2">
      <c r="AC338" s="188"/>
    </row>
    <row r="339" spans="29:29" x14ac:dyDescent="0.2">
      <c r="AC339" s="188"/>
    </row>
    <row r="340" spans="29:29" x14ac:dyDescent="0.2">
      <c r="AC340" s="188"/>
    </row>
    <row r="341" spans="29:29" x14ac:dyDescent="0.2">
      <c r="AC341" s="188"/>
    </row>
    <row r="342" spans="29:29" x14ac:dyDescent="0.2">
      <c r="AC342" s="188"/>
    </row>
    <row r="343" spans="29:29" x14ac:dyDescent="0.2">
      <c r="AC343" s="188"/>
    </row>
    <row r="344" spans="29:29" x14ac:dyDescent="0.2">
      <c r="AC344" s="188"/>
    </row>
    <row r="345" spans="29:29" x14ac:dyDescent="0.2">
      <c r="AC345" s="188"/>
    </row>
    <row r="346" spans="29:29" x14ac:dyDescent="0.2">
      <c r="AC346" s="188"/>
    </row>
    <row r="347" spans="29:29" x14ac:dyDescent="0.2">
      <c r="AC347" s="188"/>
    </row>
    <row r="348" spans="29:29" x14ac:dyDescent="0.2">
      <c r="AC348" s="188"/>
    </row>
    <row r="349" spans="29:29" x14ac:dyDescent="0.2">
      <c r="AC349" s="188"/>
    </row>
    <row r="350" spans="29:29" x14ac:dyDescent="0.2">
      <c r="AC350" s="188"/>
    </row>
    <row r="351" spans="29:29" x14ac:dyDescent="0.2">
      <c r="AC351" s="188"/>
    </row>
    <row r="352" spans="29:29" x14ac:dyDescent="0.2">
      <c r="AC352" s="188"/>
    </row>
    <row r="353" spans="29:29" x14ac:dyDescent="0.2">
      <c r="AC353" s="188"/>
    </row>
    <row r="354" spans="29:29" x14ac:dyDescent="0.2">
      <c r="AC354" s="188"/>
    </row>
    <row r="355" spans="29:29" x14ac:dyDescent="0.2">
      <c r="AC355" s="188"/>
    </row>
    <row r="356" spans="29:29" x14ac:dyDescent="0.2">
      <c r="AC356" s="188"/>
    </row>
    <row r="357" spans="29:29" x14ac:dyDescent="0.2">
      <c r="AC357" s="188"/>
    </row>
    <row r="358" spans="29:29" x14ac:dyDescent="0.2">
      <c r="AC358" s="188"/>
    </row>
    <row r="359" spans="29:29" x14ac:dyDescent="0.2">
      <c r="AC359" s="188"/>
    </row>
    <row r="360" spans="29:29" x14ac:dyDescent="0.2">
      <c r="AC360" s="188"/>
    </row>
    <row r="361" spans="29:29" x14ac:dyDescent="0.2">
      <c r="AC361" s="188"/>
    </row>
    <row r="362" spans="29:29" x14ac:dyDescent="0.2">
      <c r="AC362" s="188"/>
    </row>
    <row r="363" spans="29:29" x14ac:dyDescent="0.2">
      <c r="AC363" s="188"/>
    </row>
    <row r="364" spans="29:29" x14ac:dyDescent="0.2">
      <c r="AC364" s="188"/>
    </row>
    <row r="365" spans="29:29" x14ac:dyDescent="0.2">
      <c r="AC365" s="188"/>
    </row>
    <row r="366" spans="29:29" x14ac:dyDescent="0.2">
      <c r="AC366" s="188"/>
    </row>
    <row r="367" spans="29:29" x14ac:dyDescent="0.2">
      <c r="AC367" s="188"/>
    </row>
    <row r="368" spans="29:29" x14ac:dyDescent="0.2">
      <c r="AC368" s="188"/>
    </row>
    <row r="369" spans="29:29" x14ac:dyDescent="0.2">
      <c r="AC369" s="188"/>
    </row>
    <row r="370" spans="29:29" x14ac:dyDescent="0.2">
      <c r="AC370" s="188"/>
    </row>
    <row r="371" spans="29:29" x14ac:dyDescent="0.2">
      <c r="AC371" s="188"/>
    </row>
    <row r="372" spans="29:29" x14ac:dyDescent="0.2">
      <c r="AC372" s="188"/>
    </row>
    <row r="373" spans="29:29" x14ac:dyDescent="0.2">
      <c r="AC373" s="188"/>
    </row>
    <row r="374" spans="29:29" x14ac:dyDescent="0.2">
      <c r="AC374" s="188"/>
    </row>
    <row r="375" spans="29:29" x14ac:dyDescent="0.2">
      <c r="AC375" s="188"/>
    </row>
    <row r="376" spans="29:29" x14ac:dyDescent="0.2">
      <c r="AC376" s="188"/>
    </row>
    <row r="377" spans="29:29" x14ac:dyDescent="0.2">
      <c r="AC377" s="188"/>
    </row>
    <row r="378" spans="29:29" x14ac:dyDescent="0.2">
      <c r="AC378" s="188"/>
    </row>
    <row r="379" spans="29:29" x14ac:dyDescent="0.2">
      <c r="AC379" s="188"/>
    </row>
    <row r="380" spans="29:29" x14ac:dyDescent="0.2">
      <c r="AC380" s="188"/>
    </row>
    <row r="381" spans="29:29" x14ac:dyDescent="0.2">
      <c r="AC381" s="188"/>
    </row>
    <row r="382" spans="29:29" x14ac:dyDescent="0.2">
      <c r="AC382" s="188"/>
    </row>
    <row r="383" spans="29:29" x14ac:dyDescent="0.2">
      <c r="AC383" s="188"/>
    </row>
    <row r="384" spans="29:29" x14ac:dyDescent="0.2">
      <c r="AC384" s="188"/>
    </row>
    <row r="385" spans="29:29" x14ac:dyDescent="0.2">
      <c r="AC385" s="188"/>
    </row>
    <row r="386" spans="29:29" x14ac:dyDescent="0.2">
      <c r="AC386" s="188"/>
    </row>
    <row r="387" spans="29:29" x14ac:dyDescent="0.2">
      <c r="AC387" s="188"/>
    </row>
    <row r="388" spans="29:29" x14ac:dyDescent="0.2">
      <c r="AC388" s="188"/>
    </row>
    <row r="389" spans="29:29" x14ac:dyDescent="0.2">
      <c r="AC389" s="188"/>
    </row>
    <row r="390" spans="29:29" x14ac:dyDescent="0.2">
      <c r="AC390" s="188"/>
    </row>
    <row r="391" spans="29:29" x14ac:dyDescent="0.2">
      <c r="AC391" s="188"/>
    </row>
    <row r="392" spans="29:29" x14ac:dyDescent="0.2">
      <c r="AC392" s="188"/>
    </row>
    <row r="393" spans="29:29" x14ac:dyDescent="0.2">
      <c r="AC393" s="188"/>
    </row>
    <row r="394" spans="29:29" x14ac:dyDescent="0.2">
      <c r="AC394" s="188"/>
    </row>
    <row r="395" spans="29:29" x14ac:dyDescent="0.2">
      <c r="AC395" s="188"/>
    </row>
    <row r="396" spans="29:29" x14ac:dyDescent="0.2">
      <c r="AC396" s="188"/>
    </row>
    <row r="397" spans="29:29" x14ac:dyDescent="0.2">
      <c r="AC397" s="188"/>
    </row>
    <row r="398" spans="29:29" x14ac:dyDescent="0.2">
      <c r="AC398" s="188"/>
    </row>
    <row r="399" spans="29:29" x14ac:dyDescent="0.2">
      <c r="AC399" s="188"/>
    </row>
    <row r="400" spans="29:29" x14ac:dyDescent="0.2">
      <c r="AC400" s="188"/>
    </row>
    <row r="401" spans="29:29" x14ac:dyDescent="0.2">
      <c r="AC401" s="188"/>
    </row>
    <row r="402" spans="29:29" x14ac:dyDescent="0.2">
      <c r="AC402" s="188"/>
    </row>
    <row r="403" spans="29:29" x14ac:dyDescent="0.2">
      <c r="AC403" s="188"/>
    </row>
    <row r="404" spans="29:29" x14ac:dyDescent="0.2">
      <c r="AC404" s="188"/>
    </row>
    <row r="405" spans="29:29" x14ac:dyDescent="0.2">
      <c r="AC405" s="188"/>
    </row>
    <row r="406" spans="29:29" x14ac:dyDescent="0.2">
      <c r="AC406" s="188"/>
    </row>
    <row r="407" spans="29:29" x14ac:dyDescent="0.2">
      <c r="AC407" s="188"/>
    </row>
    <row r="408" spans="29:29" x14ac:dyDescent="0.2">
      <c r="AC408" s="188"/>
    </row>
    <row r="409" spans="29:29" x14ac:dyDescent="0.2">
      <c r="AC409" s="188"/>
    </row>
    <row r="410" spans="29:29" x14ac:dyDescent="0.2">
      <c r="AC410" s="188"/>
    </row>
    <row r="411" spans="29:29" x14ac:dyDescent="0.2">
      <c r="AC411" s="188"/>
    </row>
    <row r="412" spans="29:29" x14ac:dyDescent="0.2">
      <c r="AC412" s="188"/>
    </row>
    <row r="413" spans="29:29" x14ac:dyDescent="0.2">
      <c r="AC413" s="188"/>
    </row>
    <row r="414" spans="29:29" x14ac:dyDescent="0.2">
      <c r="AC414" s="188"/>
    </row>
    <row r="415" spans="29:29" x14ac:dyDescent="0.2">
      <c r="AC415" s="188"/>
    </row>
    <row r="416" spans="29:29" x14ac:dyDescent="0.2">
      <c r="AC416" s="188"/>
    </row>
    <row r="417" spans="29:29" x14ac:dyDescent="0.2">
      <c r="AC417" s="188"/>
    </row>
    <row r="418" spans="29:29" x14ac:dyDescent="0.2">
      <c r="AC418" s="188"/>
    </row>
    <row r="419" spans="29:29" x14ac:dyDescent="0.2">
      <c r="AC419" s="188"/>
    </row>
    <row r="420" spans="29:29" x14ac:dyDescent="0.2">
      <c r="AC420" s="188"/>
    </row>
    <row r="421" spans="29:29" x14ac:dyDescent="0.2">
      <c r="AC421" s="188"/>
    </row>
    <row r="422" spans="29:29" x14ac:dyDescent="0.2">
      <c r="AC422" s="188"/>
    </row>
    <row r="423" spans="29:29" x14ac:dyDescent="0.2">
      <c r="AC423" s="188"/>
    </row>
    <row r="424" spans="29:29" x14ac:dyDescent="0.2">
      <c r="AC424" s="188"/>
    </row>
    <row r="425" spans="29:29" x14ac:dyDescent="0.2">
      <c r="AC425" s="188"/>
    </row>
    <row r="426" spans="29:29" x14ac:dyDescent="0.2">
      <c r="AC426" s="188"/>
    </row>
    <row r="427" spans="29:29" x14ac:dyDescent="0.2">
      <c r="AC427" s="188"/>
    </row>
    <row r="428" spans="29:29" x14ac:dyDescent="0.2">
      <c r="AC428" s="188"/>
    </row>
    <row r="429" spans="29:29" x14ac:dyDescent="0.2">
      <c r="AC429" s="188"/>
    </row>
    <row r="430" spans="29:29" x14ac:dyDescent="0.2">
      <c r="AC430" s="188"/>
    </row>
    <row r="431" spans="29:29" x14ac:dyDescent="0.2">
      <c r="AC431" s="188"/>
    </row>
    <row r="432" spans="29:29" x14ac:dyDescent="0.2">
      <c r="AC432" s="188"/>
    </row>
    <row r="433" spans="29:29" x14ac:dyDescent="0.2">
      <c r="AC433" s="188"/>
    </row>
    <row r="434" spans="29:29" x14ac:dyDescent="0.2">
      <c r="AC434" s="188"/>
    </row>
    <row r="435" spans="29:29" x14ac:dyDescent="0.2">
      <c r="AC435" s="188"/>
    </row>
    <row r="436" spans="29:29" x14ac:dyDescent="0.2">
      <c r="AC436" s="188"/>
    </row>
    <row r="437" spans="29:29" x14ac:dyDescent="0.2">
      <c r="AC437" s="188"/>
    </row>
    <row r="438" spans="29:29" x14ac:dyDescent="0.2">
      <c r="AC438" s="188"/>
    </row>
    <row r="439" spans="29:29" x14ac:dyDescent="0.2">
      <c r="AC439" s="188"/>
    </row>
    <row r="440" spans="29:29" x14ac:dyDescent="0.2">
      <c r="AC440" s="188"/>
    </row>
    <row r="441" spans="29:29" x14ac:dyDescent="0.2">
      <c r="AC441" s="188"/>
    </row>
    <row r="442" spans="29:29" x14ac:dyDescent="0.2">
      <c r="AC442" s="188"/>
    </row>
    <row r="443" spans="29:29" x14ac:dyDescent="0.2">
      <c r="AC443" s="188"/>
    </row>
    <row r="444" spans="29:29" x14ac:dyDescent="0.2">
      <c r="AC444" s="188"/>
    </row>
    <row r="445" spans="29:29" x14ac:dyDescent="0.2">
      <c r="AC445" s="188"/>
    </row>
    <row r="446" spans="29:29" x14ac:dyDescent="0.2">
      <c r="AC446" s="188"/>
    </row>
    <row r="447" spans="29:29" x14ac:dyDescent="0.2">
      <c r="AC447" s="188"/>
    </row>
    <row r="448" spans="29:29" x14ac:dyDescent="0.2">
      <c r="AC448" s="188"/>
    </row>
    <row r="449" spans="29:29" x14ac:dyDescent="0.2">
      <c r="AC449" s="188"/>
    </row>
    <row r="450" spans="29:29" x14ac:dyDescent="0.2">
      <c r="AC450" s="188"/>
    </row>
    <row r="451" spans="29:29" x14ac:dyDescent="0.2">
      <c r="AC451" s="188"/>
    </row>
    <row r="452" spans="29:29" x14ac:dyDescent="0.2">
      <c r="AC452" s="188"/>
    </row>
    <row r="453" spans="29:29" x14ac:dyDescent="0.2">
      <c r="AC453" s="188"/>
    </row>
    <row r="454" spans="29:29" x14ac:dyDescent="0.2">
      <c r="AC454" s="188"/>
    </row>
    <row r="455" spans="29:29" x14ac:dyDescent="0.2">
      <c r="AC455" s="188"/>
    </row>
    <row r="456" spans="29:29" x14ac:dyDescent="0.2">
      <c r="AC456" s="188"/>
    </row>
    <row r="457" spans="29:29" x14ac:dyDescent="0.2">
      <c r="AC457" s="188"/>
    </row>
    <row r="458" spans="29:29" x14ac:dyDescent="0.2">
      <c r="AC458" s="188"/>
    </row>
    <row r="459" spans="29:29" x14ac:dyDescent="0.2">
      <c r="AC459" s="188"/>
    </row>
    <row r="460" spans="29:29" x14ac:dyDescent="0.2">
      <c r="AC460" s="188"/>
    </row>
    <row r="461" spans="29:29" x14ac:dyDescent="0.2">
      <c r="AC461" s="188"/>
    </row>
    <row r="462" spans="29:29" x14ac:dyDescent="0.2">
      <c r="AC462" s="188"/>
    </row>
    <row r="463" spans="29:29" x14ac:dyDescent="0.2">
      <c r="AC463" s="188"/>
    </row>
    <row r="464" spans="29:29" x14ac:dyDescent="0.2">
      <c r="AC464" s="188"/>
    </row>
    <row r="465" spans="29:29" x14ac:dyDescent="0.2">
      <c r="AC465" s="188"/>
    </row>
    <row r="466" spans="29:29" x14ac:dyDescent="0.2">
      <c r="AC466" s="188"/>
    </row>
    <row r="467" spans="29:29" x14ac:dyDescent="0.2">
      <c r="AC467" s="188"/>
    </row>
    <row r="468" spans="29:29" x14ac:dyDescent="0.2">
      <c r="AC468" s="188"/>
    </row>
    <row r="469" spans="29:29" x14ac:dyDescent="0.2">
      <c r="AC469" s="188"/>
    </row>
    <row r="470" spans="29:29" x14ac:dyDescent="0.2">
      <c r="AC470" s="188"/>
    </row>
    <row r="471" spans="29:29" x14ac:dyDescent="0.2">
      <c r="AC471" s="188"/>
    </row>
    <row r="472" spans="29:29" x14ac:dyDescent="0.2">
      <c r="AC472" s="188"/>
    </row>
    <row r="473" spans="29:29" x14ac:dyDescent="0.2">
      <c r="AC473" s="188"/>
    </row>
    <row r="474" spans="29:29" x14ac:dyDescent="0.2">
      <c r="AC474" s="188"/>
    </row>
    <row r="475" spans="29:29" x14ac:dyDescent="0.2">
      <c r="AC475" s="188"/>
    </row>
    <row r="476" spans="29:29" x14ac:dyDescent="0.2">
      <c r="AC476" s="188"/>
    </row>
    <row r="477" spans="29:29" x14ac:dyDescent="0.2">
      <c r="AC477" s="188"/>
    </row>
    <row r="478" spans="29:29" x14ac:dyDescent="0.2">
      <c r="AC478" s="188"/>
    </row>
    <row r="479" spans="29:29" x14ac:dyDescent="0.2">
      <c r="AC479" s="188"/>
    </row>
    <row r="480" spans="29:29" x14ac:dyDescent="0.2">
      <c r="AC480" s="188"/>
    </row>
    <row r="481" spans="29:29" x14ac:dyDescent="0.2">
      <c r="AC481" s="188"/>
    </row>
    <row r="482" spans="29:29" x14ac:dyDescent="0.2">
      <c r="AC482" s="188"/>
    </row>
    <row r="483" spans="29:29" x14ac:dyDescent="0.2">
      <c r="AC483" s="188"/>
    </row>
    <row r="484" spans="29:29" x14ac:dyDescent="0.2">
      <c r="AC484" s="188"/>
    </row>
    <row r="485" spans="29:29" x14ac:dyDescent="0.2">
      <c r="AC485" s="188"/>
    </row>
    <row r="486" spans="29:29" x14ac:dyDescent="0.2">
      <c r="AC486" s="188"/>
    </row>
    <row r="487" spans="29:29" x14ac:dyDescent="0.2">
      <c r="AC487" s="188"/>
    </row>
    <row r="488" spans="29:29" x14ac:dyDescent="0.2">
      <c r="AC488" s="188"/>
    </row>
    <row r="489" spans="29:29" x14ac:dyDescent="0.2">
      <c r="AC489" s="188"/>
    </row>
    <row r="490" spans="29:29" x14ac:dyDescent="0.2">
      <c r="AC490" s="188"/>
    </row>
    <row r="491" spans="29:29" x14ac:dyDescent="0.2">
      <c r="AC491" s="188"/>
    </row>
    <row r="492" spans="29:29" x14ac:dyDescent="0.2">
      <c r="AC492" s="188"/>
    </row>
    <row r="493" spans="29:29" x14ac:dyDescent="0.2">
      <c r="AC493" s="188"/>
    </row>
    <row r="494" spans="29:29" x14ac:dyDescent="0.2">
      <c r="AC494" s="188"/>
    </row>
    <row r="495" spans="29:29" x14ac:dyDescent="0.2">
      <c r="AC495" s="188"/>
    </row>
    <row r="496" spans="29:29" x14ac:dyDescent="0.2">
      <c r="AC496" s="188"/>
    </row>
    <row r="497" spans="29:29" x14ac:dyDescent="0.2">
      <c r="AC497" s="188"/>
    </row>
    <row r="498" spans="29:29" x14ac:dyDescent="0.2">
      <c r="AC498" s="188"/>
    </row>
    <row r="499" spans="29:29" x14ac:dyDescent="0.2">
      <c r="AC499" s="188"/>
    </row>
    <row r="500" spans="29:29" x14ac:dyDescent="0.2">
      <c r="AC500" s="188"/>
    </row>
    <row r="501" spans="29:29" x14ac:dyDescent="0.2">
      <c r="AC501" s="188"/>
    </row>
    <row r="502" spans="29:29" x14ac:dyDescent="0.2">
      <c r="AC502" s="188"/>
    </row>
    <row r="503" spans="29:29" x14ac:dyDescent="0.2">
      <c r="AC503" s="188"/>
    </row>
    <row r="504" spans="29:29" x14ac:dyDescent="0.2">
      <c r="AC504" s="188"/>
    </row>
    <row r="505" spans="29:29" x14ac:dyDescent="0.2">
      <c r="AC505" s="188"/>
    </row>
    <row r="506" spans="29:29" x14ac:dyDescent="0.2">
      <c r="AC506" s="188"/>
    </row>
    <row r="507" spans="29:29" x14ac:dyDescent="0.2">
      <c r="AC507" s="188"/>
    </row>
    <row r="508" spans="29:29" x14ac:dyDescent="0.2">
      <c r="AC508" s="188"/>
    </row>
    <row r="509" spans="29:29" x14ac:dyDescent="0.2">
      <c r="AC509" s="188"/>
    </row>
    <row r="510" spans="29:29" x14ac:dyDescent="0.2">
      <c r="AC510" s="188"/>
    </row>
    <row r="511" spans="29:29" x14ac:dyDescent="0.2">
      <c r="AC511" s="188"/>
    </row>
    <row r="512" spans="29:29" x14ac:dyDescent="0.2">
      <c r="AC512" s="188"/>
    </row>
    <row r="513" spans="29:29" x14ac:dyDescent="0.2">
      <c r="AC513" s="188"/>
    </row>
    <row r="514" spans="29:29" x14ac:dyDescent="0.2">
      <c r="AC514" s="188"/>
    </row>
    <row r="515" spans="29:29" x14ac:dyDescent="0.2">
      <c r="AC515" s="188"/>
    </row>
    <row r="516" spans="29:29" x14ac:dyDescent="0.2">
      <c r="AC516" s="188"/>
    </row>
    <row r="517" spans="29:29" x14ac:dyDescent="0.2">
      <c r="AC517" s="188"/>
    </row>
    <row r="518" spans="29:29" x14ac:dyDescent="0.2">
      <c r="AC518" s="188"/>
    </row>
    <row r="519" spans="29:29" x14ac:dyDescent="0.2">
      <c r="AC519" s="188"/>
    </row>
    <row r="520" spans="29:29" x14ac:dyDescent="0.2">
      <c r="AC520" s="188"/>
    </row>
    <row r="521" spans="29:29" x14ac:dyDescent="0.2">
      <c r="AC521" s="188"/>
    </row>
    <row r="522" spans="29:29" x14ac:dyDescent="0.2">
      <c r="AC522" s="188"/>
    </row>
    <row r="523" spans="29:29" x14ac:dyDescent="0.2">
      <c r="AC523" s="188"/>
    </row>
    <row r="524" spans="29:29" x14ac:dyDescent="0.2">
      <c r="AC524" s="188"/>
    </row>
    <row r="525" spans="29:29" x14ac:dyDescent="0.2">
      <c r="AC525" s="188"/>
    </row>
    <row r="526" spans="29:29" x14ac:dyDescent="0.2">
      <c r="AC526" s="188"/>
    </row>
    <row r="527" spans="29:29" x14ac:dyDescent="0.2">
      <c r="AC527" s="188"/>
    </row>
    <row r="528" spans="29:29" x14ac:dyDescent="0.2">
      <c r="AC528" s="188"/>
    </row>
    <row r="529" spans="29:29" x14ac:dyDescent="0.2">
      <c r="AC529" s="188"/>
    </row>
    <row r="530" spans="29:29" x14ac:dyDescent="0.2">
      <c r="AC530" s="188"/>
    </row>
    <row r="531" spans="29:29" x14ac:dyDescent="0.2">
      <c r="AC531" s="188"/>
    </row>
    <row r="532" spans="29:29" x14ac:dyDescent="0.2">
      <c r="AC532" s="188"/>
    </row>
    <row r="533" spans="29:29" x14ac:dyDescent="0.2">
      <c r="AC533" s="188"/>
    </row>
    <row r="534" spans="29:29" x14ac:dyDescent="0.2">
      <c r="AC534" s="188"/>
    </row>
    <row r="535" spans="29:29" x14ac:dyDescent="0.2">
      <c r="AC535" s="188"/>
    </row>
    <row r="536" spans="29:29" x14ac:dyDescent="0.2">
      <c r="AC536" s="188"/>
    </row>
    <row r="537" spans="29:29" x14ac:dyDescent="0.2">
      <c r="AC537" s="188"/>
    </row>
    <row r="538" spans="29:29" x14ac:dyDescent="0.2">
      <c r="AC538" s="188"/>
    </row>
    <row r="539" spans="29:29" x14ac:dyDescent="0.2">
      <c r="AC539" s="188"/>
    </row>
    <row r="540" spans="29:29" x14ac:dyDescent="0.2">
      <c r="AC540" s="188"/>
    </row>
    <row r="541" spans="29:29" x14ac:dyDescent="0.2">
      <c r="AC541" s="188"/>
    </row>
    <row r="542" spans="29:29" x14ac:dyDescent="0.2">
      <c r="AC542" s="188"/>
    </row>
    <row r="543" spans="29:29" x14ac:dyDescent="0.2">
      <c r="AC543" s="188"/>
    </row>
    <row r="544" spans="29:29" x14ac:dyDescent="0.2">
      <c r="AC544" s="188"/>
    </row>
    <row r="545" spans="29:29" x14ac:dyDescent="0.2">
      <c r="AC545" s="188"/>
    </row>
    <row r="546" spans="29:29" x14ac:dyDescent="0.2">
      <c r="AC546" s="188"/>
    </row>
    <row r="547" spans="29:29" x14ac:dyDescent="0.2">
      <c r="AC547" s="188"/>
    </row>
    <row r="548" spans="29:29" x14ac:dyDescent="0.2">
      <c r="AC548" s="188"/>
    </row>
    <row r="549" spans="29:29" x14ac:dyDescent="0.2">
      <c r="AC549" s="188"/>
    </row>
    <row r="550" spans="29:29" x14ac:dyDescent="0.2">
      <c r="AC550" s="188"/>
    </row>
    <row r="551" spans="29:29" x14ac:dyDescent="0.2">
      <c r="AC551" s="188"/>
    </row>
    <row r="552" spans="29:29" x14ac:dyDescent="0.2">
      <c r="AC552" s="188"/>
    </row>
    <row r="553" spans="29:29" x14ac:dyDescent="0.2">
      <c r="AC553" s="188"/>
    </row>
    <row r="554" spans="29:29" x14ac:dyDescent="0.2">
      <c r="AC554" s="188"/>
    </row>
    <row r="555" spans="29:29" x14ac:dyDescent="0.2">
      <c r="AC555" s="188"/>
    </row>
    <row r="556" spans="29:29" x14ac:dyDescent="0.2">
      <c r="AC556" s="188"/>
    </row>
    <row r="557" spans="29:29" x14ac:dyDescent="0.2">
      <c r="AC557" s="188"/>
    </row>
    <row r="558" spans="29:29" x14ac:dyDescent="0.2">
      <c r="AC558" s="188"/>
    </row>
    <row r="559" spans="29:29" x14ac:dyDescent="0.2">
      <c r="AC559" s="188"/>
    </row>
    <row r="560" spans="29:29" x14ac:dyDescent="0.2">
      <c r="AC560" s="188"/>
    </row>
    <row r="561" spans="29:29" x14ac:dyDescent="0.2">
      <c r="AC561" s="188"/>
    </row>
    <row r="562" spans="29:29" x14ac:dyDescent="0.2">
      <c r="AC562" s="188"/>
    </row>
    <row r="563" spans="29:29" x14ac:dyDescent="0.2">
      <c r="AC563" s="188"/>
    </row>
    <row r="564" spans="29:29" x14ac:dyDescent="0.2">
      <c r="AC564" s="188"/>
    </row>
    <row r="565" spans="29:29" x14ac:dyDescent="0.2">
      <c r="AC565" s="188"/>
    </row>
    <row r="566" spans="29:29" x14ac:dyDescent="0.2">
      <c r="AC566" s="188"/>
    </row>
    <row r="567" spans="29:29" x14ac:dyDescent="0.2">
      <c r="AC567" s="188"/>
    </row>
    <row r="568" spans="29:29" x14ac:dyDescent="0.2">
      <c r="AC568" s="188"/>
    </row>
    <row r="569" spans="29:29" x14ac:dyDescent="0.2">
      <c r="AC569" s="188"/>
    </row>
    <row r="570" spans="29:29" x14ac:dyDescent="0.2">
      <c r="AC570" s="188"/>
    </row>
    <row r="571" spans="29:29" x14ac:dyDescent="0.2">
      <c r="AC571" s="188"/>
    </row>
    <row r="572" spans="29:29" x14ac:dyDescent="0.2">
      <c r="AC572" s="188"/>
    </row>
    <row r="573" spans="29:29" x14ac:dyDescent="0.2">
      <c r="AC573" s="188"/>
    </row>
    <row r="574" spans="29:29" x14ac:dyDescent="0.2">
      <c r="AC574" s="188"/>
    </row>
    <row r="575" spans="29:29" x14ac:dyDescent="0.2">
      <c r="AC575" s="188"/>
    </row>
    <row r="576" spans="29:29" x14ac:dyDescent="0.2">
      <c r="AC576" s="188"/>
    </row>
    <row r="577" spans="29:29" x14ac:dyDescent="0.2">
      <c r="AC577" s="188"/>
    </row>
    <row r="578" spans="29:29" x14ac:dyDescent="0.2">
      <c r="AC578" s="188"/>
    </row>
    <row r="579" spans="29:29" x14ac:dyDescent="0.2">
      <c r="AC579" s="188"/>
    </row>
    <row r="580" spans="29:29" x14ac:dyDescent="0.2">
      <c r="AC580" s="188"/>
    </row>
    <row r="581" spans="29:29" x14ac:dyDescent="0.2">
      <c r="AC581" s="188"/>
    </row>
    <row r="582" spans="29:29" x14ac:dyDescent="0.2">
      <c r="AC582" s="188"/>
    </row>
    <row r="583" spans="29:29" x14ac:dyDescent="0.2">
      <c r="AC583" s="188"/>
    </row>
    <row r="584" spans="29:29" x14ac:dyDescent="0.2">
      <c r="AC584" s="188"/>
    </row>
    <row r="585" spans="29:29" x14ac:dyDescent="0.2">
      <c r="AC585" s="188"/>
    </row>
    <row r="586" spans="29:29" x14ac:dyDescent="0.2">
      <c r="AC586" s="188"/>
    </row>
    <row r="587" spans="29:29" x14ac:dyDescent="0.2">
      <c r="AC587" s="188"/>
    </row>
    <row r="588" spans="29:29" x14ac:dyDescent="0.2">
      <c r="AC588" s="188"/>
    </row>
    <row r="589" spans="29:29" x14ac:dyDescent="0.2">
      <c r="AC589" s="188"/>
    </row>
    <row r="590" spans="29:29" x14ac:dyDescent="0.2">
      <c r="AC590" s="188"/>
    </row>
    <row r="591" spans="29:29" x14ac:dyDescent="0.2">
      <c r="AC591" s="188"/>
    </row>
    <row r="592" spans="29:29" x14ac:dyDescent="0.2">
      <c r="AC592" s="188"/>
    </row>
    <row r="593" spans="29:29" x14ac:dyDescent="0.2">
      <c r="AC593" s="188"/>
    </row>
    <row r="594" spans="29:29" x14ac:dyDescent="0.2">
      <c r="AC594" s="188"/>
    </row>
    <row r="595" spans="29:29" x14ac:dyDescent="0.2">
      <c r="AC595" s="188"/>
    </row>
    <row r="596" spans="29:29" x14ac:dyDescent="0.2">
      <c r="AC596" s="188"/>
    </row>
    <row r="597" spans="29:29" x14ac:dyDescent="0.2">
      <c r="AC597" s="188"/>
    </row>
    <row r="598" spans="29:29" x14ac:dyDescent="0.2">
      <c r="AC598" s="188"/>
    </row>
    <row r="599" spans="29:29" x14ac:dyDescent="0.2">
      <c r="AC599" s="188"/>
    </row>
    <row r="600" spans="29:29" x14ac:dyDescent="0.2">
      <c r="AC600" s="188"/>
    </row>
    <row r="601" spans="29:29" x14ac:dyDescent="0.2">
      <c r="AC601" s="188"/>
    </row>
    <row r="602" spans="29:29" x14ac:dyDescent="0.2">
      <c r="AC602" s="188"/>
    </row>
    <row r="603" spans="29:29" x14ac:dyDescent="0.2">
      <c r="AC603" s="188"/>
    </row>
    <row r="604" spans="29:29" x14ac:dyDescent="0.2">
      <c r="AC604" s="188"/>
    </row>
    <row r="605" spans="29:29" x14ac:dyDescent="0.2">
      <c r="AC605" s="188"/>
    </row>
    <row r="606" spans="29:29" x14ac:dyDescent="0.2">
      <c r="AC606" s="188"/>
    </row>
    <row r="607" spans="29:29" x14ac:dyDescent="0.2">
      <c r="AC607" s="188"/>
    </row>
    <row r="608" spans="29:29" x14ac:dyDescent="0.2">
      <c r="AC608" s="188"/>
    </row>
    <row r="609" spans="29:29" x14ac:dyDescent="0.2">
      <c r="AC609" s="188"/>
    </row>
    <row r="610" spans="29:29" x14ac:dyDescent="0.2">
      <c r="AC610" s="188"/>
    </row>
    <row r="611" spans="29:29" x14ac:dyDescent="0.2">
      <c r="AC611" s="188"/>
    </row>
    <row r="612" spans="29:29" x14ac:dyDescent="0.2">
      <c r="AC612" s="188"/>
    </row>
    <row r="613" spans="29:29" x14ac:dyDescent="0.2">
      <c r="AC613" s="188"/>
    </row>
    <row r="614" spans="29:29" x14ac:dyDescent="0.2">
      <c r="AC614" s="188"/>
    </row>
    <row r="615" spans="29:29" x14ac:dyDescent="0.2">
      <c r="AC615" s="188"/>
    </row>
    <row r="616" spans="29:29" x14ac:dyDescent="0.2">
      <c r="AC616" s="188"/>
    </row>
    <row r="617" spans="29:29" x14ac:dyDescent="0.2">
      <c r="AC617" s="188"/>
    </row>
    <row r="618" spans="29:29" x14ac:dyDescent="0.2">
      <c r="AC618" s="188"/>
    </row>
    <row r="619" spans="29:29" x14ac:dyDescent="0.2">
      <c r="AC619" s="188"/>
    </row>
    <row r="620" spans="29:29" x14ac:dyDescent="0.2">
      <c r="AC620" s="188"/>
    </row>
    <row r="621" spans="29:29" x14ac:dyDescent="0.2">
      <c r="AC621" s="188"/>
    </row>
    <row r="622" spans="29:29" x14ac:dyDescent="0.2">
      <c r="AC622" s="188"/>
    </row>
    <row r="623" spans="29:29" x14ac:dyDescent="0.2">
      <c r="AC623" s="188"/>
    </row>
    <row r="624" spans="29:29" x14ac:dyDescent="0.2">
      <c r="AC624" s="188"/>
    </row>
    <row r="625" spans="29:29" x14ac:dyDescent="0.2">
      <c r="AC625" s="188"/>
    </row>
    <row r="626" spans="29:29" x14ac:dyDescent="0.2">
      <c r="AC626" s="188"/>
    </row>
    <row r="627" spans="29:29" x14ac:dyDescent="0.2">
      <c r="AC627" s="188"/>
    </row>
    <row r="628" spans="29:29" x14ac:dyDescent="0.2">
      <c r="AC628" s="188"/>
    </row>
    <row r="629" spans="29:29" x14ac:dyDescent="0.2">
      <c r="AC629" s="188"/>
    </row>
    <row r="630" spans="29:29" x14ac:dyDescent="0.2">
      <c r="AC630" s="188"/>
    </row>
    <row r="631" spans="29:29" x14ac:dyDescent="0.2">
      <c r="AC631" s="188"/>
    </row>
    <row r="632" spans="29:29" x14ac:dyDescent="0.2">
      <c r="AC632" s="188"/>
    </row>
    <row r="633" spans="29:29" x14ac:dyDescent="0.2">
      <c r="AC633" s="188"/>
    </row>
    <row r="634" spans="29:29" x14ac:dyDescent="0.2">
      <c r="AC634" s="188"/>
    </row>
    <row r="635" spans="29:29" x14ac:dyDescent="0.2">
      <c r="AC635" s="188"/>
    </row>
    <row r="636" spans="29:29" x14ac:dyDescent="0.2">
      <c r="AC636" s="188"/>
    </row>
    <row r="637" spans="29:29" x14ac:dyDescent="0.2">
      <c r="AC637" s="188"/>
    </row>
    <row r="638" spans="29:29" x14ac:dyDescent="0.2">
      <c r="AC638" s="188"/>
    </row>
    <row r="639" spans="29:29" x14ac:dyDescent="0.2">
      <c r="AC639" s="188"/>
    </row>
    <row r="640" spans="29:29" x14ac:dyDescent="0.2">
      <c r="AC640" s="188"/>
    </row>
    <row r="641" spans="29:29" x14ac:dyDescent="0.2">
      <c r="AC641" s="188"/>
    </row>
    <row r="642" spans="29:29" x14ac:dyDescent="0.2">
      <c r="AC642" s="188"/>
    </row>
    <row r="643" spans="29:29" x14ac:dyDescent="0.2">
      <c r="AC643" s="188"/>
    </row>
    <row r="644" spans="29:29" x14ac:dyDescent="0.2">
      <c r="AC644" s="188"/>
    </row>
    <row r="645" spans="29:29" x14ac:dyDescent="0.2">
      <c r="AC645" s="188"/>
    </row>
    <row r="646" spans="29:29" x14ac:dyDescent="0.2">
      <c r="AC646" s="188"/>
    </row>
    <row r="647" spans="29:29" x14ac:dyDescent="0.2">
      <c r="AC647" s="188"/>
    </row>
    <row r="648" spans="29:29" x14ac:dyDescent="0.2">
      <c r="AC648" s="188"/>
    </row>
    <row r="649" spans="29:29" x14ac:dyDescent="0.2">
      <c r="AC649" s="188"/>
    </row>
    <row r="650" spans="29:29" x14ac:dyDescent="0.2">
      <c r="AC650" s="188"/>
    </row>
    <row r="651" spans="29:29" x14ac:dyDescent="0.2">
      <c r="AC651" s="188"/>
    </row>
    <row r="652" spans="29:29" x14ac:dyDescent="0.2">
      <c r="AC652" s="188"/>
    </row>
    <row r="653" spans="29:29" x14ac:dyDescent="0.2">
      <c r="AC653" s="188"/>
    </row>
    <row r="654" spans="29:29" x14ac:dyDescent="0.2">
      <c r="AC654" s="188"/>
    </row>
    <row r="655" spans="29:29" x14ac:dyDescent="0.2">
      <c r="AC655" s="188"/>
    </row>
    <row r="656" spans="29:29" x14ac:dyDescent="0.2">
      <c r="AC656" s="188"/>
    </row>
    <row r="657" spans="29:29" x14ac:dyDescent="0.2">
      <c r="AC657" s="188"/>
    </row>
    <row r="658" spans="29:29" x14ac:dyDescent="0.2">
      <c r="AC658" s="188"/>
    </row>
    <row r="659" spans="29:29" x14ac:dyDescent="0.2">
      <c r="AC659" s="188"/>
    </row>
    <row r="660" spans="29:29" x14ac:dyDescent="0.2">
      <c r="AC660" s="188"/>
    </row>
    <row r="661" spans="29:29" x14ac:dyDescent="0.2">
      <c r="AC661" s="188"/>
    </row>
    <row r="662" spans="29:29" x14ac:dyDescent="0.2">
      <c r="AC662" s="188"/>
    </row>
    <row r="663" spans="29:29" x14ac:dyDescent="0.2">
      <c r="AC663" s="188"/>
    </row>
    <row r="664" spans="29:29" x14ac:dyDescent="0.2">
      <c r="AC664" s="188"/>
    </row>
    <row r="665" spans="29:29" x14ac:dyDescent="0.2">
      <c r="AC665" s="188"/>
    </row>
    <row r="666" spans="29:29" x14ac:dyDescent="0.2">
      <c r="AC666" s="188"/>
    </row>
    <row r="667" spans="29:29" x14ac:dyDescent="0.2">
      <c r="AC667" s="188"/>
    </row>
    <row r="668" spans="29:29" x14ac:dyDescent="0.2">
      <c r="AC668" s="188"/>
    </row>
    <row r="669" spans="29:29" x14ac:dyDescent="0.2">
      <c r="AC669" s="188"/>
    </row>
    <row r="670" spans="29:29" x14ac:dyDescent="0.2">
      <c r="AC670" s="188"/>
    </row>
    <row r="671" spans="29:29" x14ac:dyDescent="0.2">
      <c r="AC671" s="188"/>
    </row>
    <row r="672" spans="29:29" x14ac:dyDescent="0.2">
      <c r="AC672" s="188"/>
    </row>
    <row r="673" spans="29:29" x14ac:dyDescent="0.2">
      <c r="AC673" s="188"/>
    </row>
    <row r="674" spans="29:29" x14ac:dyDescent="0.2">
      <c r="AC674" s="188"/>
    </row>
    <row r="675" spans="29:29" x14ac:dyDescent="0.2">
      <c r="AC675" s="188"/>
    </row>
    <row r="676" spans="29:29" x14ac:dyDescent="0.2">
      <c r="AC676" s="188"/>
    </row>
    <row r="677" spans="29:29" x14ac:dyDescent="0.2">
      <c r="AC677" s="188"/>
    </row>
    <row r="678" spans="29:29" x14ac:dyDescent="0.2">
      <c r="AC678" s="188"/>
    </row>
    <row r="679" spans="29:29" x14ac:dyDescent="0.2">
      <c r="AC679" s="188"/>
    </row>
    <row r="680" spans="29:29" x14ac:dyDescent="0.2">
      <c r="AC680" s="188"/>
    </row>
    <row r="681" spans="29:29" x14ac:dyDescent="0.2">
      <c r="AC681" s="188"/>
    </row>
    <row r="682" spans="29:29" x14ac:dyDescent="0.2">
      <c r="AC682" s="188"/>
    </row>
    <row r="683" spans="29:29" x14ac:dyDescent="0.2">
      <c r="AC683" s="188"/>
    </row>
    <row r="684" spans="29:29" x14ac:dyDescent="0.2">
      <c r="AC684" s="188"/>
    </row>
    <row r="685" spans="29:29" x14ac:dyDescent="0.2">
      <c r="AC685" s="188"/>
    </row>
    <row r="686" spans="29:29" x14ac:dyDescent="0.2">
      <c r="AC686" s="188"/>
    </row>
    <row r="687" spans="29:29" x14ac:dyDescent="0.2">
      <c r="AC687" s="188"/>
    </row>
    <row r="688" spans="29:29" x14ac:dyDescent="0.2">
      <c r="AC688" s="188"/>
    </row>
    <row r="689" spans="29:29" x14ac:dyDescent="0.2">
      <c r="AC689" s="188"/>
    </row>
    <row r="690" spans="29:29" x14ac:dyDescent="0.2">
      <c r="AC690" s="188"/>
    </row>
    <row r="691" spans="29:29" x14ac:dyDescent="0.2">
      <c r="AC691" s="188"/>
    </row>
    <row r="692" spans="29:29" x14ac:dyDescent="0.2">
      <c r="AC692" s="188"/>
    </row>
    <row r="693" spans="29:29" x14ac:dyDescent="0.2">
      <c r="AC693" s="188"/>
    </row>
    <row r="694" spans="29:29" x14ac:dyDescent="0.2">
      <c r="AC694" s="188"/>
    </row>
    <row r="695" spans="29:29" x14ac:dyDescent="0.2">
      <c r="AC695" s="188"/>
    </row>
    <row r="696" spans="29:29" x14ac:dyDescent="0.2">
      <c r="AC696" s="188"/>
    </row>
    <row r="697" spans="29:29" x14ac:dyDescent="0.2">
      <c r="AC697" s="188"/>
    </row>
    <row r="698" spans="29:29" x14ac:dyDescent="0.2">
      <c r="AC698" s="188"/>
    </row>
    <row r="699" spans="29:29" x14ac:dyDescent="0.2">
      <c r="AC699" s="188"/>
    </row>
    <row r="700" spans="29:29" x14ac:dyDescent="0.2">
      <c r="AC700" s="188"/>
    </row>
    <row r="701" spans="29:29" x14ac:dyDescent="0.2">
      <c r="AC701" s="188"/>
    </row>
    <row r="702" spans="29:29" x14ac:dyDescent="0.2">
      <c r="AC702" s="188"/>
    </row>
    <row r="703" spans="29:29" x14ac:dyDescent="0.2">
      <c r="AC703" s="188"/>
    </row>
    <row r="704" spans="29:29" x14ac:dyDescent="0.2">
      <c r="AC704" s="188"/>
    </row>
    <row r="705" spans="29:29" x14ac:dyDescent="0.2">
      <c r="AC705" s="188"/>
    </row>
    <row r="706" spans="29:29" x14ac:dyDescent="0.2">
      <c r="AC706" s="188"/>
    </row>
    <row r="707" spans="29:29" x14ac:dyDescent="0.2">
      <c r="AC707" s="188"/>
    </row>
    <row r="708" spans="29:29" x14ac:dyDescent="0.2">
      <c r="AC708" s="188"/>
    </row>
    <row r="709" spans="29:29" x14ac:dyDescent="0.2">
      <c r="AC709" s="188"/>
    </row>
    <row r="710" spans="29:29" x14ac:dyDescent="0.2">
      <c r="AC710" s="188"/>
    </row>
    <row r="711" spans="29:29" x14ac:dyDescent="0.2">
      <c r="AC711" s="188"/>
    </row>
    <row r="712" spans="29:29" x14ac:dyDescent="0.2">
      <c r="AC712" s="188"/>
    </row>
    <row r="713" spans="29:29" x14ac:dyDescent="0.2">
      <c r="AC713" s="188"/>
    </row>
    <row r="714" spans="29:29" x14ac:dyDescent="0.2">
      <c r="AC714" s="188"/>
    </row>
    <row r="715" spans="29:29" x14ac:dyDescent="0.2">
      <c r="AC715" s="188"/>
    </row>
    <row r="716" spans="29:29" x14ac:dyDescent="0.2">
      <c r="AC716" s="188"/>
    </row>
    <row r="717" spans="29:29" x14ac:dyDescent="0.2">
      <c r="AC717" s="188"/>
    </row>
    <row r="718" spans="29:29" x14ac:dyDescent="0.2">
      <c r="AC718" s="188"/>
    </row>
    <row r="719" spans="29:29" x14ac:dyDescent="0.2">
      <c r="AC719" s="188"/>
    </row>
    <row r="720" spans="29:29" x14ac:dyDescent="0.2">
      <c r="AC720" s="188"/>
    </row>
    <row r="721" spans="29:29" x14ac:dyDescent="0.2">
      <c r="AC721" s="188"/>
    </row>
    <row r="722" spans="29:29" x14ac:dyDescent="0.2">
      <c r="AC722" s="188"/>
    </row>
    <row r="723" spans="29:29" x14ac:dyDescent="0.2">
      <c r="AC723" s="188"/>
    </row>
    <row r="724" spans="29:29" x14ac:dyDescent="0.2">
      <c r="AC724" s="188"/>
    </row>
    <row r="725" spans="29:29" x14ac:dyDescent="0.2">
      <c r="AC725" s="188"/>
    </row>
    <row r="726" spans="29:29" x14ac:dyDescent="0.2">
      <c r="AC726" s="188"/>
    </row>
    <row r="727" spans="29:29" x14ac:dyDescent="0.2">
      <c r="AC727" s="188"/>
    </row>
    <row r="728" spans="29:29" x14ac:dyDescent="0.2">
      <c r="AC728" s="188"/>
    </row>
    <row r="729" spans="29:29" x14ac:dyDescent="0.2">
      <c r="AC729" s="188"/>
    </row>
    <row r="730" spans="29:29" x14ac:dyDescent="0.2">
      <c r="AC730" s="188"/>
    </row>
    <row r="731" spans="29:29" x14ac:dyDescent="0.2">
      <c r="AC731" s="188"/>
    </row>
    <row r="732" spans="29:29" x14ac:dyDescent="0.2">
      <c r="AC732" s="188"/>
    </row>
    <row r="733" spans="29:29" x14ac:dyDescent="0.2">
      <c r="AC733" s="188"/>
    </row>
    <row r="734" spans="29:29" x14ac:dyDescent="0.2">
      <c r="AC734" s="188"/>
    </row>
    <row r="735" spans="29:29" x14ac:dyDescent="0.2">
      <c r="AC735" s="188"/>
    </row>
    <row r="736" spans="29:29" x14ac:dyDescent="0.2">
      <c r="AC736" s="188"/>
    </row>
    <row r="737" spans="29:29" x14ac:dyDescent="0.2">
      <c r="AC737" s="188"/>
    </row>
    <row r="738" spans="29:29" x14ac:dyDescent="0.2">
      <c r="AC738" s="188"/>
    </row>
    <row r="739" spans="29:29" x14ac:dyDescent="0.2">
      <c r="AC739" s="188"/>
    </row>
    <row r="740" spans="29:29" x14ac:dyDescent="0.2">
      <c r="AC740" s="188"/>
    </row>
    <row r="741" spans="29:29" x14ac:dyDescent="0.2">
      <c r="AC741" s="188"/>
    </row>
    <row r="742" spans="29:29" x14ac:dyDescent="0.2">
      <c r="AC742" s="188"/>
    </row>
    <row r="743" spans="29:29" x14ac:dyDescent="0.2">
      <c r="AC743" s="188"/>
    </row>
    <row r="744" spans="29:29" x14ac:dyDescent="0.2">
      <c r="AC744" s="188"/>
    </row>
    <row r="745" spans="29:29" x14ac:dyDescent="0.2">
      <c r="AC745" s="188"/>
    </row>
    <row r="746" spans="29:29" x14ac:dyDescent="0.2">
      <c r="AC746" s="188"/>
    </row>
    <row r="747" spans="29:29" x14ac:dyDescent="0.2">
      <c r="AC747" s="188"/>
    </row>
    <row r="748" spans="29:29" x14ac:dyDescent="0.2">
      <c r="AC748" s="188"/>
    </row>
    <row r="749" spans="29:29" x14ac:dyDescent="0.2">
      <c r="AC749" s="188"/>
    </row>
    <row r="750" spans="29:29" x14ac:dyDescent="0.2">
      <c r="AC750" s="188"/>
    </row>
    <row r="751" spans="29:29" x14ac:dyDescent="0.2">
      <c r="AC751" s="188"/>
    </row>
    <row r="752" spans="29:29" x14ac:dyDescent="0.2">
      <c r="AC752" s="188"/>
    </row>
    <row r="753" spans="29:29" x14ac:dyDescent="0.2">
      <c r="AC753" s="188"/>
    </row>
    <row r="754" spans="29:29" x14ac:dyDescent="0.2">
      <c r="AC754" s="188"/>
    </row>
    <row r="755" spans="29:29" x14ac:dyDescent="0.2">
      <c r="AC755" s="188"/>
    </row>
    <row r="756" spans="29:29" x14ac:dyDescent="0.2">
      <c r="AC756" s="188"/>
    </row>
    <row r="757" spans="29:29" x14ac:dyDescent="0.2">
      <c r="AC757" s="188"/>
    </row>
    <row r="758" spans="29:29" x14ac:dyDescent="0.2">
      <c r="AC758" s="188"/>
    </row>
    <row r="759" spans="29:29" x14ac:dyDescent="0.2">
      <c r="AC759" s="188"/>
    </row>
    <row r="760" spans="29:29" x14ac:dyDescent="0.2">
      <c r="AC760" s="188"/>
    </row>
    <row r="761" spans="29:29" x14ac:dyDescent="0.2">
      <c r="AC761" s="188"/>
    </row>
    <row r="762" spans="29:29" x14ac:dyDescent="0.2">
      <c r="AC762" s="188"/>
    </row>
    <row r="763" spans="29:29" x14ac:dyDescent="0.2">
      <c r="AC763" s="188"/>
    </row>
    <row r="764" spans="29:29" x14ac:dyDescent="0.2">
      <c r="AC764" s="188"/>
    </row>
    <row r="765" spans="29:29" x14ac:dyDescent="0.2">
      <c r="AC765" s="188"/>
    </row>
    <row r="766" spans="29:29" x14ac:dyDescent="0.2">
      <c r="AC766" s="188"/>
    </row>
    <row r="767" spans="29:29" x14ac:dyDescent="0.2">
      <c r="AC767" s="188"/>
    </row>
    <row r="768" spans="29:29" x14ac:dyDescent="0.2">
      <c r="AC768" s="188"/>
    </row>
    <row r="769" spans="29:29" x14ac:dyDescent="0.2">
      <c r="AC769" s="188"/>
    </row>
    <row r="770" spans="29:29" x14ac:dyDescent="0.2">
      <c r="AC770" s="188"/>
    </row>
    <row r="771" spans="29:29" x14ac:dyDescent="0.2">
      <c r="AC771" s="188"/>
    </row>
    <row r="772" spans="29:29" x14ac:dyDescent="0.2">
      <c r="AC772" s="188"/>
    </row>
    <row r="773" spans="29:29" x14ac:dyDescent="0.2">
      <c r="AC773" s="188"/>
    </row>
    <row r="774" spans="29:29" x14ac:dyDescent="0.2">
      <c r="AC774" s="188"/>
    </row>
    <row r="775" spans="29:29" x14ac:dyDescent="0.2">
      <c r="AC775" s="188"/>
    </row>
    <row r="776" spans="29:29" x14ac:dyDescent="0.2">
      <c r="AC776" s="188"/>
    </row>
    <row r="777" spans="29:29" x14ac:dyDescent="0.2">
      <c r="AC777" s="188"/>
    </row>
    <row r="778" spans="29:29" x14ac:dyDescent="0.2">
      <c r="AC778" s="188"/>
    </row>
    <row r="779" spans="29:29" x14ac:dyDescent="0.2">
      <c r="AC779" s="188"/>
    </row>
    <row r="780" spans="29:29" x14ac:dyDescent="0.2">
      <c r="AC780" s="188"/>
    </row>
    <row r="781" spans="29:29" x14ac:dyDescent="0.2">
      <c r="AC781" s="188"/>
    </row>
    <row r="782" spans="29:29" x14ac:dyDescent="0.2">
      <c r="AC782" s="188"/>
    </row>
    <row r="783" spans="29:29" x14ac:dyDescent="0.2">
      <c r="AC783" s="188"/>
    </row>
    <row r="784" spans="29:29" x14ac:dyDescent="0.2">
      <c r="AC784" s="188"/>
    </row>
    <row r="785" spans="29:29" x14ac:dyDescent="0.2">
      <c r="AC785" s="188"/>
    </row>
    <row r="786" spans="29:29" x14ac:dyDescent="0.2">
      <c r="AC786" s="188"/>
    </row>
    <row r="787" spans="29:29" x14ac:dyDescent="0.2">
      <c r="AC787" s="188"/>
    </row>
    <row r="788" spans="29:29" x14ac:dyDescent="0.2">
      <c r="AC788" s="188"/>
    </row>
    <row r="789" spans="29:29" x14ac:dyDescent="0.2">
      <c r="AC789" s="188"/>
    </row>
    <row r="790" spans="29:29" x14ac:dyDescent="0.2">
      <c r="AC790" s="188"/>
    </row>
    <row r="791" spans="29:29" x14ac:dyDescent="0.2">
      <c r="AC791" s="188"/>
    </row>
    <row r="792" spans="29:29" x14ac:dyDescent="0.2">
      <c r="AC792" s="188"/>
    </row>
    <row r="793" spans="29:29" x14ac:dyDescent="0.2">
      <c r="AC793" s="188"/>
    </row>
    <row r="794" spans="29:29" x14ac:dyDescent="0.2">
      <c r="AC794" s="188"/>
    </row>
    <row r="795" spans="29:29" x14ac:dyDescent="0.2">
      <c r="AC795" s="188"/>
    </row>
    <row r="796" spans="29:29" x14ac:dyDescent="0.2">
      <c r="AC796" s="188"/>
    </row>
    <row r="797" spans="29:29" x14ac:dyDescent="0.2">
      <c r="AC797" s="188"/>
    </row>
    <row r="798" spans="29:29" x14ac:dyDescent="0.2">
      <c r="AC798" s="188"/>
    </row>
    <row r="799" spans="29:29" x14ac:dyDescent="0.2">
      <c r="AC799" s="188"/>
    </row>
    <row r="800" spans="29:29" x14ac:dyDescent="0.2">
      <c r="AC800" s="188"/>
    </row>
    <row r="801" spans="29:29" x14ac:dyDescent="0.2">
      <c r="AC801" s="188"/>
    </row>
    <row r="802" spans="29:29" x14ac:dyDescent="0.2">
      <c r="AC802" s="188"/>
    </row>
    <row r="803" spans="29:29" x14ac:dyDescent="0.2">
      <c r="AC803" s="188"/>
    </row>
    <row r="804" spans="29:29" x14ac:dyDescent="0.2">
      <c r="AC804" s="188"/>
    </row>
    <row r="805" spans="29:29" x14ac:dyDescent="0.2">
      <c r="AC805" s="188"/>
    </row>
    <row r="806" spans="29:29" x14ac:dyDescent="0.2">
      <c r="AC806" s="188"/>
    </row>
    <row r="807" spans="29:29" x14ac:dyDescent="0.2">
      <c r="AC807" s="188"/>
    </row>
    <row r="808" spans="29:29" x14ac:dyDescent="0.2">
      <c r="AC808" s="188"/>
    </row>
    <row r="809" spans="29:29" x14ac:dyDescent="0.2">
      <c r="AC809" s="188"/>
    </row>
    <row r="810" spans="29:29" x14ac:dyDescent="0.2">
      <c r="AC810" s="188"/>
    </row>
    <row r="811" spans="29:29" x14ac:dyDescent="0.2">
      <c r="AC811" s="188"/>
    </row>
    <row r="812" spans="29:29" x14ac:dyDescent="0.2">
      <c r="AC812" s="188"/>
    </row>
    <row r="813" spans="29:29" x14ac:dyDescent="0.2">
      <c r="AC813" s="188"/>
    </row>
    <row r="814" spans="29:29" x14ac:dyDescent="0.2">
      <c r="AC814" s="188"/>
    </row>
    <row r="815" spans="29:29" x14ac:dyDescent="0.2">
      <c r="AC815" s="188"/>
    </row>
    <row r="816" spans="29:29" x14ac:dyDescent="0.2">
      <c r="AC816" s="188"/>
    </row>
    <row r="817" spans="29:29" x14ac:dyDescent="0.2">
      <c r="AC817" s="188"/>
    </row>
    <row r="818" spans="29:29" x14ac:dyDescent="0.2">
      <c r="AC818" s="188"/>
    </row>
    <row r="819" spans="29:29" x14ac:dyDescent="0.2">
      <c r="AC819" s="188"/>
    </row>
    <row r="820" spans="29:29" x14ac:dyDescent="0.2">
      <c r="AC820" s="188"/>
    </row>
    <row r="821" spans="29:29" x14ac:dyDescent="0.2">
      <c r="AC821" s="188"/>
    </row>
    <row r="822" spans="29:29" x14ac:dyDescent="0.2">
      <c r="AC822" s="188"/>
    </row>
    <row r="823" spans="29:29" x14ac:dyDescent="0.2">
      <c r="AC823" s="188"/>
    </row>
    <row r="824" spans="29:29" x14ac:dyDescent="0.2">
      <c r="AC824" s="188"/>
    </row>
    <row r="825" spans="29:29" x14ac:dyDescent="0.2">
      <c r="AC825" s="188"/>
    </row>
    <row r="826" spans="29:29" x14ac:dyDescent="0.2">
      <c r="AC826" s="188"/>
    </row>
    <row r="827" spans="29:29" x14ac:dyDescent="0.2">
      <c r="AC827" s="188"/>
    </row>
    <row r="828" spans="29:29" x14ac:dyDescent="0.2">
      <c r="AC828" s="188"/>
    </row>
    <row r="829" spans="29:29" x14ac:dyDescent="0.2">
      <c r="AC829" s="188"/>
    </row>
    <row r="830" spans="29:29" x14ac:dyDescent="0.2">
      <c r="AC830" s="188"/>
    </row>
    <row r="831" spans="29:29" x14ac:dyDescent="0.2">
      <c r="AC831" s="188"/>
    </row>
    <row r="832" spans="29:29" x14ac:dyDescent="0.2">
      <c r="AC832" s="188"/>
    </row>
    <row r="833" spans="29:29" x14ac:dyDescent="0.2">
      <c r="AC833" s="188"/>
    </row>
    <row r="834" spans="29:29" x14ac:dyDescent="0.2">
      <c r="AC834" s="188"/>
    </row>
    <row r="835" spans="29:29" x14ac:dyDescent="0.2">
      <c r="AC835" s="188"/>
    </row>
    <row r="836" spans="29:29" x14ac:dyDescent="0.2">
      <c r="AC836" s="188"/>
    </row>
    <row r="837" spans="29:29" x14ac:dyDescent="0.2">
      <c r="AC837" s="188"/>
    </row>
    <row r="838" spans="29:29" x14ac:dyDescent="0.2">
      <c r="AC838" s="188"/>
    </row>
    <row r="839" spans="29:29" x14ac:dyDescent="0.2">
      <c r="AC839" s="188"/>
    </row>
    <row r="840" spans="29:29" x14ac:dyDescent="0.2">
      <c r="AC840" s="188"/>
    </row>
    <row r="841" spans="29:29" x14ac:dyDescent="0.2">
      <c r="AC841" s="188"/>
    </row>
    <row r="842" spans="29:29" x14ac:dyDescent="0.2">
      <c r="AC842" s="188"/>
    </row>
    <row r="843" spans="29:29" x14ac:dyDescent="0.2">
      <c r="AC843" s="188"/>
    </row>
    <row r="844" spans="29:29" x14ac:dyDescent="0.2">
      <c r="AC844" s="188"/>
    </row>
    <row r="845" spans="29:29" x14ac:dyDescent="0.2">
      <c r="AC845" s="188"/>
    </row>
    <row r="846" spans="29:29" x14ac:dyDescent="0.2">
      <c r="AC846" s="188"/>
    </row>
    <row r="847" spans="29:29" x14ac:dyDescent="0.2">
      <c r="AC847" s="188"/>
    </row>
    <row r="848" spans="29:29" x14ac:dyDescent="0.2">
      <c r="AC848" s="188"/>
    </row>
    <row r="849" spans="29:29" x14ac:dyDescent="0.2">
      <c r="AC849" s="188"/>
    </row>
    <row r="850" spans="29:29" x14ac:dyDescent="0.2">
      <c r="AC850" s="188"/>
    </row>
    <row r="851" spans="29:29" x14ac:dyDescent="0.2">
      <c r="AC851" s="188"/>
    </row>
    <row r="852" spans="29:29" x14ac:dyDescent="0.2">
      <c r="AC852" s="188"/>
    </row>
    <row r="853" spans="29:29" x14ac:dyDescent="0.2">
      <c r="AC853" s="188"/>
    </row>
    <row r="854" spans="29:29" x14ac:dyDescent="0.2">
      <c r="AC854" s="188"/>
    </row>
    <row r="855" spans="29:29" x14ac:dyDescent="0.2">
      <c r="AC855" s="188"/>
    </row>
    <row r="856" spans="29:29" x14ac:dyDescent="0.2">
      <c r="AC856" s="188"/>
    </row>
    <row r="857" spans="29:29" x14ac:dyDescent="0.2">
      <c r="AC857" s="188"/>
    </row>
    <row r="858" spans="29:29" x14ac:dyDescent="0.2">
      <c r="AC858" s="188"/>
    </row>
    <row r="859" spans="29:29" x14ac:dyDescent="0.2">
      <c r="AC859" s="188"/>
    </row>
    <row r="860" spans="29:29" x14ac:dyDescent="0.2">
      <c r="AC860" s="188"/>
    </row>
    <row r="861" spans="29:29" x14ac:dyDescent="0.2">
      <c r="AC861" s="188"/>
    </row>
    <row r="862" spans="29:29" x14ac:dyDescent="0.2">
      <c r="AC862" s="188"/>
    </row>
    <row r="863" spans="29:29" x14ac:dyDescent="0.2">
      <c r="AC863" s="188"/>
    </row>
    <row r="864" spans="29:29" x14ac:dyDescent="0.2">
      <c r="AC864" s="188"/>
    </row>
    <row r="865" spans="29:29" x14ac:dyDescent="0.2">
      <c r="AC865" s="188"/>
    </row>
    <row r="866" spans="29:29" x14ac:dyDescent="0.2">
      <c r="AC866" s="188"/>
    </row>
    <row r="867" spans="29:29" x14ac:dyDescent="0.2">
      <c r="AC867" s="188"/>
    </row>
    <row r="868" spans="29:29" x14ac:dyDescent="0.2">
      <c r="AC868" s="188"/>
    </row>
    <row r="869" spans="29:29" x14ac:dyDescent="0.2">
      <c r="AC869" s="188"/>
    </row>
    <row r="870" spans="29:29" x14ac:dyDescent="0.2">
      <c r="AC870" s="188"/>
    </row>
    <row r="871" spans="29:29" x14ac:dyDescent="0.2">
      <c r="AC871" s="188"/>
    </row>
    <row r="872" spans="29:29" x14ac:dyDescent="0.2">
      <c r="AC872" s="188"/>
    </row>
    <row r="873" spans="29:29" x14ac:dyDescent="0.2">
      <c r="AC873" s="188"/>
    </row>
    <row r="874" spans="29:29" x14ac:dyDescent="0.2">
      <c r="AC874" s="188"/>
    </row>
    <row r="875" spans="29:29" x14ac:dyDescent="0.2">
      <c r="AC875" s="188"/>
    </row>
    <row r="876" spans="29:29" x14ac:dyDescent="0.2">
      <c r="AC876" s="188"/>
    </row>
    <row r="877" spans="29:29" x14ac:dyDescent="0.2">
      <c r="AC877" s="188"/>
    </row>
    <row r="878" spans="29:29" x14ac:dyDescent="0.2">
      <c r="AC878" s="188"/>
    </row>
    <row r="879" spans="29:29" x14ac:dyDescent="0.2">
      <c r="AC879" s="188"/>
    </row>
    <row r="880" spans="29:29" x14ac:dyDescent="0.2">
      <c r="AC880" s="188"/>
    </row>
    <row r="881" spans="29:29" x14ac:dyDescent="0.2">
      <c r="AC881" s="188"/>
    </row>
    <row r="882" spans="29:29" x14ac:dyDescent="0.2">
      <c r="AC882" s="188"/>
    </row>
    <row r="883" spans="29:29" x14ac:dyDescent="0.2">
      <c r="AC883" s="188"/>
    </row>
    <row r="884" spans="29:29" x14ac:dyDescent="0.2">
      <c r="AC884" s="188"/>
    </row>
    <row r="885" spans="29:29" x14ac:dyDescent="0.2">
      <c r="AC885" s="188"/>
    </row>
    <row r="886" spans="29:29" x14ac:dyDescent="0.2">
      <c r="AC886" s="188"/>
    </row>
    <row r="887" spans="29:29" x14ac:dyDescent="0.2">
      <c r="AC887" s="188"/>
    </row>
    <row r="888" spans="29:29" x14ac:dyDescent="0.2">
      <c r="AC888" s="188"/>
    </row>
    <row r="889" spans="29:29" x14ac:dyDescent="0.2">
      <c r="AC889" s="188"/>
    </row>
    <row r="890" spans="29:29" x14ac:dyDescent="0.2">
      <c r="AC890" s="188"/>
    </row>
    <row r="891" spans="29:29" x14ac:dyDescent="0.2">
      <c r="AC891" s="188"/>
    </row>
    <row r="892" spans="29:29" x14ac:dyDescent="0.2">
      <c r="AC892" s="188"/>
    </row>
    <row r="893" spans="29:29" x14ac:dyDescent="0.2">
      <c r="AC893" s="188"/>
    </row>
    <row r="894" spans="29:29" x14ac:dyDescent="0.2">
      <c r="AC894" s="188"/>
    </row>
    <row r="895" spans="29:29" x14ac:dyDescent="0.2">
      <c r="AC895" s="188"/>
    </row>
    <row r="896" spans="29:29" x14ac:dyDescent="0.2">
      <c r="AC896" s="188"/>
    </row>
    <row r="897" spans="29:29" x14ac:dyDescent="0.2">
      <c r="AC897" s="188"/>
    </row>
    <row r="898" spans="29:29" x14ac:dyDescent="0.2">
      <c r="AC898" s="188"/>
    </row>
    <row r="899" spans="29:29" x14ac:dyDescent="0.2">
      <c r="AC899" s="188"/>
    </row>
    <row r="900" spans="29:29" x14ac:dyDescent="0.2">
      <c r="AC900" s="188"/>
    </row>
    <row r="901" spans="29:29" x14ac:dyDescent="0.2">
      <c r="AC901" s="188"/>
    </row>
    <row r="902" spans="29:29" x14ac:dyDescent="0.2">
      <c r="AC902" s="188"/>
    </row>
    <row r="903" spans="29:29" x14ac:dyDescent="0.2">
      <c r="AC903" s="188"/>
    </row>
    <row r="904" spans="29:29" x14ac:dyDescent="0.2">
      <c r="AC904" s="188"/>
    </row>
    <row r="905" spans="29:29" x14ac:dyDescent="0.2">
      <c r="AC905" s="188"/>
    </row>
    <row r="906" spans="29:29" x14ac:dyDescent="0.2">
      <c r="AC906" s="188"/>
    </row>
    <row r="907" spans="29:29" x14ac:dyDescent="0.2">
      <c r="AC907" s="188"/>
    </row>
    <row r="908" spans="29:29" x14ac:dyDescent="0.2">
      <c r="AC908" s="188"/>
    </row>
    <row r="909" spans="29:29" x14ac:dyDescent="0.2">
      <c r="AC909" s="188"/>
    </row>
    <row r="910" spans="29:29" x14ac:dyDescent="0.2">
      <c r="AC910" s="188"/>
    </row>
    <row r="911" spans="29:29" x14ac:dyDescent="0.2">
      <c r="AC911" s="188"/>
    </row>
    <row r="912" spans="29:29" x14ac:dyDescent="0.2">
      <c r="AC912" s="188"/>
    </row>
    <row r="913" spans="29:29" x14ac:dyDescent="0.2">
      <c r="AC913" s="188"/>
    </row>
    <row r="914" spans="29:29" x14ac:dyDescent="0.2">
      <c r="AC914" s="188"/>
    </row>
    <row r="915" spans="29:29" x14ac:dyDescent="0.2">
      <c r="AC915" s="188"/>
    </row>
    <row r="916" spans="29:29" x14ac:dyDescent="0.2">
      <c r="AC916" s="188"/>
    </row>
    <row r="917" spans="29:29" x14ac:dyDescent="0.2">
      <c r="AC917" s="188"/>
    </row>
    <row r="918" spans="29:29" x14ac:dyDescent="0.2">
      <c r="AC918" s="188"/>
    </row>
    <row r="919" spans="29:29" x14ac:dyDescent="0.2">
      <c r="AC919" s="188"/>
    </row>
    <row r="920" spans="29:29" x14ac:dyDescent="0.2">
      <c r="AC920" s="188"/>
    </row>
    <row r="921" spans="29:29" x14ac:dyDescent="0.2">
      <c r="AC921" s="188"/>
    </row>
    <row r="922" spans="29:29" x14ac:dyDescent="0.2">
      <c r="AC922" s="188"/>
    </row>
    <row r="923" spans="29:29" x14ac:dyDescent="0.2">
      <c r="AC923" s="188"/>
    </row>
    <row r="924" spans="29:29" x14ac:dyDescent="0.2">
      <c r="AC924" s="188"/>
    </row>
    <row r="925" spans="29:29" x14ac:dyDescent="0.2">
      <c r="AC925" s="188"/>
    </row>
    <row r="926" spans="29:29" x14ac:dyDescent="0.2">
      <c r="AC926" s="188"/>
    </row>
    <row r="927" spans="29:29" x14ac:dyDescent="0.2">
      <c r="AC927" s="188"/>
    </row>
    <row r="928" spans="29:29" x14ac:dyDescent="0.2">
      <c r="AC928" s="188"/>
    </row>
    <row r="929" spans="29:29" x14ac:dyDescent="0.2">
      <c r="AC929" s="188"/>
    </row>
    <row r="930" spans="29:29" x14ac:dyDescent="0.2">
      <c r="AC930" s="188"/>
    </row>
    <row r="931" spans="29:29" x14ac:dyDescent="0.2">
      <c r="AC931" s="188"/>
    </row>
    <row r="932" spans="29:29" x14ac:dyDescent="0.2">
      <c r="AC932" s="188"/>
    </row>
    <row r="933" spans="29:29" x14ac:dyDescent="0.2">
      <c r="AC933" s="188"/>
    </row>
    <row r="934" spans="29:29" x14ac:dyDescent="0.2">
      <c r="AC934" s="188"/>
    </row>
    <row r="935" spans="29:29" x14ac:dyDescent="0.2">
      <c r="AC935" s="188"/>
    </row>
    <row r="936" spans="29:29" x14ac:dyDescent="0.2">
      <c r="AC936" s="188"/>
    </row>
    <row r="937" spans="29:29" x14ac:dyDescent="0.2">
      <c r="AC937" s="188"/>
    </row>
    <row r="938" spans="29:29" x14ac:dyDescent="0.2">
      <c r="AC938" s="188"/>
    </row>
    <row r="939" spans="29:29" x14ac:dyDescent="0.2">
      <c r="AC939" s="188"/>
    </row>
    <row r="940" spans="29:29" x14ac:dyDescent="0.2">
      <c r="AC940" s="188"/>
    </row>
    <row r="941" spans="29:29" x14ac:dyDescent="0.2">
      <c r="AC941" s="188"/>
    </row>
    <row r="942" spans="29:29" x14ac:dyDescent="0.2">
      <c r="AC942" s="188"/>
    </row>
    <row r="943" spans="29:29" x14ac:dyDescent="0.2">
      <c r="AC943" s="188"/>
    </row>
    <row r="944" spans="29:29" x14ac:dyDescent="0.2">
      <c r="AC944" s="188"/>
    </row>
    <row r="945" spans="29:29" x14ac:dyDescent="0.2">
      <c r="AC945" s="188"/>
    </row>
    <row r="946" spans="29:29" x14ac:dyDescent="0.2">
      <c r="AC946" s="188"/>
    </row>
    <row r="947" spans="29:29" x14ac:dyDescent="0.2">
      <c r="AC947" s="188"/>
    </row>
    <row r="948" spans="29:29" x14ac:dyDescent="0.2">
      <c r="AC948" s="188"/>
    </row>
    <row r="949" spans="29:29" x14ac:dyDescent="0.2">
      <c r="AC949" s="188"/>
    </row>
    <row r="950" spans="29:29" x14ac:dyDescent="0.2">
      <c r="AC950" s="188"/>
    </row>
    <row r="951" spans="29:29" x14ac:dyDescent="0.2">
      <c r="AC951" s="188"/>
    </row>
    <row r="952" spans="29:29" x14ac:dyDescent="0.2">
      <c r="AC952" s="188"/>
    </row>
    <row r="953" spans="29:29" x14ac:dyDescent="0.2">
      <c r="AC953" s="188"/>
    </row>
    <row r="954" spans="29:29" x14ac:dyDescent="0.2">
      <c r="AC954" s="188"/>
    </row>
    <row r="955" spans="29:29" x14ac:dyDescent="0.2">
      <c r="AC955" s="188"/>
    </row>
    <row r="956" spans="29:29" x14ac:dyDescent="0.2">
      <c r="AC956" s="188"/>
    </row>
    <row r="957" spans="29:29" x14ac:dyDescent="0.2">
      <c r="AC957" s="188"/>
    </row>
    <row r="958" spans="29:29" x14ac:dyDescent="0.2">
      <c r="AC958" s="188"/>
    </row>
    <row r="959" spans="29:29" x14ac:dyDescent="0.2">
      <c r="AC959" s="188"/>
    </row>
    <row r="960" spans="29:29" x14ac:dyDescent="0.2">
      <c r="AC960" s="188"/>
    </row>
    <row r="961" spans="29:29" x14ac:dyDescent="0.2">
      <c r="AC961" s="188"/>
    </row>
    <row r="962" spans="29:29" x14ac:dyDescent="0.2">
      <c r="AC962" s="188"/>
    </row>
    <row r="963" spans="29:29" x14ac:dyDescent="0.2">
      <c r="AC963" s="188"/>
    </row>
    <row r="964" spans="29:29" x14ac:dyDescent="0.2">
      <c r="AC964" s="188"/>
    </row>
    <row r="965" spans="29:29" x14ac:dyDescent="0.2">
      <c r="AC965" s="188"/>
    </row>
    <row r="966" spans="29:29" x14ac:dyDescent="0.2">
      <c r="AC966" s="188"/>
    </row>
    <row r="967" spans="29:29" x14ac:dyDescent="0.2">
      <c r="AC967" s="188"/>
    </row>
    <row r="968" spans="29:29" x14ac:dyDescent="0.2">
      <c r="AC968" s="188"/>
    </row>
    <row r="969" spans="29:29" x14ac:dyDescent="0.2">
      <c r="AC969" s="188"/>
    </row>
    <row r="970" spans="29:29" x14ac:dyDescent="0.2">
      <c r="AC970" s="188"/>
    </row>
    <row r="971" spans="29:29" x14ac:dyDescent="0.2">
      <c r="AC971" s="188"/>
    </row>
    <row r="972" spans="29:29" x14ac:dyDescent="0.2">
      <c r="AC972" s="188"/>
    </row>
    <row r="973" spans="29:29" x14ac:dyDescent="0.2">
      <c r="AC973" s="188"/>
    </row>
    <row r="974" spans="29:29" x14ac:dyDescent="0.2">
      <c r="AC974" s="188"/>
    </row>
    <row r="975" spans="29:29" x14ac:dyDescent="0.2">
      <c r="AC975" s="188"/>
    </row>
    <row r="976" spans="29:29" x14ac:dyDescent="0.2">
      <c r="AC976" s="188"/>
    </row>
    <row r="977" spans="29:29" x14ac:dyDescent="0.2">
      <c r="AC977" s="188"/>
    </row>
    <row r="978" spans="29:29" x14ac:dyDescent="0.2">
      <c r="AC978" s="188"/>
    </row>
    <row r="979" spans="29:29" x14ac:dyDescent="0.2">
      <c r="AC979" s="188"/>
    </row>
    <row r="980" spans="29:29" x14ac:dyDescent="0.2">
      <c r="AC980" s="188"/>
    </row>
    <row r="981" spans="29:29" x14ac:dyDescent="0.2">
      <c r="AC981" s="188"/>
    </row>
    <row r="982" spans="29:29" x14ac:dyDescent="0.2">
      <c r="AC982" s="188"/>
    </row>
    <row r="983" spans="29:29" x14ac:dyDescent="0.2">
      <c r="AC983" s="188"/>
    </row>
    <row r="984" spans="29:29" x14ac:dyDescent="0.2">
      <c r="AC984" s="188"/>
    </row>
    <row r="985" spans="29:29" x14ac:dyDescent="0.2">
      <c r="AC985" s="188"/>
    </row>
    <row r="986" spans="29:29" x14ac:dyDescent="0.2">
      <c r="AC986" s="188"/>
    </row>
    <row r="987" spans="29:29" x14ac:dyDescent="0.2">
      <c r="AC987" s="188"/>
    </row>
    <row r="988" spans="29:29" x14ac:dyDescent="0.2">
      <c r="AC988" s="188"/>
    </row>
    <row r="989" spans="29:29" x14ac:dyDescent="0.2">
      <c r="AC989" s="188"/>
    </row>
    <row r="990" spans="29:29" x14ac:dyDescent="0.2">
      <c r="AC990" s="188"/>
    </row>
    <row r="991" spans="29:29" x14ac:dyDescent="0.2">
      <c r="AC991" s="188"/>
    </row>
    <row r="992" spans="29:29" x14ac:dyDescent="0.2">
      <c r="AC992" s="188"/>
    </row>
    <row r="993" spans="29:29" x14ac:dyDescent="0.2">
      <c r="AC993" s="188"/>
    </row>
    <row r="994" spans="29:29" x14ac:dyDescent="0.2">
      <c r="AC994" s="188"/>
    </row>
    <row r="995" spans="29:29" x14ac:dyDescent="0.2">
      <c r="AC995" s="188"/>
    </row>
    <row r="996" spans="29:29" x14ac:dyDescent="0.2">
      <c r="AC996" s="188"/>
    </row>
    <row r="997" spans="29:29" x14ac:dyDescent="0.2">
      <c r="AC997" s="188"/>
    </row>
    <row r="998" spans="29:29" x14ac:dyDescent="0.2">
      <c r="AC998" s="188"/>
    </row>
    <row r="999" spans="29:29" x14ac:dyDescent="0.2">
      <c r="AC999" s="188"/>
    </row>
    <row r="1000" spans="29:29" x14ac:dyDescent="0.2">
      <c r="AC1000" s="188"/>
    </row>
    <row r="1001" spans="29:29" x14ac:dyDescent="0.2">
      <c r="AC1001" s="188"/>
    </row>
    <row r="1002" spans="29:29" x14ac:dyDescent="0.2">
      <c r="AC1002" s="188"/>
    </row>
    <row r="1003" spans="29:29" x14ac:dyDescent="0.2">
      <c r="AC1003" s="188"/>
    </row>
    <row r="1004" spans="29:29" x14ac:dyDescent="0.2">
      <c r="AC1004" s="188"/>
    </row>
    <row r="1005" spans="29:29" x14ac:dyDescent="0.2">
      <c r="AC1005" s="188"/>
    </row>
    <row r="1006" spans="29:29" x14ac:dyDescent="0.2">
      <c r="AC1006" s="188"/>
    </row>
    <row r="1007" spans="29:29" x14ac:dyDescent="0.2">
      <c r="AC1007" s="188"/>
    </row>
    <row r="1008" spans="29:29" x14ac:dyDescent="0.2">
      <c r="AC1008" s="188"/>
    </row>
    <row r="1009" spans="29:29" x14ac:dyDescent="0.2">
      <c r="AC1009" s="188"/>
    </row>
    <row r="1010" spans="29:29" x14ac:dyDescent="0.2">
      <c r="AC1010" s="188"/>
    </row>
    <row r="1011" spans="29:29" x14ac:dyDescent="0.2">
      <c r="AC1011" s="188"/>
    </row>
    <row r="1012" spans="29:29" x14ac:dyDescent="0.2">
      <c r="AC1012" s="188"/>
    </row>
    <row r="1013" spans="29:29" x14ac:dyDescent="0.2">
      <c r="AC1013" s="188"/>
    </row>
    <row r="1014" spans="29:29" x14ac:dyDescent="0.2">
      <c r="AC1014" s="188"/>
    </row>
    <row r="1015" spans="29:29" x14ac:dyDescent="0.2">
      <c r="AC1015" s="188"/>
    </row>
    <row r="1016" spans="29:29" x14ac:dyDescent="0.2">
      <c r="AC1016" s="188"/>
    </row>
    <row r="1017" spans="29:29" x14ac:dyDescent="0.2">
      <c r="AC1017" s="188"/>
    </row>
    <row r="1018" spans="29:29" x14ac:dyDescent="0.2">
      <c r="AC1018" s="188"/>
    </row>
    <row r="1019" spans="29:29" x14ac:dyDescent="0.2">
      <c r="AC1019" s="188"/>
    </row>
    <row r="1020" spans="29:29" x14ac:dyDescent="0.2">
      <c r="AC1020" s="188"/>
    </row>
    <row r="1021" spans="29:29" x14ac:dyDescent="0.2">
      <c r="AC1021" s="188"/>
    </row>
    <row r="1022" spans="29:29" x14ac:dyDescent="0.2">
      <c r="AC1022" s="188"/>
    </row>
    <row r="1023" spans="29:29" x14ac:dyDescent="0.2">
      <c r="AC1023" s="188"/>
    </row>
    <row r="1024" spans="29:29" x14ac:dyDescent="0.2">
      <c r="AC1024" s="188"/>
    </row>
    <row r="1025" spans="29:29" x14ac:dyDescent="0.2">
      <c r="AC1025" s="188"/>
    </row>
    <row r="1026" spans="29:29" x14ac:dyDescent="0.2">
      <c r="AC1026" s="188"/>
    </row>
    <row r="1027" spans="29:29" x14ac:dyDescent="0.2">
      <c r="AC1027" s="188"/>
    </row>
    <row r="1028" spans="29:29" x14ac:dyDescent="0.2">
      <c r="AC1028" s="188"/>
    </row>
    <row r="1029" spans="29:29" x14ac:dyDescent="0.2">
      <c r="AC1029" s="188"/>
    </row>
    <row r="1030" spans="29:29" x14ac:dyDescent="0.2">
      <c r="AC1030" s="188"/>
    </row>
    <row r="1031" spans="29:29" x14ac:dyDescent="0.2">
      <c r="AC1031" s="188"/>
    </row>
    <row r="1032" spans="29:29" x14ac:dyDescent="0.2">
      <c r="AC1032" s="188"/>
    </row>
    <row r="1033" spans="29:29" x14ac:dyDescent="0.2">
      <c r="AC1033" s="188"/>
    </row>
    <row r="1034" spans="29:29" x14ac:dyDescent="0.2">
      <c r="AC1034" s="188"/>
    </row>
    <row r="1035" spans="29:29" x14ac:dyDescent="0.2">
      <c r="AC1035" s="188"/>
    </row>
    <row r="1036" spans="29:29" x14ac:dyDescent="0.2">
      <c r="AC1036" s="188"/>
    </row>
    <row r="1037" spans="29:29" x14ac:dyDescent="0.2">
      <c r="AC1037" s="188"/>
    </row>
    <row r="1038" spans="29:29" x14ac:dyDescent="0.2">
      <c r="AC1038" s="188"/>
    </row>
    <row r="1039" spans="29:29" x14ac:dyDescent="0.2">
      <c r="AC1039" s="188"/>
    </row>
    <row r="1040" spans="29:29" x14ac:dyDescent="0.2">
      <c r="AC1040" s="188"/>
    </row>
    <row r="1041" spans="29:29" x14ac:dyDescent="0.2">
      <c r="AC1041" s="188"/>
    </row>
    <row r="1042" spans="29:29" x14ac:dyDescent="0.2">
      <c r="AC1042" s="188"/>
    </row>
    <row r="1043" spans="29:29" x14ac:dyDescent="0.2">
      <c r="AC1043" s="188"/>
    </row>
    <row r="1044" spans="29:29" x14ac:dyDescent="0.2">
      <c r="AC1044" s="188"/>
    </row>
    <row r="1045" spans="29:29" x14ac:dyDescent="0.2">
      <c r="AC1045" s="188"/>
    </row>
    <row r="1046" spans="29:29" x14ac:dyDescent="0.2">
      <c r="AC1046" s="188"/>
    </row>
    <row r="1047" spans="29:29" x14ac:dyDescent="0.2">
      <c r="AC1047" s="188"/>
    </row>
    <row r="1048" spans="29:29" x14ac:dyDescent="0.2">
      <c r="AC1048" s="188"/>
    </row>
    <row r="1049" spans="29:29" x14ac:dyDescent="0.2">
      <c r="AC1049" s="188"/>
    </row>
    <row r="1050" spans="29:29" x14ac:dyDescent="0.2">
      <c r="AC1050" s="188"/>
    </row>
    <row r="1051" spans="29:29" x14ac:dyDescent="0.2">
      <c r="AC1051" s="188"/>
    </row>
    <row r="1052" spans="29:29" x14ac:dyDescent="0.2">
      <c r="AC1052" s="188"/>
    </row>
    <row r="1053" spans="29:29" x14ac:dyDescent="0.2">
      <c r="AC1053" s="188"/>
    </row>
    <row r="1054" spans="29:29" x14ac:dyDescent="0.2">
      <c r="AC1054" s="188"/>
    </row>
    <row r="1055" spans="29:29" x14ac:dyDescent="0.2">
      <c r="AC1055" s="188"/>
    </row>
    <row r="1056" spans="29:29" x14ac:dyDescent="0.2">
      <c r="AC1056" s="188"/>
    </row>
    <row r="1057" spans="29:29" x14ac:dyDescent="0.2">
      <c r="AC1057" s="188"/>
    </row>
    <row r="1058" spans="29:29" x14ac:dyDescent="0.2">
      <c r="AC1058" s="188"/>
    </row>
    <row r="1059" spans="29:29" x14ac:dyDescent="0.2">
      <c r="AC1059" s="188"/>
    </row>
    <row r="1060" spans="29:29" x14ac:dyDescent="0.2">
      <c r="AC1060" s="188"/>
    </row>
    <row r="1061" spans="29:29" x14ac:dyDescent="0.2">
      <c r="AC1061" s="188"/>
    </row>
    <row r="1062" spans="29:29" x14ac:dyDescent="0.2">
      <c r="AC1062" s="188"/>
    </row>
    <row r="1063" spans="29:29" x14ac:dyDescent="0.2">
      <c r="AC1063" s="188"/>
    </row>
    <row r="1064" spans="29:29" x14ac:dyDescent="0.2">
      <c r="AC1064" s="188"/>
    </row>
    <row r="1065" spans="29:29" x14ac:dyDescent="0.2">
      <c r="AC1065" s="188"/>
    </row>
    <row r="1066" spans="29:29" x14ac:dyDescent="0.2">
      <c r="AC1066" s="188"/>
    </row>
    <row r="1067" spans="29:29" x14ac:dyDescent="0.2">
      <c r="AC1067" s="188"/>
    </row>
    <row r="1068" spans="29:29" x14ac:dyDescent="0.2">
      <c r="AC1068" s="188"/>
    </row>
    <row r="1069" spans="29:29" x14ac:dyDescent="0.2">
      <c r="AC1069" s="188"/>
    </row>
    <row r="1070" spans="29:29" x14ac:dyDescent="0.2">
      <c r="AC1070" s="188"/>
    </row>
    <row r="1071" spans="29:29" x14ac:dyDescent="0.2">
      <c r="AC1071" s="188"/>
    </row>
    <row r="1072" spans="29:29" x14ac:dyDescent="0.2">
      <c r="AC1072" s="188"/>
    </row>
    <row r="1073" spans="29:29" x14ac:dyDescent="0.2">
      <c r="AC1073" s="188"/>
    </row>
    <row r="1074" spans="29:29" x14ac:dyDescent="0.2">
      <c r="AC1074" s="188"/>
    </row>
    <row r="1075" spans="29:29" x14ac:dyDescent="0.2">
      <c r="AC1075" s="188"/>
    </row>
    <row r="1076" spans="29:29" x14ac:dyDescent="0.2">
      <c r="AC1076" s="188"/>
    </row>
    <row r="1077" spans="29:29" x14ac:dyDescent="0.2">
      <c r="AC1077" s="188"/>
    </row>
    <row r="1078" spans="29:29" x14ac:dyDescent="0.2">
      <c r="AC1078" s="188"/>
    </row>
    <row r="1079" spans="29:29" x14ac:dyDescent="0.2">
      <c r="AC1079" s="188"/>
    </row>
    <row r="1080" spans="29:29" x14ac:dyDescent="0.2">
      <c r="AC1080" s="188"/>
    </row>
    <row r="1081" spans="29:29" x14ac:dyDescent="0.2">
      <c r="AC1081" s="188"/>
    </row>
    <row r="1082" spans="29:29" x14ac:dyDescent="0.2">
      <c r="AC1082" s="188"/>
    </row>
    <row r="1083" spans="29:29" x14ac:dyDescent="0.2">
      <c r="AC1083" s="188"/>
    </row>
    <row r="1084" spans="29:29" x14ac:dyDescent="0.2">
      <c r="AC1084" s="188"/>
    </row>
    <row r="1085" spans="29:29" x14ac:dyDescent="0.2">
      <c r="AC1085" s="188"/>
    </row>
    <row r="1086" spans="29:29" x14ac:dyDescent="0.2">
      <c r="AC1086" s="188"/>
    </row>
    <row r="1087" spans="29:29" x14ac:dyDescent="0.2">
      <c r="AC1087" s="188"/>
    </row>
    <row r="1088" spans="29:29" x14ac:dyDescent="0.2">
      <c r="AC1088" s="188"/>
    </row>
    <row r="1089" spans="29:29" x14ac:dyDescent="0.2">
      <c r="AC1089" s="188"/>
    </row>
    <row r="1090" spans="29:29" x14ac:dyDescent="0.2">
      <c r="AC1090" s="188"/>
    </row>
    <row r="1091" spans="29:29" x14ac:dyDescent="0.2">
      <c r="AC1091" s="188"/>
    </row>
    <row r="1092" spans="29:29" x14ac:dyDescent="0.2">
      <c r="AC1092" s="188"/>
    </row>
    <row r="1093" spans="29:29" x14ac:dyDescent="0.2">
      <c r="AC1093" s="188"/>
    </row>
    <row r="1094" spans="29:29" x14ac:dyDescent="0.2">
      <c r="AC1094" s="188"/>
    </row>
    <row r="1095" spans="29:29" x14ac:dyDescent="0.2">
      <c r="AC1095" s="188"/>
    </row>
    <row r="1096" spans="29:29" x14ac:dyDescent="0.2">
      <c r="AC1096" s="188"/>
    </row>
    <row r="1097" spans="29:29" x14ac:dyDescent="0.2">
      <c r="AC1097" s="188"/>
    </row>
    <row r="1098" spans="29:29" x14ac:dyDescent="0.2">
      <c r="AC1098" s="188"/>
    </row>
    <row r="1099" spans="29:29" x14ac:dyDescent="0.2">
      <c r="AC1099" s="188"/>
    </row>
    <row r="1100" spans="29:29" x14ac:dyDescent="0.2">
      <c r="AC1100" s="188"/>
    </row>
    <row r="1101" spans="29:29" x14ac:dyDescent="0.2">
      <c r="AC1101" s="188"/>
    </row>
    <row r="1102" spans="29:29" x14ac:dyDescent="0.2">
      <c r="AC1102" s="188"/>
    </row>
    <row r="1103" spans="29:29" x14ac:dyDescent="0.2">
      <c r="AC1103" s="188"/>
    </row>
    <row r="1104" spans="29:29" x14ac:dyDescent="0.2">
      <c r="AC1104" s="188"/>
    </row>
    <row r="1105" spans="29:29" x14ac:dyDescent="0.2">
      <c r="AC1105" s="188"/>
    </row>
    <row r="1106" spans="29:29" x14ac:dyDescent="0.2">
      <c r="AC1106" s="188"/>
    </row>
    <row r="1107" spans="29:29" x14ac:dyDescent="0.2">
      <c r="AC1107" s="188"/>
    </row>
    <row r="1108" spans="29:29" x14ac:dyDescent="0.2">
      <c r="AC1108" s="188"/>
    </row>
    <row r="1109" spans="29:29" x14ac:dyDescent="0.2">
      <c r="AC1109" s="188"/>
    </row>
    <row r="1110" spans="29:29" x14ac:dyDescent="0.2">
      <c r="AC1110" s="188"/>
    </row>
    <row r="1111" spans="29:29" x14ac:dyDescent="0.2">
      <c r="AC1111" s="188"/>
    </row>
    <row r="1112" spans="29:29" x14ac:dyDescent="0.2">
      <c r="AC1112" s="188"/>
    </row>
    <row r="1113" spans="29:29" x14ac:dyDescent="0.2">
      <c r="AC1113" s="188"/>
    </row>
    <row r="1114" spans="29:29" x14ac:dyDescent="0.2">
      <c r="AC1114" s="188"/>
    </row>
    <row r="1115" spans="29:29" x14ac:dyDescent="0.2">
      <c r="AC1115" s="188"/>
    </row>
    <row r="1116" spans="29:29" x14ac:dyDescent="0.2">
      <c r="AC1116" s="188"/>
    </row>
    <row r="1117" spans="29:29" x14ac:dyDescent="0.2">
      <c r="AC1117" s="188"/>
    </row>
    <row r="1118" spans="29:29" x14ac:dyDescent="0.2">
      <c r="AC1118" s="188"/>
    </row>
    <row r="1119" spans="29:29" x14ac:dyDescent="0.2">
      <c r="AC1119" s="188"/>
    </row>
    <row r="1120" spans="29:29" x14ac:dyDescent="0.2">
      <c r="AC1120" s="188"/>
    </row>
    <row r="1121" spans="29:29" x14ac:dyDescent="0.2">
      <c r="AC1121" s="188"/>
    </row>
    <row r="1122" spans="29:29" x14ac:dyDescent="0.2">
      <c r="AC1122" s="188"/>
    </row>
    <row r="1123" spans="29:29" x14ac:dyDescent="0.2">
      <c r="AC1123" s="188"/>
    </row>
    <row r="1124" spans="29:29" x14ac:dyDescent="0.2">
      <c r="AC1124" s="188"/>
    </row>
    <row r="1125" spans="29:29" x14ac:dyDescent="0.2">
      <c r="AC1125" s="188"/>
    </row>
    <row r="1126" spans="29:29" x14ac:dyDescent="0.2">
      <c r="AC1126" s="188"/>
    </row>
    <row r="1127" spans="29:29" x14ac:dyDescent="0.2">
      <c r="AC1127" s="188"/>
    </row>
    <row r="1128" spans="29:29" x14ac:dyDescent="0.2">
      <c r="AC1128" s="188"/>
    </row>
    <row r="1129" spans="29:29" x14ac:dyDescent="0.2">
      <c r="AC1129" s="188"/>
    </row>
    <row r="1130" spans="29:29" x14ac:dyDescent="0.2">
      <c r="AC1130" s="188"/>
    </row>
    <row r="1131" spans="29:29" x14ac:dyDescent="0.2">
      <c r="AC1131" s="188"/>
    </row>
    <row r="1132" spans="29:29" x14ac:dyDescent="0.2">
      <c r="AC1132" s="188"/>
    </row>
    <row r="1133" spans="29:29" x14ac:dyDescent="0.2">
      <c r="AC1133" s="188"/>
    </row>
    <row r="1134" spans="29:29" x14ac:dyDescent="0.2">
      <c r="AC1134" s="188"/>
    </row>
    <row r="1135" spans="29:29" x14ac:dyDescent="0.2">
      <c r="AC1135" s="188"/>
    </row>
    <row r="1136" spans="29:29" x14ac:dyDescent="0.2">
      <c r="AC1136" s="188"/>
    </row>
    <row r="1137" spans="29:29" x14ac:dyDescent="0.2">
      <c r="AC1137" s="188"/>
    </row>
  </sheetData>
  <sheetProtection algorithmName="SHA-512" hashValue="hS9M7zfVSlCsthhbUbF1XnWeRs3sx7zmIsz5VYOvuLH9hPUgks19iv3lfowUo/qKvB/0dXSjOYZiLVpK1nRVZA==" saltValue="GXx+1IpFdFLWmnPtXdBCkA==" spinCount="100000" sheet="1" objects="1" scenarios="1" sort="0" autoFilter="0" pivotTables="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pageSetUpPr fitToPage="1"/>
  </sheetPr>
  <dimension ref="A1:S795"/>
  <sheetViews>
    <sheetView workbookViewId="0"/>
  </sheetViews>
  <sheetFormatPr defaultRowHeight="12.75" x14ac:dyDescent="0.2"/>
  <cols>
    <col min="1" max="1" width="8.5703125" style="83" bestFit="1" customWidth="1"/>
    <col min="2" max="3" width="27.7109375" bestFit="1" customWidth="1"/>
    <col min="4" max="4" width="24.5703125" customWidth="1"/>
    <col min="5" max="7" width="31.140625" bestFit="1" customWidth="1"/>
    <col min="8" max="8" width="26.7109375" bestFit="1" customWidth="1"/>
    <col min="9" max="9" width="29.85546875" bestFit="1" customWidth="1"/>
    <col min="11" max="12" width="10.140625" customWidth="1"/>
    <col min="15" max="15" width="9.140625" style="83" hidden="1" customWidth="1"/>
    <col min="16" max="17" width="9.140625" hidden="1" customWidth="1"/>
    <col min="18" max="18" width="0" hidden="1" customWidth="1"/>
    <col min="19" max="19" width="9.140625" style="83" hidden="1" customWidth="1"/>
  </cols>
  <sheetData>
    <row r="1" spans="1:19" ht="29.25" customHeight="1" thickBot="1" x14ac:dyDescent="0.4">
      <c r="B1" s="847" t="s">
        <v>260</v>
      </c>
      <c r="C1" s="847"/>
      <c r="D1" s="847"/>
      <c r="E1" s="847"/>
      <c r="F1" s="847"/>
      <c r="G1" s="847"/>
      <c r="H1" s="847"/>
      <c r="I1" s="847"/>
    </row>
    <row r="2" spans="1:19" ht="39.75" customHeight="1" thickTop="1" thickBot="1" x14ac:dyDescent="0.25">
      <c r="A2" s="845" t="s">
        <v>15</v>
      </c>
      <c r="B2" s="84">
        <v>1</v>
      </c>
      <c r="C2" s="84">
        <v>2</v>
      </c>
      <c r="D2" s="84">
        <v>3</v>
      </c>
      <c r="E2" s="84">
        <v>4</v>
      </c>
      <c r="F2" s="84">
        <v>5</v>
      </c>
      <c r="G2" s="84">
        <v>6</v>
      </c>
      <c r="H2" s="84">
        <v>7</v>
      </c>
      <c r="I2" s="84">
        <v>8</v>
      </c>
    </row>
    <row r="3" spans="1:19" ht="15.75" thickBot="1" x14ac:dyDescent="0.25">
      <c r="A3" s="846"/>
      <c r="B3" s="86" t="s">
        <v>1568</v>
      </c>
      <c r="C3" s="87" t="s">
        <v>19</v>
      </c>
      <c r="D3" s="87" t="s">
        <v>18</v>
      </c>
      <c r="E3" s="87" t="s">
        <v>1780</v>
      </c>
      <c r="F3" s="87" t="s">
        <v>131</v>
      </c>
      <c r="G3" s="87" t="s">
        <v>132</v>
      </c>
      <c r="H3" s="88" t="s">
        <v>32</v>
      </c>
      <c r="I3" s="88" t="s">
        <v>1508</v>
      </c>
      <c r="O3" s="83" t="s">
        <v>1622</v>
      </c>
      <c r="Q3" s="83" t="s">
        <v>1623</v>
      </c>
      <c r="S3" s="83" t="s">
        <v>1624</v>
      </c>
    </row>
    <row r="4" spans="1:19" ht="13.5" thickTop="1" x14ac:dyDescent="0.2">
      <c r="A4" s="219" t="s">
        <v>1054</v>
      </c>
      <c r="B4" s="211" t="s">
        <v>133</v>
      </c>
      <c r="C4" s="211" t="s">
        <v>134</v>
      </c>
      <c r="D4" s="85" t="s">
        <v>134</v>
      </c>
      <c r="E4" s="85" t="s">
        <v>134</v>
      </c>
      <c r="F4" s="85" t="s">
        <v>134</v>
      </c>
      <c r="G4" s="85" t="s">
        <v>134</v>
      </c>
      <c r="H4" s="85" t="s">
        <v>135</v>
      </c>
      <c r="I4" s="85" t="s">
        <v>134</v>
      </c>
      <c r="O4" s="657" t="s">
        <v>231</v>
      </c>
      <c r="Q4" s="657" t="s">
        <v>385</v>
      </c>
      <c r="S4" s="657" t="s">
        <v>231</v>
      </c>
    </row>
    <row r="5" spans="1:19" x14ac:dyDescent="0.2">
      <c r="A5" s="219" t="s">
        <v>1055</v>
      </c>
      <c r="B5" s="212" t="s">
        <v>136</v>
      </c>
      <c r="C5" s="66" t="s">
        <v>206</v>
      </c>
      <c r="D5" s="66" t="s">
        <v>206</v>
      </c>
      <c r="E5" s="66" t="s">
        <v>206</v>
      </c>
      <c r="F5" s="66" t="s">
        <v>206</v>
      </c>
      <c r="G5" s="66" t="s">
        <v>206</v>
      </c>
      <c r="H5" s="66" t="s">
        <v>139</v>
      </c>
      <c r="I5" s="66" t="s">
        <v>1509</v>
      </c>
      <c r="O5" s="657" t="s">
        <v>431</v>
      </c>
      <c r="Q5" s="657" t="s">
        <v>350</v>
      </c>
      <c r="S5" s="657" t="s">
        <v>431</v>
      </c>
    </row>
    <row r="6" spans="1:19" x14ac:dyDescent="0.2">
      <c r="A6" s="219" t="s">
        <v>1056</v>
      </c>
      <c r="B6" s="212" t="s">
        <v>140</v>
      </c>
      <c r="C6" s="66" t="s">
        <v>271</v>
      </c>
      <c r="D6" s="66" t="s">
        <v>271</v>
      </c>
      <c r="E6" s="66" t="s">
        <v>271</v>
      </c>
      <c r="F6" s="66" t="s">
        <v>271</v>
      </c>
      <c r="G6" s="66" t="s">
        <v>271</v>
      </c>
      <c r="H6" s="66" t="s">
        <v>144</v>
      </c>
      <c r="I6" s="66" t="s">
        <v>27</v>
      </c>
      <c r="O6" s="657" t="s">
        <v>432</v>
      </c>
      <c r="Q6" s="657" t="s">
        <v>351</v>
      </c>
      <c r="S6" s="657" t="s">
        <v>432</v>
      </c>
    </row>
    <row r="7" spans="1:19" x14ac:dyDescent="0.2">
      <c r="A7" s="219" t="s">
        <v>1057</v>
      </c>
      <c r="B7" s="212" t="s">
        <v>145</v>
      </c>
      <c r="C7" s="66" t="s">
        <v>217</v>
      </c>
      <c r="D7" s="66" t="s">
        <v>218</v>
      </c>
      <c r="E7" s="66" t="s">
        <v>217</v>
      </c>
      <c r="F7" s="66" t="s">
        <v>217</v>
      </c>
      <c r="G7" s="66" t="s">
        <v>218</v>
      </c>
      <c r="H7" s="66" t="s">
        <v>148</v>
      </c>
      <c r="I7" s="66" t="s">
        <v>1510</v>
      </c>
      <c r="O7" s="657" t="s">
        <v>433</v>
      </c>
      <c r="Q7" s="657" t="s">
        <v>386</v>
      </c>
      <c r="S7" s="657" t="s">
        <v>433</v>
      </c>
    </row>
    <row r="8" spans="1:19" x14ac:dyDescent="0.2">
      <c r="A8" s="219" t="s">
        <v>1058</v>
      </c>
      <c r="B8" s="66" t="s">
        <v>204</v>
      </c>
      <c r="C8" s="66" t="s">
        <v>24</v>
      </c>
      <c r="D8" s="66" t="s">
        <v>24</v>
      </c>
      <c r="E8" s="66" t="s">
        <v>24</v>
      </c>
      <c r="F8" s="66" t="s">
        <v>24</v>
      </c>
      <c r="G8" s="66" t="s">
        <v>24</v>
      </c>
      <c r="H8" s="66" t="s">
        <v>153</v>
      </c>
      <c r="I8" s="66" t="s">
        <v>1640</v>
      </c>
      <c r="O8" s="657" t="s">
        <v>434</v>
      </c>
      <c r="Q8" s="657" t="s">
        <v>387</v>
      </c>
      <c r="S8" s="657" t="s">
        <v>434</v>
      </c>
    </row>
    <row r="9" spans="1:19" x14ac:dyDescent="0.2">
      <c r="A9" s="219" t="s">
        <v>1059</v>
      </c>
      <c r="B9" s="212" t="s">
        <v>149</v>
      </c>
      <c r="C9" s="66" t="s">
        <v>221</v>
      </c>
      <c r="D9" s="66" t="s">
        <v>221</v>
      </c>
      <c r="E9" s="66" t="s">
        <v>221</v>
      </c>
      <c r="F9" s="66" t="s">
        <v>221</v>
      </c>
      <c r="G9" s="66" t="s">
        <v>221</v>
      </c>
      <c r="H9" s="66" t="s">
        <v>157</v>
      </c>
      <c r="I9" s="66" t="s">
        <v>1641</v>
      </c>
      <c r="O9" s="657" t="s">
        <v>435</v>
      </c>
      <c r="Q9" s="657" t="s">
        <v>388</v>
      </c>
      <c r="S9" s="657" t="s">
        <v>435</v>
      </c>
    </row>
    <row r="10" spans="1:19" x14ac:dyDescent="0.2">
      <c r="A10" s="219" t="s">
        <v>1060</v>
      </c>
      <c r="B10" s="66" t="s">
        <v>64</v>
      </c>
      <c r="C10" s="66" t="s">
        <v>64</v>
      </c>
      <c r="D10" s="66" t="s">
        <v>64</v>
      </c>
      <c r="E10" s="66" t="s">
        <v>64</v>
      </c>
      <c r="F10" s="66" t="s">
        <v>64</v>
      </c>
      <c r="G10" s="66" t="s">
        <v>64</v>
      </c>
      <c r="H10" s="66" t="s">
        <v>122</v>
      </c>
      <c r="I10" s="66" t="s">
        <v>1642</v>
      </c>
      <c r="J10" s="119"/>
      <c r="O10" s="657" t="s">
        <v>9</v>
      </c>
      <c r="Q10" s="657" t="s">
        <v>384</v>
      </c>
      <c r="S10" s="657" t="s">
        <v>9</v>
      </c>
    </row>
    <row r="11" spans="1:19" x14ac:dyDescent="0.2">
      <c r="A11" s="219" t="s">
        <v>1061</v>
      </c>
      <c r="B11" s="66" t="s">
        <v>158</v>
      </c>
      <c r="C11" s="66" t="s">
        <v>1784</v>
      </c>
      <c r="D11" s="66" t="s">
        <v>1784</v>
      </c>
      <c r="E11" s="66" t="s">
        <v>1785</v>
      </c>
      <c r="F11" s="66" t="s">
        <v>1785</v>
      </c>
      <c r="G11" s="66" t="s">
        <v>1785</v>
      </c>
      <c r="H11" s="66" t="s">
        <v>30</v>
      </c>
      <c r="I11" s="66" t="s">
        <v>1511</v>
      </c>
      <c r="O11" s="657" t="s">
        <v>10</v>
      </c>
      <c r="Q11" s="657" t="s">
        <v>389</v>
      </c>
      <c r="S11" s="657" t="s">
        <v>10</v>
      </c>
    </row>
    <row r="12" spans="1:19" x14ac:dyDescent="0.2">
      <c r="A12" s="219" t="s">
        <v>1062</v>
      </c>
      <c r="B12" s="66" t="s">
        <v>161</v>
      </c>
      <c r="C12" s="66" t="s">
        <v>216</v>
      </c>
      <c r="D12" s="66" t="s">
        <v>216</v>
      </c>
      <c r="E12" s="66" t="s">
        <v>216</v>
      </c>
      <c r="F12" s="66" t="s">
        <v>216</v>
      </c>
      <c r="G12" s="66" t="s">
        <v>216</v>
      </c>
      <c r="H12" s="66" t="s">
        <v>167</v>
      </c>
      <c r="I12" s="66" t="s">
        <v>1517</v>
      </c>
      <c r="O12" s="657" t="s">
        <v>436</v>
      </c>
      <c r="Q12" s="657" t="s">
        <v>390</v>
      </c>
      <c r="S12" s="657" t="s">
        <v>436</v>
      </c>
    </row>
    <row r="13" spans="1:19" x14ac:dyDescent="0.2">
      <c r="A13" s="89">
        <v>10</v>
      </c>
      <c r="B13" s="66" t="s">
        <v>195</v>
      </c>
      <c r="C13" s="66" t="s">
        <v>21</v>
      </c>
      <c r="D13" s="66" t="s">
        <v>21</v>
      </c>
      <c r="E13" s="66" t="s">
        <v>21</v>
      </c>
      <c r="F13" s="66" t="s">
        <v>21</v>
      </c>
      <c r="G13" s="66" t="s">
        <v>21</v>
      </c>
      <c r="H13" s="66" t="s">
        <v>171</v>
      </c>
      <c r="I13" s="66" t="s">
        <v>1512</v>
      </c>
      <c r="O13" s="657" t="s">
        <v>437</v>
      </c>
      <c r="Q13" s="657" t="s">
        <v>391</v>
      </c>
      <c r="S13" s="657" t="s">
        <v>437</v>
      </c>
    </row>
    <row r="14" spans="1:19" x14ac:dyDescent="0.2">
      <c r="A14" s="89">
        <v>11</v>
      </c>
      <c r="B14" s="66" t="s">
        <v>164</v>
      </c>
      <c r="C14" s="66" t="s">
        <v>215</v>
      </c>
      <c r="D14" s="66" t="s">
        <v>215</v>
      </c>
      <c r="E14" s="66" t="s">
        <v>215</v>
      </c>
      <c r="F14" s="66" t="s">
        <v>215</v>
      </c>
      <c r="G14" s="66" t="s">
        <v>215</v>
      </c>
      <c r="H14" s="66" t="s">
        <v>29</v>
      </c>
      <c r="I14" s="66" t="s">
        <v>1513</v>
      </c>
      <c r="O14" s="657" t="s">
        <v>438</v>
      </c>
      <c r="Q14" s="657" t="s">
        <v>392</v>
      </c>
      <c r="S14" s="657" t="s">
        <v>438</v>
      </c>
    </row>
    <row r="15" spans="1:19" x14ac:dyDescent="0.2">
      <c r="A15" s="89">
        <v>12</v>
      </c>
      <c r="B15" s="66" t="s">
        <v>168</v>
      </c>
      <c r="C15" s="66" t="s">
        <v>1313</v>
      </c>
      <c r="D15" s="66" t="s">
        <v>137</v>
      </c>
      <c r="E15" s="66" t="s">
        <v>138</v>
      </c>
      <c r="F15" s="66" t="s">
        <v>138</v>
      </c>
      <c r="G15" s="66" t="s">
        <v>138</v>
      </c>
      <c r="H15" s="66" t="s">
        <v>28</v>
      </c>
      <c r="I15" s="66" t="s">
        <v>1518</v>
      </c>
      <c r="O15" s="657" t="s">
        <v>439</v>
      </c>
      <c r="Q15" s="657" t="s">
        <v>352</v>
      </c>
      <c r="S15" s="657" t="s">
        <v>439</v>
      </c>
    </row>
    <row r="16" spans="1:19" x14ac:dyDescent="0.2">
      <c r="A16" s="89">
        <v>13</v>
      </c>
      <c r="B16" s="66" t="s">
        <v>172</v>
      </c>
      <c r="C16" s="66" t="s">
        <v>1314</v>
      </c>
      <c r="D16" s="66" t="s">
        <v>141</v>
      </c>
      <c r="E16" s="66" t="s">
        <v>142</v>
      </c>
      <c r="F16" s="66" t="s">
        <v>142</v>
      </c>
      <c r="G16" s="66" t="s">
        <v>143</v>
      </c>
      <c r="H16" s="66" t="s">
        <v>183</v>
      </c>
      <c r="I16" s="66" t="s">
        <v>1514</v>
      </c>
      <c r="O16" s="657" t="s">
        <v>440</v>
      </c>
      <c r="Q16" s="657" t="s">
        <v>353</v>
      </c>
      <c r="S16" s="657" t="s">
        <v>440</v>
      </c>
    </row>
    <row r="17" spans="1:19" x14ac:dyDescent="0.2">
      <c r="A17" s="89">
        <v>14</v>
      </c>
      <c r="B17" s="66" t="s">
        <v>176</v>
      </c>
      <c r="C17" s="66" t="s">
        <v>1391</v>
      </c>
      <c r="D17" s="66" t="s">
        <v>146</v>
      </c>
      <c r="E17" s="66" t="s">
        <v>147</v>
      </c>
      <c r="F17" s="66" t="s">
        <v>147</v>
      </c>
      <c r="G17" s="66" t="s">
        <v>147</v>
      </c>
      <c r="H17" s="66" t="s">
        <v>187</v>
      </c>
      <c r="I17" s="66" t="s">
        <v>1519</v>
      </c>
      <c r="O17" s="657" t="s">
        <v>441</v>
      </c>
      <c r="Q17" s="657" t="s">
        <v>354</v>
      </c>
      <c r="S17" s="657" t="s">
        <v>441</v>
      </c>
    </row>
    <row r="18" spans="1:19" x14ac:dyDescent="0.2">
      <c r="A18" s="89">
        <v>15</v>
      </c>
      <c r="B18" s="66" t="s">
        <v>179</v>
      </c>
      <c r="C18" s="66" t="s">
        <v>1392</v>
      </c>
      <c r="D18" s="66" t="s">
        <v>266</v>
      </c>
      <c r="E18" s="66" t="s">
        <v>150</v>
      </c>
      <c r="F18" s="66" t="s">
        <v>150</v>
      </c>
      <c r="G18" s="66" t="s">
        <v>150</v>
      </c>
      <c r="H18" s="66" t="s">
        <v>190</v>
      </c>
      <c r="I18" s="66" t="s">
        <v>1520</v>
      </c>
      <c r="O18" s="657" t="s">
        <v>442</v>
      </c>
      <c r="Q18" s="657" t="s">
        <v>360</v>
      </c>
      <c r="S18" s="657" t="s">
        <v>442</v>
      </c>
    </row>
    <row r="19" spans="1:19" x14ac:dyDescent="0.2">
      <c r="A19" s="89">
        <v>16</v>
      </c>
      <c r="B19" s="66" t="s">
        <v>184</v>
      </c>
      <c r="C19" s="66" t="s">
        <v>1393</v>
      </c>
      <c r="D19" s="66" t="s">
        <v>264</v>
      </c>
      <c r="E19" s="66" t="s">
        <v>160</v>
      </c>
      <c r="F19" s="66" t="s">
        <v>160</v>
      </c>
      <c r="G19" s="66" t="s">
        <v>160</v>
      </c>
      <c r="H19" s="66" t="s">
        <v>31</v>
      </c>
      <c r="I19" s="66" t="s">
        <v>1515</v>
      </c>
      <c r="O19" s="657" t="s">
        <v>443</v>
      </c>
      <c r="Q19" s="657" t="s">
        <v>369</v>
      </c>
      <c r="S19" s="657" t="s">
        <v>443</v>
      </c>
    </row>
    <row r="20" spans="1:19" x14ac:dyDescent="0.2">
      <c r="A20" s="89">
        <v>17</v>
      </c>
      <c r="B20" s="66" t="s">
        <v>188</v>
      </c>
      <c r="C20" s="66" t="s">
        <v>202</v>
      </c>
      <c r="D20" s="66" t="s">
        <v>265</v>
      </c>
      <c r="E20" s="66" t="s">
        <v>163</v>
      </c>
      <c r="F20" s="66" t="s">
        <v>163</v>
      </c>
      <c r="G20" s="66" t="s">
        <v>163</v>
      </c>
      <c r="H20" s="144" t="s">
        <v>1613</v>
      </c>
      <c r="I20" s="66" t="s">
        <v>1521</v>
      </c>
      <c r="O20" s="657" t="s">
        <v>236</v>
      </c>
      <c r="Q20" s="657" t="s">
        <v>370</v>
      </c>
      <c r="S20" s="657" t="s">
        <v>236</v>
      </c>
    </row>
    <row r="21" spans="1:19" x14ac:dyDescent="0.2">
      <c r="A21" s="89">
        <v>18</v>
      </c>
      <c r="B21" s="66" t="s">
        <v>191</v>
      </c>
      <c r="C21" s="66" t="s">
        <v>269</v>
      </c>
      <c r="D21" s="66" t="s">
        <v>267</v>
      </c>
      <c r="E21" s="66" t="s">
        <v>166</v>
      </c>
      <c r="F21" s="66" t="s">
        <v>166</v>
      </c>
      <c r="G21" s="66" t="s">
        <v>166</v>
      </c>
      <c r="H21" s="66" t="s">
        <v>1655</v>
      </c>
      <c r="I21" s="66" t="s">
        <v>218</v>
      </c>
      <c r="O21" s="657" t="s">
        <v>444</v>
      </c>
      <c r="Q21" s="657" t="s">
        <v>374</v>
      </c>
      <c r="S21" s="657" t="s">
        <v>444</v>
      </c>
    </row>
    <row r="22" spans="1:19" x14ac:dyDescent="0.2">
      <c r="A22" s="89">
        <v>19</v>
      </c>
      <c r="B22" s="66" t="s">
        <v>34</v>
      </c>
      <c r="C22" s="66" t="s">
        <v>270</v>
      </c>
      <c r="D22" s="66" t="s">
        <v>159</v>
      </c>
      <c r="E22" s="66" t="s">
        <v>170</v>
      </c>
      <c r="F22" s="66" t="s">
        <v>170</v>
      </c>
      <c r="G22" s="66" t="s">
        <v>170</v>
      </c>
      <c r="H22" s="213"/>
      <c r="I22" s="66" t="s">
        <v>221</v>
      </c>
      <c r="O22" s="657" t="s">
        <v>445</v>
      </c>
      <c r="Q22" s="657" t="s">
        <v>393</v>
      </c>
      <c r="S22" s="657" t="s">
        <v>445</v>
      </c>
    </row>
    <row r="23" spans="1:19" x14ac:dyDescent="0.2">
      <c r="A23" s="89">
        <v>20</v>
      </c>
      <c r="B23" s="66" t="s">
        <v>198</v>
      </c>
      <c r="C23" s="66" t="s">
        <v>177</v>
      </c>
      <c r="D23" s="66" t="s">
        <v>162</v>
      </c>
      <c r="E23" s="66" t="s">
        <v>174</v>
      </c>
      <c r="F23" s="66" t="s">
        <v>174</v>
      </c>
      <c r="G23" s="66" t="s">
        <v>174</v>
      </c>
      <c r="H23" s="213"/>
      <c r="I23" s="66" t="s">
        <v>1784</v>
      </c>
      <c r="O23" s="657" t="s">
        <v>446</v>
      </c>
      <c r="Q23" s="657" t="s">
        <v>361</v>
      </c>
      <c r="S23" s="657" t="s">
        <v>446</v>
      </c>
    </row>
    <row r="24" spans="1:19" x14ac:dyDescent="0.2">
      <c r="A24" s="89">
        <v>21</v>
      </c>
      <c r="B24" s="66" t="s">
        <v>200</v>
      </c>
      <c r="C24" s="66" t="s">
        <v>185</v>
      </c>
      <c r="D24" s="66" t="s">
        <v>180</v>
      </c>
      <c r="E24" s="66" t="s">
        <v>151</v>
      </c>
      <c r="F24" s="66" t="s">
        <v>151</v>
      </c>
      <c r="G24" s="66" t="s">
        <v>152</v>
      </c>
      <c r="H24" s="213"/>
      <c r="I24" s="66" t="s">
        <v>201</v>
      </c>
      <c r="O24" s="657" t="s">
        <v>447</v>
      </c>
      <c r="Q24" s="657" t="s">
        <v>394</v>
      </c>
      <c r="S24" s="657" t="s">
        <v>447</v>
      </c>
    </row>
    <row r="25" spans="1:19" x14ac:dyDescent="0.2">
      <c r="A25" s="89">
        <v>22</v>
      </c>
      <c r="B25" s="66" t="s">
        <v>201</v>
      </c>
      <c r="C25" s="66" t="s">
        <v>205</v>
      </c>
      <c r="D25" s="66" t="s">
        <v>192</v>
      </c>
      <c r="E25" s="66" t="s">
        <v>155</v>
      </c>
      <c r="F25" s="66" t="s">
        <v>155</v>
      </c>
      <c r="G25" s="66" t="s">
        <v>156</v>
      </c>
      <c r="H25" s="213"/>
      <c r="I25" s="66" t="s">
        <v>179</v>
      </c>
      <c r="O25" s="657" t="s">
        <v>448</v>
      </c>
      <c r="Q25" s="657" t="s">
        <v>395</v>
      </c>
      <c r="S25" s="657" t="s">
        <v>448</v>
      </c>
    </row>
    <row r="26" spans="1:19" x14ac:dyDescent="0.2">
      <c r="A26" s="89">
        <v>23</v>
      </c>
      <c r="B26" s="66" t="s">
        <v>154</v>
      </c>
      <c r="C26" s="66" t="s">
        <v>1315</v>
      </c>
      <c r="D26" s="66" t="s">
        <v>186</v>
      </c>
      <c r="E26" s="66" t="s">
        <v>175</v>
      </c>
      <c r="F26" s="66" t="s">
        <v>175</v>
      </c>
      <c r="G26" s="66" t="s">
        <v>175</v>
      </c>
      <c r="H26" s="213"/>
      <c r="I26" s="66" t="s">
        <v>1516</v>
      </c>
      <c r="O26" s="657" t="s">
        <v>449</v>
      </c>
      <c r="Q26" s="657" t="s">
        <v>396</v>
      </c>
      <c r="S26" s="657" t="s">
        <v>449</v>
      </c>
    </row>
    <row r="27" spans="1:19" x14ac:dyDescent="0.2">
      <c r="A27" s="89">
        <v>24</v>
      </c>
      <c r="B27" s="66" t="s">
        <v>207</v>
      </c>
      <c r="C27" s="66" t="s">
        <v>1394</v>
      </c>
      <c r="D27" s="66" t="s">
        <v>177</v>
      </c>
      <c r="E27" s="66" t="s">
        <v>268</v>
      </c>
      <c r="F27" s="66" t="s">
        <v>268</v>
      </c>
      <c r="G27" s="66" t="s">
        <v>178</v>
      </c>
      <c r="H27" s="213"/>
      <c r="I27" s="66" t="s">
        <v>221</v>
      </c>
      <c r="O27" s="657" t="s">
        <v>450</v>
      </c>
      <c r="Q27" s="657" t="s">
        <v>397</v>
      </c>
      <c r="S27" s="657" t="s">
        <v>450</v>
      </c>
    </row>
    <row r="28" spans="1:19" ht="12.75" customHeight="1" x14ac:dyDescent="0.2">
      <c r="A28" s="89">
        <v>25</v>
      </c>
      <c r="B28" s="66" t="s">
        <v>209</v>
      </c>
      <c r="C28" s="66" t="s">
        <v>1395</v>
      </c>
      <c r="D28" s="66" t="s">
        <v>185</v>
      </c>
      <c r="E28" s="66" t="s">
        <v>29</v>
      </c>
      <c r="F28" s="66" t="s">
        <v>29</v>
      </c>
      <c r="G28" s="66" t="s">
        <v>29</v>
      </c>
      <c r="H28" s="213"/>
      <c r="I28" s="66" t="s">
        <v>1522</v>
      </c>
      <c r="O28" s="657" t="s">
        <v>451</v>
      </c>
      <c r="Q28" s="657" t="s">
        <v>398</v>
      </c>
      <c r="S28" s="657" t="s">
        <v>451</v>
      </c>
    </row>
    <row r="29" spans="1:19" ht="12.75" customHeight="1" x14ac:dyDescent="0.2">
      <c r="A29" s="89">
        <v>26</v>
      </c>
      <c r="B29" s="66" t="s">
        <v>211</v>
      </c>
      <c r="C29" s="213"/>
      <c r="D29" s="66" t="s">
        <v>165</v>
      </c>
      <c r="E29" s="66" t="s">
        <v>181</v>
      </c>
      <c r="F29" s="66" t="s">
        <v>181</v>
      </c>
      <c r="G29" s="66" t="s">
        <v>182</v>
      </c>
      <c r="H29" s="213"/>
      <c r="I29" s="213"/>
      <c r="O29" s="657" t="s">
        <v>452</v>
      </c>
      <c r="Q29" s="657" t="s">
        <v>399</v>
      </c>
      <c r="S29" s="657" t="s">
        <v>452</v>
      </c>
    </row>
    <row r="30" spans="1:19" ht="12.75" customHeight="1" x14ac:dyDescent="0.2">
      <c r="A30" s="89">
        <v>27</v>
      </c>
      <c r="B30" s="66" t="s">
        <v>212</v>
      </c>
      <c r="C30" s="213"/>
      <c r="D30" s="66" t="s">
        <v>169</v>
      </c>
      <c r="E30" s="66" t="s">
        <v>193</v>
      </c>
      <c r="F30" s="66" t="s">
        <v>193</v>
      </c>
      <c r="G30" s="66" t="s">
        <v>194</v>
      </c>
      <c r="H30" s="213"/>
      <c r="I30" s="213"/>
      <c r="O30" s="657" t="s">
        <v>453</v>
      </c>
      <c r="Q30" s="657" t="s">
        <v>400</v>
      </c>
      <c r="S30" s="657" t="s">
        <v>453</v>
      </c>
    </row>
    <row r="31" spans="1:19" ht="12.75" customHeight="1" x14ac:dyDescent="0.2">
      <c r="A31" s="89">
        <v>28</v>
      </c>
      <c r="B31" s="66" t="s">
        <v>60</v>
      </c>
      <c r="C31" s="213"/>
      <c r="D31" s="66" t="s">
        <v>196</v>
      </c>
      <c r="E31" s="66" t="s">
        <v>196</v>
      </c>
      <c r="F31" s="66" t="s">
        <v>196</v>
      </c>
      <c r="G31" s="66" t="s">
        <v>196</v>
      </c>
      <c r="H31" s="213"/>
      <c r="I31" s="213"/>
      <c r="O31" s="657" t="s">
        <v>454</v>
      </c>
      <c r="Q31" s="657" t="s">
        <v>401</v>
      </c>
      <c r="S31" s="657" t="s">
        <v>454</v>
      </c>
    </row>
    <row r="32" spans="1:19" ht="12.75" customHeight="1" x14ac:dyDescent="0.2">
      <c r="A32" s="89">
        <v>29</v>
      </c>
      <c r="B32" s="66" t="s">
        <v>1539</v>
      </c>
      <c r="C32" s="213"/>
      <c r="D32" s="66" t="s">
        <v>199</v>
      </c>
      <c r="E32" s="66" t="s">
        <v>199</v>
      </c>
      <c r="F32" s="66" t="s">
        <v>199</v>
      </c>
      <c r="G32" s="66" t="s">
        <v>199</v>
      </c>
      <c r="H32" s="213"/>
      <c r="I32" s="213"/>
      <c r="O32" s="657" t="s">
        <v>455</v>
      </c>
      <c r="Q32" s="657" t="s">
        <v>402</v>
      </c>
      <c r="S32" s="657" t="s">
        <v>455</v>
      </c>
    </row>
    <row r="33" spans="1:19" ht="12.75" customHeight="1" x14ac:dyDescent="0.2">
      <c r="A33" s="89">
        <v>30</v>
      </c>
      <c r="B33" s="213"/>
      <c r="C33" s="213"/>
      <c r="D33" s="66" t="s">
        <v>167</v>
      </c>
      <c r="E33" s="66" t="s">
        <v>167</v>
      </c>
      <c r="F33" s="66" t="s">
        <v>167</v>
      </c>
      <c r="G33" s="66" t="s">
        <v>167</v>
      </c>
      <c r="H33" s="213"/>
      <c r="I33" s="213"/>
      <c r="O33" s="657" t="s">
        <v>538</v>
      </c>
      <c r="Q33" s="657" t="s">
        <v>469</v>
      </c>
      <c r="S33" s="657" t="s">
        <v>538</v>
      </c>
    </row>
    <row r="34" spans="1:19" ht="12.75" customHeight="1" x14ac:dyDescent="0.2">
      <c r="A34" s="89">
        <v>31</v>
      </c>
      <c r="B34" s="213"/>
      <c r="C34" s="213"/>
      <c r="D34" s="66" t="s">
        <v>203</v>
      </c>
      <c r="E34" s="66" t="s">
        <v>203</v>
      </c>
      <c r="F34" s="66" t="s">
        <v>203</v>
      </c>
      <c r="G34" s="66" t="s">
        <v>203</v>
      </c>
      <c r="H34" s="213"/>
      <c r="I34" s="213"/>
      <c r="O34" s="657" t="s">
        <v>539</v>
      </c>
      <c r="Q34" s="657" t="s">
        <v>470</v>
      </c>
      <c r="S34" s="657" t="s">
        <v>539</v>
      </c>
    </row>
    <row r="35" spans="1:19" ht="12.75" customHeight="1" x14ac:dyDescent="0.2">
      <c r="A35" s="89">
        <v>32</v>
      </c>
      <c r="B35" s="213"/>
      <c r="C35" s="213"/>
      <c r="D35" s="66" t="s">
        <v>208</v>
      </c>
      <c r="E35" s="66" t="s">
        <v>208</v>
      </c>
      <c r="F35" s="66" t="s">
        <v>208</v>
      </c>
      <c r="G35" s="66" t="s">
        <v>208</v>
      </c>
      <c r="H35" s="213"/>
      <c r="I35" s="213"/>
      <c r="O35" s="657" t="s">
        <v>540</v>
      </c>
      <c r="Q35" s="657" t="s">
        <v>471</v>
      </c>
      <c r="S35" s="657" t="s">
        <v>540</v>
      </c>
    </row>
    <row r="36" spans="1:19" ht="12.75" customHeight="1" x14ac:dyDescent="0.2">
      <c r="A36" s="89">
        <v>33</v>
      </c>
      <c r="B36" s="213"/>
      <c r="C36" s="213"/>
      <c r="D36" s="66" t="s">
        <v>210</v>
      </c>
      <c r="E36" s="66" t="s">
        <v>210</v>
      </c>
      <c r="F36" s="66" t="s">
        <v>210</v>
      </c>
      <c r="G36" s="66" t="s">
        <v>210</v>
      </c>
      <c r="H36" s="66" t="s">
        <v>1656</v>
      </c>
      <c r="I36" s="213"/>
      <c r="O36" s="657" t="s">
        <v>541</v>
      </c>
      <c r="Q36" s="657" t="s">
        <v>472</v>
      </c>
      <c r="S36" s="657" t="s">
        <v>541</v>
      </c>
    </row>
    <row r="37" spans="1:19" ht="12.75" customHeight="1" x14ac:dyDescent="0.2">
      <c r="A37" s="89">
        <v>34</v>
      </c>
      <c r="B37" s="213"/>
      <c r="C37" s="213"/>
      <c r="D37" s="66" t="s">
        <v>213</v>
      </c>
      <c r="E37" s="66" t="s">
        <v>213</v>
      </c>
      <c r="F37" s="66" t="s">
        <v>213</v>
      </c>
      <c r="G37" s="66" t="s">
        <v>213</v>
      </c>
      <c r="H37" s="213"/>
      <c r="I37" s="213"/>
      <c r="O37" s="657" t="s">
        <v>542</v>
      </c>
      <c r="Q37" s="657" t="s">
        <v>473</v>
      </c>
      <c r="S37" s="657" t="s">
        <v>542</v>
      </c>
    </row>
    <row r="38" spans="1:19" x14ac:dyDescent="0.2">
      <c r="A38" s="89">
        <v>35</v>
      </c>
      <c r="B38" s="213"/>
      <c r="C38" s="213"/>
      <c r="D38" s="66" t="s">
        <v>214</v>
      </c>
      <c r="E38" s="66" t="s">
        <v>214</v>
      </c>
      <c r="F38" s="66" t="s">
        <v>214</v>
      </c>
      <c r="G38" s="66" t="s">
        <v>214</v>
      </c>
      <c r="H38" s="213"/>
      <c r="I38" s="213"/>
      <c r="O38" s="657" t="s">
        <v>543</v>
      </c>
      <c r="Q38" s="657" t="s">
        <v>474</v>
      </c>
      <c r="S38" s="657" t="s">
        <v>543</v>
      </c>
    </row>
    <row r="39" spans="1:19" x14ac:dyDescent="0.2">
      <c r="A39" s="89">
        <v>36</v>
      </c>
      <c r="B39" s="213"/>
      <c r="C39" s="213"/>
      <c r="D39" s="66" t="s">
        <v>189</v>
      </c>
      <c r="E39" s="213"/>
      <c r="F39" s="213"/>
      <c r="G39" s="213"/>
      <c r="H39" s="213"/>
      <c r="I39" s="213"/>
      <c r="O39" s="657" t="s">
        <v>544</v>
      </c>
      <c r="Q39" s="657" t="s">
        <v>475</v>
      </c>
      <c r="S39" s="657" t="s">
        <v>544</v>
      </c>
    </row>
    <row r="40" spans="1:19" x14ac:dyDescent="0.2">
      <c r="A40" s="89">
        <v>37</v>
      </c>
      <c r="B40" s="213"/>
      <c r="C40" s="213"/>
      <c r="D40" s="66" t="s">
        <v>173</v>
      </c>
      <c r="E40" s="213"/>
      <c r="F40" s="213"/>
      <c r="G40" s="213"/>
      <c r="H40" s="213"/>
      <c r="I40" s="213"/>
      <c r="O40" s="657" t="s">
        <v>545</v>
      </c>
      <c r="Q40" s="657" t="s">
        <v>476</v>
      </c>
      <c r="S40" s="657" t="s">
        <v>545</v>
      </c>
    </row>
    <row r="41" spans="1:19" x14ac:dyDescent="0.2">
      <c r="A41" s="89">
        <v>38</v>
      </c>
      <c r="B41" s="213"/>
      <c r="C41" s="66" t="s">
        <v>124</v>
      </c>
      <c r="D41" s="66" t="s">
        <v>124</v>
      </c>
      <c r="E41" s="66" t="s">
        <v>124</v>
      </c>
      <c r="F41" s="66" t="s">
        <v>124</v>
      </c>
      <c r="G41" s="66" t="s">
        <v>124</v>
      </c>
      <c r="H41" s="66" t="s">
        <v>124</v>
      </c>
      <c r="I41" s="213"/>
      <c r="O41" s="657" t="s">
        <v>546</v>
      </c>
      <c r="Q41" s="657" t="s">
        <v>477</v>
      </c>
      <c r="S41" s="657" t="s">
        <v>546</v>
      </c>
    </row>
    <row r="42" spans="1:19" x14ac:dyDescent="0.2">
      <c r="A42" s="89">
        <v>39</v>
      </c>
      <c r="B42" s="213"/>
      <c r="C42" s="213"/>
      <c r="D42" s="213"/>
      <c r="E42" s="213"/>
      <c r="F42" s="213"/>
      <c r="G42" s="213"/>
      <c r="H42" s="213"/>
      <c r="I42" s="213"/>
      <c r="O42" s="657" t="s">
        <v>547</v>
      </c>
      <c r="Q42" s="657" t="s">
        <v>478</v>
      </c>
      <c r="S42" s="657" t="s">
        <v>547</v>
      </c>
    </row>
    <row r="43" spans="1:19" x14ac:dyDescent="0.2">
      <c r="A43" s="89">
        <v>40</v>
      </c>
      <c r="B43" s="213"/>
      <c r="C43" s="213"/>
      <c r="D43" s="213"/>
      <c r="E43" s="213"/>
      <c r="F43" s="213"/>
      <c r="G43" s="213"/>
      <c r="H43" s="213"/>
      <c r="I43" s="213"/>
      <c r="O43" s="657" t="s">
        <v>548</v>
      </c>
      <c r="Q43" s="657" t="s">
        <v>479</v>
      </c>
      <c r="S43" s="657" t="s">
        <v>548</v>
      </c>
    </row>
    <row r="44" spans="1:19" x14ac:dyDescent="0.2">
      <c r="A44" s="89">
        <v>41</v>
      </c>
      <c r="B44" s="213"/>
      <c r="C44" s="213"/>
      <c r="D44" s="213"/>
      <c r="E44" s="213"/>
      <c r="F44" s="213"/>
      <c r="G44" s="213"/>
      <c r="H44" s="213"/>
      <c r="I44" s="213"/>
      <c r="O44" s="657" t="s">
        <v>549</v>
      </c>
      <c r="Q44" s="657" t="s">
        <v>480</v>
      </c>
      <c r="S44" s="657" t="s">
        <v>549</v>
      </c>
    </row>
    <row r="45" spans="1:19" x14ac:dyDescent="0.2">
      <c r="A45" s="89">
        <v>42</v>
      </c>
      <c r="B45" s="213"/>
      <c r="C45" s="213"/>
      <c r="D45" s="213"/>
      <c r="E45" s="213"/>
      <c r="F45" s="213"/>
      <c r="G45" s="213"/>
      <c r="H45" s="213"/>
      <c r="I45" s="213"/>
      <c r="O45" s="657" t="s">
        <v>550</v>
      </c>
      <c r="Q45" s="657" t="s">
        <v>481</v>
      </c>
      <c r="S45" s="657" t="s">
        <v>550</v>
      </c>
    </row>
    <row r="46" spans="1:19" x14ac:dyDescent="0.2">
      <c r="A46" s="89">
        <v>43</v>
      </c>
      <c r="B46" s="213"/>
      <c r="C46" s="213"/>
      <c r="D46" s="213"/>
      <c r="E46" s="213"/>
      <c r="F46" s="213"/>
      <c r="G46" s="213"/>
      <c r="H46" s="213"/>
      <c r="I46" s="213"/>
      <c r="O46" s="657" t="s">
        <v>551</v>
      </c>
      <c r="Q46" s="657" t="s">
        <v>482</v>
      </c>
      <c r="S46" s="657" t="s">
        <v>551</v>
      </c>
    </row>
    <row r="47" spans="1:19" x14ac:dyDescent="0.2">
      <c r="A47" s="89">
        <v>44</v>
      </c>
      <c r="B47" s="213"/>
      <c r="C47" s="213"/>
      <c r="D47" s="213"/>
      <c r="E47" s="213"/>
      <c r="F47" s="213"/>
      <c r="G47" s="213"/>
      <c r="H47" s="213"/>
      <c r="I47" s="213"/>
      <c r="O47" s="657" t="s">
        <v>552</v>
      </c>
      <c r="Q47" s="657" t="s">
        <v>483</v>
      </c>
      <c r="S47" s="657" t="s">
        <v>552</v>
      </c>
    </row>
    <row r="48" spans="1:19" x14ac:dyDescent="0.2">
      <c r="A48" s="89">
        <v>45</v>
      </c>
      <c r="B48" s="213"/>
      <c r="C48" s="213"/>
      <c r="D48" s="213"/>
      <c r="E48" s="213"/>
      <c r="F48" s="213"/>
      <c r="G48" s="213"/>
      <c r="H48" s="213"/>
      <c r="I48" s="213"/>
      <c r="O48" s="657" t="s">
        <v>553</v>
      </c>
      <c r="Q48" s="657" t="s">
        <v>484</v>
      </c>
      <c r="S48" s="657" t="s">
        <v>553</v>
      </c>
    </row>
    <row r="49" spans="1:19" x14ac:dyDescent="0.2">
      <c r="A49" s="89">
        <v>46</v>
      </c>
      <c r="B49" s="213"/>
      <c r="C49" s="213"/>
      <c r="D49" s="213"/>
      <c r="E49" s="213"/>
      <c r="F49" s="213"/>
      <c r="G49" s="213"/>
      <c r="H49" s="213"/>
      <c r="I49" s="213"/>
      <c r="O49" s="657" t="s">
        <v>554</v>
      </c>
      <c r="Q49" s="657" t="s">
        <v>485</v>
      </c>
      <c r="S49" s="657" t="s">
        <v>554</v>
      </c>
    </row>
    <row r="50" spans="1:19" x14ac:dyDescent="0.2">
      <c r="A50" s="89">
        <v>47</v>
      </c>
      <c r="B50" s="213"/>
      <c r="C50" s="213"/>
      <c r="D50" s="213"/>
      <c r="E50" s="213"/>
      <c r="F50" s="213"/>
      <c r="G50" s="213"/>
      <c r="H50" s="213"/>
      <c r="I50" s="213"/>
      <c r="O50" s="657" t="s">
        <v>555</v>
      </c>
      <c r="Q50" s="657" t="s">
        <v>486</v>
      </c>
      <c r="S50" s="657" t="s">
        <v>555</v>
      </c>
    </row>
    <row r="51" spans="1:19" x14ac:dyDescent="0.2">
      <c r="A51" s="89">
        <v>48</v>
      </c>
      <c r="B51" s="213"/>
      <c r="C51" s="213"/>
      <c r="D51" s="213"/>
      <c r="E51" s="213"/>
      <c r="F51" s="213"/>
      <c r="G51" s="213"/>
      <c r="H51" s="213"/>
      <c r="I51" s="213"/>
      <c r="O51" s="657" t="s">
        <v>556</v>
      </c>
      <c r="Q51" s="657" t="s">
        <v>487</v>
      </c>
      <c r="S51" s="657" t="s">
        <v>556</v>
      </c>
    </row>
    <row r="52" spans="1:19" x14ac:dyDescent="0.2">
      <c r="A52" s="89">
        <v>49</v>
      </c>
      <c r="B52" s="213"/>
      <c r="C52" s="213"/>
      <c r="D52" s="213"/>
      <c r="E52" s="213"/>
      <c r="F52" s="213"/>
      <c r="G52" s="213"/>
      <c r="H52" s="213"/>
      <c r="I52" s="213"/>
      <c r="O52" s="657" t="s">
        <v>557</v>
      </c>
      <c r="Q52" s="657" t="s">
        <v>488</v>
      </c>
      <c r="S52" s="657" t="s">
        <v>557</v>
      </c>
    </row>
    <row r="53" spans="1:19" x14ac:dyDescent="0.2">
      <c r="A53" s="89">
        <v>50</v>
      </c>
      <c r="B53" s="213"/>
      <c r="C53" s="213"/>
      <c r="D53" s="213"/>
      <c r="E53" s="213"/>
      <c r="F53" s="213"/>
      <c r="G53" s="213"/>
      <c r="H53" s="213"/>
      <c r="I53" s="213"/>
      <c r="O53" s="657" t="s">
        <v>558</v>
      </c>
      <c r="Q53" s="657" t="s">
        <v>489</v>
      </c>
      <c r="S53" s="657" t="s">
        <v>558</v>
      </c>
    </row>
    <row r="54" spans="1:19" x14ac:dyDescent="0.2">
      <c r="A54" s="89">
        <v>51</v>
      </c>
      <c r="B54" s="213"/>
      <c r="C54" s="213"/>
      <c r="D54" s="213"/>
      <c r="E54" s="213"/>
      <c r="F54" s="213"/>
      <c r="G54" s="213"/>
      <c r="H54" s="213"/>
      <c r="I54" s="213"/>
      <c r="O54" s="657" t="s">
        <v>559</v>
      </c>
      <c r="Q54" s="657" t="s">
        <v>490</v>
      </c>
      <c r="S54" s="657" t="s">
        <v>559</v>
      </c>
    </row>
    <row r="55" spans="1:19" x14ac:dyDescent="0.2">
      <c r="A55" s="89">
        <v>52</v>
      </c>
      <c r="B55" s="213"/>
      <c r="C55" s="213"/>
      <c r="D55" s="213"/>
      <c r="E55" s="213"/>
      <c r="F55" s="213"/>
      <c r="G55" s="213"/>
      <c r="H55" s="213"/>
      <c r="I55" s="213"/>
      <c r="O55" s="657" t="s">
        <v>560</v>
      </c>
      <c r="Q55" s="657" t="s">
        <v>491</v>
      </c>
      <c r="S55" s="657" t="s">
        <v>560</v>
      </c>
    </row>
    <row r="56" spans="1:19" x14ac:dyDescent="0.2">
      <c r="A56" s="89">
        <v>53</v>
      </c>
      <c r="B56" s="213"/>
      <c r="C56" s="213"/>
      <c r="D56" s="213"/>
      <c r="E56" s="213"/>
      <c r="F56" s="213"/>
      <c r="G56" s="213"/>
      <c r="H56" s="213"/>
      <c r="I56" s="213"/>
      <c r="O56" s="657" t="s">
        <v>561</v>
      </c>
      <c r="Q56" s="657" t="s">
        <v>492</v>
      </c>
      <c r="S56" s="657" t="s">
        <v>561</v>
      </c>
    </row>
    <row r="57" spans="1:19" x14ac:dyDescent="0.2">
      <c r="A57" s="89">
        <v>54</v>
      </c>
      <c r="B57" s="213"/>
      <c r="C57" s="213"/>
      <c r="D57" s="213"/>
      <c r="E57" s="213"/>
      <c r="F57" s="213"/>
      <c r="G57" s="213"/>
      <c r="H57" s="213"/>
      <c r="I57" s="213"/>
      <c r="O57" s="657" t="s">
        <v>562</v>
      </c>
      <c r="Q57" s="657" t="s">
        <v>493</v>
      </c>
      <c r="S57" s="657" t="s">
        <v>562</v>
      </c>
    </row>
    <row r="58" spans="1:19" x14ac:dyDescent="0.2">
      <c r="A58" s="89">
        <v>55</v>
      </c>
      <c r="B58" s="213"/>
      <c r="C58" s="213"/>
      <c r="D58" s="213"/>
      <c r="E58" s="213"/>
      <c r="F58" s="213"/>
      <c r="G58" s="213"/>
      <c r="H58" s="213"/>
      <c r="I58" s="213"/>
      <c r="O58" s="657" t="s">
        <v>563</v>
      </c>
      <c r="Q58" s="657" t="s">
        <v>494</v>
      </c>
      <c r="S58" s="657" t="s">
        <v>563</v>
      </c>
    </row>
    <row r="59" spans="1:19" x14ac:dyDescent="0.2">
      <c r="A59" s="89">
        <v>56</v>
      </c>
      <c r="B59" s="213"/>
      <c r="C59" s="213"/>
      <c r="D59" s="213"/>
      <c r="E59" s="213"/>
      <c r="F59" s="213"/>
      <c r="G59" s="213"/>
      <c r="H59" s="213"/>
      <c r="I59" s="213"/>
      <c r="O59" s="657" t="s">
        <v>564</v>
      </c>
      <c r="Q59" s="657" t="s">
        <v>495</v>
      </c>
      <c r="S59" s="657" t="s">
        <v>564</v>
      </c>
    </row>
    <row r="60" spans="1:19" x14ac:dyDescent="0.2">
      <c r="A60" s="89">
        <v>57</v>
      </c>
      <c r="B60" s="213"/>
      <c r="C60" s="213"/>
      <c r="D60" s="213"/>
      <c r="E60" s="213"/>
      <c r="F60" s="213"/>
      <c r="G60" s="213"/>
      <c r="H60" s="213"/>
      <c r="I60" s="213"/>
      <c r="O60" s="657" t="s">
        <v>565</v>
      </c>
      <c r="Q60" s="657" t="s">
        <v>496</v>
      </c>
      <c r="S60" s="657" t="s">
        <v>565</v>
      </c>
    </row>
    <row r="61" spans="1:19" x14ac:dyDescent="0.2">
      <c r="A61" s="89">
        <v>58</v>
      </c>
      <c r="B61" s="213"/>
      <c r="C61" s="213"/>
      <c r="D61" s="213"/>
      <c r="E61" s="213"/>
      <c r="F61" s="213"/>
      <c r="G61" s="213"/>
      <c r="H61" s="213"/>
      <c r="I61" s="213"/>
      <c r="O61" s="657" t="s">
        <v>566</v>
      </c>
      <c r="Q61" s="657" t="s">
        <v>497</v>
      </c>
      <c r="S61" s="657" t="s">
        <v>566</v>
      </c>
    </row>
    <row r="62" spans="1:19" x14ac:dyDescent="0.2">
      <c r="A62" s="89">
        <v>59</v>
      </c>
      <c r="B62" s="213"/>
      <c r="C62" s="213"/>
      <c r="D62" s="213"/>
      <c r="E62" s="213"/>
      <c r="F62" s="213"/>
      <c r="G62" s="213"/>
      <c r="H62" s="213"/>
      <c r="I62" s="213"/>
      <c r="O62" s="657" t="s">
        <v>567</v>
      </c>
      <c r="Q62" s="657" t="s">
        <v>498</v>
      </c>
      <c r="S62" s="657" t="s">
        <v>567</v>
      </c>
    </row>
    <row r="63" spans="1:19" x14ac:dyDescent="0.2">
      <c r="A63" s="89">
        <v>60</v>
      </c>
      <c r="B63" s="213"/>
      <c r="C63" s="213"/>
      <c r="D63" s="213"/>
      <c r="E63" s="213"/>
      <c r="F63" s="213"/>
      <c r="G63" s="213"/>
      <c r="H63" s="213"/>
      <c r="I63" s="213"/>
      <c r="O63" s="657" t="s">
        <v>568</v>
      </c>
      <c r="Q63" s="657" t="s">
        <v>499</v>
      </c>
      <c r="S63" s="657" t="s">
        <v>568</v>
      </c>
    </row>
    <row r="64" spans="1:19" x14ac:dyDescent="0.2">
      <c r="A64" s="89">
        <v>61</v>
      </c>
      <c r="B64" s="213"/>
      <c r="C64" s="213"/>
      <c r="D64" s="213"/>
      <c r="E64" s="213"/>
      <c r="F64" s="213"/>
      <c r="G64" s="213"/>
      <c r="H64" s="213"/>
      <c r="I64" s="213"/>
      <c r="O64" s="657" t="s">
        <v>569</v>
      </c>
      <c r="Q64" s="657" t="s">
        <v>500</v>
      </c>
      <c r="S64" s="657" t="s">
        <v>569</v>
      </c>
    </row>
    <row r="65" spans="1:19" x14ac:dyDescent="0.2">
      <c r="A65" s="89">
        <v>62</v>
      </c>
      <c r="B65" s="213"/>
      <c r="C65" s="213"/>
      <c r="D65" s="213"/>
      <c r="E65" s="213"/>
      <c r="F65" s="213"/>
      <c r="G65" s="213"/>
      <c r="H65" s="213"/>
      <c r="I65" s="213"/>
      <c r="O65" s="657" t="s">
        <v>570</v>
      </c>
      <c r="Q65" s="657" t="s">
        <v>501</v>
      </c>
      <c r="S65" s="657" t="s">
        <v>570</v>
      </c>
    </row>
    <row r="66" spans="1:19" x14ac:dyDescent="0.2">
      <c r="A66" s="89">
        <v>63</v>
      </c>
      <c r="B66" s="213"/>
      <c r="C66" s="213"/>
      <c r="D66" s="213"/>
      <c r="E66" s="213"/>
      <c r="F66" s="213"/>
      <c r="G66" s="213"/>
      <c r="H66" s="213"/>
      <c r="I66" s="213"/>
      <c r="O66" s="657" t="s">
        <v>571</v>
      </c>
      <c r="Q66" s="657" t="s">
        <v>502</v>
      </c>
      <c r="S66" s="657" t="s">
        <v>571</v>
      </c>
    </row>
    <row r="67" spans="1:19" x14ac:dyDescent="0.2">
      <c r="A67" s="89">
        <v>64</v>
      </c>
      <c r="B67" s="213"/>
      <c r="C67" s="213"/>
      <c r="D67" s="213"/>
      <c r="E67" s="213"/>
      <c r="F67" s="213"/>
      <c r="G67" s="213"/>
      <c r="H67" s="213"/>
      <c r="I67" s="213"/>
      <c r="O67" s="657" t="s">
        <v>572</v>
      </c>
      <c r="Q67" s="657" t="s">
        <v>503</v>
      </c>
      <c r="S67" s="657" t="s">
        <v>572</v>
      </c>
    </row>
    <row r="68" spans="1:19" x14ac:dyDescent="0.2">
      <c r="A68" s="89">
        <v>65</v>
      </c>
      <c r="B68" s="213"/>
      <c r="C68" s="213"/>
      <c r="D68" s="213"/>
      <c r="E68" s="213"/>
      <c r="F68" s="213"/>
      <c r="G68" s="213"/>
      <c r="H68" s="213"/>
      <c r="I68" s="213"/>
      <c r="O68" s="657" t="s">
        <v>573</v>
      </c>
      <c r="Q68" s="657" t="s">
        <v>504</v>
      </c>
      <c r="S68" s="657" t="s">
        <v>573</v>
      </c>
    </row>
    <row r="69" spans="1:19" x14ac:dyDescent="0.2">
      <c r="A69" s="89">
        <v>66</v>
      </c>
      <c r="B69" s="213"/>
      <c r="C69" s="213"/>
      <c r="D69" s="213"/>
      <c r="E69" s="213"/>
      <c r="F69" s="213"/>
      <c r="G69" s="213"/>
      <c r="H69" s="213"/>
      <c r="I69" s="213"/>
      <c r="O69" s="657" t="s">
        <v>574</v>
      </c>
      <c r="Q69" s="657" t="s">
        <v>505</v>
      </c>
      <c r="S69" s="657" t="s">
        <v>574</v>
      </c>
    </row>
    <row r="70" spans="1:19" x14ac:dyDescent="0.2">
      <c r="A70" s="89">
        <v>67</v>
      </c>
      <c r="B70" s="213"/>
      <c r="C70" s="213"/>
      <c r="D70" s="213"/>
      <c r="E70" s="213"/>
      <c r="F70" s="213"/>
      <c r="G70" s="213"/>
      <c r="H70" s="213"/>
      <c r="I70" s="213"/>
      <c r="O70" s="657" t="s">
        <v>575</v>
      </c>
      <c r="Q70" s="657" t="s">
        <v>506</v>
      </c>
      <c r="S70" s="657" t="s">
        <v>575</v>
      </c>
    </row>
    <row r="71" spans="1:19" x14ac:dyDescent="0.2">
      <c r="A71" s="89">
        <v>68</v>
      </c>
      <c r="B71" s="213"/>
      <c r="C71" s="213"/>
      <c r="D71" s="213"/>
      <c r="E71" s="213"/>
      <c r="F71" s="213"/>
      <c r="G71" s="213"/>
      <c r="H71" s="213"/>
      <c r="I71" s="213"/>
      <c r="O71" s="657" t="s">
        <v>576</v>
      </c>
      <c r="Q71" s="657" t="s">
        <v>507</v>
      </c>
      <c r="S71" s="657" t="s">
        <v>576</v>
      </c>
    </row>
    <row r="72" spans="1:19" x14ac:dyDescent="0.2">
      <c r="A72" s="89">
        <v>69</v>
      </c>
      <c r="B72" s="213"/>
      <c r="C72" s="213"/>
      <c r="D72" s="213"/>
      <c r="E72" s="213"/>
      <c r="F72" s="213"/>
      <c r="G72" s="213"/>
      <c r="H72" s="213"/>
      <c r="I72" s="213"/>
      <c r="O72" s="657" t="s">
        <v>577</v>
      </c>
      <c r="Q72" s="657" t="s">
        <v>508</v>
      </c>
      <c r="S72" s="657" t="s">
        <v>577</v>
      </c>
    </row>
    <row r="73" spans="1:19" x14ac:dyDescent="0.2">
      <c r="A73" s="89">
        <v>70</v>
      </c>
      <c r="B73" s="213"/>
      <c r="C73" s="213"/>
      <c r="D73" s="66" t="s">
        <v>1781</v>
      </c>
      <c r="E73" s="213"/>
      <c r="F73" s="213"/>
      <c r="G73" s="213"/>
      <c r="H73" s="213"/>
      <c r="I73" s="213"/>
      <c r="O73" s="657" t="s">
        <v>578</v>
      </c>
      <c r="Q73" s="657" t="s">
        <v>509</v>
      </c>
      <c r="S73" s="657" t="s">
        <v>578</v>
      </c>
    </row>
    <row r="74" spans="1:19" x14ac:dyDescent="0.2">
      <c r="A74" s="89">
        <v>71</v>
      </c>
      <c r="B74" s="213"/>
      <c r="C74" s="213"/>
      <c r="D74" s="213"/>
      <c r="E74" s="213"/>
      <c r="F74" s="213"/>
      <c r="G74" s="213"/>
      <c r="H74" s="213"/>
      <c r="I74" s="213"/>
      <c r="O74" s="657" t="s">
        <v>579</v>
      </c>
      <c r="Q74" s="657" t="s">
        <v>510</v>
      </c>
      <c r="S74" s="657" t="s">
        <v>579</v>
      </c>
    </row>
    <row r="75" spans="1:19" x14ac:dyDescent="0.2">
      <c r="A75" s="89">
        <v>72</v>
      </c>
      <c r="B75" s="213"/>
      <c r="C75" s="213"/>
      <c r="D75" s="213"/>
      <c r="E75" s="213"/>
      <c r="F75" s="213"/>
      <c r="G75" s="213"/>
      <c r="H75" s="213"/>
      <c r="I75" s="213"/>
      <c r="O75" s="657" t="s">
        <v>580</v>
      </c>
      <c r="Q75" s="657" t="s">
        <v>511</v>
      </c>
      <c r="S75" s="657" t="s">
        <v>580</v>
      </c>
    </row>
    <row r="76" spans="1:19" x14ac:dyDescent="0.2">
      <c r="A76" s="89">
        <v>73</v>
      </c>
      <c r="B76" s="213"/>
      <c r="C76" s="213"/>
      <c r="D76" s="213"/>
      <c r="E76" s="213"/>
      <c r="F76" s="213"/>
      <c r="G76" s="213"/>
      <c r="H76" s="213"/>
      <c r="I76" s="213"/>
      <c r="O76" s="657" t="s">
        <v>581</v>
      </c>
      <c r="Q76" s="657" t="s">
        <v>512</v>
      </c>
      <c r="S76" s="657" t="s">
        <v>581</v>
      </c>
    </row>
    <row r="77" spans="1:19" x14ac:dyDescent="0.2">
      <c r="A77" s="89">
        <v>74</v>
      </c>
      <c r="B77" s="213"/>
      <c r="C77" s="213"/>
      <c r="D77" s="213"/>
      <c r="E77" s="213"/>
      <c r="F77" s="213"/>
      <c r="G77" s="213"/>
      <c r="H77" s="213"/>
      <c r="I77" s="213"/>
      <c r="O77" s="657" t="s">
        <v>582</v>
      </c>
      <c r="Q77" s="657" t="s">
        <v>513</v>
      </c>
      <c r="S77" s="657" t="s">
        <v>582</v>
      </c>
    </row>
    <row r="78" spans="1:19" x14ac:dyDescent="0.2">
      <c r="A78" s="89">
        <v>75</v>
      </c>
      <c r="B78" s="213"/>
      <c r="C78" s="213"/>
      <c r="D78" s="213"/>
      <c r="E78" s="213"/>
      <c r="F78" s="213"/>
      <c r="G78" s="213"/>
      <c r="H78" s="213"/>
      <c r="I78" s="213"/>
      <c r="O78" s="657" t="s">
        <v>583</v>
      </c>
      <c r="Q78" s="657" t="s">
        <v>514</v>
      </c>
      <c r="S78" s="657" t="s">
        <v>583</v>
      </c>
    </row>
    <row r="79" spans="1:19" x14ac:dyDescent="0.2">
      <c r="A79" s="89">
        <v>76</v>
      </c>
      <c r="B79" s="213"/>
      <c r="C79" s="213"/>
      <c r="D79" s="213"/>
      <c r="E79" s="213"/>
      <c r="F79" s="213"/>
      <c r="G79" s="213"/>
      <c r="H79" s="213"/>
      <c r="I79" s="213"/>
      <c r="O79" s="657" t="s">
        <v>584</v>
      </c>
      <c r="Q79" s="657" t="s">
        <v>515</v>
      </c>
      <c r="S79" s="657" t="s">
        <v>584</v>
      </c>
    </row>
    <row r="80" spans="1:19" x14ac:dyDescent="0.2">
      <c r="A80" s="89">
        <v>77</v>
      </c>
      <c r="B80" s="213"/>
      <c r="C80" s="213"/>
      <c r="D80" s="213"/>
      <c r="E80" s="213"/>
      <c r="F80" s="213"/>
      <c r="G80" s="213"/>
      <c r="H80" s="213"/>
      <c r="I80" s="213"/>
      <c r="O80" s="657" t="s">
        <v>585</v>
      </c>
      <c r="Q80" s="657" t="s">
        <v>516</v>
      </c>
      <c r="S80" s="657" t="s">
        <v>585</v>
      </c>
    </row>
    <row r="81" spans="1:19" x14ac:dyDescent="0.2">
      <c r="A81" s="89">
        <v>78</v>
      </c>
      <c r="B81" s="213"/>
      <c r="C81" s="213"/>
      <c r="D81" s="213"/>
      <c r="E81" s="213"/>
      <c r="F81" s="213"/>
      <c r="G81" s="213"/>
      <c r="H81" s="213"/>
      <c r="I81" s="213"/>
      <c r="O81" s="657" t="s">
        <v>586</v>
      </c>
      <c r="Q81" s="657" t="s">
        <v>517</v>
      </c>
      <c r="S81" s="657" t="s">
        <v>586</v>
      </c>
    </row>
    <row r="82" spans="1:19" x14ac:dyDescent="0.2">
      <c r="A82" s="89">
        <v>79</v>
      </c>
      <c r="B82" s="213"/>
      <c r="C82" s="213"/>
      <c r="D82" s="213"/>
      <c r="E82" s="213"/>
      <c r="F82" s="213"/>
      <c r="G82" s="213"/>
      <c r="H82" s="213"/>
      <c r="I82" s="213"/>
      <c r="O82" s="657" t="s">
        <v>587</v>
      </c>
      <c r="Q82" s="657" t="s">
        <v>518</v>
      </c>
      <c r="S82" s="657" t="s">
        <v>587</v>
      </c>
    </row>
    <row r="83" spans="1:19" x14ac:dyDescent="0.2">
      <c r="A83" s="89">
        <v>80</v>
      </c>
      <c r="B83" s="213"/>
      <c r="C83" s="213"/>
      <c r="D83" s="213"/>
      <c r="E83" s="213"/>
      <c r="F83" s="213"/>
      <c r="G83" s="213"/>
      <c r="H83" s="213"/>
      <c r="I83" s="213"/>
      <c r="O83" s="657" t="s">
        <v>588</v>
      </c>
      <c r="Q83" s="657" t="s">
        <v>519</v>
      </c>
      <c r="S83" s="657" t="s">
        <v>588</v>
      </c>
    </row>
    <row r="84" spans="1:19" x14ac:dyDescent="0.2">
      <c r="A84" s="89">
        <v>81</v>
      </c>
      <c r="B84" s="213"/>
      <c r="C84" s="213"/>
      <c r="D84" s="213"/>
      <c r="E84" s="213"/>
      <c r="F84" s="213"/>
      <c r="G84" s="213"/>
      <c r="H84" s="213"/>
      <c r="I84" s="213"/>
      <c r="O84" s="657" t="s">
        <v>589</v>
      </c>
      <c r="Q84" s="657" t="s">
        <v>520</v>
      </c>
      <c r="S84" s="657" t="s">
        <v>589</v>
      </c>
    </row>
    <row r="85" spans="1:19" x14ac:dyDescent="0.2">
      <c r="A85" s="89">
        <v>82</v>
      </c>
      <c r="B85" s="213"/>
      <c r="C85" s="213"/>
      <c r="D85" s="213"/>
      <c r="E85" s="213"/>
      <c r="F85" s="213"/>
      <c r="G85" s="213"/>
      <c r="H85" s="213"/>
      <c r="I85" s="213"/>
      <c r="O85" s="657" t="s">
        <v>590</v>
      </c>
      <c r="Q85" s="657" t="s">
        <v>521</v>
      </c>
      <c r="S85" s="657" t="s">
        <v>590</v>
      </c>
    </row>
    <row r="86" spans="1:19" x14ac:dyDescent="0.2">
      <c r="A86" s="89">
        <v>83</v>
      </c>
      <c r="B86" s="213"/>
      <c r="C86" s="213"/>
      <c r="D86" s="213"/>
      <c r="E86" s="213"/>
      <c r="F86" s="213"/>
      <c r="G86" s="213"/>
      <c r="H86" s="213"/>
      <c r="I86" s="213"/>
      <c r="O86" s="657" t="s">
        <v>591</v>
      </c>
      <c r="Q86" s="657" t="s">
        <v>522</v>
      </c>
      <c r="S86" s="657" t="s">
        <v>591</v>
      </c>
    </row>
    <row r="87" spans="1:19" x14ac:dyDescent="0.2">
      <c r="A87" s="89">
        <v>84</v>
      </c>
      <c r="B87" s="213"/>
      <c r="C87" s="213"/>
      <c r="D87" s="213"/>
      <c r="E87" s="213"/>
      <c r="F87" s="213"/>
      <c r="G87" s="213"/>
      <c r="H87" s="213"/>
      <c r="I87" s="213"/>
      <c r="O87" s="657" t="s">
        <v>592</v>
      </c>
      <c r="Q87" s="657" t="s">
        <v>523</v>
      </c>
      <c r="S87" s="657" t="s">
        <v>592</v>
      </c>
    </row>
    <row r="88" spans="1:19" x14ac:dyDescent="0.2">
      <c r="A88" s="89">
        <v>85</v>
      </c>
      <c r="B88" s="213"/>
      <c r="C88" s="213"/>
      <c r="D88" s="213"/>
      <c r="E88" s="213"/>
      <c r="F88" s="213"/>
      <c r="G88" s="213"/>
      <c r="H88" s="213"/>
      <c r="I88" s="213"/>
      <c r="O88" s="657" t="s">
        <v>593</v>
      </c>
      <c r="Q88" s="657" t="s">
        <v>524</v>
      </c>
      <c r="S88" s="657" t="s">
        <v>593</v>
      </c>
    </row>
    <row r="89" spans="1:19" x14ac:dyDescent="0.2">
      <c r="A89" s="89">
        <v>86</v>
      </c>
      <c r="B89" s="213"/>
      <c r="C89" s="213"/>
      <c r="D89" s="213"/>
      <c r="E89" s="213"/>
      <c r="F89" s="213"/>
      <c r="G89" s="213"/>
      <c r="H89" s="213"/>
      <c r="I89" s="213"/>
      <c r="O89" s="657" t="s">
        <v>594</v>
      </c>
      <c r="Q89" s="657" t="s">
        <v>525</v>
      </c>
      <c r="S89" s="657" t="s">
        <v>594</v>
      </c>
    </row>
    <row r="90" spans="1:19" x14ac:dyDescent="0.2">
      <c r="A90" s="89">
        <v>87</v>
      </c>
      <c r="B90" s="213"/>
      <c r="C90" s="213"/>
      <c r="D90" s="213"/>
      <c r="E90" s="213"/>
      <c r="F90" s="213"/>
      <c r="G90" s="213"/>
      <c r="H90" s="213"/>
      <c r="I90" s="213"/>
      <c r="O90" s="657" t="s">
        <v>595</v>
      </c>
      <c r="Q90" s="657" t="s">
        <v>526</v>
      </c>
      <c r="S90" s="657" t="s">
        <v>595</v>
      </c>
    </row>
    <row r="91" spans="1:19" x14ac:dyDescent="0.2">
      <c r="A91" s="89">
        <v>88</v>
      </c>
      <c r="B91" s="213"/>
      <c r="C91" s="213"/>
      <c r="D91" s="213"/>
      <c r="E91" s="213"/>
      <c r="F91" s="213"/>
      <c r="G91" s="213"/>
      <c r="H91" s="213"/>
      <c r="I91" s="213"/>
      <c r="O91" s="657" t="s">
        <v>596</v>
      </c>
      <c r="Q91" s="657" t="s">
        <v>527</v>
      </c>
      <c r="S91" s="657" t="s">
        <v>596</v>
      </c>
    </row>
    <row r="92" spans="1:19" x14ac:dyDescent="0.2">
      <c r="A92" s="89">
        <v>89</v>
      </c>
      <c r="B92" s="66" t="s">
        <v>1783</v>
      </c>
      <c r="C92" s="213"/>
      <c r="D92" s="66" t="s">
        <v>1782</v>
      </c>
      <c r="E92" s="213"/>
      <c r="F92" s="213"/>
      <c r="G92" s="213"/>
      <c r="H92" s="213"/>
      <c r="I92" s="213"/>
      <c r="O92" s="657" t="s">
        <v>597</v>
      </c>
      <c r="Q92" s="657" t="s">
        <v>528</v>
      </c>
      <c r="S92" s="657" t="s">
        <v>597</v>
      </c>
    </row>
    <row r="93" spans="1:19" x14ac:dyDescent="0.2">
      <c r="A93" s="89">
        <v>90</v>
      </c>
      <c r="B93" s="213"/>
      <c r="C93" s="213"/>
      <c r="D93" s="213"/>
      <c r="E93" s="213"/>
      <c r="F93" s="213"/>
      <c r="G93" s="213"/>
      <c r="H93" s="213"/>
      <c r="I93" s="213"/>
      <c r="O93" s="657" t="s">
        <v>598</v>
      </c>
      <c r="Q93" s="657" t="s">
        <v>529</v>
      </c>
      <c r="S93" s="657" t="s">
        <v>598</v>
      </c>
    </row>
    <row r="94" spans="1:19" x14ac:dyDescent="0.2">
      <c r="A94" s="89">
        <v>91</v>
      </c>
      <c r="B94" s="213"/>
      <c r="C94" s="213"/>
      <c r="D94" s="213"/>
      <c r="E94" s="213"/>
      <c r="F94" s="213"/>
      <c r="G94" s="213"/>
      <c r="H94" s="213"/>
      <c r="I94" s="213"/>
      <c r="O94" s="657" t="s">
        <v>599</v>
      </c>
      <c r="Q94" s="657" t="s">
        <v>530</v>
      </c>
      <c r="S94" s="657" t="s">
        <v>599</v>
      </c>
    </row>
    <row r="95" spans="1:19" x14ac:dyDescent="0.2">
      <c r="A95" s="89">
        <v>92</v>
      </c>
      <c r="B95" s="213"/>
      <c r="C95" s="213"/>
      <c r="D95" s="213"/>
      <c r="E95" s="213"/>
      <c r="F95" s="213"/>
      <c r="G95" s="213"/>
      <c r="H95" s="213"/>
      <c r="I95" s="213"/>
      <c r="O95" s="657" t="s">
        <v>600</v>
      </c>
      <c r="Q95" s="657" t="s">
        <v>531</v>
      </c>
      <c r="S95" s="657" t="s">
        <v>600</v>
      </c>
    </row>
    <row r="96" spans="1:19" x14ac:dyDescent="0.2">
      <c r="A96" s="89">
        <v>93</v>
      </c>
      <c r="B96" s="213"/>
      <c r="C96" s="213"/>
      <c r="D96" s="213"/>
      <c r="E96" s="213"/>
      <c r="F96" s="213"/>
      <c r="G96" s="213"/>
      <c r="H96" s="213"/>
      <c r="I96" s="213"/>
      <c r="O96" s="657" t="s">
        <v>601</v>
      </c>
      <c r="Q96" s="657" t="s">
        <v>532</v>
      </c>
      <c r="S96" s="657" t="s">
        <v>601</v>
      </c>
    </row>
    <row r="97" spans="1:19" x14ac:dyDescent="0.2">
      <c r="A97" s="89">
        <v>94</v>
      </c>
      <c r="B97" s="213"/>
      <c r="C97" s="213"/>
      <c r="D97" s="213"/>
      <c r="E97" s="213"/>
      <c r="F97" s="213"/>
      <c r="G97" s="213"/>
      <c r="H97" s="213"/>
      <c r="I97" s="213"/>
      <c r="O97" s="657" t="s">
        <v>602</v>
      </c>
      <c r="Q97" s="657" t="s">
        <v>533</v>
      </c>
      <c r="S97" s="657" t="s">
        <v>602</v>
      </c>
    </row>
    <row r="98" spans="1:19" x14ac:dyDescent="0.2">
      <c r="A98" s="89">
        <v>95</v>
      </c>
      <c r="B98" s="213"/>
      <c r="C98" s="213"/>
      <c r="D98" s="213"/>
      <c r="E98" s="213"/>
      <c r="F98" s="213"/>
      <c r="G98" s="213"/>
      <c r="H98" s="213"/>
      <c r="I98" s="213"/>
      <c r="O98" s="657" t="s">
        <v>603</v>
      </c>
      <c r="Q98" s="657" t="s">
        <v>534</v>
      </c>
      <c r="S98" s="657" t="s">
        <v>603</v>
      </c>
    </row>
    <row r="99" spans="1:19" x14ac:dyDescent="0.2">
      <c r="A99" s="89">
        <v>96</v>
      </c>
      <c r="B99" s="213"/>
      <c r="C99" s="213"/>
      <c r="D99" s="213"/>
      <c r="E99" s="213"/>
      <c r="F99" s="213"/>
      <c r="G99" s="213"/>
      <c r="H99" s="213"/>
      <c r="I99" s="213"/>
      <c r="O99" s="657" t="s">
        <v>604</v>
      </c>
      <c r="Q99" s="657" t="s">
        <v>535</v>
      </c>
      <c r="S99" s="657" t="s">
        <v>604</v>
      </c>
    </row>
    <row r="100" spans="1:19" x14ac:dyDescent="0.2">
      <c r="A100" s="89">
        <v>97</v>
      </c>
      <c r="B100" s="213"/>
      <c r="C100" s="213"/>
      <c r="D100" s="213"/>
      <c r="E100" s="213"/>
      <c r="F100" s="213"/>
      <c r="G100" s="213"/>
      <c r="H100" s="213"/>
      <c r="I100" s="213"/>
      <c r="O100" s="657" t="s">
        <v>605</v>
      </c>
      <c r="Q100" s="657" t="s">
        <v>536</v>
      </c>
      <c r="S100" s="657" t="s">
        <v>605</v>
      </c>
    </row>
    <row r="101" spans="1:19" x14ac:dyDescent="0.2">
      <c r="A101" s="89">
        <v>98</v>
      </c>
      <c r="B101" s="213"/>
      <c r="C101" s="213"/>
      <c r="D101" s="213"/>
      <c r="E101" s="213"/>
      <c r="F101" s="213"/>
      <c r="G101" s="213"/>
      <c r="H101" s="213"/>
      <c r="I101" s="213"/>
      <c r="O101" s="657" t="s">
        <v>606</v>
      </c>
      <c r="Q101" s="657" t="s">
        <v>537</v>
      </c>
      <c r="S101" s="657" t="s">
        <v>606</v>
      </c>
    </row>
    <row r="102" spans="1:19" x14ac:dyDescent="0.2">
      <c r="A102" s="89">
        <v>99</v>
      </c>
      <c r="B102" s="213"/>
      <c r="C102" s="66" t="s">
        <v>1316</v>
      </c>
      <c r="D102" s="66" t="s">
        <v>1290</v>
      </c>
      <c r="E102" s="213"/>
      <c r="F102" s="213"/>
      <c r="G102" s="213"/>
      <c r="H102" s="66" t="s">
        <v>1647</v>
      </c>
      <c r="I102" s="213"/>
      <c r="O102" s="657" t="s">
        <v>456</v>
      </c>
      <c r="Q102" s="657" t="s">
        <v>403</v>
      </c>
      <c r="S102" s="657" t="s">
        <v>456</v>
      </c>
    </row>
    <row r="103" spans="1:19" x14ac:dyDescent="0.2">
      <c r="O103" s="657" t="s">
        <v>234</v>
      </c>
      <c r="S103" s="657" t="s">
        <v>385</v>
      </c>
    </row>
    <row r="104" spans="1:19" x14ac:dyDescent="0.2">
      <c r="O104" s="657" t="s">
        <v>355</v>
      </c>
      <c r="S104" s="657" t="s">
        <v>350</v>
      </c>
    </row>
    <row r="105" spans="1:19" x14ac:dyDescent="0.2">
      <c r="O105" s="657" t="s">
        <v>356</v>
      </c>
      <c r="S105" s="657" t="s">
        <v>351</v>
      </c>
    </row>
    <row r="106" spans="1:19" x14ac:dyDescent="0.2">
      <c r="O106" s="657" t="s">
        <v>404</v>
      </c>
      <c r="S106" s="657" t="s">
        <v>386</v>
      </c>
    </row>
    <row r="107" spans="1:19" x14ac:dyDescent="0.2">
      <c r="O107" s="657" t="s">
        <v>405</v>
      </c>
      <c r="S107" s="657" t="s">
        <v>387</v>
      </c>
    </row>
    <row r="108" spans="1:19" x14ac:dyDescent="0.2">
      <c r="O108" s="657" t="s">
        <v>406</v>
      </c>
      <c r="S108" s="657" t="s">
        <v>388</v>
      </c>
    </row>
    <row r="109" spans="1:19" x14ac:dyDescent="0.2">
      <c r="O109" s="657" t="s">
        <v>380</v>
      </c>
      <c r="S109" s="657" t="s">
        <v>384</v>
      </c>
    </row>
    <row r="110" spans="1:19" x14ac:dyDescent="0.2">
      <c r="O110" s="657" t="s">
        <v>407</v>
      </c>
      <c r="S110" s="657" t="s">
        <v>389</v>
      </c>
    </row>
    <row r="111" spans="1:19" x14ac:dyDescent="0.2">
      <c r="O111" s="657" t="s">
        <v>408</v>
      </c>
      <c r="S111" s="657" t="s">
        <v>390</v>
      </c>
    </row>
    <row r="112" spans="1:19" x14ac:dyDescent="0.2">
      <c r="O112" s="657" t="s">
        <v>409</v>
      </c>
      <c r="S112" s="657" t="s">
        <v>391</v>
      </c>
    </row>
    <row r="113" spans="15:19" x14ac:dyDescent="0.2">
      <c r="O113" s="657" t="s">
        <v>410</v>
      </c>
      <c r="S113" s="657" t="s">
        <v>392</v>
      </c>
    </row>
    <row r="114" spans="15:19" x14ac:dyDescent="0.2">
      <c r="O114" s="657" t="s">
        <v>357</v>
      </c>
      <c r="S114" s="657" t="s">
        <v>352</v>
      </c>
    </row>
    <row r="115" spans="15:19" x14ac:dyDescent="0.2">
      <c r="O115" s="657" t="s">
        <v>362</v>
      </c>
      <c r="S115" s="657" t="s">
        <v>353</v>
      </c>
    </row>
    <row r="116" spans="15:19" x14ac:dyDescent="0.2">
      <c r="O116" s="657" t="s">
        <v>358</v>
      </c>
      <c r="S116" s="657" t="s">
        <v>354</v>
      </c>
    </row>
    <row r="117" spans="15:19" x14ac:dyDescent="0.2">
      <c r="O117" s="657" t="s">
        <v>359</v>
      </c>
      <c r="S117" s="657" t="s">
        <v>360</v>
      </c>
    </row>
    <row r="118" spans="15:19" x14ac:dyDescent="0.2">
      <c r="O118" s="657" t="s">
        <v>411</v>
      </c>
      <c r="S118" s="657" t="s">
        <v>369</v>
      </c>
    </row>
    <row r="119" spans="15:19" x14ac:dyDescent="0.2">
      <c r="O119" s="657" t="s">
        <v>412</v>
      </c>
      <c r="S119" s="657" t="s">
        <v>370</v>
      </c>
    </row>
    <row r="120" spans="15:19" x14ac:dyDescent="0.2">
      <c r="O120" s="657" t="s">
        <v>375</v>
      </c>
      <c r="S120" s="657" t="s">
        <v>374</v>
      </c>
    </row>
    <row r="121" spans="15:19" x14ac:dyDescent="0.2">
      <c r="O121" s="657" t="s">
        <v>363</v>
      </c>
      <c r="S121" s="657" t="s">
        <v>393</v>
      </c>
    </row>
    <row r="122" spans="15:19" x14ac:dyDescent="0.2">
      <c r="O122" s="657" t="s">
        <v>413</v>
      </c>
      <c r="S122" s="657" t="s">
        <v>361</v>
      </c>
    </row>
    <row r="123" spans="15:19" x14ac:dyDescent="0.2">
      <c r="O123" s="657" t="s">
        <v>364</v>
      </c>
      <c r="S123" s="657" t="s">
        <v>394</v>
      </c>
    </row>
    <row r="124" spans="15:19" x14ac:dyDescent="0.2">
      <c r="O124" s="657" t="s">
        <v>365</v>
      </c>
      <c r="S124" s="657" t="s">
        <v>395</v>
      </c>
    </row>
    <row r="125" spans="15:19" x14ac:dyDescent="0.2">
      <c r="O125" s="657" t="s">
        <v>366</v>
      </c>
      <c r="S125" s="657" t="s">
        <v>396</v>
      </c>
    </row>
    <row r="126" spans="15:19" x14ac:dyDescent="0.2">
      <c r="O126" s="657" t="s">
        <v>371</v>
      </c>
      <c r="S126" s="657" t="s">
        <v>397</v>
      </c>
    </row>
    <row r="127" spans="15:19" x14ac:dyDescent="0.2">
      <c r="O127" s="657" t="s">
        <v>414</v>
      </c>
      <c r="S127" s="657" t="s">
        <v>398</v>
      </c>
    </row>
    <row r="128" spans="15:19" x14ac:dyDescent="0.2">
      <c r="O128" s="657" t="s">
        <v>415</v>
      </c>
      <c r="S128" s="657" t="s">
        <v>399</v>
      </c>
    </row>
    <row r="129" spans="15:19" x14ac:dyDescent="0.2">
      <c r="O129" s="657" t="s">
        <v>416</v>
      </c>
      <c r="S129" s="657" t="s">
        <v>400</v>
      </c>
    </row>
    <row r="130" spans="15:19" x14ac:dyDescent="0.2">
      <c r="O130" s="657" t="s">
        <v>417</v>
      </c>
      <c r="S130" s="657" t="s">
        <v>401</v>
      </c>
    </row>
    <row r="131" spans="15:19" x14ac:dyDescent="0.2">
      <c r="O131" s="657" t="s">
        <v>418</v>
      </c>
      <c r="S131" s="657" t="s">
        <v>402</v>
      </c>
    </row>
    <row r="132" spans="15:19" x14ac:dyDescent="0.2">
      <c r="O132" s="657" t="s">
        <v>419</v>
      </c>
      <c r="S132" s="657" t="s">
        <v>469</v>
      </c>
    </row>
    <row r="133" spans="15:19" x14ac:dyDescent="0.2">
      <c r="O133" s="657" t="s">
        <v>376</v>
      </c>
      <c r="S133" s="657" t="s">
        <v>470</v>
      </c>
    </row>
    <row r="134" spans="15:19" x14ac:dyDescent="0.2">
      <c r="O134" s="657" t="s">
        <v>420</v>
      </c>
      <c r="S134" s="657" t="s">
        <v>471</v>
      </c>
    </row>
    <row r="135" spans="15:19" x14ac:dyDescent="0.2">
      <c r="O135" s="657" t="s">
        <v>421</v>
      </c>
      <c r="S135" s="657" t="s">
        <v>472</v>
      </c>
    </row>
    <row r="136" spans="15:19" x14ac:dyDescent="0.2">
      <c r="O136" s="657" t="s">
        <v>422</v>
      </c>
      <c r="S136" s="657" t="s">
        <v>473</v>
      </c>
    </row>
    <row r="137" spans="15:19" x14ac:dyDescent="0.2">
      <c r="O137" s="657" t="s">
        <v>423</v>
      </c>
      <c r="S137" s="657" t="s">
        <v>474</v>
      </c>
    </row>
    <row r="138" spans="15:19" x14ac:dyDescent="0.2">
      <c r="O138" s="657" t="s">
        <v>424</v>
      </c>
      <c r="S138" s="657" t="s">
        <v>475</v>
      </c>
    </row>
    <row r="139" spans="15:19" x14ac:dyDescent="0.2">
      <c r="O139" s="657" t="s">
        <v>425</v>
      </c>
      <c r="S139" s="657" t="s">
        <v>476</v>
      </c>
    </row>
    <row r="140" spans="15:19" x14ac:dyDescent="0.2">
      <c r="O140" s="657" t="s">
        <v>426</v>
      </c>
      <c r="S140" s="657" t="s">
        <v>477</v>
      </c>
    </row>
    <row r="141" spans="15:19" x14ac:dyDescent="0.2">
      <c r="O141" s="657" t="s">
        <v>427</v>
      </c>
      <c r="S141" s="657" t="s">
        <v>478</v>
      </c>
    </row>
    <row r="142" spans="15:19" x14ac:dyDescent="0.2">
      <c r="O142" s="657" t="s">
        <v>428</v>
      </c>
      <c r="S142" s="657" t="s">
        <v>479</v>
      </c>
    </row>
    <row r="143" spans="15:19" x14ac:dyDescent="0.2">
      <c r="O143" s="657" t="s">
        <v>429</v>
      </c>
      <c r="S143" s="657" t="s">
        <v>480</v>
      </c>
    </row>
    <row r="144" spans="15:19" x14ac:dyDescent="0.2">
      <c r="O144" s="657" t="s">
        <v>607</v>
      </c>
      <c r="S144" s="657" t="s">
        <v>481</v>
      </c>
    </row>
    <row r="145" spans="15:19" x14ac:dyDescent="0.2">
      <c r="O145" s="657" t="s">
        <v>608</v>
      </c>
      <c r="S145" s="657" t="s">
        <v>482</v>
      </c>
    </row>
    <row r="146" spans="15:19" x14ac:dyDescent="0.2">
      <c r="O146" s="657" t="s">
        <v>609</v>
      </c>
      <c r="S146" s="657" t="s">
        <v>483</v>
      </c>
    </row>
    <row r="147" spans="15:19" x14ac:dyDescent="0.2">
      <c r="O147" s="657" t="s">
        <v>610</v>
      </c>
      <c r="S147" s="657" t="s">
        <v>484</v>
      </c>
    </row>
    <row r="148" spans="15:19" x14ac:dyDescent="0.2">
      <c r="O148" s="657" t="s">
        <v>611</v>
      </c>
      <c r="S148" s="657" t="s">
        <v>485</v>
      </c>
    </row>
    <row r="149" spans="15:19" x14ac:dyDescent="0.2">
      <c r="O149" s="657" t="s">
        <v>612</v>
      </c>
      <c r="S149" s="657" t="s">
        <v>486</v>
      </c>
    </row>
    <row r="150" spans="15:19" x14ac:dyDescent="0.2">
      <c r="O150" s="657" t="s">
        <v>613</v>
      </c>
      <c r="S150" s="657" t="s">
        <v>487</v>
      </c>
    </row>
    <row r="151" spans="15:19" x14ac:dyDescent="0.2">
      <c r="O151" s="657" t="s">
        <v>614</v>
      </c>
      <c r="S151" s="657" t="s">
        <v>488</v>
      </c>
    </row>
    <row r="152" spans="15:19" x14ac:dyDescent="0.2">
      <c r="O152" s="657" t="s">
        <v>615</v>
      </c>
      <c r="S152" s="657" t="s">
        <v>489</v>
      </c>
    </row>
    <row r="153" spans="15:19" x14ac:dyDescent="0.2">
      <c r="O153" s="657" t="s">
        <v>616</v>
      </c>
      <c r="S153" s="657" t="s">
        <v>490</v>
      </c>
    </row>
    <row r="154" spans="15:19" x14ac:dyDescent="0.2">
      <c r="O154" s="657" t="s">
        <v>617</v>
      </c>
      <c r="S154" s="657" t="s">
        <v>491</v>
      </c>
    </row>
    <row r="155" spans="15:19" x14ac:dyDescent="0.2">
      <c r="O155" s="657" t="s">
        <v>618</v>
      </c>
      <c r="S155" s="657" t="s">
        <v>492</v>
      </c>
    </row>
    <row r="156" spans="15:19" x14ac:dyDescent="0.2">
      <c r="O156" s="657" t="s">
        <v>619</v>
      </c>
      <c r="S156" s="657" t="s">
        <v>493</v>
      </c>
    </row>
    <row r="157" spans="15:19" x14ac:dyDescent="0.2">
      <c r="O157" s="657" t="s">
        <v>620</v>
      </c>
      <c r="S157" s="657" t="s">
        <v>494</v>
      </c>
    </row>
    <row r="158" spans="15:19" x14ac:dyDescent="0.2">
      <c r="O158" s="657" t="s">
        <v>621</v>
      </c>
      <c r="S158" s="657" t="s">
        <v>495</v>
      </c>
    </row>
    <row r="159" spans="15:19" x14ac:dyDescent="0.2">
      <c r="O159" s="657" t="s">
        <v>622</v>
      </c>
      <c r="S159" s="657" t="s">
        <v>496</v>
      </c>
    </row>
    <row r="160" spans="15:19" x14ac:dyDescent="0.2">
      <c r="O160" s="657" t="s">
        <v>623</v>
      </c>
      <c r="S160" s="657" t="s">
        <v>497</v>
      </c>
    </row>
    <row r="161" spans="15:19" x14ac:dyDescent="0.2">
      <c r="O161" s="657" t="s">
        <v>624</v>
      </c>
      <c r="S161" s="657" t="s">
        <v>498</v>
      </c>
    </row>
    <row r="162" spans="15:19" x14ac:dyDescent="0.2">
      <c r="O162" s="657" t="s">
        <v>625</v>
      </c>
      <c r="S162" s="657" t="s">
        <v>499</v>
      </c>
    </row>
    <row r="163" spans="15:19" x14ac:dyDescent="0.2">
      <c r="O163" s="657" t="s">
        <v>626</v>
      </c>
      <c r="S163" s="657" t="s">
        <v>500</v>
      </c>
    </row>
    <row r="164" spans="15:19" x14ac:dyDescent="0.2">
      <c r="O164" s="657" t="s">
        <v>627</v>
      </c>
      <c r="S164" s="657" t="s">
        <v>501</v>
      </c>
    </row>
    <row r="165" spans="15:19" x14ac:dyDescent="0.2">
      <c r="O165" s="657" t="s">
        <v>628</v>
      </c>
      <c r="S165" s="657" t="s">
        <v>502</v>
      </c>
    </row>
    <row r="166" spans="15:19" x14ac:dyDescent="0.2">
      <c r="O166" s="657" t="s">
        <v>629</v>
      </c>
      <c r="S166" s="657" t="s">
        <v>503</v>
      </c>
    </row>
    <row r="167" spans="15:19" x14ac:dyDescent="0.2">
      <c r="O167" s="657" t="s">
        <v>630</v>
      </c>
      <c r="S167" s="657" t="s">
        <v>504</v>
      </c>
    </row>
    <row r="168" spans="15:19" x14ac:dyDescent="0.2">
      <c r="O168" s="657" t="s">
        <v>631</v>
      </c>
      <c r="S168" s="657" t="s">
        <v>505</v>
      </c>
    </row>
    <row r="169" spans="15:19" x14ac:dyDescent="0.2">
      <c r="O169" s="657" t="s">
        <v>632</v>
      </c>
      <c r="S169" s="657" t="s">
        <v>506</v>
      </c>
    </row>
    <row r="170" spans="15:19" x14ac:dyDescent="0.2">
      <c r="O170" s="657" t="s">
        <v>633</v>
      </c>
      <c r="S170" s="657" t="s">
        <v>507</v>
      </c>
    </row>
    <row r="171" spans="15:19" x14ac:dyDescent="0.2">
      <c r="O171" s="657" t="s">
        <v>634</v>
      </c>
      <c r="S171" s="657" t="s">
        <v>508</v>
      </c>
    </row>
    <row r="172" spans="15:19" x14ac:dyDescent="0.2">
      <c r="O172" s="657" t="s">
        <v>635</v>
      </c>
      <c r="S172" s="657" t="s">
        <v>509</v>
      </c>
    </row>
    <row r="173" spans="15:19" x14ac:dyDescent="0.2">
      <c r="O173" s="657" t="s">
        <v>636</v>
      </c>
      <c r="S173" s="657" t="s">
        <v>510</v>
      </c>
    </row>
    <row r="174" spans="15:19" x14ac:dyDescent="0.2">
      <c r="O174" s="657" t="s">
        <v>637</v>
      </c>
      <c r="S174" s="657" t="s">
        <v>511</v>
      </c>
    </row>
    <row r="175" spans="15:19" x14ac:dyDescent="0.2">
      <c r="O175" s="657" t="s">
        <v>638</v>
      </c>
      <c r="S175" s="657" t="s">
        <v>512</v>
      </c>
    </row>
    <row r="176" spans="15:19" x14ac:dyDescent="0.2">
      <c r="O176" s="657" t="s">
        <v>639</v>
      </c>
      <c r="S176" s="657" t="s">
        <v>513</v>
      </c>
    </row>
    <row r="177" spans="15:19" x14ac:dyDescent="0.2">
      <c r="O177" s="657" t="s">
        <v>640</v>
      </c>
      <c r="S177" s="657" t="s">
        <v>514</v>
      </c>
    </row>
    <row r="178" spans="15:19" x14ac:dyDescent="0.2">
      <c r="O178" s="657" t="s">
        <v>641</v>
      </c>
      <c r="S178" s="657" t="s">
        <v>515</v>
      </c>
    </row>
    <row r="179" spans="15:19" x14ac:dyDescent="0.2">
      <c r="O179" s="657" t="s">
        <v>642</v>
      </c>
      <c r="S179" s="657" t="s">
        <v>516</v>
      </c>
    </row>
    <row r="180" spans="15:19" x14ac:dyDescent="0.2">
      <c r="O180" s="657" t="s">
        <v>643</v>
      </c>
      <c r="S180" s="657" t="s">
        <v>517</v>
      </c>
    </row>
    <row r="181" spans="15:19" x14ac:dyDescent="0.2">
      <c r="O181" s="657" t="s">
        <v>644</v>
      </c>
      <c r="S181" s="657" t="s">
        <v>518</v>
      </c>
    </row>
    <row r="182" spans="15:19" x14ac:dyDescent="0.2">
      <c r="O182" s="657" t="s">
        <v>645</v>
      </c>
      <c r="S182" s="657" t="s">
        <v>519</v>
      </c>
    </row>
    <row r="183" spans="15:19" x14ac:dyDescent="0.2">
      <c r="O183" s="657" t="s">
        <v>646</v>
      </c>
      <c r="S183" s="657" t="s">
        <v>520</v>
      </c>
    </row>
    <row r="184" spans="15:19" x14ac:dyDescent="0.2">
      <c r="O184" s="657" t="s">
        <v>647</v>
      </c>
      <c r="S184" s="657" t="s">
        <v>521</v>
      </c>
    </row>
    <row r="185" spans="15:19" x14ac:dyDescent="0.2">
      <c r="O185" s="657" t="s">
        <v>648</v>
      </c>
      <c r="S185" s="657" t="s">
        <v>522</v>
      </c>
    </row>
    <row r="186" spans="15:19" x14ac:dyDescent="0.2">
      <c r="O186" s="657" t="s">
        <v>649</v>
      </c>
      <c r="S186" s="657" t="s">
        <v>523</v>
      </c>
    </row>
    <row r="187" spans="15:19" x14ac:dyDescent="0.2">
      <c r="O187" s="657" t="s">
        <v>650</v>
      </c>
      <c r="S187" s="657" t="s">
        <v>524</v>
      </c>
    </row>
    <row r="188" spans="15:19" x14ac:dyDescent="0.2">
      <c r="O188" s="657" t="s">
        <v>651</v>
      </c>
      <c r="S188" s="657" t="s">
        <v>525</v>
      </c>
    </row>
    <row r="189" spans="15:19" x14ac:dyDescent="0.2">
      <c r="O189" s="657" t="s">
        <v>652</v>
      </c>
      <c r="S189" s="657" t="s">
        <v>526</v>
      </c>
    </row>
    <row r="190" spans="15:19" x14ac:dyDescent="0.2">
      <c r="O190" s="657" t="s">
        <v>653</v>
      </c>
      <c r="S190" s="657" t="s">
        <v>527</v>
      </c>
    </row>
    <row r="191" spans="15:19" x14ac:dyDescent="0.2">
      <c r="O191" s="657" t="s">
        <v>654</v>
      </c>
      <c r="S191" s="657" t="s">
        <v>528</v>
      </c>
    </row>
    <row r="192" spans="15:19" x14ac:dyDescent="0.2">
      <c r="O192" s="657" t="s">
        <v>655</v>
      </c>
      <c r="S192" s="657" t="s">
        <v>529</v>
      </c>
    </row>
    <row r="193" spans="15:19" x14ac:dyDescent="0.2">
      <c r="O193" s="657" t="s">
        <v>656</v>
      </c>
      <c r="S193" s="657" t="s">
        <v>530</v>
      </c>
    </row>
    <row r="194" spans="15:19" x14ac:dyDescent="0.2">
      <c r="O194" s="657" t="s">
        <v>657</v>
      </c>
      <c r="S194" s="657" t="s">
        <v>531</v>
      </c>
    </row>
    <row r="195" spans="15:19" x14ac:dyDescent="0.2">
      <c r="O195" s="657" t="s">
        <v>658</v>
      </c>
      <c r="S195" s="657" t="s">
        <v>532</v>
      </c>
    </row>
    <row r="196" spans="15:19" x14ac:dyDescent="0.2">
      <c r="O196" s="657" t="s">
        <v>659</v>
      </c>
      <c r="S196" s="657" t="s">
        <v>533</v>
      </c>
    </row>
    <row r="197" spans="15:19" x14ac:dyDescent="0.2">
      <c r="O197" s="657" t="s">
        <v>660</v>
      </c>
      <c r="S197" s="657" t="s">
        <v>534</v>
      </c>
    </row>
    <row r="198" spans="15:19" x14ac:dyDescent="0.2">
      <c r="O198" s="657" t="s">
        <v>661</v>
      </c>
      <c r="S198" s="657" t="s">
        <v>535</v>
      </c>
    </row>
    <row r="199" spans="15:19" x14ac:dyDescent="0.2">
      <c r="O199" s="657" t="s">
        <v>662</v>
      </c>
      <c r="S199" s="657" t="s">
        <v>536</v>
      </c>
    </row>
    <row r="200" spans="15:19" x14ac:dyDescent="0.2">
      <c r="O200" s="657" t="s">
        <v>663</v>
      </c>
      <c r="S200" s="657" t="s">
        <v>537</v>
      </c>
    </row>
    <row r="201" spans="15:19" x14ac:dyDescent="0.2">
      <c r="O201" s="657" t="s">
        <v>430</v>
      </c>
      <c r="S201" s="657" t="s">
        <v>403</v>
      </c>
    </row>
    <row r="202" spans="15:19" x14ac:dyDescent="0.2">
      <c r="O202" s="657" t="s">
        <v>664</v>
      </c>
      <c r="S202" s="657" t="s">
        <v>234</v>
      </c>
    </row>
    <row r="203" spans="15:19" x14ac:dyDescent="0.2">
      <c r="O203" s="657" t="s">
        <v>665</v>
      </c>
      <c r="S203" s="657" t="s">
        <v>355</v>
      </c>
    </row>
    <row r="204" spans="15:19" x14ac:dyDescent="0.2">
      <c r="O204" s="657" t="s">
        <v>666</v>
      </c>
      <c r="S204" s="657" t="s">
        <v>356</v>
      </c>
    </row>
    <row r="205" spans="15:19" x14ac:dyDescent="0.2">
      <c r="O205" s="657" t="s">
        <v>667</v>
      </c>
      <c r="S205" s="657" t="s">
        <v>404</v>
      </c>
    </row>
    <row r="206" spans="15:19" x14ac:dyDescent="0.2">
      <c r="O206" s="657" t="s">
        <v>668</v>
      </c>
      <c r="S206" s="657" t="s">
        <v>405</v>
      </c>
    </row>
    <row r="207" spans="15:19" x14ac:dyDescent="0.2">
      <c r="O207" s="657" t="s">
        <v>669</v>
      </c>
      <c r="S207" s="657" t="s">
        <v>406</v>
      </c>
    </row>
    <row r="208" spans="15:19" x14ac:dyDescent="0.2">
      <c r="O208" s="657" t="s">
        <v>670</v>
      </c>
      <c r="S208" s="657" t="s">
        <v>380</v>
      </c>
    </row>
    <row r="209" spans="15:19" x14ac:dyDescent="0.2">
      <c r="O209" s="657" t="s">
        <v>671</v>
      </c>
      <c r="S209" s="657" t="s">
        <v>407</v>
      </c>
    </row>
    <row r="210" spans="15:19" x14ac:dyDescent="0.2">
      <c r="O210" s="657" t="s">
        <v>672</v>
      </c>
      <c r="S210" s="657" t="s">
        <v>408</v>
      </c>
    </row>
    <row r="211" spans="15:19" x14ac:dyDescent="0.2">
      <c r="O211" s="657" t="s">
        <v>673</v>
      </c>
      <c r="S211" s="657" t="s">
        <v>409</v>
      </c>
    </row>
    <row r="212" spans="15:19" x14ac:dyDescent="0.2">
      <c r="O212" s="657" t="s">
        <v>674</v>
      </c>
      <c r="S212" s="657" t="s">
        <v>410</v>
      </c>
    </row>
    <row r="213" spans="15:19" x14ac:dyDescent="0.2">
      <c r="O213" s="657" t="s">
        <v>675</v>
      </c>
      <c r="S213" s="657" t="s">
        <v>357</v>
      </c>
    </row>
    <row r="214" spans="15:19" x14ac:dyDescent="0.2">
      <c r="O214" s="657" t="s">
        <v>676</v>
      </c>
      <c r="S214" s="657" t="s">
        <v>362</v>
      </c>
    </row>
    <row r="215" spans="15:19" x14ac:dyDescent="0.2">
      <c r="O215" s="657" t="s">
        <v>677</v>
      </c>
      <c r="S215" s="657" t="s">
        <v>358</v>
      </c>
    </row>
    <row r="216" spans="15:19" x14ac:dyDescent="0.2">
      <c r="O216" s="657" t="s">
        <v>678</v>
      </c>
      <c r="S216" s="657" t="s">
        <v>359</v>
      </c>
    </row>
    <row r="217" spans="15:19" x14ac:dyDescent="0.2">
      <c r="O217" s="657" t="s">
        <v>679</v>
      </c>
      <c r="S217" s="657" t="s">
        <v>411</v>
      </c>
    </row>
    <row r="218" spans="15:19" x14ac:dyDescent="0.2">
      <c r="O218" s="657" t="s">
        <v>680</v>
      </c>
      <c r="S218" s="657" t="s">
        <v>412</v>
      </c>
    </row>
    <row r="219" spans="15:19" x14ac:dyDescent="0.2">
      <c r="O219" s="657" t="s">
        <v>681</v>
      </c>
      <c r="S219" s="657" t="s">
        <v>375</v>
      </c>
    </row>
    <row r="220" spans="15:19" x14ac:dyDescent="0.2">
      <c r="O220" s="657" t="s">
        <v>682</v>
      </c>
      <c r="S220" s="657" t="s">
        <v>363</v>
      </c>
    </row>
    <row r="221" spans="15:19" x14ac:dyDescent="0.2">
      <c r="O221" s="657" t="s">
        <v>683</v>
      </c>
      <c r="S221" s="657" t="s">
        <v>413</v>
      </c>
    </row>
    <row r="222" spans="15:19" x14ac:dyDescent="0.2">
      <c r="O222" s="657" t="s">
        <v>684</v>
      </c>
      <c r="S222" s="657" t="s">
        <v>364</v>
      </c>
    </row>
    <row r="223" spans="15:19" x14ac:dyDescent="0.2">
      <c r="O223" s="657" t="s">
        <v>685</v>
      </c>
      <c r="S223" s="657" t="s">
        <v>365</v>
      </c>
    </row>
    <row r="224" spans="15:19" x14ac:dyDescent="0.2">
      <c r="O224" s="657" t="s">
        <v>686</v>
      </c>
      <c r="S224" s="657" t="s">
        <v>366</v>
      </c>
    </row>
    <row r="225" spans="15:19" x14ac:dyDescent="0.2">
      <c r="O225" s="657" t="s">
        <v>687</v>
      </c>
      <c r="S225" s="657" t="s">
        <v>371</v>
      </c>
    </row>
    <row r="226" spans="15:19" x14ac:dyDescent="0.2">
      <c r="O226" s="657" t="s">
        <v>688</v>
      </c>
      <c r="S226" s="657" t="s">
        <v>414</v>
      </c>
    </row>
    <row r="227" spans="15:19" x14ac:dyDescent="0.2">
      <c r="O227" s="657" t="s">
        <v>689</v>
      </c>
      <c r="S227" s="657" t="s">
        <v>415</v>
      </c>
    </row>
    <row r="228" spans="15:19" x14ac:dyDescent="0.2">
      <c r="O228" s="657" t="s">
        <v>690</v>
      </c>
      <c r="S228" s="657" t="s">
        <v>416</v>
      </c>
    </row>
    <row r="229" spans="15:19" x14ac:dyDescent="0.2">
      <c r="O229" s="657" t="s">
        <v>691</v>
      </c>
      <c r="S229" s="657" t="s">
        <v>417</v>
      </c>
    </row>
    <row r="230" spans="15:19" x14ac:dyDescent="0.2">
      <c r="O230" s="657" t="s">
        <v>692</v>
      </c>
      <c r="S230" s="657" t="s">
        <v>418</v>
      </c>
    </row>
    <row r="231" spans="15:19" x14ac:dyDescent="0.2">
      <c r="O231" s="657" t="s">
        <v>693</v>
      </c>
      <c r="S231" s="657" t="s">
        <v>419</v>
      </c>
    </row>
    <row r="232" spans="15:19" x14ac:dyDescent="0.2">
      <c r="O232" s="657" t="s">
        <v>694</v>
      </c>
      <c r="S232" s="657" t="s">
        <v>376</v>
      </c>
    </row>
    <row r="233" spans="15:19" x14ac:dyDescent="0.2">
      <c r="O233" s="657" t="s">
        <v>695</v>
      </c>
      <c r="S233" s="657" t="s">
        <v>420</v>
      </c>
    </row>
    <row r="234" spans="15:19" x14ac:dyDescent="0.2">
      <c r="O234" s="657" t="s">
        <v>696</v>
      </c>
      <c r="S234" s="657" t="s">
        <v>421</v>
      </c>
    </row>
    <row r="235" spans="15:19" x14ac:dyDescent="0.2">
      <c r="O235" s="657" t="s">
        <v>697</v>
      </c>
      <c r="S235" s="657" t="s">
        <v>422</v>
      </c>
    </row>
    <row r="236" spans="15:19" x14ac:dyDescent="0.2">
      <c r="O236" s="657" t="s">
        <v>698</v>
      </c>
      <c r="S236" s="657" t="s">
        <v>423</v>
      </c>
    </row>
    <row r="237" spans="15:19" x14ac:dyDescent="0.2">
      <c r="O237" s="657" t="s">
        <v>699</v>
      </c>
      <c r="S237" s="657" t="s">
        <v>424</v>
      </c>
    </row>
    <row r="238" spans="15:19" x14ac:dyDescent="0.2">
      <c r="O238" s="657" t="s">
        <v>700</v>
      </c>
      <c r="S238" s="657" t="s">
        <v>425</v>
      </c>
    </row>
    <row r="239" spans="15:19" x14ac:dyDescent="0.2">
      <c r="O239" s="657" t="s">
        <v>701</v>
      </c>
      <c r="S239" s="657" t="s">
        <v>426</v>
      </c>
    </row>
    <row r="240" spans="15:19" x14ac:dyDescent="0.2">
      <c r="O240" s="657" t="s">
        <v>702</v>
      </c>
      <c r="S240" s="657" t="s">
        <v>427</v>
      </c>
    </row>
    <row r="241" spans="15:19" x14ac:dyDescent="0.2">
      <c r="O241" s="657" t="s">
        <v>703</v>
      </c>
      <c r="S241" s="657" t="s">
        <v>428</v>
      </c>
    </row>
    <row r="242" spans="15:19" x14ac:dyDescent="0.2">
      <c r="O242" s="657" t="s">
        <v>704</v>
      </c>
      <c r="S242" s="657" t="s">
        <v>429</v>
      </c>
    </row>
    <row r="243" spans="15:19" x14ac:dyDescent="0.2">
      <c r="O243" s="657" t="s">
        <v>705</v>
      </c>
      <c r="S243" s="657" t="s">
        <v>607</v>
      </c>
    </row>
    <row r="244" spans="15:19" x14ac:dyDescent="0.2">
      <c r="O244" s="657" t="s">
        <v>706</v>
      </c>
      <c r="S244" s="657" t="s">
        <v>608</v>
      </c>
    </row>
    <row r="245" spans="15:19" x14ac:dyDescent="0.2">
      <c r="O245" s="657" t="s">
        <v>707</v>
      </c>
      <c r="S245" s="657" t="s">
        <v>609</v>
      </c>
    </row>
    <row r="246" spans="15:19" x14ac:dyDescent="0.2">
      <c r="O246" s="657" t="s">
        <v>708</v>
      </c>
      <c r="S246" s="657" t="s">
        <v>610</v>
      </c>
    </row>
    <row r="247" spans="15:19" x14ac:dyDescent="0.2">
      <c r="O247" s="657" t="s">
        <v>709</v>
      </c>
      <c r="S247" s="657" t="s">
        <v>611</v>
      </c>
    </row>
    <row r="248" spans="15:19" x14ac:dyDescent="0.2">
      <c r="O248" s="657" t="s">
        <v>710</v>
      </c>
      <c r="S248" s="657" t="s">
        <v>612</v>
      </c>
    </row>
    <row r="249" spans="15:19" x14ac:dyDescent="0.2">
      <c r="O249" s="657" t="s">
        <v>711</v>
      </c>
      <c r="S249" s="657" t="s">
        <v>613</v>
      </c>
    </row>
    <row r="250" spans="15:19" x14ac:dyDescent="0.2">
      <c r="O250" s="657" t="s">
        <v>712</v>
      </c>
      <c r="S250" s="657" t="s">
        <v>614</v>
      </c>
    </row>
    <row r="251" spans="15:19" x14ac:dyDescent="0.2">
      <c r="O251" s="657" t="s">
        <v>713</v>
      </c>
      <c r="S251" s="657" t="s">
        <v>615</v>
      </c>
    </row>
    <row r="252" spans="15:19" x14ac:dyDescent="0.2">
      <c r="O252" s="657" t="s">
        <v>714</v>
      </c>
      <c r="S252" s="657" t="s">
        <v>616</v>
      </c>
    </row>
    <row r="253" spans="15:19" x14ac:dyDescent="0.2">
      <c r="O253" s="657" t="s">
        <v>715</v>
      </c>
      <c r="S253" s="657" t="s">
        <v>617</v>
      </c>
    </row>
    <row r="254" spans="15:19" x14ac:dyDescent="0.2">
      <c r="O254" s="657" t="s">
        <v>716</v>
      </c>
      <c r="S254" s="657" t="s">
        <v>618</v>
      </c>
    </row>
    <row r="255" spans="15:19" x14ac:dyDescent="0.2">
      <c r="O255" s="657" t="s">
        <v>717</v>
      </c>
      <c r="S255" s="657" t="s">
        <v>619</v>
      </c>
    </row>
    <row r="256" spans="15:19" x14ac:dyDescent="0.2">
      <c r="O256" s="657" t="s">
        <v>718</v>
      </c>
      <c r="S256" s="657" t="s">
        <v>620</v>
      </c>
    </row>
    <row r="257" spans="15:19" x14ac:dyDescent="0.2">
      <c r="O257" s="657" t="s">
        <v>719</v>
      </c>
      <c r="S257" s="657" t="s">
        <v>621</v>
      </c>
    </row>
    <row r="258" spans="15:19" x14ac:dyDescent="0.2">
      <c r="O258" s="657" t="s">
        <v>720</v>
      </c>
      <c r="S258" s="657" t="s">
        <v>622</v>
      </c>
    </row>
    <row r="259" spans="15:19" x14ac:dyDescent="0.2">
      <c r="O259" s="657" t="s">
        <v>721</v>
      </c>
      <c r="S259" s="657" t="s">
        <v>623</v>
      </c>
    </row>
    <row r="260" spans="15:19" x14ac:dyDescent="0.2">
      <c r="O260" s="657" t="s">
        <v>722</v>
      </c>
      <c r="S260" s="657" t="s">
        <v>624</v>
      </c>
    </row>
    <row r="261" spans="15:19" x14ac:dyDescent="0.2">
      <c r="O261" s="657" t="s">
        <v>723</v>
      </c>
      <c r="S261" s="657" t="s">
        <v>625</v>
      </c>
    </row>
    <row r="262" spans="15:19" x14ac:dyDescent="0.2">
      <c r="O262" s="657" t="s">
        <v>724</v>
      </c>
      <c r="S262" s="657" t="s">
        <v>626</v>
      </c>
    </row>
    <row r="263" spans="15:19" x14ac:dyDescent="0.2">
      <c r="O263" s="657" t="s">
        <v>725</v>
      </c>
      <c r="S263" s="657" t="s">
        <v>627</v>
      </c>
    </row>
    <row r="264" spans="15:19" x14ac:dyDescent="0.2">
      <c r="O264" s="657" t="s">
        <v>726</v>
      </c>
      <c r="S264" s="657" t="s">
        <v>628</v>
      </c>
    </row>
    <row r="265" spans="15:19" x14ac:dyDescent="0.2">
      <c r="O265" s="657" t="s">
        <v>727</v>
      </c>
      <c r="S265" s="657" t="s">
        <v>629</v>
      </c>
    </row>
    <row r="266" spans="15:19" x14ac:dyDescent="0.2">
      <c r="O266" s="657" t="s">
        <v>728</v>
      </c>
      <c r="S266" s="657" t="s">
        <v>630</v>
      </c>
    </row>
    <row r="267" spans="15:19" x14ac:dyDescent="0.2">
      <c r="O267" s="657" t="s">
        <v>729</v>
      </c>
      <c r="S267" s="657" t="s">
        <v>631</v>
      </c>
    </row>
    <row r="268" spans="15:19" x14ac:dyDescent="0.2">
      <c r="O268" s="657" t="s">
        <v>730</v>
      </c>
      <c r="S268" s="657" t="s">
        <v>632</v>
      </c>
    </row>
    <row r="269" spans="15:19" x14ac:dyDescent="0.2">
      <c r="O269" s="657" t="s">
        <v>731</v>
      </c>
      <c r="S269" s="657" t="s">
        <v>633</v>
      </c>
    </row>
    <row r="270" spans="15:19" x14ac:dyDescent="0.2">
      <c r="O270" s="657" t="s">
        <v>732</v>
      </c>
      <c r="S270" s="657" t="s">
        <v>634</v>
      </c>
    </row>
    <row r="271" spans="15:19" x14ac:dyDescent="0.2">
      <c r="O271" s="657" t="s">
        <v>733</v>
      </c>
      <c r="S271" s="657" t="s">
        <v>635</v>
      </c>
    </row>
    <row r="272" spans="15:19" x14ac:dyDescent="0.2">
      <c r="O272" s="657" t="s">
        <v>734</v>
      </c>
      <c r="S272" s="657" t="s">
        <v>636</v>
      </c>
    </row>
    <row r="273" spans="15:19" x14ac:dyDescent="0.2">
      <c r="O273" s="657" t="s">
        <v>735</v>
      </c>
      <c r="S273" s="657" t="s">
        <v>637</v>
      </c>
    </row>
    <row r="274" spans="15:19" x14ac:dyDescent="0.2">
      <c r="O274" s="657" t="s">
        <v>736</v>
      </c>
      <c r="S274" s="657" t="s">
        <v>638</v>
      </c>
    </row>
    <row r="275" spans="15:19" x14ac:dyDescent="0.2">
      <c r="O275" s="657" t="s">
        <v>737</v>
      </c>
      <c r="S275" s="657" t="s">
        <v>639</v>
      </c>
    </row>
    <row r="276" spans="15:19" x14ac:dyDescent="0.2">
      <c r="O276" s="657" t="s">
        <v>738</v>
      </c>
      <c r="S276" s="657" t="s">
        <v>640</v>
      </c>
    </row>
    <row r="277" spans="15:19" x14ac:dyDescent="0.2">
      <c r="O277" s="657" t="s">
        <v>739</v>
      </c>
      <c r="S277" s="657" t="s">
        <v>641</v>
      </c>
    </row>
    <row r="278" spans="15:19" x14ac:dyDescent="0.2">
      <c r="O278" s="657" t="s">
        <v>740</v>
      </c>
      <c r="S278" s="657" t="s">
        <v>642</v>
      </c>
    </row>
    <row r="279" spans="15:19" x14ac:dyDescent="0.2">
      <c r="O279" s="657" t="s">
        <v>741</v>
      </c>
      <c r="S279" s="657" t="s">
        <v>643</v>
      </c>
    </row>
    <row r="280" spans="15:19" x14ac:dyDescent="0.2">
      <c r="O280" s="657" t="s">
        <v>742</v>
      </c>
      <c r="S280" s="657" t="s">
        <v>644</v>
      </c>
    </row>
    <row r="281" spans="15:19" x14ac:dyDescent="0.2">
      <c r="O281" s="657" t="s">
        <v>743</v>
      </c>
      <c r="S281" s="657" t="s">
        <v>645</v>
      </c>
    </row>
    <row r="282" spans="15:19" x14ac:dyDescent="0.2">
      <c r="O282" s="657" t="s">
        <v>744</v>
      </c>
      <c r="S282" s="657" t="s">
        <v>646</v>
      </c>
    </row>
    <row r="283" spans="15:19" x14ac:dyDescent="0.2">
      <c r="O283" s="657" t="s">
        <v>745</v>
      </c>
      <c r="S283" s="657" t="s">
        <v>647</v>
      </c>
    </row>
    <row r="284" spans="15:19" x14ac:dyDescent="0.2">
      <c r="O284" s="657" t="s">
        <v>746</v>
      </c>
      <c r="S284" s="657" t="s">
        <v>648</v>
      </c>
    </row>
    <row r="285" spans="15:19" x14ac:dyDescent="0.2">
      <c r="O285" s="657" t="s">
        <v>747</v>
      </c>
      <c r="S285" s="657" t="s">
        <v>649</v>
      </c>
    </row>
    <row r="286" spans="15:19" x14ac:dyDescent="0.2">
      <c r="O286" s="657" t="s">
        <v>748</v>
      </c>
      <c r="S286" s="657" t="s">
        <v>650</v>
      </c>
    </row>
    <row r="287" spans="15:19" x14ac:dyDescent="0.2">
      <c r="O287" s="657" t="s">
        <v>749</v>
      </c>
      <c r="S287" s="657" t="s">
        <v>651</v>
      </c>
    </row>
    <row r="288" spans="15:19" x14ac:dyDescent="0.2">
      <c r="O288" s="657" t="s">
        <v>750</v>
      </c>
      <c r="S288" s="657" t="s">
        <v>652</v>
      </c>
    </row>
    <row r="289" spans="15:19" x14ac:dyDescent="0.2">
      <c r="O289" s="657" t="s">
        <v>751</v>
      </c>
      <c r="S289" s="657" t="s">
        <v>653</v>
      </c>
    </row>
    <row r="290" spans="15:19" x14ac:dyDescent="0.2">
      <c r="O290" s="657" t="s">
        <v>752</v>
      </c>
      <c r="S290" s="657" t="s">
        <v>654</v>
      </c>
    </row>
    <row r="291" spans="15:19" x14ac:dyDescent="0.2">
      <c r="O291" s="657" t="s">
        <v>753</v>
      </c>
      <c r="S291" s="657" t="s">
        <v>655</v>
      </c>
    </row>
    <row r="292" spans="15:19" x14ac:dyDescent="0.2">
      <c r="O292" s="657" t="s">
        <v>754</v>
      </c>
      <c r="S292" s="657" t="s">
        <v>656</v>
      </c>
    </row>
    <row r="293" spans="15:19" x14ac:dyDescent="0.2">
      <c r="O293" s="657" t="s">
        <v>755</v>
      </c>
      <c r="S293" s="657" t="s">
        <v>657</v>
      </c>
    </row>
    <row r="294" spans="15:19" x14ac:dyDescent="0.2">
      <c r="O294" s="657" t="s">
        <v>756</v>
      </c>
      <c r="S294" s="657" t="s">
        <v>658</v>
      </c>
    </row>
    <row r="295" spans="15:19" x14ac:dyDescent="0.2">
      <c r="O295" s="657" t="s">
        <v>757</v>
      </c>
      <c r="S295" s="657" t="s">
        <v>659</v>
      </c>
    </row>
    <row r="296" spans="15:19" x14ac:dyDescent="0.2">
      <c r="O296" s="657" t="s">
        <v>758</v>
      </c>
      <c r="S296" s="657" t="s">
        <v>660</v>
      </c>
    </row>
    <row r="297" spans="15:19" x14ac:dyDescent="0.2">
      <c r="O297" s="657" t="s">
        <v>759</v>
      </c>
      <c r="S297" s="657" t="s">
        <v>661</v>
      </c>
    </row>
    <row r="298" spans="15:19" x14ac:dyDescent="0.2">
      <c r="O298" s="657" t="s">
        <v>760</v>
      </c>
      <c r="S298" s="657" t="s">
        <v>662</v>
      </c>
    </row>
    <row r="299" spans="15:19" x14ac:dyDescent="0.2">
      <c r="O299" s="657" t="s">
        <v>761</v>
      </c>
      <c r="S299" s="657" t="s">
        <v>663</v>
      </c>
    </row>
    <row r="300" spans="15:19" x14ac:dyDescent="0.2">
      <c r="O300" s="657" t="s">
        <v>762</v>
      </c>
      <c r="S300" s="657" t="s">
        <v>430</v>
      </c>
    </row>
    <row r="301" spans="15:19" x14ac:dyDescent="0.2">
      <c r="O301" s="657" t="s">
        <v>232</v>
      </c>
      <c r="S301" s="657" t="s">
        <v>664</v>
      </c>
    </row>
    <row r="302" spans="15:19" x14ac:dyDescent="0.2">
      <c r="O302" s="657" t="s">
        <v>763</v>
      </c>
      <c r="S302" s="657" t="s">
        <v>665</v>
      </c>
    </row>
    <row r="303" spans="15:19" x14ac:dyDescent="0.2">
      <c r="O303" s="657" t="s">
        <v>764</v>
      </c>
      <c r="S303" s="657" t="s">
        <v>666</v>
      </c>
    </row>
    <row r="304" spans="15:19" x14ac:dyDescent="0.2">
      <c r="O304" s="657" t="s">
        <v>765</v>
      </c>
      <c r="S304" s="657" t="s">
        <v>667</v>
      </c>
    </row>
    <row r="305" spans="15:19" x14ac:dyDescent="0.2">
      <c r="O305" s="657" t="s">
        <v>766</v>
      </c>
      <c r="S305" s="657" t="s">
        <v>668</v>
      </c>
    </row>
    <row r="306" spans="15:19" x14ac:dyDescent="0.2">
      <c r="O306" s="657" t="s">
        <v>767</v>
      </c>
      <c r="S306" s="657" t="s">
        <v>669</v>
      </c>
    </row>
    <row r="307" spans="15:19" x14ac:dyDescent="0.2">
      <c r="O307" s="657" t="s">
        <v>768</v>
      </c>
      <c r="S307" s="657" t="s">
        <v>670</v>
      </c>
    </row>
    <row r="308" spans="15:19" x14ac:dyDescent="0.2">
      <c r="O308" s="657" t="s">
        <v>769</v>
      </c>
      <c r="S308" s="657" t="s">
        <v>671</v>
      </c>
    </row>
    <row r="309" spans="15:19" x14ac:dyDescent="0.2">
      <c r="O309" s="657" t="s">
        <v>770</v>
      </c>
      <c r="S309" s="657" t="s">
        <v>672</v>
      </c>
    </row>
    <row r="310" spans="15:19" x14ac:dyDescent="0.2">
      <c r="O310" s="657" t="s">
        <v>771</v>
      </c>
      <c r="S310" s="657" t="s">
        <v>673</v>
      </c>
    </row>
    <row r="311" spans="15:19" x14ac:dyDescent="0.2">
      <c r="O311" s="657" t="s">
        <v>772</v>
      </c>
      <c r="S311" s="657" t="s">
        <v>674</v>
      </c>
    </row>
    <row r="312" spans="15:19" x14ac:dyDescent="0.2">
      <c r="O312" s="657" t="s">
        <v>773</v>
      </c>
      <c r="S312" s="657" t="s">
        <v>675</v>
      </c>
    </row>
    <row r="313" spans="15:19" x14ac:dyDescent="0.2">
      <c r="O313" s="657" t="s">
        <v>774</v>
      </c>
      <c r="S313" s="657" t="s">
        <v>676</v>
      </c>
    </row>
    <row r="314" spans="15:19" x14ac:dyDescent="0.2">
      <c r="O314" s="657" t="s">
        <v>775</v>
      </c>
      <c r="S314" s="657" t="s">
        <v>677</v>
      </c>
    </row>
    <row r="315" spans="15:19" x14ac:dyDescent="0.2">
      <c r="O315" s="657" t="s">
        <v>776</v>
      </c>
      <c r="S315" s="657" t="s">
        <v>678</v>
      </c>
    </row>
    <row r="316" spans="15:19" x14ac:dyDescent="0.2">
      <c r="O316" s="657" t="s">
        <v>777</v>
      </c>
      <c r="S316" s="657" t="s">
        <v>679</v>
      </c>
    </row>
    <row r="317" spans="15:19" x14ac:dyDescent="0.2">
      <c r="O317" s="657" t="s">
        <v>778</v>
      </c>
      <c r="S317" s="657" t="s">
        <v>680</v>
      </c>
    </row>
    <row r="318" spans="15:19" x14ac:dyDescent="0.2">
      <c r="O318" s="657" t="s">
        <v>779</v>
      </c>
      <c r="S318" s="657" t="s">
        <v>681</v>
      </c>
    </row>
    <row r="319" spans="15:19" x14ac:dyDescent="0.2">
      <c r="O319" s="657" t="s">
        <v>780</v>
      </c>
      <c r="S319" s="657" t="s">
        <v>682</v>
      </c>
    </row>
    <row r="320" spans="15:19" x14ac:dyDescent="0.2">
      <c r="O320" s="657" t="s">
        <v>781</v>
      </c>
      <c r="S320" s="657" t="s">
        <v>683</v>
      </c>
    </row>
    <row r="321" spans="15:19" x14ac:dyDescent="0.2">
      <c r="O321" s="657" t="s">
        <v>782</v>
      </c>
      <c r="S321" s="657" t="s">
        <v>684</v>
      </c>
    </row>
    <row r="322" spans="15:19" x14ac:dyDescent="0.2">
      <c r="O322" s="657" t="s">
        <v>783</v>
      </c>
      <c r="S322" s="657" t="s">
        <v>685</v>
      </c>
    </row>
    <row r="323" spans="15:19" x14ac:dyDescent="0.2">
      <c r="O323" s="657" t="s">
        <v>784</v>
      </c>
      <c r="S323" s="657" t="s">
        <v>686</v>
      </c>
    </row>
    <row r="324" spans="15:19" x14ac:dyDescent="0.2">
      <c r="O324" s="657" t="s">
        <v>785</v>
      </c>
      <c r="S324" s="657" t="s">
        <v>687</v>
      </c>
    </row>
    <row r="325" spans="15:19" x14ac:dyDescent="0.2">
      <c r="O325" s="657" t="s">
        <v>786</v>
      </c>
      <c r="S325" s="657" t="s">
        <v>688</v>
      </c>
    </row>
    <row r="326" spans="15:19" x14ac:dyDescent="0.2">
      <c r="O326" s="657" t="s">
        <v>787</v>
      </c>
      <c r="S326" s="657" t="s">
        <v>689</v>
      </c>
    </row>
    <row r="327" spans="15:19" x14ac:dyDescent="0.2">
      <c r="O327" s="657" t="s">
        <v>788</v>
      </c>
      <c r="S327" s="657" t="s">
        <v>690</v>
      </c>
    </row>
    <row r="328" spans="15:19" x14ac:dyDescent="0.2">
      <c r="O328" s="657" t="s">
        <v>789</v>
      </c>
      <c r="S328" s="657" t="s">
        <v>691</v>
      </c>
    </row>
    <row r="329" spans="15:19" x14ac:dyDescent="0.2">
      <c r="O329" s="657" t="s">
        <v>790</v>
      </c>
      <c r="S329" s="657" t="s">
        <v>692</v>
      </c>
    </row>
    <row r="330" spans="15:19" x14ac:dyDescent="0.2">
      <c r="O330" s="657" t="s">
        <v>791</v>
      </c>
      <c r="S330" s="657" t="s">
        <v>693</v>
      </c>
    </row>
    <row r="331" spans="15:19" x14ac:dyDescent="0.2">
      <c r="O331" s="657" t="s">
        <v>792</v>
      </c>
      <c r="S331" s="657" t="s">
        <v>694</v>
      </c>
    </row>
    <row r="332" spans="15:19" x14ac:dyDescent="0.2">
      <c r="O332" s="657" t="s">
        <v>793</v>
      </c>
      <c r="S332" s="657" t="s">
        <v>695</v>
      </c>
    </row>
    <row r="333" spans="15:19" x14ac:dyDescent="0.2">
      <c r="O333" s="657" t="s">
        <v>794</v>
      </c>
      <c r="S333" s="657" t="s">
        <v>696</v>
      </c>
    </row>
    <row r="334" spans="15:19" x14ac:dyDescent="0.2">
      <c r="O334" s="657" t="s">
        <v>795</v>
      </c>
      <c r="S334" s="657" t="s">
        <v>697</v>
      </c>
    </row>
    <row r="335" spans="15:19" x14ac:dyDescent="0.2">
      <c r="O335" s="657" t="s">
        <v>796</v>
      </c>
      <c r="S335" s="657" t="s">
        <v>698</v>
      </c>
    </row>
    <row r="336" spans="15:19" x14ac:dyDescent="0.2">
      <c r="O336" s="657" t="s">
        <v>797</v>
      </c>
      <c r="S336" s="657" t="s">
        <v>699</v>
      </c>
    </row>
    <row r="337" spans="15:19" x14ac:dyDescent="0.2">
      <c r="O337" s="657" t="s">
        <v>798</v>
      </c>
      <c r="S337" s="657" t="s">
        <v>700</v>
      </c>
    </row>
    <row r="338" spans="15:19" x14ac:dyDescent="0.2">
      <c r="O338" s="657" t="s">
        <v>799</v>
      </c>
      <c r="S338" s="657" t="s">
        <v>701</v>
      </c>
    </row>
    <row r="339" spans="15:19" x14ac:dyDescent="0.2">
      <c r="O339" s="657" t="s">
        <v>800</v>
      </c>
      <c r="S339" s="657" t="s">
        <v>702</v>
      </c>
    </row>
    <row r="340" spans="15:19" x14ac:dyDescent="0.2">
      <c r="O340" s="657" t="s">
        <v>801</v>
      </c>
      <c r="S340" s="657" t="s">
        <v>703</v>
      </c>
    </row>
    <row r="341" spans="15:19" x14ac:dyDescent="0.2">
      <c r="O341" s="657" t="s">
        <v>802</v>
      </c>
      <c r="S341" s="657" t="s">
        <v>704</v>
      </c>
    </row>
    <row r="342" spans="15:19" x14ac:dyDescent="0.2">
      <c r="O342" s="657" t="s">
        <v>803</v>
      </c>
      <c r="S342" s="657" t="s">
        <v>705</v>
      </c>
    </row>
    <row r="343" spans="15:19" x14ac:dyDescent="0.2">
      <c r="O343" s="657" t="s">
        <v>804</v>
      </c>
      <c r="S343" s="657" t="s">
        <v>706</v>
      </c>
    </row>
    <row r="344" spans="15:19" x14ac:dyDescent="0.2">
      <c r="O344" s="657" t="s">
        <v>805</v>
      </c>
      <c r="S344" s="657" t="s">
        <v>707</v>
      </c>
    </row>
    <row r="345" spans="15:19" x14ac:dyDescent="0.2">
      <c r="O345" s="657" t="s">
        <v>806</v>
      </c>
      <c r="S345" s="657" t="s">
        <v>708</v>
      </c>
    </row>
    <row r="346" spans="15:19" x14ac:dyDescent="0.2">
      <c r="O346" s="657" t="s">
        <v>807</v>
      </c>
      <c r="S346" s="657" t="s">
        <v>709</v>
      </c>
    </row>
    <row r="347" spans="15:19" x14ac:dyDescent="0.2">
      <c r="O347" s="657" t="s">
        <v>808</v>
      </c>
      <c r="S347" s="657" t="s">
        <v>710</v>
      </c>
    </row>
    <row r="348" spans="15:19" x14ac:dyDescent="0.2">
      <c r="O348" s="657" t="s">
        <v>809</v>
      </c>
      <c r="S348" s="657" t="s">
        <v>711</v>
      </c>
    </row>
    <row r="349" spans="15:19" x14ac:dyDescent="0.2">
      <c r="O349" s="657" t="s">
        <v>810</v>
      </c>
      <c r="S349" s="657" t="s">
        <v>712</v>
      </c>
    </row>
    <row r="350" spans="15:19" x14ac:dyDescent="0.2">
      <c r="O350" s="657" t="s">
        <v>811</v>
      </c>
      <c r="S350" s="657" t="s">
        <v>713</v>
      </c>
    </row>
    <row r="351" spans="15:19" x14ac:dyDescent="0.2">
      <c r="O351" s="657" t="s">
        <v>812</v>
      </c>
      <c r="S351" s="657" t="s">
        <v>714</v>
      </c>
    </row>
    <row r="352" spans="15:19" x14ac:dyDescent="0.2">
      <c r="O352" s="657" t="s">
        <v>813</v>
      </c>
      <c r="S352" s="657" t="s">
        <v>715</v>
      </c>
    </row>
    <row r="353" spans="15:19" x14ac:dyDescent="0.2">
      <c r="O353" s="657" t="s">
        <v>814</v>
      </c>
      <c r="S353" s="657" t="s">
        <v>716</v>
      </c>
    </row>
    <row r="354" spans="15:19" x14ac:dyDescent="0.2">
      <c r="O354" s="657" t="s">
        <v>815</v>
      </c>
      <c r="S354" s="657" t="s">
        <v>717</v>
      </c>
    </row>
    <row r="355" spans="15:19" x14ac:dyDescent="0.2">
      <c r="O355" s="657" t="s">
        <v>816</v>
      </c>
      <c r="S355" s="657" t="s">
        <v>718</v>
      </c>
    </row>
    <row r="356" spans="15:19" x14ac:dyDescent="0.2">
      <c r="O356" s="657" t="s">
        <v>817</v>
      </c>
      <c r="S356" s="657" t="s">
        <v>719</v>
      </c>
    </row>
    <row r="357" spans="15:19" x14ac:dyDescent="0.2">
      <c r="O357" s="657" t="s">
        <v>818</v>
      </c>
      <c r="S357" s="657" t="s">
        <v>720</v>
      </c>
    </row>
    <row r="358" spans="15:19" x14ac:dyDescent="0.2">
      <c r="O358" s="657" t="s">
        <v>819</v>
      </c>
      <c r="S358" s="657" t="s">
        <v>721</v>
      </c>
    </row>
    <row r="359" spans="15:19" x14ac:dyDescent="0.2">
      <c r="O359" s="657" t="s">
        <v>820</v>
      </c>
      <c r="S359" s="657" t="s">
        <v>722</v>
      </c>
    </row>
    <row r="360" spans="15:19" x14ac:dyDescent="0.2">
      <c r="O360" s="657" t="s">
        <v>821</v>
      </c>
      <c r="S360" s="657" t="s">
        <v>723</v>
      </c>
    </row>
    <row r="361" spans="15:19" x14ac:dyDescent="0.2">
      <c r="O361" s="657" t="s">
        <v>822</v>
      </c>
      <c r="S361" s="657" t="s">
        <v>724</v>
      </c>
    </row>
    <row r="362" spans="15:19" x14ac:dyDescent="0.2">
      <c r="O362" s="657" t="s">
        <v>823</v>
      </c>
      <c r="S362" s="657" t="s">
        <v>725</v>
      </c>
    </row>
    <row r="363" spans="15:19" x14ac:dyDescent="0.2">
      <c r="O363" s="657" t="s">
        <v>824</v>
      </c>
      <c r="S363" s="657" t="s">
        <v>726</v>
      </c>
    </row>
    <row r="364" spans="15:19" x14ac:dyDescent="0.2">
      <c r="O364" s="657" t="s">
        <v>825</v>
      </c>
      <c r="S364" s="657" t="s">
        <v>727</v>
      </c>
    </row>
    <row r="365" spans="15:19" x14ac:dyDescent="0.2">
      <c r="O365" s="657" t="s">
        <v>826</v>
      </c>
      <c r="S365" s="657" t="s">
        <v>728</v>
      </c>
    </row>
    <row r="366" spans="15:19" x14ac:dyDescent="0.2">
      <c r="O366" s="657" t="s">
        <v>827</v>
      </c>
      <c r="S366" s="657" t="s">
        <v>729</v>
      </c>
    </row>
    <row r="367" spans="15:19" x14ac:dyDescent="0.2">
      <c r="O367" s="657" t="s">
        <v>828</v>
      </c>
      <c r="S367" s="657" t="s">
        <v>730</v>
      </c>
    </row>
    <row r="368" spans="15:19" x14ac:dyDescent="0.2">
      <c r="O368" s="657" t="s">
        <v>829</v>
      </c>
      <c r="S368" s="657" t="s">
        <v>731</v>
      </c>
    </row>
    <row r="369" spans="15:19" x14ac:dyDescent="0.2">
      <c r="O369" s="657" t="s">
        <v>830</v>
      </c>
      <c r="S369" s="657" t="s">
        <v>732</v>
      </c>
    </row>
    <row r="370" spans="15:19" x14ac:dyDescent="0.2">
      <c r="O370" s="657" t="s">
        <v>831</v>
      </c>
      <c r="S370" s="657" t="s">
        <v>733</v>
      </c>
    </row>
    <row r="371" spans="15:19" x14ac:dyDescent="0.2">
      <c r="O371" s="657" t="s">
        <v>832</v>
      </c>
      <c r="S371" s="657" t="s">
        <v>734</v>
      </c>
    </row>
    <row r="372" spans="15:19" x14ac:dyDescent="0.2">
      <c r="O372" s="657" t="s">
        <v>833</v>
      </c>
      <c r="S372" s="657" t="s">
        <v>735</v>
      </c>
    </row>
    <row r="373" spans="15:19" x14ac:dyDescent="0.2">
      <c r="O373" s="657" t="s">
        <v>834</v>
      </c>
      <c r="S373" s="657" t="s">
        <v>736</v>
      </c>
    </row>
    <row r="374" spans="15:19" x14ac:dyDescent="0.2">
      <c r="O374" s="657" t="s">
        <v>835</v>
      </c>
      <c r="S374" s="657" t="s">
        <v>737</v>
      </c>
    </row>
    <row r="375" spans="15:19" x14ac:dyDescent="0.2">
      <c r="O375" s="657" t="s">
        <v>836</v>
      </c>
      <c r="S375" s="657" t="s">
        <v>738</v>
      </c>
    </row>
    <row r="376" spans="15:19" x14ac:dyDescent="0.2">
      <c r="O376" s="657" t="s">
        <v>837</v>
      </c>
      <c r="S376" s="657" t="s">
        <v>739</v>
      </c>
    </row>
    <row r="377" spans="15:19" x14ac:dyDescent="0.2">
      <c r="O377" s="657" t="s">
        <v>838</v>
      </c>
      <c r="S377" s="657" t="s">
        <v>740</v>
      </c>
    </row>
    <row r="378" spans="15:19" x14ac:dyDescent="0.2">
      <c r="O378" s="657" t="s">
        <v>839</v>
      </c>
      <c r="S378" s="657" t="s">
        <v>741</v>
      </c>
    </row>
    <row r="379" spans="15:19" x14ac:dyDescent="0.2">
      <c r="O379" s="657" t="s">
        <v>840</v>
      </c>
      <c r="S379" s="657" t="s">
        <v>742</v>
      </c>
    </row>
    <row r="380" spans="15:19" x14ac:dyDescent="0.2">
      <c r="O380" s="657" t="s">
        <v>841</v>
      </c>
      <c r="S380" s="657" t="s">
        <v>743</v>
      </c>
    </row>
    <row r="381" spans="15:19" x14ac:dyDescent="0.2">
      <c r="O381" s="657" t="s">
        <v>842</v>
      </c>
      <c r="S381" s="657" t="s">
        <v>744</v>
      </c>
    </row>
    <row r="382" spans="15:19" x14ac:dyDescent="0.2">
      <c r="O382" s="657" t="s">
        <v>843</v>
      </c>
      <c r="S382" s="657" t="s">
        <v>745</v>
      </c>
    </row>
    <row r="383" spans="15:19" x14ac:dyDescent="0.2">
      <c r="O383" s="657" t="s">
        <v>844</v>
      </c>
      <c r="S383" s="657" t="s">
        <v>746</v>
      </c>
    </row>
    <row r="384" spans="15:19" x14ac:dyDescent="0.2">
      <c r="O384" s="657" t="s">
        <v>845</v>
      </c>
      <c r="S384" s="657" t="s">
        <v>747</v>
      </c>
    </row>
    <row r="385" spans="15:19" x14ac:dyDescent="0.2">
      <c r="O385" s="657" t="s">
        <v>846</v>
      </c>
      <c r="S385" s="657" t="s">
        <v>748</v>
      </c>
    </row>
    <row r="386" spans="15:19" x14ac:dyDescent="0.2">
      <c r="O386" s="657" t="s">
        <v>847</v>
      </c>
      <c r="S386" s="657" t="s">
        <v>749</v>
      </c>
    </row>
    <row r="387" spans="15:19" x14ac:dyDescent="0.2">
      <c r="O387" s="657" t="s">
        <v>848</v>
      </c>
      <c r="S387" s="657" t="s">
        <v>750</v>
      </c>
    </row>
    <row r="388" spans="15:19" x14ac:dyDescent="0.2">
      <c r="O388" s="657" t="s">
        <v>849</v>
      </c>
      <c r="S388" s="657" t="s">
        <v>751</v>
      </c>
    </row>
    <row r="389" spans="15:19" x14ac:dyDescent="0.2">
      <c r="O389" s="657" t="s">
        <v>850</v>
      </c>
      <c r="S389" s="657" t="s">
        <v>752</v>
      </c>
    </row>
    <row r="390" spans="15:19" x14ac:dyDescent="0.2">
      <c r="O390" s="657" t="s">
        <v>851</v>
      </c>
      <c r="S390" s="657" t="s">
        <v>753</v>
      </c>
    </row>
    <row r="391" spans="15:19" x14ac:dyDescent="0.2">
      <c r="O391" s="657" t="s">
        <v>852</v>
      </c>
      <c r="S391" s="657" t="s">
        <v>754</v>
      </c>
    </row>
    <row r="392" spans="15:19" x14ac:dyDescent="0.2">
      <c r="O392" s="657" t="s">
        <v>853</v>
      </c>
      <c r="S392" s="657" t="s">
        <v>755</v>
      </c>
    </row>
    <row r="393" spans="15:19" x14ac:dyDescent="0.2">
      <c r="O393" s="657" t="s">
        <v>854</v>
      </c>
      <c r="S393" s="657" t="s">
        <v>756</v>
      </c>
    </row>
    <row r="394" spans="15:19" x14ac:dyDescent="0.2">
      <c r="O394" s="657" t="s">
        <v>855</v>
      </c>
      <c r="S394" s="657" t="s">
        <v>757</v>
      </c>
    </row>
    <row r="395" spans="15:19" x14ac:dyDescent="0.2">
      <c r="O395" s="657" t="s">
        <v>856</v>
      </c>
      <c r="S395" s="657" t="s">
        <v>758</v>
      </c>
    </row>
    <row r="396" spans="15:19" x14ac:dyDescent="0.2">
      <c r="O396" s="657" t="s">
        <v>857</v>
      </c>
      <c r="S396" s="657" t="s">
        <v>759</v>
      </c>
    </row>
    <row r="397" spans="15:19" x14ac:dyDescent="0.2">
      <c r="O397" s="657" t="s">
        <v>858</v>
      </c>
      <c r="S397" s="657" t="s">
        <v>760</v>
      </c>
    </row>
    <row r="398" spans="15:19" x14ac:dyDescent="0.2">
      <c r="O398" s="657" t="s">
        <v>859</v>
      </c>
      <c r="S398" s="657" t="s">
        <v>761</v>
      </c>
    </row>
    <row r="399" spans="15:19" x14ac:dyDescent="0.2">
      <c r="O399" s="657" t="s">
        <v>860</v>
      </c>
      <c r="S399" s="657" t="s">
        <v>762</v>
      </c>
    </row>
    <row r="400" spans="15:19" x14ac:dyDescent="0.2">
      <c r="O400" s="657" t="s">
        <v>233</v>
      </c>
      <c r="S400" s="657" t="s">
        <v>232</v>
      </c>
    </row>
    <row r="401" spans="15:19" x14ac:dyDescent="0.2">
      <c r="O401" s="657" t="s">
        <v>861</v>
      </c>
      <c r="S401" s="657" t="s">
        <v>763</v>
      </c>
    </row>
    <row r="402" spans="15:19" x14ac:dyDescent="0.2">
      <c r="O402" s="657" t="s">
        <v>862</v>
      </c>
      <c r="S402" s="657" t="s">
        <v>764</v>
      </c>
    </row>
    <row r="403" spans="15:19" x14ac:dyDescent="0.2">
      <c r="O403" s="657" t="s">
        <v>863</v>
      </c>
      <c r="S403" s="657" t="s">
        <v>765</v>
      </c>
    </row>
    <row r="404" spans="15:19" x14ac:dyDescent="0.2">
      <c r="O404" s="657" t="s">
        <v>864</v>
      </c>
      <c r="S404" s="657" t="s">
        <v>766</v>
      </c>
    </row>
    <row r="405" spans="15:19" x14ac:dyDescent="0.2">
      <c r="O405" s="657" t="s">
        <v>865</v>
      </c>
      <c r="S405" s="657" t="s">
        <v>767</v>
      </c>
    </row>
    <row r="406" spans="15:19" x14ac:dyDescent="0.2">
      <c r="O406" s="657" t="s">
        <v>866</v>
      </c>
      <c r="S406" s="657" t="s">
        <v>768</v>
      </c>
    </row>
    <row r="407" spans="15:19" x14ac:dyDescent="0.2">
      <c r="O407" s="657" t="s">
        <v>867</v>
      </c>
      <c r="S407" s="657" t="s">
        <v>769</v>
      </c>
    </row>
    <row r="408" spans="15:19" x14ac:dyDescent="0.2">
      <c r="O408" s="657" t="s">
        <v>868</v>
      </c>
      <c r="S408" s="657" t="s">
        <v>770</v>
      </c>
    </row>
    <row r="409" spans="15:19" x14ac:dyDescent="0.2">
      <c r="O409" s="657" t="s">
        <v>869</v>
      </c>
      <c r="S409" s="657" t="s">
        <v>771</v>
      </c>
    </row>
    <row r="410" spans="15:19" x14ac:dyDescent="0.2">
      <c r="O410" s="657" t="s">
        <v>870</v>
      </c>
      <c r="S410" s="657" t="s">
        <v>772</v>
      </c>
    </row>
    <row r="411" spans="15:19" x14ac:dyDescent="0.2">
      <c r="O411" s="657" t="s">
        <v>871</v>
      </c>
      <c r="S411" s="657" t="s">
        <v>773</v>
      </c>
    </row>
    <row r="412" spans="15:19" x14ac:dyDescent="0.2">
      <c r="O412" s="657" t="s">
        <v>872</v>
      </c>
      <c r="S412" s="657" t="s">
        <v>774</v>
      </c>
    </row>
    <row r="413" spans="15:19" x14ac:dyDescent="0.2">
      <c r="O413" s="657" t="s">
        <v>873</v>
      </c>
      <c r="S413" s="657" t="s">
        <v>775</v>
      </c>
    </row>
    <row r="414" spans="15:19" x14ac:dyDescent="0.2">
      <c r="O414" s="657" t="s">
        <v>874</v>
      </c>
      <c r="S414" s="657" t="s">
        <v>776</v>
      </c>
    </row>
    <row r="415" spans="15:19" x14ac:dyDescent="0.2">
      <c r="O415" s="657" t="s">
        <v>875</v>
      </c>
      <c r="S415" s="657" t="s">
        <v>777</v>
      </c>
    </row>
    <row r="416" spans="15:19" x14ac:dyDescent="0.2">
      <c r="O416" s="657" t="s">
        <v>876</v>
      </c>
      <c r="S416" s="657" t="s">
        <v>778</v>
      </c>
    </row>
    <row r="417" spans="15:19" x14ac:dyDescent="0.2">
      <c r="O417" s="657" t="s">
        <v>877</v>
      </c>
      <c r="S417" s="657" t="s">
        <v>779</v>
      </c>
    </row>
    <row r="418" spans="15:19" x14ac:dyDescent="0.2">
      <c r="O418" s="657" t="s">
        <v>878</v>
      </c>
      <c r="S418" s="657" t="s">
        <v>780</v>
      </c>
    </row>
    <row r="419" spans="15:19" x14ac:dyDescent="0.2">
      <c r="O419" s="657" t="s">
        <v>879</v>
      </c>
      <c r="S419" s="657" t="s">
        <v>781</v>
      </c>
    </row>
    <row r="420" spans="15:19" x14ac:dyDescent="0.2">
      <c r="O420" s="657" t="s">
        <v>880</v>
      </c>
      <c r="S420" s="657" t="s">
        <v>782</v>
      </c>
    </row>
    <row r="421" spans="15:19" x14ac:dyDescent="0.2">
      <c r="O421" s="657" t="s">
        <v>881</v>
      </c>
      <c r="S421" s="657" t="s">
        <v>783</v>
      </c>
    </row>
    <row r="422" spans="15:19" x14ac:dyDescent="0.2">
      <c r="O422" s="657" t="s">
        <v>882</v>
      </c>
      <c r="S422" s="657" t="s">
        <v>784</v>
      </c>
    </row>
    <row r="423" spans="15:19" x14ac:dyDescent="0.2">
      <c r="O423" s="657" t="s">
        <v>883</v>
      </c>
      <c r="S423" s="657" t="s">
        <v>785</v>
      </c>
    </row>
    <row r="424" spans="15:19" x14ac:dyDescent="0.2">
      <c r="O424" s="657" t="s">
        <v>884</v>
      </c>
      <c r="S424" s="657" t="s">
        <v>786</v>
      </c>
    </row>
    <row r="425" spans="15:19" x14ac:dyDescent="0.2">
      <c r="O425" s="657" t="s">
        <v>885</v>
      </c>
      <c r="S425" s="657" t="s">
        <v>787</v>
      </c>
    </row>
    <row r="426" spans="15:19" x14ac:dyDescent="0.2">
      <c r="O426" s="657" t="s">
        <v>886</v>
      </c>
      <c r="S426" s="657" t="s">
        <v>788</v>
      </c>
    </row>
    <row r="427" spans="15:19" x14ac:dyDescent="0.2">
      <c r="O427" s="657" t="s">
        <v>887</v>
      </c>
      <c r="S427" s="657" t="s">
        <v>789</v>
      </c>
    </row>
    <row r="428" spans="15:19" x14ac:dyDescent="0.2">
      <c r="O428" s="657" t="s">
        <v>888</v>
      </c>
      <c r="S428" s="657" t="s">
        <v>790</v>
      </c>
    </row>
    <row r="429" spans="15:19" x14ac:dyDescent="0.2">
      <c r="O429" s="657" t="s">
        <v>889</v>
      </c>
      <c r="S429" s="657" t="s">
        <v>791</v>
      </c>
    </row>
    <row r="430" spans="15:19" x14ac:dyDescent="0.2">
      <c r="O430" s="657" t="s">
        <v>890</v>
      </c>
      <c r="S430" s="657" t="s">
        <v>792</v>
      </c>
    </row>
    <row r="431" spans="15:19" x14ac:dyDescent="0.2">
      <c r="O431" s="657" t="s">
        <v>891</v>
      </c>
      <c r="S431" s="657" t="s">
        <v>793</v>
      </c>
    </row>
    <row r="432" spans="15:19" x14ac:dyDescent="0.2">
      <c r="O432" s="657" t="s">
        <v>892</v>
      </c>
      <c r="S432" s="657" t="s">
        <v>794</v>
      </c>
    </row>
    <row r="433" spans="15:19" x14ac:dyDescent="0.2">
      <c r="O433" s="657" t="s">
        <v>893</v>
      </c>
      <c r="S433" s="657" t="s">
        <v>795</v>
      </c>
    </row>
    <row r="434" spans="15:19" x14ac:dyDescent="0.2">
      <c r="O434" s="657" t="s">
        <v>894</v>
      </c>
      <c r="S434" s="657" t="s">
        <v>796</v>
      </c>
    </row>
    <row r="435" spans="15:19" x14ac:dyDescent="0.2">
      <c r="O435" s="657" t="s">
        <v>895</v>
      </c>
      <c r="S435" s="657" t="s">
        <v>797</v>
      </c>
    </row>
    <row r="436" spans="15:19" x14ac:dyDescent="0.2">
      <c r="O436" s="657" t="s">
        <v>896</v>
      </c>
      <c r="S436" s="657" t="s">
        <v>798</v>
      </c>
    </row>
    <row r="437" spans="15:19" x14ac:dyDescent="0.2">
      <c r="O437" s="657" t="s">
        <v>897</v>
      </c>
      <c r="S437" s="657" t="s">
        <v>799</v>
      </c>
    </row>
    <row r="438" spans="15:19" x14ac:dyDescent="0.2">
      <c r="O438" s="657" t="s">
        <v>898</v>
      </c>
      <c r="S438" s="657" t="s">
        <v>800</v>
      </c>
    </row>
    <row r="439" spans="15:19" x14ac:dyDescent="0.2">
      <c r="O439" s="657" t="s">
        <v>899</v>
      </c>
      <c r="S439" s="657" t="s">
        <v>801</v>
      </c>
    </row>
    <row r="440" spans="15:19" x14ac:dyDescent="0.2">
      <c r="O440" s="657" t="s">
        <v>900</v>
      </c>
      <c r="S440" s="657" t="s">
        <v>802</v>
      </c>
    </row>
    <row r="441" spans="15:19" x14ac:dyDescent="0.2">
      <c r="O441" s="657" t="s">
        <v>901</v>
      </c>
      <c r="S441" s="657" t="s">
        <v>803</v>
      </c>
    </row>
    <row r="442" spans="15:19" x14ac:dyDescent="0.2">
      <c r="O442" s="657" t="s">
        <v>902</v>
      </c>
      <c r="S442" s="657" t="s">
        <v>804</v>
      </c>
    </row>
    <row r="443" spans="15:19" x14ac:dyDescent="0.2">
      <c r="O443" s="657" t="s">
        <v>903</v>
      </c>
      <c r="S443" s="657" t="s">
        <v>805</v>
      </c>
    </row>
    <row r="444" spans="15:19" x14ac:dyDescent="0.2">
      <c r="O444" s="657" t="s">
        <v>904</v>
      </c>
      <c r="S444" s="657" t="s">
        <v>806</v>
      </c>
    </row>
    <row r="445" spans="15:19" x14ac:dyDescent="0.2">
      <c r="O445" s="657" t="s">
        <v>905</v>
      </c>
      <c r="S445" s="657" t="s">
        <v>807</v>
      </c>
    </row>
    <row r="446" spans="15:19" x14ac:dyDescent="0.2">
      <c r="O446" s="657" t="s">
        <v>906</v>
      </c>
      <c r="S446" s="657" t="s">
        <v>808</v>
      </c>
    </row>
    <row r="447" spans="15:19" x14ac:dyDescent="0.2">
      <c r="O447" s="657" t="s">
        <v>907</v>
      </c>
      <c r="S447" s="657" t="s">
        <v>809</v>
      </c>
    </row>
    <row r="448" spans="15:19" x14ac:dyDescent="0.2">
      <c r="O448" s="657" t="s">
        <v>908</v>
      </c>
      <c r="S448" s="657" t="s">
        <v>810</v>
      </c>
    </row>
    <row r="449" spans="15:19" x14ac:dyDescent="0.2">
      <c r="O449" s="657" t="s">
        <v>909</v>
      </c>
      <c r="S449" s="657" t="s">
        <v>811</v>
      </c>
    </row>
    <row r="450" spans="15:19" x14ac:dyDescent="0.2">
      <c r="O450" s="657" t="s">
        <v>910</v>
      </c>
      <c r="S450" s="657" t="s">
        <v>812</v>
      </c>
    </row>
    <row r="451" spans="15:19" x14ac:dyDescent="0.2">
      <c r="O451" s="657" t="s">
        <v>911</v>
      </c>
      <c r="S451" s="657" t="s">
        <v>813</v>
      </c>
    </row>
    <row r="452" spans="15:19" x14ac:dyDescent="0.2">
      <c r="O452" s="657" t="s">
        <v>912</v>
      </c>
      <c r="S452" s="657" t="s">
        <v>814</v>
      </c>
    </row>
    <row r="453" spans="15:19" x14ac:dyDescent="0.2">
      <c r="O453" s="657" t="s">
        <v>913</v>
      </c>
      <c r="S453" s="657" t="s">
        <v>815</v>
      </c>
    </row>
    <row r="454" spans="15:19" x14ac:dyDescent="0.2">
      <c r="O454" s="657" t="s">
        <v>914</v>
      </c>
      <c r="S454" s="657" t="s">
        <v>816</v>
      </c>
    </row>
    <row r="455" spans="15:19" x14ac:dyDescent="0.2">
      <c r="O455" s="657" t="s">
        <v>915</v>
      </c>
      <c r="S455" s="657" t="s">
        <v>817</v>
      </c>
    </row>
    <row r="456" spans="15:19" x14ac:dyDescent="0.2">
      <c r="O456" s="657" t="s">
        <v>916</v>
      </c>
      <c r="S456" s="657" t="s">
        <v>818</v>
      </c>
    </row>
    <row r="457" spans="15:19" x14ac:dyDescent="0.2">
      <c r="O457" s="657" t="s">
        <v>917</v>
      </c>
      <c r="S457" s="657" t="s">
        <v>819</v>
      </c>
    </row>
    <row r="458" spans="15:19" x14ac:dyDescent="0.2">
      <c r="O458" s="657" t="s">
        <v>918</v>
      </c>
      <c r="S458" s="657" t="s">
        <v>820</v>
      </c>
    </row>
    <row r="459" spans="15:19" x14ac:dyDescent="0.2">
      <c r="O459" s="657" t="s">
        <v>919</v>
      </c>
      <c r="S459" s="657" t="s">
        <v>821</v>
      </c>
    </row>
    <row r="460" spans="15:19" x14ac:dyDescent="0.2">
      <c r="O460" s="657" t="s">
        <v>920</v>
      </c>
      <c r="S460" s="657" t="s">
        <v>822</v>
      </c>
    </row>
    <row r="461" spans="15:19" x14ac:dyDescent="0.2">
      <c r="O461" s="657" t="s">
        <v>921</v>
      </c>
      <c r="S461" s="657" t="s">
        <v>823</v>
      </c>
    </row>
    <row r="462" spans="15:19" x14ac:dyDescent="0.2">
      <c r="O462" s="657" t="s">
        <v>922</v>
      </c>
      <c r="S462" s="657" t="s">
        <v>824</v>
      </c>
    </row>
    <row r="463" spans="15:19" x14ac:dyDescent="0.2">
      <c r="O463" s="657" t="s">
        <v>923</v>
      </c>
      <c r="S463" s="657" t="s">
        <v>825</v>
      </c>
    </row>
    <row r="464" spans="15:19" x14ac:dyDescent="0.2">
      <c r="O464" s="657" t="s">
        <v>924</v>
      </c>
      <c r="S464" s="657" t="s">
        <v>826</v>
      </c>
    </row>
    <row r="465" spans="15:19" x14ac:dyDescent="0.2">
      <c r="O465" s="657" t="s">
        <v>925</v>
      </c>
      <c r="S465" s="657" t="s">
        <v>827</v>
      </c>
    </row>
    <row r="466" spans="15:19" x14ac:dyDescent="0.2">
      <c r="O466" s="657" t="s">
        <v>926</v>
      </c>
      <c r="S466" s="657" t="s">
        <v>828</v>
      </c>
    </row>
    <row r="467" spans="15:19" x14ac:dyDescent="0.2">
      <c r="O467" s="657" t="s">
        <v>927</v>
      </c>
      <c r="S467" s="657" t="s">
        <v>829</v>
      </c>
    </row>
    <row r="468" spans="15:19" x14ac:dyDescent="0.2">
      <c r="O468" s="657" t="s">
        <v>928</v>
      </c>
      <c r="S468" s="657" t="s">
        <v>830</v>
      </c>
    </row>
    <row r="469" spans="15:19" x14ac:dyDescent="0.2">
      <c r="O469" s="657" t="s">
        <v>929</v>
      </c>
      <c r="S469" s="657" t="s">
        <v>831</v>
      </c>
    </row>
    <row r="470" spans="15:19" x14ac:dyDescent="0.2">
      <c r="O470" s="657" t="s">
        <v>930</v>
      </c>
      <c r="S470" s="657" t="s">
        <v>832</v>
      </c>
    </row>
    <row r="471" spans="15:19" x14ac:dyDescent="0.2">
      <c r="O471" s="657" t="s">
        <v>931</v>
      </c>
      <c r="S471" s="657" t="s">
        <v>833</v>
      </c>
    </row>
    <row r="472" spans="15:19" x14ac:dyDescent="0.2">
      <c r="O472" s="657" t="s">
        <v>932</v>
      </c>
      <c r="S472" s="657" t="s">
        <v>834</v>
      </c>
    </row>
    <row r="473" spans="15:19" x14ac:dyDescent="0.2">
      <c r="O473" s="657" t="s">
        <v>933</v>
      </c>
      <c r="S473" s="657" t="s">
        <v>835</v>
      </c>
    </row>
    <row r="474" spans="15:19" x14ac:dyDescent="0.2">
      <c r="O474" s="657" t="s">
        <v>934</v>
      </c>
      <c r="S474" s="657" t="s">
        <v>836</v>
      </c>
    </row>
    <row r="475" spans="15:19" x14ac:dyDescent="0.2">
      <c r="O475" s="657" t="s">
        <v>935</v>
      </c>
      <c r="S475" s="657" t="s">
        <v>837</v>
      </c>
    </row>
    <row r="476" spans="15:19" x14ac:dyDescent="0.2">
      <c r="O476" s="657" t="s">
        <v>936</v>
      </c>
      <c r="S476" s="657" t="s">
        <v>838</v>
      </c>
    </row>
    <row r="477" spans="15:19" x14ac:dyDescent="0.2">
      <c r="O477" s="657" t="s">
        <v>937</v>
      </c>
      <c r="S477" s="657" t="s">
        <v>839</v>
      </c>
    </row>
    <row r="478" spans="15:19" x14ac:dyDescent="0.2">
      <c r="O478" s="657" t="s">
        <v>938</v>
      </c>
      <c r="S478" s="657" t="s">
        <v>840</v>
      </c>
    </row>
    <row r="479" spans="15:19" x14ac:dyDescent="0.2">
      <c r="O479" s="657" t="s">
        <v>939</v>
      </c>
      <c r="S479" s="657" t="s">
        <v>841</v>
      </c>
    </row>
    <row r="480" spans="15:19" x14ac:dyDescent="0.2">
      <c r="O480" s="657" t="s">
        <v>940</v>
      </c>
      <c r="S480" s="657" t="s">
        <v>842</v>
      </c>
    </row>
    <row r="481" spans="15:19" x14ac:dyDescent="0.2">
      <c r="O481" s="657" t="s">
        <v>941</v>
      </c>
      <c r="S481" s="657" t="s">
        <v>843</v>
      </c>
    </row>
    <row r="482" spans="15:19" x14ac:dyDescent="0.2">
      <c r="O482" s="657" t="s">
        <v>942</v>
      </c>
      <c r="S482" s="657" t="s">
        <v>844</v>
      </c>
    </row>
    <row r="483" spans="15:19" x14ac:dyDescent="0.2">
      <c r="O483" s="657" t="s">
        <v>943</v>
      </c>
      <c r="S483" s="657" t="s">
        <v>845</v>
      </c>
    </row>
    <row r="484" spans="15:19" x14ac:dyDescent="0.2">
      <c r="O484" s="657" t="s">
        <v>944</v>
      </c>
      <c r="S484" s="657" t="s">
        <v>846</v>
      </c>
    </row>
    <row r="485" spans="15:19" x14ac:dyDescent="0.2">
      <c r="O485" s="657" t="s">
        <v>945</v>
      </c>
      <c r="S485" s="657" t="s">
        <v>847</v>
      </c>
    </row>
    <row r="486" spans="15:19" x14ac:dyDescent="0.2">
      <c r="O486" s="657" t="s">
        <v>946</v>
      </c>
      <c r="S486" s="657" t="s">
        <v>848</v>
      </c>
    </row>
    <row r="487" spans="15:19" x14ac:dyDescent="0.2">
      <c r="O487" s="657" t="s">
        <v>947</v>
      </c>
      <c r="S487" s="657" t="s">
        <v>849</v>
      </c>
    </row>
    <row r="488" spans="15:19" x14ac:dyDescent="0.2">
      <c r="O488" s="657" t="s">
        <v>948</v>
      </c>
      <c r="S488" s="657" t="s">
        <v>850</v>
      </c>
    </row>
    <row r="489" spans="15:19" x14ac:dyDescent="0.2">
      <c r="O489" s="657" t="s">
        <v>949</v>
      </c>
      <c r="S489" s="657" t="s">
        <v>851</v>
      </c>
    </row>
    <row r="490" spans="15:19" x14ac:dyDescent="0.2">
      <c r="O490" s="657" t="s">
        <v>950</v>
      </c>
      <c r="S490" s="657" t="s">
        <v>852</v>
      </c>
    </row>
    <row r="491" spans="15:19" x14ac:dyDescent="0.2">
      <c r="O491" s="657" t="s">
        <v>951</v>
      </c>
      <c r="S491" s="657" t="s">
        <v>853</v>
      </c>
    </row>
    <row r="492" spans="15:19" x14ac:dyDescent="0.2">
      <c r="O492" s="657" t="s">
        <v>952</v>
      </c>
      <c r="S492" s="657" t="s">
        <v>854</v>
      </c>
    </row>
    <row r="493" spans="15:19" x14ac:dyDescent="0.2">
      <c r="O493" s="657" t="s">
        <v>953</v>
      </c>
      <c r="S493" s="657" t="s">
        <v>855</v>
      </c>
    </row>
    <row r="494" spans="15:19" x14ac:dyDescent="0.2">
      <c r="O494" s="657" t="s">
        <v>954</v>
      </c>
      <c r="S494" s="657" t="s">
        <v>856</v>
      </c>
    </row>
    <row r="495" spans="15:19" x14ac:dyDescent="0.2">
      <c r="O495" s="657" t="s">
        <v>955</v>
      </c>
      <c r="S495" s="657" t="s">
        <v>857</v>
      </c>
    </row>
    <row r="496" spans="15:19" x14ac:dyDescent="0.2">
      <c r="O496" s="657" t="s">
        <v>956</v>
      </c>
      <c r="S496" s="657" t="s">
        <v>858</v>
      </c>
    </row>
    <row r="497" spans="15:19" x14ac:dyDescent="0.2">
      <c r="O497" s="657" t="s">
        <v>957</v>
      </c>
      <c r="S497" s="657" t="s">
        <v>859</v>
      </c>
    </row>
    <row r="498" spans="15:19" x14ac:dyDescent="0.2">
      <c r="O498" s="657" t="s">
        <v>958</v>
      </c>
      <c r="S498" s="657" t="s">
        <v>860</v>
      </c>
    </row>
    <row r="499" spans="15:19" x14ac:dyDescent="0.2">
      <c r="O499" s="657" t="s">
        <v>222</v>
      </c>
      <c r="S499" s="657" t="s">
        <v>233</v>
      </c>
    </row>
    <row r="500" spans="15:19" x14ac:dyDescent="0.2">
      <c r="O500" s="657" t="s">
        <v>226</v>
      </c>
      <c r="S500" s="657" t="s">
        <v>861</v>
      </c>
    </row>
    <row r="501" spans="15:19" x14ac:dyDescent="0.2">
      <c r="O501" s="657" t="s">
        <v>223</v>
      </c>
      <c r="S501" s="657" t="s">
        <v>862</v>
      </c>
    </row>
    <row r="502" spans="15:19" x14ac:dyDescent="0.2">
      <c r="O502" s="657" t="s">
        <v>959</v>
      </c>
      <c r="S502" s="657" t="s">
        <v>863</v>
      </c>
    </row>
    <row r="503" spans="15:19" x14ac:dyDescent="0.2">
      <c r="O503" s="657" t="s">
        <v>960</v>
      </c>
      <c r="S503" s="657" t="s">
        <v>864</v>
      </c>
    </row>
    <row r="504" spans="15:19" x14ac:dyDescent="0.2">
      <c r="O504" s="657" t="s">
        <v>961</v>
      </c>
      <c r="S504" s="657" t="s">
        <v>865</v>
      </c>
    </row>
    <row r="505" spans="15:19" x14ac:dyDescent="0.2">
      <c r="O505" s="657" t="s">
        <v>227</v>
      </c>
      <c r="S505" s="657" t="s">
        <v>866</v>
      </c>
    </row>
    <row r="506" spans="15:19" x14ac:dyDescent="0.2">
      <c r="O506" s="657" t="s">
        <v>229</v>
      </c>
      <c r="S506" s="657" t="s">
        <v>867</v>
      </c>
    </row>
    <row r="507" spans="15:19" x14ac:dyDescent="0.2">
      <c r="O507" s="657" t="s">
        <v>962</v>
      </c>
      <c r="S507" s="657" t="s">
        <v>868</v>
      </c>
    </row>
    <row r="508" spans="15:19" x14ac:dyDescent="0.2">
      <c r="O508" s="657" t="s">
        <v>963</v>
      </c>
      <c r="S508" s="657" t="s">
        <v>869</v>
      </c>
    </row>
    <row r="509" spans="15:19" x14ac:dyDescent="0.2">
      <c r="O509" s="657" t="s">
        <v>225</v>
      </c>
      <c r="S509" s="657" t="s">
        <v>870</v>
      </c>
    </row>
    <row r="510" spans="15:19" x14ac:dyDescent="0.2">
      <c r="O510" s="657" t="s">
        <v>224</v>
      </c>
      <c r="S510" s="657" t="s">
        <v>871</v>
      </c>
    </row>
    <row r="511" spans="15:19" x14ac:dyDescent="0.2">
      <c r="O511" s="657" t="s">
        <v>964</v>
      </c>
      <c r="S511" s="657" t="s">
        <v>872</v>
      </c>
    </row>
    <row r="512" spans="15:19" x14ac:dyDescent="0.2">
      <c r="O512" s="657" t="s">
        <v>965</v>
      </c>
      <c r="S512" s="657" t="s">
        <v>873</v>
      </c>
    </row>
    <row r="513" spans="15:19" x14ac:dyDescent="0.2">
      <c r="O513" s="657" t="s">
        <v>228</v>
      </c>
      <c r="S513" s="657" t="s">
        <v>874</v>
      </c>
    </row>
    <row r="514" spans="15:19" x14ac:dyDescent="0.2">
      <c r="O514" s="657" t="s">
        <v>230</v>
      </c>
      <c r="S514" s="657" t="s">
        <v>875</v>
      </c>
    </row>
    <row r="515" spans="15:19" x14ac:dyDescent="0.2">
      <c r="O515" s="657" t="s">
        <v>966</v>
      </c>
      <c r="S515" s="657" t="s">
        <v>876</v>
      </c>
    </row>
    <row r="516" spans="15:19" x14ac:dyDescent="0.2">
      <c r="O516" s="657" t="s">
        <v>967</v>
      </c>
      <c r="S516" s="657" t="s">
        <v>877</v>
      </c>
    </row>
    <row r="517" spans="15:19" x14ac:dyDescent="0.2">
      <c r="O517" s="657" t="s">
        <v>968</v>
      </c>
      <c r="S517" s="657" t="s">
        <v>878</v>
      </c>
    </row>
    <row r="518" spans="15:19" x14ac:dyDescent="0.2">
      <c r="O518" s="657" t="s">
        <v>969</v>
      </c>
      <c r="S518" s="657" t="s">
        <v>879</v>
      </c>
    </row>
    <row r="519" spans="15:19" x14ac:dyDescent="0.2">
      <c r="O519" s="657" t="s">
        <v>970</v>
      </c>
      <c r="S519" s="657" t="s">
        <v>880</v>
      </c>
    </row>
    <row r="520" spans="15:19" x14ac:dyDescent="0.2">
      <c r="O520" s="657" t="s">
        <v>971</v>
      </c>
      <c r="S520" s="657" t="s">
        <v>881</v>
      </c>
    </row>
    <row r="521" spans="15:19" x14ac:dyDescent="0.2">
      <c r="O521" s="657" t="s">
        <v>972</v>
      </c>
      <c r="S521" s="657" t="s">
        <v>882</v>
      </c>
    </row>
    <row r="522" spans="15:19" x14ac:dyDescent="0.2">
      <c r="O522" s="657" t="s">
        <v>973</v>
      </c>
      <c r="S522" s="657" t="s">
        <v>883</v>
      </c>
    </row>
    <row r="523" spans="15:19" x14ac:dyDescent="0.2">
      <c r="O523" s="657" t="s">
        <v>974</v>
      </c>
      <c r="S523" s="657" t="s">
        <v>884</v>
      </c>
    </row>
    <row r="524" spans="15:19" x14ac:dyDescent="0.2">
      <c r="O524" s="657" t="s">
        <v>975</v>
      </c>
      <c r="S524" s="657" t="s">
        <v>885</v>
      </c>
    </row>
    <row r="525" spans="15:19" x14ac:dyDescent="0.2">
      <c r="O525" s="657" t="s">
        <v>976</v>
      </c>
      <c r="S525" s="657" t="s">
        <v>886</v>
      </c>
    </row>
    <row r="526" spans="15:19" x14ac:dyDescent="0.2">
      <c r="O526" s="657" t="s">
        <v>977</v>
      </c>
      <c r="S526" s="657" t="s">
        <v>887</v>
      </c>
    </row>
    <row r="527" spans="15:19" x14ac:dyDescent="0.2">
      <c r="O527" s="657" t="s">
        <v>978</v>
      </c>
      <c r="S527" s="657" t="s">
        <v>888</v>
      </c>
    </row>
    <row r="528" spans="15:19" x14ac:dyDescent="0.2">
      <c r="O528" s="657" t="s">
        <v>979</v>
      </c>
      <c r="S528" s="657" t="s">
        <v>889</v>
      </c>
    </row>
    <row r="529" spans="15:19" x14ac:dyDescent="0.2">
      <c r="O529" s="657" t="s">
        <v>980</v>
      </c>
      <c r="S529" s="657" t="s">
        <v>890</v>
      </c>
    </row>
    <row r="530" spans="15:19" x14ac:dyDescent="0.2">
      <c r="O530" s="657" t="s">
        <v>981</v>
      </c>
      <c r="S530" s="657" t="s">
        <v>891</v>
      </c>
    </row>
    <row r="531" spans="15:19" x14ac:dyDescent="0.2">
      <c r="O531" s="657" t="s">
        <v>982</v>
      </c>
      <c r="S531" s="657" t="s">
        <v>892</v>
      </c>
    </row>
    <row r="532" spans="15:19" x14ac:dyDescent="0.2">
      <c r="O532" s="657" t="s">
        <v>983</v>
      </c>
      <c r="S532" s="657" t="s">
        <v>893</v>
      </c>
    </row>
    <row r="533" spans="15:19" x14ac:dyDescent="0.2">
      <c r="O533" s="657" t="s">
        <v>984</v>
      </c>
      <c r="S533" s="657" t="s">
        <v>894</v>
      </c>
    </row>
    <row r="534" spans="15:19" x14ac:dyDescent="0.2">
      <c r="O534" s="657" t="s">
        <v>985</v>
      </c>
      <c r="S534" s="657" t="s">
        <v>895</v>
      </c>
    </row>
    <row r="535" spans="15:19" x14ac:dyDescent="0.2">
      <c r="O535" s="657" t="s">
        <v>986</v>
      </c>
      <c r="S535" s="657" t="s">
        <v>896</v>
      </c>
    </row>
    <row r="536" spans="15:19" x14ac:dyDescent="0.2">
      <c r="O536" s="657" t="s">
        <v>987</v>
      </c>
      <c r="S536" s="657" t="s">
        <v>897</v>
      </c>
    </row>
    <row r="537" spans="15:19" x14ac:dyDescent="0.2">
      <c r="O537" s="657" t="s">
        <v>988</v>
      </c>
      <c r="S537" s="657" t="s">
        <v>898</v>
      </c>
    </row>
    <row r="538" spans="15:19" x14ac:dyDescent="0.2">
      <c r="O538" s="657" t="s">
        <v>989</v>
      </c>
      <c r="S538" s="657" t="s">
        <v>899</v>
      </c>
    </row>
    <row r="539" spans="15:19" x14ac:dyDescent="0.2">
      <c r="O539" s="657" t="s">
        <v>990</v>
      </c>
      <c r="S539" s="657" t="s">
        <v>900</v>
      </c>
    </row>
    <row r="540" spans="15:19" x14ac:dyDescent="0.2">
      <c r="O540" s="657" t="s">
        <v>991</v>
      </c>
      <c r="S540" s="657" t="s">
        <v>901</v>
      </c>
    </row>
    <row r="541" spans="15:19" x14ac:dyDescent="0.2">
      <c r="O541" s="657" t="s">
        <v>992</v>
      </c>
      <c r="S541" s="657" t="s">
        <v>902</v>
      </c>
    </row>
    <row r="542" spans="15:19" x14ac:dyDescent="0.2">
      <c r="O542" s="657" t="s">
        <v>993</v>
      </c>
      <c r="S542" s="657" t="s">
        <v>903</v>
      </c>
    </row>
    <row r="543" spans="15:19" x14ac:dyDescent="0.2">
      <c r="O543" s="657" t="s">
        <v>994</v>
      </c>
      <c r="S543" s="657" t="s">
        <v>904</v>
      </c>
    </row>
    <row r="544" spans="15:19" x14ac:dyDescent="0.2">
      <c r="O544" s="657" t="s">
        <v>995</v>
      </c>
      <c r="S544" s="657" t="s">
        <v>905</v>
      </c>
    </row>
    <row r="545" spans="15:19" x14ac:dyDescent="0.2">
      <c r="O545" s="657" t="s">
        <v>996</v>
      </c>
      <c r="S545" s="657" t="s">
        <v>906</v>
      </c>
    </row>
    <row r="546" spans="15:19" x14ac:dyDescent="0.2">
      <c r="O546" s="657" t="s">
        <v>997</v>
      </c>
      <c r="S546" s="657" t="s">
        <v>907</v>
      </c>
    </row>
    <row r="547" spans="15:19" x14ac:dyDescent="0.2">
      <c r="O547" s="657" t="s">
        <v>998</v>
      </c>
      <c r="S547" s="657" t="s">
        <v>908</v>
      </c>
    </row>
    <row r="548" spans="15:19" x14ac:dyDescent="0.2">
      <c r="O548" s="657" t="s">
        <v>999</v>
      </c>
      <c r="S548" s="657" t="s">
        <v>909</v>
      </c>
    </row>
    <row r="549" spans="15:19" x14ac:dyDescent="0.2">
      <c r="O549" s="657" t="s">
        <v>1000</v>
      </c>
      <c r="S549" s="657" t="s">
        <v>910</v>
      </c>
    </row>
    <row r="550" spans="15:19" x14ac:dyDescent="0.2">
      <c r="O550" s="657" t="s">
        <v>1001</v>
      </c>
      <c r="S550" s="657" t="s">
        <v>911</v>
      </c>
    </row>
    <row r="551" spans="15:19" x14ac:dyDescent="0.2">
      <c r="O551" s="657" t="s">
        <v>1002</v>
      </c>
      <c r="S551" s="657" t="s">
        <v>912</v>
      </c>
    </row>
    <row r="552" spans="15:19" x14ac:dyDescent="0.2">
      <c r="O552" s="657" t="s">
        <v>1003</v>
      </c>
      <c r="S552" s="657" t="s">
        <v>913</v>
      </c>
    </row>
    <row r="553" spans="15:19" x14ac:dyDescent="0.2">
      <c r="O553" s="657" t="s">
        <v>1004</v>
      </c>
      <c r="S553" s="657" t="s">
        <v>914</v>
      </c>
    </row>
    <row r="554" spans="15:19" x14ac:dyDescent="0.2">
      <c r="O554" s="657" t="s">
        <v>1005</v>
      </c>
      <c r="S554" s="657" t="s">
        <v>915</v>
      </c>
    </row>
    <row r="555" spans="15:19" x14ac:dyDescent="0.2">
      <c r="O555" s="657" t="s">
        <v>1006</v>
      </c>
      <c r="S555" s="657" t="s">
        <v>916</v>
      </c>
    </row>
    <row r="556" spans="15:19" x14ac:dyDescent="0.2">
      <c r="O556" s="657" t="s">
        <v>1007</v>
      </c>
      <c r="S556" s="657" t="s">
        <v>917</v>
      </c>
    </row>
    <row r="557" spans="15:19" x14ac:dyDescent="0.2">
      <c r="O557" s="657" t="s">
        <v>1008</v>
      </c>
      <c r="S557" s="657" t="s">
        <v>918</v>
      </c>
    </row>
    <row r="558" spans="15:19" x14ac:dyDescent="0.2">
      <c r="O558" s="657" t="s">
        <v>1009</v>
      </c>
      <c r="S558" s="657" t="s">
        <v>919</v>
      </c>
    </row>
    <row r="559" spans="15:19" x14ac:dyDescent="0.2">
      <c r="O559" s="657" t="s">
        <v>1010</v>
      </c>
      <c r="S559" s="657" t="s">
        <v>920</v>
      </c>
    </row>
    <row r="560" spans="15:19" x14ac:dyDescent="0.2">
      <c r="O560" s="657" t="s">
        <v>1011</v>
      </c>
      <c r="S560" s="657" t="s">
        <v>921</v>
      </c>
    </row>
    <row r="561" spans="15:19" x14ac:dyDescent="0.2">
      <c r="O561" s="657" t="s">
        <v>1012</v>
      </c>
      <c r="S561" s="657" t="s">
        <v>922</v>
      </c>
    </row>
    <row r="562" spans="15:19" x14ac:dyDescent="0.2">
      <c r="O562" s="657" t="s">
        <v>1013</v>
      </c>
      <c r="S562" s="657" t="s">
        <v>923</v>
      </c>
    </row>
    <row r="563" spans="15:19" x14ac:dyDescent="0.2">
      <c r="O563" s="657" t="s">
        <v>1014</v>
      </c>
      <c r="S563" s="657" t="s">
        <v>924</v>
      </c>
    </row>
    <row r="564" spans="15:19" x14ac:dyDescent="0.2">
      <c r="O564" s="657" t="s">
        <v>1015</v>
      </c>
      <c r="S564" s="657" t="s">
        <v>925</v>
      </c>
    </row>
    <row r="565" spans="15:19" x14ac:dyDescent="0.2">
      <c r="O565" s="657" t="s">
        <v>1016</v>
      </c>
      <c r="S565" s="657" t="s">
        <v>926</v>
      </c>
    </row>
    <row r="566" spans="15:19" x14ac:dyDescent="0.2">
      <c r="O566" s="657" t="s">
        <v>1017</v>
      </c>
      <c r="S566" s="657" t="s">
        <v>927</v>
      </c>
    </row>
    <row r="567" spans="15:19" x14ac:dyDescent="0.2">
      <c r="O567" s="657" t="s">
        <v>1018</v>
      </c>
      <c r="S567" s="657" t="s">
        <v>928</v>
      </c>
    </row>
    <row r="568" spans="15:19" x14ac:dyDescent="0.2">
      <c r="O568" s="657" t="s">
        <v>1019</v>
      </c>
      <c r="S568" s="657" t="s">
        <v>929</v>
      </c>
    </row>
    <row r="569" spans="15:19" x14ac:dyDescent="0.2">
      <c r="O569" s="657" t="s">
        <v>1020</v>
      </c>
      <c r="S569" s="657" t="s">
        <v>930</v>
      </c>
    </row>
    <row r="570" spans="15:19" x14ac:dyDescent="0.2">
      <c r="O570" s="657" t="s">
        <v>1021</v>
      </c>
      <c r="S570" s="657" t="s">
        <v>931</v>
      </c>
    </row>
    <row r="571" spans="15:19" x14ac:dyDescent="0.2">
      <c r="O571" s="657" t="s">
        <v>1022</v>
      </c>
      <c r="S571" s="657" t="s">
        <v>932</v>
      </c>
    </row>
    <row r="572" spans="15:19" x14ac:dyDescent="0.2">
      <c r="O572" s="657" t="s">
        <v>1023</v>
      </c>
      <c r="S572" s="657" t="s">
        <v>933</v>
      </c>
    </row>
    <row r="573" spans="15:19" x14ac:dyDescent="0.2">
      <c r="O573" s="657" t="s">
        <v>1024</v>
      </c>
      <c r="S573" s="657" t="s">
        <v>934</v>
      </c>
    </row>
    <row r="574" spans="15:19" x14ac:dyDescent="0.2">
      <c r="O574" s="657" t="s">
        <v>1025</v>
      </c>
      <c r="S574" s="657" t="s">
        <v>935</v>
      </c>
    </row>
    <row r="575" spans="15:19" x14ac:dyDescent="0.2">
      <c r="O575" s="657" t="s">
        <v>1026</v>
      </c>
      <c r="S575" s="657" t="s">
        <v>936</v>
      </c>
    </row>
    <row r="576" spans="15:19" x14ac:dyDescent="0.2">
      <c r="O576" s="657" t="s">
        <v>1027</v>
      </c>
      <c r="S576" s="657" t="s">
        <v>937</v>
      </c>
    </row>
    <row r="577" spans="15:19" x14ac:dyDescent="0.2">
      <c r="O577" s="657" t="s">
        <v>1028</v>
      </c>
      <c r="S577" s="657" t="s">
        <v>938</v>
      </c>
    </row>
    <row r="578" spans="15:19" x14ac:dyDescent="0.2">
      <c r="O578" s="657" t="s">
        <v>1029</v>
      </c>
      <c r="S578" s="657" t="s">
        <v>939</v>
      </c>
    </row>
    <row r="579" spans="15:19" x14ac:dyDescent="0.2">
      <c r="O579" s="657" t="s">
        <v>1030</v>
      </c>
      <c r="S579" s="657" t="s">
        <v>940</v>
      </c>
    </row>
    <row r="580" spans="15:19" x14ac:dyDescent="0.2">
      <c r="O580" s="657" t="s">
        <v>1031</v>
      </c>
      <c r="S580" s="657" t="s">
        <v>941</v>
      </c>
    </row>
    <row r="581" spans="15:19" x14ac:dyDescent="0.2">
      <c r="O581" s="657" t="s">
        <v>1032</v>
      </c>
      <c r="S581" s="657" t="s">
        <v>942</v>
      </c>
    </row>
    <row r="582" spans="15:19" x14ac:dyDescent="0.2">
      <c r="O582" s="657" t="s">
        <v>1033</v>
      </c>
      <c r="S582" s="657" t="s">
        <v>943</v>
      </c>
    </row>
    <row r="583" spans="15:19" x14ac:dyDescent="0.2">
      <c r="O583" s="657" t="s">
        <v>1034</v>
      </c>
      <c r="S583" s="657" t="s">
        <v>944</v>
      </c>
    </row>
    <row r="584" spans="15:19" x14ac:dyDescent="0.2">
      <c r="O584" s="657" t="s">
        <v>1035</v>
      </c>
      <c r="S584" s="657" t="s">
        <v>945</v>
      </c>
    </row>
    <row r="585" spans="15:19" x14ac:dyDescent="0.2">
      <c r="O585" s="657" t="s">
        <v>1036</v>
      </c>
      <c r="S585" s="657" t="s">
        <v>946</v>
      </c>
    </row>
    <row r="586" spans="15:19" x14ac:dyDescent="0.2">
      <c r="O586" s="657" t="s">
        <v>1037</v>
      </c>
      <c r="S586" s="657" t="s">
        <v>947</v>
      </c>
    </row>
    <row r="587" spans="15:19" x14ac:dyDescent="0.2">
      <c r="O587" s="657" t="s">
        <v>1038</v>
      </c>
      <c r="S587" s="657" t="s">
        <v>948</v>
      </c>
    </row>
    <row r="588" spans="15:19" x14ac:dyDescent="0.2">
      <c r="O588" s="657" t="s">
        <v>1039</v>
      </c>
      <c r="S588" s="657" t="s">
        <v>949</v>
      </c>
    </row>
    <row r="589" spans="15:19" x14ac:dyDescent="0.2">
      <c r="O589" s="657" t="s">
        <v>1040</v>
      </c>
      <c r="S589" s="657" t="s">
        <v>950</v>
      </c>
    </row>
    <row r="590" spans="15:19" x14ac:dyDescent="0.2">
      <c r="O590" s="657" t="s">
        <v>1041</v>
      </c>
      <c r="S590" s="657" t="s">
        <v>951</v>
      </c>
    </row>
    <row r="591" spans="15:19" x14ac:dyDescent="0.2">
      <c r="O591" s="657" t="s">
        <v>1042</v>
      </c>
      <c r="S591" s="657" t="s">
        <v>952</v>
      </c>
    </row>
    <row r="592" spans="15:19" x14ac:dyDescent="0.2">
      <c r="O592" s="657" t="s">
        <v>1043</v>
      </c>
      <c r="S592" s="657" t="s">
        <v>953</v>
      </c>
    </row>
    <row r="593" spans="15:19" x14ac:dyDescent="0.2">
      <c r="O593" s="657" t="s">
        <v>1044</v>
      </c>
      <c r="S593" s="657" t="s">
        <v>954</v>
      </c>
    </row>
    <row r="594" spans="15:19" x14ac:dyDescent="0.2">
      <c r="O594" s="657" t="s">
        <v>1045</v>
      </c>
      <c r="S594" s="657" t="s">
        <v>955</v>
      </c>
    </row>
    <row r="595" spans="15:19" x14ac:dyDescent="0.2">
      <c r="O595" s="657" t="s">
        <v>1046</v>
      </c>
      <c r="S595" s="657" t="s">
        <v>956</v>
      </c>
    </row>
    <row r="596" spans="15:19" x14ac:dyDescent="0.2">
      <c r="O596" s="657" t="s">
        <v>1047</v>
      </c>
      <c r="S596" s="657" t="s">
        <v>957</v>
      </c>
    </row>
    <row r="597" spans="15:19" x14ac:dyDescent="0.2">
      <c r="O597" s="657" t="s">
        <v>1048</v>
      </c>
      <c r="S597" s="657" t="s">
        <v>958</v>
      </c>
    </row>
    <row r="598" spans="15:19" x14ac:dyDescent="0.2">
      <c r="O598" s="657" t="s">
        <v>1409</v>
      </c>
      <c r="S598" s="657" t="s">
        <v>222</v>
      </c>
    </row>
    <row r="599" spans="15:19" x14ac:dyDescent="0.2">
      <c r="O599" s="657" t="s">
        <v>1410</v>
      </c>
      <c r="S599" s="657" t="s">
        <v>226</v>
      </c>
    </row>
    <row r="600" spans="15:19" x14ac:dyDescent="0.2">
      <c r="O600" s="657" t="s">
        <v>1411</v>
      </c>
      <c r="S600" s="657" t="s">
        <v>223</v>
      </c>
    </row>
    <row r="601" spans="15:19" x14ac:dyDescent="0.2">
      <c r="O601" s="657" t="s">
        <v>1412</v>
      </c>
      <c r="S601" s="657" t="s">
        <v>959</v>
      </c>
    </row>
    <row r="602" spans="15:19" x14ac:dyDescent="0.2">
      <c r="O602" s="657" t="s">
        <v>1413</v>
      </c>
      <c r="S602" s="657" t="s">
        <v>960</v>
      </c>
    </row>
    <row r="603" spans="15:19" x14ac:dyDescent="0.2">
      <c r="O603" s="657" t="s">
        <v>1414</v>
      </c>
      <c r="S603" s="657" t="s">
        <v>961</v>
      </c>
    </row>
    <row r="604" spans="15:19" x14ac:dyDescent="0.2">
      <c r="O604" s="657" t="s">
        <v>1415</v>
      </c>
      <c r="S604" s="657" t="s">
        <v>227</v>
      </c>
    </row>
    <row r="605" spans="15:19" x14ac:dyDescent="0.2">
      <c r="O605" s="657" t="s">
        <v>1416</v>
      </c>
      <c r="S605" s="657" t="s">
        <v>229</v>
      </c>
    </row>
    <row r="606" spans="15:19" x14ac:dyDescent="0.2">
      <c r="O606" s="657" t="s">
        <v>1417</v>
      </c>
      <c r="S606" s="657" t="s">
        <v>962</v>
      </c>
    </row>
    <row r="607" spans="15:19" x14ac:dyDescent="0.2">
      <c r="O607" s="657" t="s">
        <v>1418</v>
      </c>
      <c r="S607" s="657" t="s">
        <v>963</v>
      </c>
    </row>
    <row r="608" spans="15:19" x14ac:dyDescent="0.2">
      <c r="O608" s="657" t="s">
        <v>1419</v>
      </c>
      <c r="S608" s="657" t="s">
        <v>225</v>
      </c>
    </row>
    <row r="609" spans="15:19" x14ac:dyDescent="0.2">
      <c r="O609" s="657" t="s">
        <v>1420</v>
      </c>
      <c r="S609" s="657" t="s">
        <v>224</v>
      </c>
    </row>
    <row r="610" spans="15:19" x14ac:dyDescent="0.2">
      <c r="O610" s="657" t="s">
        <v>1421</v>
      </c>
      <c r="S610" s="657" t="s">
        <v>964</v>
      </c>
    </row>
    <row r="611" spans="15:19" x14ac:dyDescent="0.2">
      <c r="O611" s="657" t="s">
        <v>1422</v>
      </c>
      <c r="S611" s="657" t="s">
        <v>965</v>
      </c>
    </row>
    <row r="612" spans="15:19" x14ac:dyDescent="0.2">
      <c r="O612" s="657" t="s">
        <v>1423</v>
      </c>
      <c r="S612" s="657" t="s">
        <v>228</v>
      </c>
    </row>
    <row r="613" spans="15:19" x14ac:dyDescent="0.2">
      <c r="O613" s="657" t="s">
        <v>1424</v>
      </c>
      <c r="S613" s="657" t="s">
        <v>230</v>
      </c>
    </row>
    <row r="614" spans="15:19" x14ac:dyDescent="0.2">
      <c r="O614" s="657" t="s">
        <v>1425</v>
      </c>
      <c r="S614" s="657" t="s">
        <v>966</v>
      </c>
    </row>
    <row r="615" spans="15:19" x14ac:dyDescent="0.2">
      <c r="O615" s="657" t="s">
        <v>1426</v>
      </c>
      <c r="S615" s="657" t="s">
        <v>967</v>
      </c>
    </row>
    <row r="616" spans="15:19" x14ac:dyDescent="0.2">
      <c r="O616" s="657" t="s">
        <v>1427</v>
      </c>
      <c r="S616" s="657" t="s">
        <v>968</v>
      </c>
    </row>
    <row r="617" spans="15:19" x14ac:dyDescent="0.2">
      <c r="O617" s="657" t="s">
        <v>1428</v>
      </c>
      <c r="S617" s="657" t="s">
        <v>969</v>
      </c>
    </row>
    <row r="618" spans="15:19" x14ac:dyDescent="0.2">
      <c r="O618" s="657" t="s">
        <v>1429</v>
      </c>
      <c r="S618" s="657" t="s">
        <v>970</v>
      </c>
    </row>
    <row r="619" spans="15:19" x14ac:dyDescent="0.2">
      <c r="O619" s="657" t="s">
        <v>1430</v>
      </c>
      <c r="S619" s="657" t="s">
        <v>971</v>
      </c>
    </row>
    <row r="620" spans="15:19" x14ac:dyDescent="0.2">
      <c r="O620" s="657" t="s">
        <v>1431</v>
      </c>
      <c r="S620" s="657" t="s">
        <v>972</v>
      </c>
    </row>
    <row r="621" spans="15:19" x14ac:dyDescent="0.2">
      <c r="O621" s="657" t="s">
        <v>1432</v>
      </c>
      <c r="S621" s="657" t="s">
        <v>973</v>
      </c>
    </row>
    <row r="622" spans="15:19" x14ac:dyDescent="0.2">
      <c r="O622" s="657" t="s">
        <v>1433</v>
      </c>
      <c r="S622" s="657" t="s">
        <v>974</v>
      </c>
    </row>
    <row r="623" spans="15:19" x14ac:dyDescent="0.2">
      <c r="O623" s="657" t="s">
        <v>1434</v>
      </c>
      <c r="S623" s="657" t="s">
        <v>975</v>
      </c>
    </row>
    <row r="624" spans="15:19" x14ac:dyDescent="0.2">
      <c r="O624" s="657" t="s">
        <v>1435</v>
      </c>
      <c r="S624" s="657" t="s">
        <v>976</v>
      </c>
    </row>
    <row r="625" spans="15:19" x14ac:dyDescent="0.2">
      <c r="O625" s="657" t="s">
        <v>1436</v>
      </c>
      <c r="S625" s="657" t="s">
        <v>977</v>
      </c>
    </row>
    <row r="626" spans="15:19" x14ac:dyDescent="0.2">
      <c r="O626" s="657" t="s">
        <v>1437</v>
      </c>
      <c r="S626" s="657" t="s">
        <v>978</v>
      </c>
    </row>
    <row r="627" spans="15:19" x14ac:dyDescent="0.2">
      <c r="O627" s="657" t="s">
        <v>1438</v>
      </c>
      <c r="S627" s="657" t="s">
        <v>979</v>
      </c>
    </row>
    <row r="628" spans="15:19" x14ac:dyDescent="0.2">
      <c r="O628" s="657" t="s">
        <v>1439</v>
      </c>
      <c r="S628" s="657" t="s">
        <v>980</v>
      </c>
    </row>
    <row r="629" spans="15:19" x14ac:dyDescent="0.2">
      <c r="O629" s="657" t="s">
        <v>1440</v>
      </c>
      <c r="S629" s="657" t="s">
        <v>981</v>
      </c>
    </row>
    <row r="630" spans="15:19" x14ac:dyDescent="0.2">
      <c r="O630" s="657" t="s">
        <v>1441</v>
      </c>
      <c r="S630" s="657" t="s">
        <v>982</v>
      </c>
    </row>
    <row r="631" spans="15:19" x14ac:dyDescent="0.2">
      <c r="O631" s="657" t="s">
        <v>1442</v>
      </c>
      <c r="S631" s="657" t="s">
        <v>983</v>
      </c>
    </row>
    <row r="632" spans="15:19" x14ac:dyDescent="0.2">
      <c r="O632" s="657" t="s">
        <v>1443</v>
      </c>
      <c r="S632" s="657" t="s">
        <v>984</v>
      </c>
    </row>
    <row r="633" spans="15:19" x14ac:dyDescent="0.2">
      <c r="O633" s="657" t="s">
        <v>1444</v>
      </c>
      <c r="S633" s="657" t="s">
        <v>985</v>
      </c>
    </row>
    <row r="634" spans="15:19" x14ac:dyDescent="0.2">
      <c r="O634" s="657" t="s">
        <v>1445</v>
      </c>
      <c r="S634" s="657" t="s">
        <v>986</v>
      </c>
    </row>
    <row r="635" spans="15:19" x14ac:dyDescent="0.2">
      <c r="O635" s="657" t="s">
        <v>1446</v>
      </c>
      <c r="S635" s="657" t="s">
        <v>987</v>
      </c>
    </row>
    <row r="636" spans="15:19" x14ac:dyDescent="0.2">
      <c r="O636" s="657" t="s">
        <v>1447</v>
      </c>
      <c r="S636" s="657" t="s">
        <v>988</v>
      </c>
    </row>
    <row r="637" spans="15:19" x14ac:dyDescent="0.2">
      <c r="O637" s="657" t="s">
        <v>1448</v>
      </c>
      <c r="S637" s="657" t="s">
        <v>989</v>
      </c>
    </row>
    <row r="638" spans="15:19" x14ac:dyDescent="0.2">
      <c r="O638" s="657" t="s">
        <v>1449</v>
      </c>
      <c r="S638" s="657" t="s">
        <v>990</v>
      </c>
    </row>
    <row r="639" spans="15:19" x14ac:dyDescent="0.2">
      <c r="O639" s="657" t="s">
        <v>1450</v>
      </c>
      <c r="S639" s="657" t="s">
        <v>991</v>
      </c>
    </row>
    <row r="640" spans="15:19" x14ac:dyDescent="0.2">
      <c r="O640" s="657" t="s">
        <v>1451</v>
      </c>
      <c r="S640" s="657" t="s">
        <v>992</v>
      </c>
    </row>
    <row r="641" spans="15:19" x14ac:dyDescent="0.2">
      <c r="O641" s="657" t="s">
        <v>1452</v>
      </c>
      <c r="S641" s="657" t="s">
        <v>993</v>
      </c>
    </row>
    <row r="642" spans="15:19" x14ac:dyDescent="0.2">
      <c r="O642" s="657" t="s">
        <v>1453</v>
      </c>
      <c r="S642" s="657" t="s">
        <v>994</v>
      </c>
    </row>
    <row r="643" spans="15:19" x14ac:dyDescent="0.2">
      <c r="O643" s="657" t="s">
        <v>1454</v>
      </c>
      <c r="S643" s="657" t="s">
        <v>995</v>
      </c>
    </row>
    <row r="644" spans="15:19" x14ac:dyDescent="0.2">
      <c r="O644" s="657" t="s">
        <v>1455</v>
      </c>
      <c r="S644" s="657" t="s">
        <v>996</v>
      </c>
    </row>
    <row r="645" spans="15:19" x14ac:dyDescent="0.2">
      <c r="O645" s="657" t="s">
        <v>1456</v>
      </c>
      <c r="S645" s="657" t="s">
        <v>997</v>
      </c>
    </row>
    <row r="646" spans="15:19" x14ac:dyDescent="0.2">
      <c r="O646" s="657" t="s">
        <v>1457</v>
      </c>
      <c r="S646" s="657" t="s">
        <v>998</v>
      </c>
    </row>
    <row r="647" spans="15:19" x14ac:dyDescent="0.2">
      <c r="O647" s="657" t="s">
        <v>1458</v>
      </c>
      <c r="S647" s="657" t="s">
        <v>999</v>
      </c>
    </row>
    <row r="648" spans="15:19" x14ac:dyDescent="0.2">
      <c r="O648" s="657" t="s">
        <v>1459</v>
      </c>
      <c r="S648" s="657" t="s">
        <v>1000</v>
      </c>
    </row>
    <row r="649" spans="15:19" x14ac:dyDescent="0.2">
      <c r="O649" s="657" t="s">
        <v>1460</v>
      </c>
      <c r="S649" s="657" t="s">
        <v>1001</v>
      </c>
    </row>
    <row r="650" spans="15:19" x14ac:dyDescent="0.2">
      <c r="O650" s="657" t="s">
        <v>1461</v>
      </c>
      <c r="S650" s="657" t="s">
        <v>1002</v>
      </c>
    </row>
    <row r="651" spans="15:19" x14ac:dyDescent="0.2">
      <c r="O651" s="657" t="s">
        <v>1462</v>
      </c>
      <c r="S651" s="657" t="s">
        <v>1003</v>
      </c>
    </row>
    <row r="652" spans="15:19" x14ac:dyDescent="0.2">
      <c r="O652" s="657" t="s">
        <v>1463</v>
      </c>
      <c r="S652" s="657" t="s">
        <v>1004</v>
      </c>
    </row>
    <row r="653" spans="15:19" x14ac:dyDescent="0.2">
      <c r="O653" s="657" t="s">
        <v>1464</v>
      </c>
      <c r="S653" s="657" t="s">
        <v>1005</v>
      </c>
    </row>
    <row r="654" spans="15:19" x14ac:dyDescent="0.2">
      <c r="O654" s="657" t="s">
        <v>1465</v>
      </c>
      <c r="S654" s="657" t="s">
        <v>1006</v>
      </c>
    </row>
    <row r="655" spans="15:19" x14ac:dyDescent="0.2">
      <c r="O655" s="657" t="s">
        <v>1466</v>
      </c>
      <c r="S655" s="657" t="s">
        <v>1007</v>
      </c>
    </row>
    <row r="656" spans="15:19" x14ac:dyDescent="0.2">
      <c r="O656" s="657" t="s">
        <v>1467</v>
      </c>
      <c r="S656" s="657" t="s">
        <v>1008</v>
      </c>
    </row>
    <row r="657" spans="15:19" x14ac:dyDescent="0.2">
      <c r="O657" s="657" t="s">
        <v>1468</v>
      </c>
      <c r="S657" s="657" t="s">
        <v>1009</v>
      </c>
    </row>
    <row r="658" spans="15:19" x14ac:dyDescent="0.2">
      <c r="O658" s="657" t="s">
        <v>1469</v>
      </c>
      <c r="S658" s="657" t="s">
        <v>1010</v>
      </c>
    </row>
    <row r="659" spans="15:19" x14ac:dyDescent="0.2">
      <c r="O659" s="657" t="s">
        <v>1470</v>
      </c>
      <c r="S659" s="657" t="s">
        <v>1011</v>
      </c>
    </row>
    <row r="660" spans="15:19" x14ac:dyDescent="0.2">
      <c r="O660" s="657" t="s">
        <v>1471</v>
      </c>
      <c r="S660" s="657" t="s">
        <v>1012</v>
      </c>
    </row>
    <row r="661" spans="15:19" x14ac:dyDescent="0.2">
      <c r="O661" s="657" t="s">
        <v>1472</v>
      </c>
      <c r="S661" s="657" t="s">
        <v>1013</v>
      </c>
    </row>
    <row r="662" spans="15:19" x14ac:dyDescent="0.2">
      <c r="O662" s="657" t="s">
        <v>1473</v>
      </c>
      <c r="S662" s="657" t="s">
        <v>1014</v>
      </c>
    </row>
    <row r="663" spans="15:19" x14ac:dyDescent="0.2">
      <c r="O663" s="657" t="s">
        <v>1474</v>
      </c>
      <c r="S663" s="657" t="s">
        <v>1015</v>
      </c>
    </row>
    <row r="664" spans="15:19" x14ac:dyDescent="0.2">
      <c r="O664" s="657" t="s">
        <v>1475</v>
      </c>
      <c r="S664" s="657" t="s">
        <v>1016</v>
      </c>
    </row>
    <row r="665" spans="15:19" x14ac:dyDescent="0.2">
      <c r="O665" s="657" t="s">
        <v>1476</v>
      </c>
      <c r="S665" s="657" t="s">
        <v>1017</v>
      </c>
    </row>
    <row r="666" spans="15:19" x14ac:dyDescent="0.2">
      <c r="O666" s="657" t="s">
        <v>1477</v>
      </c>
      <c r="S666" s="657" t="s">
        <v>1018</v>
      </c>
    </row>
    <row r="667" spans="15:19" x14ac:dyDescent="0.2">
      <c r="O667" s="657" t="s">
        <v>1478</v>
      </c>
      <c r="S667" s="657" t="s">
        <v>1019</v>
      </c>
    </row>
    <row r="668" spans="15:19" x14ac:dyDescent="0.2">
      <c r="O668" s="657" t="s">
        <v>1479</v>
      </c>
      <c r="S668" s="657" t="s">
        <v>1020</v>
      </c>
    </row>
    <row r="669" spans="15:19" x14ac:dyDescent="0.2">
      <c r="O669" s="657" t="s">
        <v>1480</v>
      </c>
      <c r="S669" s="657" t="s">
        <v>1021</v>
      </c>
    </row>
    <row r="670" spans="15:19" x14ac:dyDescent="0.2">
      <c r="O670" s="657" t="s">
        <v>1481</v>
      </c>
      <c r="S670" s="657" t="s">
        <v>1022</v>
      </c>
    </row>
    <row r="671" spans="15:19" x14ac:dyDescent="0.2">
      <c r="O671" s="657" t="s">
        <v>1482</v>
      </c>
      <c r="S671" s="657" t="s">
        <v>1023</v>
      </c>
    </row>
    <row r="672" spans="15:19" x14ac:dyDescent="0.2">
      <c r="O672" s="657" t="s">
        <v>1483</v>
      </c>
      <c r="S672" s="657" t="s">
        <v>1024</v>
      </c>
    </row>
    <row r="673" spans="15:19" x14ac:dyDescent="0.2">
      <c r="O673" s="657" t="s">
        <v>1484</v>
      </c>
      <c r="S673" s="657" t="s">
        <v>1025</v>
      </c>
    </row>
    <row r="674" spans="15:19" x14ac:dyDescent="0.2">
      <c r="O674" s="657" t="s">
        <v>1485</v>
      </c>
      <c r="S674" s="657" t="s">
        <v>1026</v>
      </c>
    </row>
    <row r="675" spans="15:19" x14ac:dyDescent="0.2">
      <c r="O675" s="657" t="s">
        <v>1486</v>
      </c>
      <c r="S675" s="657" t="s">
        <v>1027</v>
      </c>
    </row>
    <row r="676" spans="15:19" x14ac:dyDescent="0.2">
      <c r="O676" s="657" t="s">
        <v>1487</v>
      </c>
      <c r="S676" s="657" t="s">
        <v>1028</v>
      </c>
    </row>
    <row r="677" spans="15:19" x14ac:dyDescent="0.2">
      <c r="O677" s="657" t="s">
        <v>1488</v>
      </c>
      <c r="S677" s="657" t="s">
        <v>1029</v>
      </c>
    </row>
    <row r="678" spans="15:19" x14ac:dyDescent="0.2">
      <c r="O678" s="657" t="s">
        <v>1489</v>
      </c>
      <c r="S678" s="657" t="s">
        <v>1030</v>
      </c>
    </row>
    <row r="679" spans="15:19" x14ac:dyDescent="0.2">
      <c r="O679" s="657" t="s">
        <v>1490</v>
      </c>
      <c r="S679" s="657" t="s">
        <v>1031</v>
      </c>
    </row>
    <row r="680" spans="15:19" x14ac:dyDescent="0.2">
      <c r="O680" s="657" t="s">
        <v>1491</v>
      </c>
      <c r="S680" s="657" t="s">
        <v>1032</v>
      </c>
    </row>
    <row r="681" spans="15:19" x14ac:dyDescent="0.2">
      <c r="O681" s="657" t="s">
        <v>1492</v>
      </c>
      <c r="S681" s="657" t="s">
        <v>1033</v>
      </c>
    </row>
    <row r="682" spans="15:19" x14ac:dyDescent="0.2">
      <c r="O682" s="657" t="s">
        <v>1493</v>
      </c>
      <c r="S682" s="657" t="s">
        <v>1034</v>
      </c>
    </row>
    <row r="683" spans="15:19" x14ac:dyDescent="0.2">
      <c r="O683" s="657" t="s">
        <v>1494</v>
      </c>
      <c r="S683" s="657" t="s">
        <v>1035</v>
      </c>
    </row>
    <row r="684" spans="15:19" x14ac:dyDescent="0.2">
      <c r="O684" s="657" t="s">
        <v>1495</v>
      </c>
      <c r="S684" s="657" t="s">
        <v>1036</v>
      </c>
    </row>
    <row r="685" spans="15:19" x14ac:dyDescent="0.2">
      <c r="O685" s="657" t="s">
        <v>1496</v>
      </c>
      <c r="S685" s="657" t="s">
        <v>1037</v>
      </c>
    </row>
    <row r="686" spans="15:19" x14ac:dyDescent="0.2">
      <c r="O686" s="657" t="s">
        <v>1497</v>
      </c>
      <c r="S686" s="657" t="s">
        <v>1038</v>
      </c>
    </row>
    <row r="687" spans="15:19" x14ac:dyDescent="0.2">
      <c r="O687" s="657" t="s">
        <v>1498</v>
      </c>
      <c r="S687" s="657" t="s">
        <v>1039</v>
      </c>
    </row>
    <row r="688" spans="15:19" x14ac:dyDescent="0.2">
      <c r="O688" s="657" t="s">
        <v>1499</v>
      </c>
      <c r="S688" s="657" t="s">
        <v>1040</v>
      </c>
    </row>
    <row r="689" spans="15:19" x14ac:dyDescent="0.2">
      <c r="O689" s="657" t="s">
        <v>1500</v>
      </c>
      <c r="S689" s="657" t="s">
        <v>1041</v>
      </c>
    </row>
    <row r="690" spans="15:19" x14ac:dyDescent="0.2">
      <c r="O690" s="657" t="s">
        <v>1501</v>
      </c>
      <c r="S690" s="657" t="s">
        <v>1042</v>
      </c>
    </row>
    <row r="691" spans="15:19" x14ac:dyDescent="0.2">
      <c r="O691" s="657" t="s">
        <v>1502</v>
      </c>
      <c r="S691" s="657" t="s">
        <v>1043</v>
      </c>
    </row>
    <row r="692" spans="15:19" x14ac:dyDescent="0.2">
      <c r="O692" s="657" t="s">
        <v>1503</v>
      </c>
      <c r="S692" s="657" t="s">
        <v>1044</v>
      </c>
    </row>
    <row r="693" spans="15:19" x14ac:dyDescent="0.2">
      <c r="O693" s="657" t="s">
        <v>1504</v>
      </c>
      <c r="S693" s="657" t="s">
        <v>1045</v>
      </c>
    </row>
    <row r="694" spans="15:19" x14ac:dyDescent="0.2">
      <c r="O694" s="657" t="s">
        <v>1505</v>
      </c>
      <c r="S694" s="657" t="s">
        <v>1046</v>
      </c>
    </row>
    <row r="695" spans="15:19" x14ac:dyDescent="0.2">
      <c r="O695" s="657" t="s">
        <v>1506</v>
      </c>
      <c r="S695" s="657" t="s">
        <v>1047</v>
      </c>
    </row>
    <row r="696" spans="15:19" x14ac:dyDescent="0.2">
      <c r="O696" s="657" t="s">
        <v>1507</v>
      </c>
      <c r="S696" s="657" t="s">
        <v>1048</v>
      </c>
    </row>
    <row r="697" spans="15:19" x14ac:dyDescent="0.2">
      <c r="S697" s="657" t="s">
        <v>1409</v>
      </c>
    </row>
    <row r="698" spans="15:19" x14ac:dyDescent="0.2">
      <c r="S698" s="657" t="s">
        <v>1410</v>
      </c>
    </row>
    <row r="699" spans="15:19" x14ac:dyDescent="0.2">
      <c r="S699" s="657" t="s">
        <v>1411</v>
      </c>
    </row>
    <row r="700" spans="15:19" x14ac:dyDescent="0.2">
      <c r="S700" s="657" t="s">
        <v>1412</v>
      </c>
    </row>
    <row r="701" spans="15:19" x14ac:dyDescent="0.2">
      <c r="S701" s="657" t="s">
        <v>1413</v>
      </c>
    </row>
    <row r="702" spans="15:19" x14ac:dyDescent="0.2">
      <c r="S702" s="657" t="s">
        <v>1414</v>
      </c>
    </row>
    <row r="703" spans="15:19" x14ac:dyDescent="0.2">
      <c r="S703" s="657" t="s">
        <v>1415</v>
      </c>
    </row>
    <row r="704" spans="15:19" x14ac:dyDescent="0.2">
      <c r="S704" s="657" t="s">
        <v>1416</v>
      </c>
    </row>
    <row r="705" spans="19:19" x14ac:dyDescent="0.2">
      <c r="S705" s="657" t="s">
        <v>1417</v>
      </c>
    </row>
    <row r="706" spans="19:19" x14ac:dyDescent="0.2">
      <c r="S706" s="657" t="s">
        <v>1418</v>
      </c>
    </row>
    <row r="707" spans="19:19" x14ac:dyDescent="0.2">
      <c r="S707" s="657" t="s">
        <v>1419</v>
      </c>
    </row>
    <row r="708" spans="19:19" x14ac:dyDescent="0.2">
      <c r="S708" s="657" t="s">
        <v>1420</v>
      </c>
    </row>
    <row r="709" spans="19:19" x14ac:dyDescent="0.2">
      <c r="S709" s="657" t="s">
        <v>1421</v>
      </c>
    </row>
    <row r="710" spans="19:19" x14ac:dyDescent="0.2">
      <c r="S710" s="657" t="s">
        <v>1422</v>
      </c>
    </row>
    <row r="711" spans="19:19" x14ac:dyDescent="0.2">
      <c r="S711" s="657" t="s">
        <v>1423</v>
      </c>
    </row>
    <row r="712" spans="19:19" x14ac:dyDescent="0.2">
      <c r="S712" s="657" t="s">
        <v>1424</v>
      </c>
    </row>
    <row r="713" spans="19:19" x14ac:dyDescent="0.2">
      <c r="S713" s="657" t="s">
        <v>1425</v>
      </c>
    </row>
    <row r="714" spans="19:19" x14ac:dyDescent="0.2">
      <c r="S714" s="657" t="s">
        <v>1426</v>
      </c>
    </row>
    <row r="715" spans="19:19" x14ac:dyDescent="0.2">
      <c r="S715" s="657" t="s">
        <v>1427</v>
      </c>
    </row>
    <row r="716" spans="19:19" x14ac:dyDescent="0.2">
      <c r="S716" s="657" t="s">
        <v>1428</v>
      </c>
    </row>
    <row r="717" spans="19:19" x14ac:dyDescent="0.2">
      <c r="S717" s="657" t="s">
        <v>1429</v>
      </c>
    </row>
    <row r="718" spans="19:19" x14ac:dyDescent="0.2">
      <c r="S718" s="657" t="s">
        <v>1430</v>
      </c>
    </row>
    <row r="719" spans="19:19" x14ac:dyDescent="0.2">
      <c r="S719" s="657" t="s">
        <v>1431</v>
      </c>
    </row>
    <row r="720" spans="19:19" x14ac:dyDescent="0.2">
      <c r="S720" s="657" t="s">
        <v>1432</v>
      </c>
    </row>
    <row r="721" spans="19:19" x14ac:dyDescent="0.2">
      <c r="S721" s="657" t="s">
        <v>1433</v>
      </c>
    </row>
    <row r="722" spans="19:19" x14ac:dyDescent="0.2">
      <c r="S722" s="657" t="s">
        <v>1434</v>
      </c>
    </row>
    <row r="723" spans="19:19" x14ac:dyDescent="0.2">
      <c r="S723" s="657" t="s">
        <v>1435</v>
      </c>
    </row>
    <row r="724" spans="19:19" x14ac:dyDescent="0.2">
      <c r="S724" s="657" t="s">
        <v>1436</v>
      </c>
    </row>
    <row r="725" spans="19:19" x14ac:dyDescent="0.2">
      <c r="S725" s="657" t="s">
        <v>1437</v>
      </c>
    </row>
    <row r="726" spans="19:19" x14ac:dyDescent="0.2">
      <c r="S726" s="657" t="s">
        <v>1438</v>
      </c>
    </row>
    <row r="727" spans="19:19" x14ac:dyDescent="0.2">
      <c r="S727" s="657" t="s">
        <v>1439</v>
      </c>
    </row>
    <row r="728" spans="19:19" x14ac:dyDescent="0.2">
      <c r="S728" s="657" t="s">
        <v>1440</v>
      </c>
    </row>
    <row r="729" spans="19:19" x14ac:dyDescent="0.2">
      <c r="S729" s="657" t="s">
        <v>1441</v>
      </c>
    </row>
    <row r="730" spans="19:19" x14ac:dyDescent="0.2">
      <c r="S730" s="657" t="s">
        <v>1442</v>
      </c>
    </row>
    <row r="731" spans="19:19" x14ac:dyDescent="0.2">
      <c r="S731" s="657" t="s">
        <v>1443</v>
      </c>
    </row>
    <row r="732" spans="19:19" x14ac:dyDescent="0.2">
      <c r="S732" s="657" t="s">
        <v>1444</v>
      </c>
    </row>
    <row r="733" spans="19:19" x14ac:dyDescent="0.2">
      <c r="S733" s="657" t="s">
        <v>1445</v>
      </c>
    </row>
    <row r="734" spans="19:19" x14ac:dyDescent="0.2">
      <c r="S734" s="657" t="s">
        <v>1446</v>
      </c>
    </row>
    <row r="735" spans="19:19" x14ac:dyDescent="0.2">
      <c r="S735" s="657" t="s">
        <v>1447</v>
      </c>
    </row>
    <row r="736" spans="19:19" x14ac:dyDescent="0.2">
      <c r="S736" s="657" t="s">
        <v>1448</v>
      </c>
    </row>
    <row r="737" spans="19:19" x14ac:dyDescent="0.2">
      <c r="S737" s="657" t="s">
        <v>1449</v>
      </c>
    </row>
    <row r="738" spans="19:19" x14ac:dyDescent="0.2">
      <c r="S738" s="657" t="s">
        <v>1450</v>
      </c>
    </row>
    <row r="739" spans="19:19" x14ac:dyDescent="0.2">
      <c r="S739" s="657" t="s">
        <v>1451</v>
      </c>
    </row>
    <row r="740" spans="19:19" x14ac:dyDescent="0.2">
      <c r="S740" s="657" t="s">
        <v>1452</v>
      </c>
    </row>
    <row r="741" spans="19:19" x14ac:dyDescent="0.2">
      <c r="S741" s="657" t="s">
        <v>1453</v>
      </c>
    </row>
    <row r="742" spans="19:19" x14ac:dyDescent="0.2">
      <c r="S742" s="657" t="s">
        <v>1454</v>
      </c>
    </row>
    <row r="743" spans="19:19" x14ac:dyDescent="0.2">
      <c r="S743" s="657" t="s">
        <v>1455</v>
      </c>
    </row>
    <row r="744" spans="19:19" x14ac:dyDescent="0.2">
      <c r="S744" s="657" t="s">
        <v>1456</v>
      </c>
    </row>
    <row r="745" spans="19:19" x14ac:dyDescent="0.2">
      <c r="S745" s="657" t="s">
        <v>1457</v>
      </c>
    </row>
    <row r="746" spans="19:19" x14ac:dyDescent="0.2">
      <c r="S746" s="657" t="s">
        <v>1458</v>
      </c>
    </row>
    <row r="747" spans="19:19" x14ac:dyDescent="0.2">
      <c r="S747" s="657" t="s">
        <v>1459</v>
      </c>
    </row>
    <row r="748" spans="19:19" x14ac:dyDescent="0.2">
      <c r="S748" s="657" t="s">
        <v>1460</v>
      </c>
    </row>
    <row r="749" spans="19:19" x14ac:dyDescent="0.2">
      <c r="S749" s="657" t="s">
        <v>1461</v>
      </c>
    </row>
    <row r="750" spans="19:19" x14ac:dyDescent="0.2">
      <c r="S750" s="657" t="s">
        <v>1462</v>
      </c>
    </row>
    <row r="751" spans="19:19" x14ac:dyDescent="0.2">
      <c r="S751" s="657" t="s">
        <v>1463</v>
      </c>
    </row>
    <row r="752" spans="19:19" x14ac:dyDescent="0.2">
      <c r="S752" s="657" t="s">
        <v>1464</v>
      </c>
    </row>
    <row r="753" spans="19:19" x14ac:dyDescent="0.2">
      <c r="S753" s="657" t="s">
        <v>1465</v>
      </c>
    </row>
    <row r="754" spans="19:19" x14ac:dyDescent="0.2">
      <c r="S754" s="657" t="s">
        <v>1466</v>
      </c>
    </row>
    <row r="755" spans="19:19" x14ac:dyDescent="0.2">
      <c r="S755" s="657" t="s">
        <v>1467</v>
      </c>
    </row>
    <row r="756" spans="19:19" x14ac:dyDescent="0.2">
      <c r="S756" s="657" t="s">
        <v>1468</v>
      </c>
    </row>
    <row r="757" spans="19:19" x14ac:dyDescent="0.2">
      <c r="S757" s="657" t="s">
        <v>1469</v>
      </c>
    </row>
    <row r="758" spans="19:19" x14ac:dyDescent="0.2">
      <c r="S758" s="657" t="s">
        <v>1470</v>
      </c>
    </row>
    <row r="759" spans="19:19" x14ac:dyDescent="0.2">
      <c r="S759" s="657" t="s">
        <v>1471</v>
      </c>
    </row>
    <row r="760" spans="19:19" x14ac:dyDescent="0.2">
      <c r="S760" s="657" t="s">
        <v>1472</v>
      </c>
    </row>
    <row r="761" spans="19:19" x14ac:dyDescent="0.2">
      <c r="S761" s="657" t="s">
        <v>1473</v>
      </c>
    </row>
    <row r="762" spans="19:19" x14ac:dyDescent="0.2">
      <c r="S762" s="657" t="s">
        <v>1474</v>
      </c>
    </row>
    <row r="763" spans="19:19" x14ac:dyDescent="0.2">
      <c r="S763" s="657" t="s">
        <v>1475</v>
      </c>
    </row>
    <row r="764" spans="19:19" x14ac:dyDescent="0.2">
      <c r="S764" s="657" t="s">
        <v>1476</v>
      </c>
    </row>
    <row r="765" spans="19:19" x14ac:dyDescent="0.2">
      <c r="S765" s="657" t="s">
        <v>1477</v>
      </c>
    </row>
    <row r="766" spans="19:19" x14ac:dyDescent="0.2">
      <c r="S766" s="657" t="s">
        <v>1478</v>
      </c>
    </row>
    <row r="767" spans="19:19" x14ac:dyDescent="0.2">
      <c r="S767" s="657" t="s">
        <v>1479</v>
      </c>
    </row>
    <row r="768" spans="19:19" x14ac:dyDescent="0.2">
      <c r="S768" s="657" t="s">
        <v>1480</v>
      </c>
    </row>
    <row r="769" spans="19:19" x14ac:dyDescent="0.2">
      <c r="S769" s="657" t="s">
        <v>1481</v>
      </c>
    </row>
    <row r="770" spans="19:19" x14ac:dyDescent="0.2">
      <c r="S770" s="657" t="s">
        <v>1482</v>
      </c>
    </row>
    <row r="771" spans="19:19" x14ac:dyDescent="0.2">
      <c r="S771" s="657" t="s">
        <v>1483</v>
      </c>
    </row>
    <row r="772" spans="19:19" x14ac:dyDescent="0.2">
      <c r="S772" s="657" t="s">
        <v>1484</v>
      </c>
    </row>
    <row r="773" spans="19:19" x14ac:dyDescent="0.2">
      <c r="S773" s="657" t="s">
        <v>1485</v>
      </c>
    </row>
    <row r="774" spans="19:19" x14ac:dyDescent="0.2">
      <c r="S774" s="657" t="s">
        <v>1486</v>
      </c>
    </row>
    <row r="775" spans="19:19" x14ac:dyDescent="0.2">
      <c r="S775" s="657" t="s">
        <v>1487</v>
      </c>
    </row>
    <row r="776" spans="19:19" x14ac:dyDescent="0.2">
      <c r="S776" s="657" t="s">
        <v>1488</v>
      </c>
    </row>
    <row r="777" spans="19:19" x14ac:dyDescent="0.2">
      <c r="S777" s="657" t="s">
        <v>1489</v>
      </c>
    </row>
    <row r="778" spans="19:19" x14ac:dyDescent="0.2">
      <c r="S778" s="657" t="s">
        <v>1490</v>
      </c>
    </row>
    <row r="779" spans="19:19" x14ac:dyDescent="0.2">
      <c r="S779" s="657" t="s">
        <v>1491</v>
      </c>
    </row>
    <row r="780" spans="19:19" x14ac:dyDescent="0.2">
      <c r="S780" s="657" t="s">
        <v>1492</v>
      </c>
    </row>
    <row r="781" spans="19:19" x14ac:dyDescent="0.2">
      <c r="S781" s="657" t="s">
        <v>1493</v>
      </c>
    </row>
    <row r="782" spans="19:19" x14ac:dyDescent="0.2">
      <c r="S782" s="657" t="s">
        <v>1494</v>
      </c>
    </row>
    <row r="783" spans="19:19" x14ac:dyDescent="0.2">
      <c r="S783" s="657" t="s">
        <v>1495</v>
      </c>
    </row>
    <row r="784" spans="19:19" x14ac:dyDescent="0.2">
      <c r="S784" s="657" t="s">
        <v>1496</v>
      </c>
    </row>
    <row r="785" spans="19:19" x14ac:dyDescent="0.2">
      <c r="S785" s="657" t="s">
        <v>1497</v>
      </c>
    </row>
    <row r="786" spans="19:19" x14ac:dyDescent="0.2">
      <c r="S786" s="657" t="s">
        <v>1498</v>
      </c>
    </row>
    <row r="787" spans="19:19" x14ac:dyDescent="0.2">
      <c r="S787" s="657" t="s">
        <v>1499</v>
      </c>
    </row>
    <row r="788" spans="19:19" x14ac:dyDescent="0.2">
      <c r="S788" s="657" t="s">
        <v>1500</v>
      </c>
    </row>
    <row r="789" spans="19:19" x14ac:dyDescent="0.2">
      <c r="S789" s="657" t="s">
        <v>1501</v>
      </c>
    </row>
    <row r="790" spans="19:19" x14ac:dyDescent="0.2">
      <c r="S790" s="657" t="s">
        <v>1502</v>
      </c>
    </row>
    <row r="791" spans="19:19" x14ac:dyDescent="0.2">
      <c r="S791" s="657" t="s">
        <v>1503</v>
      </c>
    </row>
    <row r="792" spans="19:19" x14ac:dyDescent="0.2">
      <c r="S792" s="657" t="s">
        <v>1504</v>
      </c>
    </row>
    <row r="793" spans="19:19" x14ac:dyDescent="0.2">
      <c r="S793" s="657" t="s">
        <v>1505</v>
      </c>
    </row>
    <row r="794" spans="19:19" x14ac:dyDescent="0.2">
      <c r="S794" s="657" t="s">
        <v>1506</v>
      </c>
    </row>
    <row r="795" spans="19:19" x14ac:dyDescent="0.2">
      <c r="S795" s="657" t="s">
        <v>1507</v>
      </c>
    </row>
  </sheetData>
  <sheetProtection algorithmName="SHA-512" hashValue="xAu+MeIP+D1nEcHnnRHHikt+FdmlEdnmmnvi7zrvvCjCmvpIwimLBTX8VleiEdC+5j6s4KgFQrI8qDVjf16dnQ==" saltValue="2CdKSUQJXlP3zbKIdhXVxA==" spinCount="100000" sheet="1" objects="1" scenarios="1" sort="0" autoFilter="0" pivotTables="0"/>
  <mergeCells count="2">
    <mergeCell ref="A2:A3"/>
    <mergeCell ref="B1:I1"/>
  </mergeCells>
  <printOptions horizontalCentered="1"/>
  <pageMargins left="0.2" right="0.2" top="0.75" bottom="0.75" header="0.3" footer="0.3"/>
  <pageSetup paperSize="3" scale="50" orientation="landscape" r:id="rId1"/>
  <headerFooter scaleWithDoc="0" alignWithMargins="0">
    <oddHeader>&amp;A</oddHeader>
    <oddFooter>&amp;L&amp;D&amp;C&amp;F&amp;RPage &amp;P of &amp;N</oddFooter>
  </headerFooter>
  <ignoredErrors>
    <ignoredError sqref="A4:A12"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TimeSheet">
                <anchor moveWithCells="1" sizeWithCells="1">
                  <from>
                    <xdr:col>10</xdr:col>
                    <xdr:colOff>0</xdr:colOff>
                    <xdr:row>1</xdr:row>
                    <xdr:rowOff>0</xdr:rowOff>
                  </from>
                  <to>
                    <xdr:col>12</xdr:col>
                    <xdr:colOff>0</xdr:colOff>
                    <xdr:row>2</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Goto_SM_Sheets">
                <anchor moveWithCells="1" sizeWithCells="1">
                  <from>
                    <xdr:col>10</xdr:col>
                    <xdr:colOff>0</xdr:colOff>
                    <xdr:row>3</xdr:row>
                    <xdr:rowOff>0</xdr:rowOff>
                  </from>
                  <to>
                    <xdr:col>12</xdr:col>
                    <xdr:colOff>0</xdr:colOff>
                    <xdr:row>4</xdr:row>
                    <xdr:rowOff>0</xdr:rowOff>
                  </to>
                </anchor>
              </controlPr>
            </control>
          </mc:Choice>
        </mc:AlternateContent>
        <mc:AlternateContent xmlns:mc="http://schemas.openxmlformats.org/markup-compatibility/2006">
          <mc:Choice Requires="x14">
            <control shapeId="13318" r:id="rId6" name="Button 6">
              <controlPr defaultSize="0" print="0" autoFill="0" autoPict="0" macro="[0]!Goto_MCAA_RECAP">
                <anchor moveWithCells="1" sizeWithCells="1">
                  <from>
                    <xdr:col>10</xdr:col>
                    <xdr:colOff>0</xdr:colOff>
                    <xdr:row>6</xdr:row>
                    <xdr:rowOff>0</xdr:rowOff>
                  </from>
                  <to>
                    <xdr:col>12</xdr:col>
                    <xdr:colOff>0</xdr:colOff>
                    <xdr:row>7</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pageSetUpPr fitToPage="1"/>
  </sheetPr>
  <dimension ref="A1:IS522"/>
  <sheetViews>
    <sheetView workbookViewId="0">
      <selection sqref="A1:C1"/>
    </sheetView>
  </sheetViews>
  <sheetFormatPr defaultRowHeight="11.25" x14ac:dyDescent="0.2"/>
  <cols>
    <col min="1" max="1" width="5.42578125" style="334" bestFit="1" customWidth="1"/>
    <col min="2" max="2" width="1.42578125" style="334" customWidth="1"/>
    <col min="3" max="3" width="25.5703125" style="334" customWidth="1"/>
    <col min="4" max="4" width="7.28515625" style="334" customWidth="1"/>
    <col min="5" max="6" width="9.140625" style="334"/>
    <col min="7" max="7" width="10.42578125" style="334" hidden="1" customWidth="1"/>
    <col min="8" max="8" width="9.140625" style="334" hidden="1" customWidth="1"/>
    <col min="9" max="9" width="26.42578125" style="334" customWidth="1"/>
    <col min="10" max="10" width="5.5703125" style="334" hidden="1" customWidth="1"/>
    <col min="11" max="11" width="6.42578125" style="334" hidden="1" customWidth="1"/>
    <col min="12" max="12" width="6.42578125" style="474" customWidth="1"/>
    <col min="13" max="252" width="1.28515625" style="334" customWidth="1"/>
    <col min="253" max="256" width="9.140625" style="334"/>
    <col min="257" max="257" width="5.42578125" style="334" bestFit="1" customWidth="1"/>
    <col min="258" max="258" width="1.42578125" style="334" customWidth="1"/>
    <col min="259" max="259" width="25.5703125" style="334" customWidth="1"/>
    <col min="260" max="260" width="7.28515625" style="334" customWidth="1"/>
    <col min="261" max="262" width="9.140625" style="334"/>
    <col min="263" max="264" width="0" style="334" hidden="1" customWidth="1"/>
    <col min="265" max="265" width="26.42578125" style="334" customWidth="1"/>
    <col min="266" max="267" width="0" style="334" hidden="1" customWidth="1"/>
    <col min="268" max="268" width="6.42578125" style="334" customWidth="1"/>
    <col min="269" max="508" width="1.28515625" style="334" customWidth="1"/>
    <col min="509" max="512" width="9.140625" style="334"/>
    <col min="513" max="513" width="5.42578125" style="334" bestFit="1" customWidth="1"/>
    <col min="514" max="514" width="1.42578125" style="334" customWidth="1"/>
    <col min="515" max="515" width="25.5703125" style="334" customWidth="1"/>
    <col min="516" max="516" width="7.28515625" style="334" customWidth="1"/>
    <col min="517" max="518" width="9.140625" style="334"/>
    <col min="519" max="520" width="0" style="334" hidden="1" customWidth="1"/>
    <col min="521" max="521" width="26.42578125" style="334" customWidth="1"/>
    <col min="522" max="523" width="0" style="334" hidden="1" customWidth="1"/>
    <col min="524" max="524" width="6.42578125" style="334" customWidth="1"/>
    <col min="525" max="764" width="1.28515625" style="334" customWidth="1"/>
    <col min="765" max="768" width="9.140625" style="334"/>
    <col min="769" max="769" width="5.42578125" style="334" bestFit="1" customWidth="1"/>
    <col min="770" max="770" width="1.42578125" style="334" customWidth="1"/>
    <col min="771" max="771" width="25.5703125" style="334" customWidth="1"/>
    <col min="772" max="772" width="7.28515625" style="334" customWidth="1"/>
    <col min="773" max="774" width="9.140625" style="334"/>
    <col min="775" max="776" width="0" style="334" hidden="1" customWidth="1"/>
    <col min="777" max="777" width="26.42578125" style="334" customWidth="1"/>
    <col min="778" max="779" width="0" style="334" hidden="1" customWidth="1"/>
    <col min="780" max="780" width="6.42578125" style="334" customWidth="1"/>
    <col min="781" max="1020" width="1.28515625" style="334" customWidth="1"/>
    <col min="1021" max="1024" width="9.140625" style="334"/>
    <col min="1025" max="1025" width="5.42578125" style="334" bestFit="1" customWidth="1"/>
    <col min="1026" max="1026" width="1.42578125" style="334" customWidth="1"/>
    <col min="1027" max="1027" width="25.5703125" style="334" customWidth="1"/>
    <col min="1028" max="1028" width="7.28515625" style="334" customWidth="1"/>
    <col min="1029" max="1030" width="9.140625" style="334"/>
    <col min="1031" max="1032" width="0" style="334" hidden="1" customWidth="1"/>
    <col min="1033" max="1033" width="26.42578125" style="334" customWidth="1"/>
    <col min="1034" max="1035" width="0" style="334" hidden="1" customWidth="1"/>
    <col min="1036" max="1036" width="6.42578125" style="334" customWidth="1"/>
    <col min="1037" max="1276" width="1.28515625" style="334" customWidth="1"/>
    <col min="1277" max="1280" width="9.140625" style="334"/>
    <col min="1281" max="1281" width="5.42578125" style="334" bestFit="1" customWidth="1"/>
    <col min="1282" max="1282" width="1.42578125" style="334" customWidth="1"/>
    <col min="1283" max="1283" width="25.5703125" style="334" customWidth="1"/>
    <col min="1284" max="1284" width="7.28515625" style="334" customWidth="1"/>
    <col min="1285" max="1286" width="9.140625" style="334"/>
    <col min="1287" max="1288" width="0" style="334" hidden="1" customWidth="1"/>
    <col min="1289" max="1289" width="26.42578125" style="334" customWidth="1"/>
    <col min="1290" max="1291" width="0" style="334" hidden="1" customWidth="1"/>
    <col min="1292" max="1292" width="6.42578125" style="334" customWidth="1"/>
    <col min="1293" max="1532" width="1.28515625" style="334" customWidth="1"/>
    <col min="1533" max="1536" width="9.140625" style="334"/>
    <col min="1537" max="1537" width="5.42578125" style="334" bestFit="1" customWidth="1"/>
    <col min="1538" max="1538" width="1.42578125" style="334" customWidth="1"/>
    <col min="1539" max="1539" width="25.5703125" style="334" customWidth="1"/>
    <col min="1540" max="1540" width="7.28515625" style="334" customWidth="1"/>
    <col min="1541" max="1542" width="9.140625" style="334"/>
    <col min="1543" max="1544" width="0" style="334" hidden="1" customWidth="1"/>
    <col min="1545" max="1545" width="26.42578125" style="334" customWidth="1"/>
    <col min="1546" max="1547" width="0" style="334" hidden="1" customWidth="1"/>
    <col min="1548" max="1548" width="6.42578125" style="334" customWidth="1"/>
    <col min="1549" max="1788" width="1.28515625" style="334" customWidth="1"/>
    <col min="1789" max="1792" width="9.140625" style="334"/>
    <col min="1793" max="1793" width="5.42578125" style="334" bestFit="1" customWidth="1"/>
    <col min="1794" max="1794" width="1.42578125" style="334" customWidth="1"/>
    <col min="1795" max="1795" width="25.5703125" style="334" customWidth="1"/>
    <col min="1796" max="1796" width="7.28515625" style="334" customWidth="1"/>
    <col min="1797" max="1798" width="9.140625" style="334"/>
    <col min="1799" max="1800" width="0" style="334" hidden="1" customWidth="1"/>
    <col min="1801" max="1801" width="26.42578125" style="334" customWidth="1"/>
    <col min="1802" max="1803" width="0" style="334" hidden="1" customWidth="1"/>
    <col min="1804" max="1804" width="6.42578125" style="334" customWidth="1"/>
    <col min="1805" max="2044" width="1.28515625" style="334" customWidth="1"/>
    <col min="2045" max="2048" width="9.140625" style="334"/>
    <col min="2049" max="2049" width="5.42578125" style="334" bestFit="1" customWidth="1"/>
    <col min="2050" max="2050" width="1.42578125" style="334" customWidth="1"/>
    <col min="2051" max="2051" width="25.5703125" style="334" customWidth="1"/>
    <col min="2052" max="2052" width="7.28515625" style="334" customWidth="1"/>
    <col min="2053" max="2054" width="9.140625" style="334"/>
    <col min="2055" max="2056" width="0" style="334" hidden="1" customWidth="1"/>
    <col min="2057" max="2057" width="26.42578125" style="334" customWidth="1"/>
    <col min="2058" max="2059" width="0" style="334" hidden="1" customWidth="1"/>
    <col min="2060" max="2060" width="6.42578125" style="334" customWidth="1"/>
    <col min="2061" max="2300" width="1.28515625" style="334" customWidth="1"/>
    <col min="2301" max="2304" width="9.140625" style="334"/>
    <col min="2305" max="2305" width="5.42578125" style="334" bestFit="1" customWidth="1"/>
    <col min="2306" max="2306" width="1.42578125" style="334" customWidth="1"/>
    <col min="2307" max="2307" width="25.5703125" style="334" customWidth="1"/>
    <col min="2308" max="2308" width="7.28515625" style="334" customWidth="1"/>
    <col min="2309" max="2310" width="9.140625" style="334"/>
    <col min="2311" max="2312" width="0" style="334" hidden="1" customWidth="1"/>
    <col min="2313" max="2313" width="26.42578125" style="334" customWidth="1"/>
    <col min="2314" max="2315" width="0" style="334" hidden="1" customWidth="1"/>
    <col min="2316" max="2316" width="6.42578125" style="334" customWidth="1"/>
    <col min="2317" max="2556" width="1.28515625" style="334" customWidth="1"/>
    <col min="2557" max="2560" width="9.140625" style="334"/>
    <col min="2561" max="2561" width="5.42578125" style="334" bestFit="1" customWidth="1"/>
    <col min="2562" max="2562" width="1.42578125" style="334" customWidth="1"/>
    <col min="2563" max="2563" width="25.5703125" style="334" customWidth="1"/>
    <col min="2564" max="2564" width="7.28515625" style="334" customWidth="1"/>
    <col min="2565" max="2566" width="9.140625" style="334"/>
    <col min="2567" max="2568" width="0" style="334" hidden="1" customWidth="1"/>
    <col min="2569" max="2569" width="26.42578125" style="334" customWidth="1"/>
    <col min="2570" max="2571" width="0" style="334" hidden="1" customWidth="1"/>
    <col min="2572" max="2572" width="6.42578125" style="334" customWidth="1"/>
    <col min="2573" max="2812" width="1.28515625" style="334" customWidth="1"/>
    <col min="2813" max="2816" width="9.140625" style="334"/>
    <col min="2817" max="2817" width="5.42578125" style="334" bestFit="1" customWidth="1"/>
    <col min="2818" max="2818" width="1.42578125" style="334" customWidth="1"/>
    <col min="2819" max="2819" width="25.5703125" style="334" customWidth="1"/>
    <col min="2820" max="2820" width="7.28515625" style="334" customWidth="1"/>
    <col min="2821" max="2822" width="9.140625" style="334"/>
    <col min="2823" max="2824" width="0" style="334" hidden="1" customWidth="1"/>
    <col min="2825" max="2825" width="26.42578125" style="334" customWidth="1"/>
    <col min="2826" max="2827" width="0" style="334" hidden="1" customWidth="1"/>
    <col min="2828" max="2828" width="6.42578125" style="334" customWidth="1"/>
    <col min="2829" max="3068" width="1.28515625" style="334" customWidth="1"/>
    <col min="3069" max="3072" width="9.140625" style="334"/>
    <col min="3073" max="3073" width="5.42578125" style="334" bestFit="1" customWidth="1"/>
    <col min="3074" max="3074" width="1.42578125" style="334" customWidth="1"/>
    <col min="3075" max="3075" width="25.5703125" style="334" customWidth="1"/>
    <col min="3076" max="3076" width="7.28515625" style="334" customWidth="1"/>
    <col min="3077" max="3078" width="9.140625" style="334"/>
    <col min="3079" max="3080" width="0" style="334" hidden="1" customWidth="1"/>
    <col min="3081" max="3081" width="26.42578125" style="334" customWidth="1"/>
    <col min="3082" max="3083" width="0" style="334" hidden="1" customWidth="1"/>
    <col min="3084" max="3084" width="6.42578125" style="334" customWidth="1"/>
    <col min="3085" max="3324" width="1.28515625" style="334" customWidth="1"/>
    <col min="3325" max="3328" width="9.140625" style="334"/>
    <col min="3329" max="3329" width="5.42578125" style="334" bestFit="1" customWidth="1"/>
    <col min="3330" max="3330" width="1.42578125" style="334" customWidth="1"/>
    <col min="3331" max="3331" width="25.5703125" style="334" customWidth="1"/>
    <col min="3332" max="3332" width="7.28515625" style="334" customWidth="1"/>
    <col min="3333" max="3334" width="9.140625" style="334"/>
    <col min="3335" max="3336" width="0" style="334" hidden="1" customWidth="1"/>
    <col min="3337" max="3337" width="26.42578125" style="334" customWidth="1"/>
    <col min="3338" max="3339" width="0" style="334" hidden="1" customWidth="1"/>
    <col min="3340" max="3340" width="6.42578125" style="334" customWidth="1"/>
    <col min="3341" max="3580" width="1.28515625" style="334" customWidth="1"/>
    <col min="3581" max="3584" width="9.140625" style="334"/>
    <col min="3585" max="3585" width="5.42578125" style="334" bestFit="1" customWidth="1"/>
    <col min="3586" max="3586" width="1.42578125" style="334" customWidth="1"/>
    <col min="3587" max="3587" width="25.5703125" style="334" customWidth="1"/>
    <col min="3588" max="3588" width="7.28515625" style="334" customWidth="1"/>
    <col min="3589" max="3590" width="9.140625" style="334"/>
    <col min="3591" max="3592" width="0" style="334" hidden="1" customWidth="1"/>
    <col min="3593" max="3593" width="26.42578125" style="334" customWidth="1"/>
    <col min="3594" max="3595" width="0" style="334" hidden="1" customWidth="1"/>
    <col min="3596" max="3596" width="6.42578125" style="334" customWidth="1"/>
    <col min="3597" max="3836" width="1.28515625" style="334" customWidth="1"/>
    <col min="3837" max="3840" width="9.140625" style="334"/>
    <col min="3841" max="3841" width="5.42578125" style="334" bestFit="1" customWidth="1"/>
    <col min="3842" max="3842" width="1.42578125" style="334" customWidth="1"/>
    <col min="3843" max="3843" width="25.5703125" style="334" customWidth="1"/>
    <col min="3844" max="3844" width="7.28515625" style="334" customWidth="1"/>
    <col min="3845" max="3846" width="9.140625" style="334"/>
    <col min="3847" max="3848" width="0" style="334" hidden="1" customWidth="1"/>
    <col min="3849" max="3849" width="26.42578125" style="334" customWidth="1"/>
    <col min="3850" max="3851" width="0" style="334" hidden="1" customWidth="1"/>
    <col min="3852" max="3852" width="6.42578125" style="334" customWidth="1"/>
    <col min="3853" max="4092" width="1.28515625" style="334" customWidth="1"/>
    <col min="4093" max="4096" width="9.140625" style="334"/>
    <col min="4097" max="4097" width="5.42578125" style="334" bestFit="1" customWidth="1"/>
    <col min="4098" max="4098" width="1.42578125" style="334" customWidth="1"/>
    <col min="4099" max="4099" width="25.5703125" style="334" customWidth="1"/>
    <col min="4100" max="4100" width="7.28515625" style="334" customWidth="1"/>
    <col min="4101" max="4102" width="9.140625" style="334"/>
    <col min="4103" max="4104" width="0" style="334" hidden="1" customWidth="1"/>
    <col min="4105" max="4105" width="26.42578125" style="334" customWidth="1"/>
    <col min="4106" max="4107" width="0" style="334" hidden="1" customWidth="1"/>
    <col min="4108" max="4108" width="6.42578125" style="334" customWidth="1"/>
    <col min="4109" max="4348" width="1.28515625" style="334" customWidth="1"/>
    <col min="4349" max="4352" width="9.140625" style="334"/>
    <col min="4353" max="4353" width="5.42578125" style="334" bestFit="1" customWidth="1"/>
    <col min="4354" max="4354" width="1.42578125" style="334" customWidth="1"/>
    <col min="4355" max="4355" width="25.5703125" style="334" customWidth="1"/>
    <col min="4356" max="4356" width="7.28515625" style="334" customWidth="1"/>
    <col min="4357" max="4358" width="9.140625" style="334"/>
    <col min="4359" max="4360" width="0" style="334" hidden="1" customWidth="1"/>
    <col min="4361" max="4361" width="26.42578125" style="334" customWidth="1"/>
    <col min="4362" max="4363" width="0" style="334" hidden="1" customWidth="1"/>
    <col min="4364" max="4364" width="6.42578125" style="334" customWidth="1"/>
    <col min="4365" max="4604" width="1.28515625" style="334" customWidth="1"/>
    <col min="4605" max="4608" width="9.140625" style="334"/>
    <col min="4609" max="4609" width="5.42578125" style="334" bestFit="1" customWidth="1"/>
    <col min="4610" max="4610" width="1.42578125" style="334" customWidth="1"/>
    <col min="4611" max="4611" width="25.5703125" style="334" customWidth="1"/>
    <col min="4612" max="4612" width="7.28515625" style="334" customWidth="1"/>
    <col min="4613" max="4614" width="9.140625" style="334"/>
    <col min="4615" max="4616" width="0" style="334" hidden="1" customWidth="1"/>
    <col min="4617" max="4617" width="26.42578125" style="334" customWidth="1"/>
    <col min="4618" max="4619" width="0" style="334" hidden="1" customWidth="1"/>
    <col min="4620" max="4620" width="6.42578125" style="334" customWidth="1"/>
    <col min="4621" max="4860" width="1.28515625" style="334" customWidth="1"/>
    <col min="4861" max="4864" width="9.140625" style="334"/>
    <col min="4865" max="4865" width="5.42578125" style="334" bestFit="1" customWidth="1"/>
    <col min="4866" max="4866" width="1.42578125" style="334" customWidth="1"/>
    <col min="4867" max="4867" width="25.5703125" style="334" customWidth="1"/>
    <col min="4868" max="4868" width="7.28515625" style="334" customWidth="1"/>
    <col min="4869" max="4870" width="9.140625" style="334"/>
    <col min="4871" max="4872" width="0" style="334" hidden="1" customWidth="1"/>
    <col min="4873" max="4873" width="26.42578125" style="334" customWidth="1"/>
    <col min="4874" max="4875" width="0" style="334" hidden="1" customWidth="1"/>
    <col min="4876" max="4876" width="6.42578125" style="334" customWidth="1"/>
    <col min="4877" max="5116" width="1.28515625" style="334" customWidth="1"/>
    <col min="5117" max="5120" width="9.140625" style="334"/>
    <col min="5121" max="5121" width="5.42578125" style="334" bestFit="1" customWidth="1"/>
    <col min="5122" max="5122" width="1.42578125" style="334" customWidth="1"/>
    <col min="5123" max="5123" width="25.5703125" style="334" customWidth="1"/>
    <col min="5124" max="5124" width="7.28515625" style="334" customWidth="1"/>
    <col min="5125" max="5126" width="9.140625" style="334"/>
    <col min="5127" max="5128" width="0" style="334" hidden="1" customWidth="1"/>
    <col min="5129" max="5129" width="26.42578125" style="334" customWidth="1"/>
    <col min="5130" max="5131" width="0" style="334" hidden="1" customWidth="1"/>
    <col min="5132" max="5132" width="6.42578125" style="334" customWidth="1"/>
    <col min="5133" max="5372" width="1.28515625" style="334" customWidth="1"/>
    <col min="5373" max="5376" width="9.140625" style="334"/>
    <col min="5377" max="5377" width="5.42578125" style="334" bestFit="1" customWidth="1"/>
    <col min="5378" max="5378" width="1.42578125" style="334" customWidth="1"/>
    <col min="5379" max="5379" width="25.5703125" style="334" customWidth="1"/>
    <col min="5380" max="5380" width="7.28515625" style="334" customWidth="1"/>
    <col min="5381" max="5382" width="9.140625" style="334"/>
    <col min="5383" max="5384" width="0" style="334" hidden="1" customWidth="1"/>
    <col min="5385" max="5385" width="26.42578125" style="334" customWidth="1"/>
    <col min="5386" max="5387" width="0" style="334" hidden="1" customWidth="1"/>
    <col min="5388" max="5388" width="6.42578125" style="334" customWidth="1"/>
    <col min="5389" max="5628" width="1.28515625" style="334" customWidth="1"/>
    <col min="5629" max="5632" width="9.140625" style="334"/>
    <col min="5633" max="5633" width="5.42578125" style="334" bestFit="1" customWidth="1"/>
    <col min="5634" max="5634" width="1.42578125" style="334" customWidth="1"/>
    <col min="5635" max="5635" width="25.5703125" style="334" customWidth="1"/>
    <col min="5636" max="5636" width="7.28515625" style="334" customWidth="1"/>
    <col min="5637" max="5638" width="9.140625" style="334"/>
    <col min="5639" max="5640" width="0" style="334" hidden="1" customWidth="1"/>
    <col min="5641" max="5641" width="26.42578125" style="334" customWidth="1"/>
    <col min="5642" max="5643" width="0" style="334" hidden="1" customWidth="1"/>
    <col min="5644" max="5644" width="6.42578125" style="334" customWidth="1"/>
    <col min="5645" max="5884" width="1.28515625" style="334" customWidth="1"/>
    <col min="5885" max="5888" width="9.140625" style="334"/>
    <col min="5889" max="5889" width="5.42578125" style="334" bestFit="1" customWidth="1"/>
    <col min="5890" max="5890" width="1.42578125" style="334" customWidth="1"/>
    <col min="5891" max="5891" width="25.5703125" style="334" customWidth="1"/>
    <col min="5892" max="5892" width="7.28515625" style="334" customWidth="1"/>
    <col min="5893" max="5894" width="9.140625" style="334"/>
    <col min="5895" max="5896" width="0" style="334" hidden="1" customWidth="1"/>
    <col min="5897" max="5897" width="26.42578125" style="334" customWidth="1"/>
    <col min="5898" max="5899" width="0" style="334" hidden="1" customWidth="1"/>
    <col min="5900" max="5900" width="6.42578125" style="334" customWidth="1"/>
    <col min="5901" max="6140" width="1.28515625" style="334" customWidth="1"/>
    <col min="6141" max="6144" width="9.140625" style="334"/>
    <col min="6145" max="6145" width="5.42578125" style="334" bestFit="1" customWidth="1"/>
    <col min="6146" max="6146" width="1.42578125" style="334" customWidth="1"/>
    <col min="6147" max="6147" width="25.5703125" style="334" customWidth="1"/>
    <col min="6148" max="6148" width="7.28515625" style="334" customWidth="1"/>
    <col min="6149" max="6150" width="9.140625" style="334"/>
    <col min="6151" max="6152" width="0" style="334" hidden="1" customWidth="1"/>
    <col min="6153" max="6153" width="26.42578125" style="334" customWidth="1"/>
    <col min="6154" max="6155" width="0" style="334" hidden="1" customWidth="1"/>
    <col min="6156" max="6156" width="6.42578125" style="334" customWidth="1"/>
    <col min="6157" max="6396" width="1.28515625" style="334" customWidth="1"/>
    <col min="6397" max="6400" width="9.140625" style="334"/>
    <col min="6401" max="6401" width="5.42578125" style="334" bestFit="1" customWidth="1"/>
    <col min="6402" max="6402" width="1.42578125" style="334" customWidth="1"/>
    <col min="6403" max="6403" width="25.5703125" style="334" customWidth="1"/>
    <col min="6404" max="6404" width="7.28515625" style="334" customWidth="1"/>
    <col min="6405" max="6406" width="9.140625" style="334"/>
    <col min="6407" max="6408" width="0" style="334" hidden="1" customWidth="1"/>
    <col min="6409" max="6409" width="26.42578125" style="334" customWidth="1"/>
    <col min="6410" max="6411" width="0" style="334" hidden="1" customWidth="1"/>
    <col min="6412" max="6412" width="6.42578125" style="334" customWidth="1"/>
    <col min="6413" max="6652" width="1.28515625" style="334" customWidth="1"/>
    <col min="6653" max="6656" width="9.140625" style="334"/>
    <col min="6657" max="6657" width="5.42578125" style="334" bestFit="1" customWidth="1"/>
    <col min="6658" max="6658" width="1.42578125" style="334" customWidth="1"/>
    <col min="6659" max="6659" width="25.5703125" style="334" customWidth="1"/>
    <col min="6660" max="6660" width="7.28515625" style="334" customWidth="1"/>
    <col min="6661" max="6662" width="9.140625" style="334"/>
    <col min="6663" max="6664" width="0" style="334" hidden="1" customWidth="1"/>
    <col min="6665" max="6665" width="26.42578125" style="334" customWidth="1"/>
    <col min="6666" max="6667" width="0" style="334" hidden="1" customWidth="1"/>
    <col min="6668" max="6668" width="6.42578125" style="334" customWidth="1"/>
    <col min="6669" max="6908" width="1.28515625" style="334" customWidth="1"/>
    <col min="6909" max="6912" width="9.140625" style="334"/>
    <col min="6913" max="6913" width="5.42578125" style="334" bestFit="1" customWidth="1"/>
    <col min="6914" max="6914" width="1.42578125" style="334" customWidth="1"/>
    <col min="6915" max="6915" width="25.5703125" style="334" customWidth="1"/>
    <col min="6916" max="6916" width="7.28515625" style="334" customWidth="1"/>
    <col min="6917" max="6918" width="9.140625" style="334"/>
    <col min="6919" max="6920" width="0" style="334" hidden="1" customWidth="1"/>
    <col min="6921" max="6921" width="26.42578125" style="334" customWidth="1"/>
    <col min="6922" max="6923" width="0" style="334" hidden="1" customWidth="1"/>
    <col min="6924" max="6924" width="6.42578125" style="334" customWidth="1"/>
    <col min="6925" max="7164" width="1.28515625" style="334" customWidth="1"/>
    <col min="7165" max="7168" width="9.140625" style="334"/>
    <col min="7169" max="7169" width="5.42578125" style="334" bestFit="1" customWidth="1"/>
    <col min="7170" max="7170" width="1.42578125" style="334" customWidth="1"/>
    <col min="7171" max="7171" width="25.5703125" style="334" customWidth="1"/>
    <col min="7172" max="7172" width="7.28515625" style="334" customWidth="1"/>
    <col min="7173" max="7174" width="9.140625" style="334"/>
    <col min="7175" max="7176" width="0" style="334" hidden="1" customWidth="1"/>
    <col min="7177" max="7177" width="26.42578125" style="334" customWidth="1"/>
    <col min="7178" max="7179" width="0" style="334" hidden="1" customWidth="1"/>
    <col min="7180" max="7180" width="6.42578125" style="334" customWidth="1"/>
    <col min="7181" max="7420" width="1.28515625" style="334" customWidth="1"/>
    <col min="7421" max="7424" width="9.140625" style="334"/>
    <col min="7425" max="7425" width="5.42578125" style="334" bestFit="1" customWidth="1"/>
    <col min="7426" max="7426" width="1.42578125" style="334" customWidth="1"/>
    <col min="7427" max="7427" width="25.5703125" style="334" customWidth="1"/>
    <col min="7428" max="7428" width="7.28515625" style="334" customWidth="1"/>
    <col min="7429" max="7430" width="9.140625" style="334"/>
    <col min="7431" max="7432" width="0" style="334" hidden="1" customWidth="1"/>
    <col min="7433" max="7433" width="26.42578125" style="334" customWidth="1"/>
    <col min="7434" max="7435" width="0" style="334" hidden="1" customWidth="1"/>
    <col min="7436" max="7436" width="6.42578125" style="334" customWidth="1"/>
    <col min="7437" max="7676" width="1.28515625" style="334" customWidth="1"/>
    <col min="7677" max="7680" width="9.140625" style="334"/>
    <col min="7681" max="7681" width="5.42578125" style="334" bestFit="1" customWidth="1"/>
    <col min="7682" max="7682" width="1.42578125" style="334" customWidth="1"/>
    <col min="7683" max="7683" width="25.5703125" style="334" customWidth="1"/>
    <col min="7684" max="7684" width="7.28515625" style="334" customWidth="1"/>
    <col min="7685" max="7686" width="9.140625" style="334"/>
    <col min="7687" max="7688" width="0" style="334" hidden="1" customWidth="1"/>
    <col min="7689" max="7689" width="26.42578125" style="334" customWidth="1"/>
    <col min="7690" max="7691" width="0" style="334" hidden="1" customWidth="1"/>
    <col min="7692" max="7692" width="6.42578125" style="334" customWidth="1"/>
    <col min="7693" max="7932" width="1.28515625" style="334" customWidth="1"/>
    <col min="7933" max="7936" width="9.140625" style="334"/>
    <col min="7937" max="7937" width="5.42578125" style="334" bestFit="1" customWidth="1"/>
    <col min="7938" max="7938" width="1.42578125" style="334" customWidth="1"/>
    <col min="7939" max="7939" width="25.5703125" style="334" customWidth="1"/>
    <col min="7940" max="7940" width="7.28515625" style="334" customWidth="1"/>
    <col min="7941" max="7942" width="9.140625" style="334"/>
    <col min="7943" max="7944" width="0" style="334" hidden="1" customWidth="1"/>
    <col min="7945" max="7945" width="26.42578125" style="334" customWidth="1"/>
    <col min="7946" max="7947" width="0" style="334" hidden="1" customWidth="1"/>
    <col min="7948" max="7948" width="6.42578125" style="334" customWidth="1"/>
    <col min="7949" max="8188" width="1.28515625" style="334" customWidth="1"/>
    <col min="8189" max="8192" width="9.140625" style="334"/>
    <col min="8193" max="8193" width="5.42578125" style="334" bestFit="1" customWidth="1"/>
    <col min="8194" max="8194" width="1.42578125" style="334" customWidth="1"/>
    <col min="8195" max="8195" width="25.5703125" style="334" customWidth="1"/>
    <col min="8196" max="8196" width="7.28515625" style="334" customWidth="1"/>
    <col min="8197" max="8198" width="9.140625" style="334"/>
    <col min="8199" max="8200" width="0" style="334" hidden="1" customWidth="1"/>
    <col min="8201" max="8201" width="26.42578125" style="334" customWidth="1"/>
    <col min="8202" max="8203" width="0" style="334" hidden="1" customWidth="1"/>
    <col min="8204" max="8204" width="6.42578125" style="334" customWidth="1"/>
    <col min="8205" max="8444" width="1.28515625" style="334" customWidth="1"/>
    <col min="8445" max="8448" width="9.140625" style="334"/>
    <col min="8449" max="8449" width="5.42578125" style="334" bestFit="1" customWidth="1"/>
    <col min="8450" max="8450" width="1.42578125" style="334" customWidth="1"/>
    <col min="8451" max="8451" width="25.5703125" style="334" customWidth="1"/>
    <col min="8452" max="8452" width="7.28515625" style="334" customWidth="1"/>
    <col min="8453" max="8454" width="9.140625" style="334"/>
    <col min="8455" max="8456" width="0" style="334" hidden="1" customWidth="1"/>
    <col min="8457" max="8457" width="26.42578125" style="334" customWidth="1"/>
    <col min="8458" max="8459" width="0" style="334" hidden="1" customWidth="1"/>
    <col min="8460" max="8460" width="6.42578125" style="334" customWidth="1"/>
    <col min="8461" max="8700" width="1.28515625" style="334" customWidth="1"/>
    <col min="8701" max="8704" width="9.140625" style="334"/>
    <col min="8705" max="8705" width="5.42578125" style="334" bestFit="1" customWidth="1"/>
    <col min="8706" max="8706" width="1.42578125" style="334" customWidth="1"/>
    <col min="8707" max="8707" width="25.5703125" style="334" customWidth="1"/>
    <col min="8708" max="8708" width="7.28515625" style="334" customWidth="1"/>
    <col min="8709" max="8710" width="9.140625" style="334"/>
    <col min="8711" max="8712" width="0" style="334" hidden="1" customWidth="1"/>
    <col min="8713" max="8713" width="26.42578125" style="334" customWidth="1"/>
    <col min="8714" max="8715" width="0" style="334" hidden="1" customWidth="1"/>
    <col min="8716" max="8716" width="6.42578125" style="334" customWidth="1"/>
    <col min="8717" max="8956" width="1.28515625" style="334" customWidth="1"/>
    <col min="8957" max="8960" width="9.140625" style="334"/>
    <col min="8961" max="8961" width="5.42578125" style="334" bestFit="1" customWidth="1"/>
    <col min="8962" max="8962" width="1.42578125" style="334" customWidth="1"/>
    <col min="8963" max="8963" width="25.5703125" style="334" customWidth="1"/>
    <col min="8964" max="8964" width="7.28515625" style="334" customWidth="1"/>
    <col min="8965" max="8966" width="9.140625" style="334"/>
    <col min="8967" max="8968" width="0" style="334" hidden="1" customWidth="1"/>
    <col min="8969" max="8969" width="26.42578125" style="334" customWidth="1"/>
    <col min="8970" max="8971" width="0" style="334" hidden="1" customWidth="1"/>
    <col min="8972" max="8972" width="6.42578125" style="334" customWidth="1"/>
    <col min="8973" max="9212" width="1.28515625" style="334" customWidth="1"/>
    <col min="9213" max="9216" width="9.140625" style="334"/>
    <col min="9217" max="9217" width="5.42578125" style="334" bestFit="1" customWidth="1"/>
    <col min="9218" max="9218" width="1.42578125" style="334" customWidth="1"/>
    <col min="9219" max="9219" width="25.5703125" style="334" customWidth="1"/>
    <col min="9220" max="9220" width="7.28515625" style="334" customWidth="1"/>
    <col min="9221" max="9222" width="9.140625" style="334"/>
    <col min="9223" max="9224" width="0" style="334" hidden="1" customWidth="1"/>
    <col min="9225" max="9225" width="26.42578125" style="334" customWidth="1"/>
    <col min="9226" max="9227" width="0" style="334" hidden="1" customWidth="1"/>
    <col min="9228" max="9228" width="6.42578125" style="334" customWidth="1"/>
    <col min="9229" max="9468" width="1.28515625" style="334" customWidth="1"/>
    <col min="9469" max="9472" width="9.140625" style="334"/>
    <col min="9473" max="9473" width="5.42578125" style="334" bestFit="1" customWidth="1"/>
    <col min="9474" max="9474" width="1.42578125" style="334" customWidth="1"/>
    <col min="9475" max="9475" width="25.5703125" style="334" customWidth="1"/>
    <col min="9476" max="9476" width="7.28515625" style="334" customWidth="1"/>
    <col min="9477" max="9478" width="9.140625" style="334"/>
    <col min="9479" max="9480" width="0" style="334" hidden="1" customWidth="1"/>
    <col min="9481" max="9481" width="26.42578125" style="334" customWidth="1"/>
    <col min="9482" max="9483" width="0" style="334" hidden="1" customWidth="1"/>
    <col min="9484" max="9484" width="6.42578125" style="334" customWidth="1"/>
    <col min="9485" max="9724" width="1.28515625" style="334" customWidth="1"/>
    <col min="9725" max="9728" width="9.140625" style="334"/>
    <col min="9729" max="9729" width="5.42578125" style="334" bestFit="1" customWidth="1"/>
    <col min="9730" max="9730" width="1.42578125" style="334" customWidth="1"/>
    <col min="9731" max="9731" width="25.5703125" style="334" customWidth="1"/>
    <col min="9732" max="9732" width="7.28515625" style="334" customWidth="1"/>
    <col min="9733" max="9734" width="9.140625" style="334"/>
    <col min="9735" max="9736" width="0" style="334" hidden="1" customWidth="1"/>
    <col min="9737" max="9737" width="26.42578125" style="334" customWidth="1"/>
    <col min="9738" max="9739" width="0" style="334" hidden="1" customWidth="1"/>
    <col min="9740" max="9740" width="6.42578125" style="334" customWidth="1"/>
    <col min="9741" max="9980" width="1.28515625" style="334" customWidth="1"/>
    <col min="9981" max="9984" width="9.140625" style="334"/>
    <col min="9985" max="9985" width="5.42578125" style="334" bestFit="1" customWidth="1"/>
    <col min="9986" max="9986" width="1.42578125" style="334" customWidth="1"/>
    <col min="9987" max="9987" width="25.5703125" style="334" customWidth="1"/>
    <col min="9988" max="9988" width="7.28515625" style="334" customWidth="1"/>
    <col min="9989" max="9990" width="9.140625" style="334"/>
    <col min="9991" max="9992" width="0" style="334" hidden="1" customWidth="1"/>
    <col min="9993" max="9993" width="26.42578125" style="334" customWidth="1"/>
    <col min="9994" max="9995" width="0" style="334" hidden="1" customWidth="1"/>
    <col min="9996" max="9996" width="6.42578125" style="334" customWidth="1"/>
    <col min="9997" max="10236" width="1.28515625" style="334" customWidth="1"/>
    <col min="10237" max="10240" width="9.140625" style="334"/>
    <col min="10241" max="10241" width="5.42578125" style="334" bestFit="1" customWidth="1"/>
    <col min="10242" max="10242" width="1.42578125" style="334" customWidth="1"/>
    <col min="10243" max="10243" width="25.5703125" style="334" customWidth="1"/>
    <col min="10244" max="10244" width="7.28515625" style="334" customWidth="1"/>
    <col min="10245" max="10246" width="9.140625" style="334"/>
    <col min="10247" max="10248" width="0" style="334" hidden="1" customWidth="1"/>
    <col min="10249" max="10249" width="26.42578125" style="334" customWidth="1"/>
    <col min="10250" max="10251" width="0" style="334" hidden="1" customWidth="1"/>
    <col min="10252" max="10252" width="6.42578125" style="334" customWidth="1"/>
    <col min="10253" max="10492" width="1.28515625" style="334" customWidth="1"/>
    <col min="10493" max="10496" width="9.140625" style="334"/>
    <col min="10497" max="10497" width="5.42578125" style="334" bestFit="1" customWidth="1"/>
    <col min="10498" max="10498" width="1.42578125" style="334" customWidth="1"/>
    <col min="10499" max="10499" width="25.5703125" style="334" customWidth="1"/>
    <col min="10500" max="10500" width="7.28515625" style="334" customWidth="1"/>
    <col min="10501" max="10502" width="9.140625" style="334"/>
    <col min="10503" max="10504" width="0" style="334" hidden="1" customWidth="1"/>
    <col min="10505" max="10505" width="26.42578125" style="334" customWidth="1"/>
    <col min="10506" max="10507" width="0" style="334" hidden="1" customWidth="1"/>
    <col min="10508" max="10508" width="6.42578125" style="334" customWidth="1"/>
    <col min="10509" max="10748" width="1.28515625" style="334" customWidth="1"/>
    <col min="10749" max="10752" width="9.140625" style="334"/>
    <col min="10753" max="10753" width="5.42578125" style="334" bestFit="1" customWidth="1"/>
    <col min="10754" max="10754" width="1.42578125" style="334" customWidth="1"/>
    <col min="10755" max="10755" width="25.5703125" style="334" customWidth="1"/>
    <col min="10756" max="10756" width="7.28515625" style="334" customWidth="1"/>
    <col min="10757" max="10758" width="9.140625" style="334"/>
    <col min="10759" max="10760" width="0" style="334" hidden="1" customWidth="1"/>
    <col min="10761" max="10761" width="26.42578125" style="334" customWidth="1"/>
    <col min="10762" max="10763" width="0" style="334" hidden="1" customWidth="1"/>
    <col min="10764" max="10764" width="6.42578125" style="334" customWidth="1"/>
    <col min="10765" max="11004" width="1.28515625" style="334" customWidth="1"/>
    <col min="11005" max="11008" width="9.140625" style="334"/>
    <col min="11009" max="11009" width="5.42578125" style="334" bestFit="1" customWidth="1"/>
    <col min="11010" max="11010" width="1.42578125" style="334" customWidth="1"/>
    <col min="11011" max="11011" width="25.5703125" style="334" customWidth="1"/>
    <col min="11012" max="11012" width="7.28515625" style="334" customWidth="1"/>
    <col min="11013" max="11014" width="9.140625" style="334"/>
    <col min="11015" max="11016" width="0" style="334" hidden="1" customWidth="1"/>
    <col min="11017" max="11017" width="26.42578125" style="334" customWidth="1"/>
    <col min="11018" max="11019" width="0" style="334" hidden="1" customWidth="1"/>
    <col min="11020" max="11020" width="6.42578125" style="334" customWidth="1"/>
    <col min="11021" max="11260" width="1.28515625" style="334" customWidth="1"/>
    <col min="11261" max="11264" width="9.140625" style="334"/>
    <col min="11265" max="11265" width="5.42578125" style="334" bestFit="1" customWidth="1"/>
    <col min="11266" max="11266" width="1.42578125" style="334" customWidth="1"/>
    <col min="11267" max="11267" width="25.5703125" style="334" customWidth="1"/>
    <col min="11268" max="11268" width="7.28515625" style="334" customWidth="1"/>
    <col min="11269" max="11270" width="9.140625" style="334"/>
    <col min="11271" max="11272" width="0" style="334" hidden="1" customWidth="1"/>
    <col min="11273" max="11273" width="26.42578125" style="334" customWidth="1"/>
    <col min="11274" max="11275" width="0" style="334" hidden="1" customWidth="1"/>
    <col min="11276" max="11276" width="6.42578125" style="334" customWidth="1"/>
    <col min="11277" max="11516" width="1.28515625" style="334" customWidth="1"/>
    <col min="11517" max="11520" width="9.140625" style="334"/>
    <col min="11521" max="11521" width="5.42578125" style="334" bestFit="1" customWidth="1"/>
    <col min="11522" max="11522" width="1.42578125" style="334" customWidth="1"/>
    <col min="11523" max="11523" width="25.5703125" style="334" customWidth="1"/>
    <col min="11524" max="11524" width="7.28515625" style="334" customWidth="1"/>
    <col min="11525" max="11526" width="9.140625" style="334"/>
    <col min="11527" max="11528" width="0" style="334" hidden="1" customWidth="1"/>
    <col min="11529" max="11529" width="26.42578125" style="334" customWidth="1"/>
    <col min="11530" max="11531" width="0" style="334" hidden="1" customWidth="1"/>
    <col min="11532" max="11532" width="6.42578125" style="334" customWidth="1"/>
    <col min="11533" max="11772" width="1.28515625" style="334" customWidth="1"/>
    <col min="11773" max="11776" width="9.140625" style="334"/>
    <col min="11777" max="11777" width="5.42578125" style="334" bestFit="1" customWidth="1"/>
    <col min="11778" max="11778" width="1.42578125" style="334" customWidth="1"/>
    <col min="11779" max="11779" width="25.5703125" style="334" customWidth="1"/>
    <col min="11780" max="11780" width="7.28515625" style="334" customWidth="1"/>
    <col min="11781" max="11782" width="9.140625" style="334"/>
    <col min="11783" max="11784" width="0" style="334" hidden="1" customWidth="1"/>
    <col min="11785" max="11785" width="26.42578125" style="334" customWidth="1"/>
    <col min="11786" max="11787" width="0" style="334" hidden="1" customWidth="1"/>
    <col min="11788" max="11788" width="6.42578125" style="334" customWidth="1"/>
    <col min="11789" max="12028" width="1.28515625" style="334" customWidth="1"/>
    <col min="12029" max="12032" width="9.140625" style="334"/>
    <col min="12033" max="12033" width="5.42578125" style="334" bestFit="1" customWidth="1"/>
    <col min="12034" max="12034" width="1.42578125" style="334" customWidth="1"/>
    <col min="12035" max="12035" width="25.5703125" style="334" customWidth="1"/>
    <col min="12036" max="12036" width="7.28515625" style="334" customWidth="1"/>
    <col min="12037" max="12038" width="9.140625" style="334"/>
    <col min="12039" max="12040" width="0" style="334" hidden="1" customWidth="1"/>
    <col min="12041" max="12041" width="26.42578125" style="334" customWidth="1"/>
    <col min="12042" max="12043" width="0" style="334" hidden="1" customWidth="1"/>
    <col min="12044" max="12044" width="6.42578125" style="334" customWidth="1"/>
    <col min="12045" max="12284" width="1.28515625" style="334" customWidth="1"/>
    <col min="12285" max="12288" width="9.140625" style="334"/>
    <col min="12289" max="12289" width="5.42578125" style="334" bestFit="1" customWidth="1"/>
    <col min="12290" max="12290" width="1.42578125" style="334" customWidth="1"/>
    <col min="12291" max="12291" width="25.5703125" style="334" customWidth="1"/>
    <col min="12292" max="12292" width="7.28515625" style="334" customWidth="1"/>
    <col min="12293" max="12294" width="9.140625" style="334"/>
    <col min="12295" max="12296" width="0" style="334" hidden="1" customWidth="1"/>
    <col min="12297" max="12297" width="26.42578125" style="334" customWidth="1"/>
    <col min="12298" max="12299" width="0" style="334" hidden="1" customWidth="1"/>
    <col min="12300" max="12300" width="6.42578125" style="334" customWidth="1"/>
    <col min="12301" max="12540" width="1.28515625" style="334" customWidth="1"/>
    <col min="12541" max="12544" width="9.140625" style="334"/>
    <col min="12545" max="12545" width="5.42578125" style="334" bestFit="1" customWidth="1"/>
    <col min="12546" max="12546" width="1.42578125" style="334" customWidth="1"/>
    <col min="12547" max="12547" width="25.5703125" style="334" customWidth="1"/>
    <col min="12548" max="12548" width="7.28515625" style="334" customWidth="1"/>
    <col min="12549" max="12550" width="9.140625" style="334"/>
    <col min="12551" max="12552" width="0" style="334" hidden="1" customWidth="1"/>
    <col min="12553" max="12553" width="26.42578125" style="334" customWidth="1"/>
    <col min="12554" max="12555" width="0" style="334" hidden="1" customWidth="1"/>
    <col min="12556" max="12556" width="6.42578125" style="334" customWidth="1"/>
    <col min="12557" max="12796" width="1.28515625" style="334" customWidth="1"/>
    <col min="12797" max="12800" width="9.140625" style="334"/>
    <col min="12801" max="12801" width="5.42578125" style="334" bestFit="1" customWidth="1"/>
    <col min="12802" max="12802" width="1.42578125" style="334" customWidth="1"/>
    <col min="12803" max="12803" width="25.5703125" style="334" customWidth="1"/>
    <col min="12804" max="12804" width="7.28515625" style="334" customWidth="1"/>
    <col min="12805" max="12806" width="9.140625" style="334"/>
    <col min="12807" max="12808" width="0" style="334" hidden="1" customWidth="1"/>
    <col min="12809" max="12809" width="26.42578125" style="334" customWidth="1"/>
    <col min="12810" max="12811" width="0" style="334" hidden="1" customWidth="1"/>
    <col min="12812" max="12812" width="6.42578125" style="334" customWidth="1"/>
    <col min="12813" max="13052" width="1.28515625" style="334" customWidth="1"/>
    <col min="13053" max="13056" width="9.140625" style="334"/>
    <col min="13057" max="13057" width="5.42578125" style="334" bestFit="1" customWidth="1"/>
    <col min="13058" max="13058" width="1.42578125" style="334" customWidth="1"/>
    <col min="13059" max="13059" width="25.5703125" style="334" customWidth="1"/>
    <col min="13060" max="13060" width="7.28515625" style="334" customWidth="1"/>
    <col min="13061" max="13062" width="9.140625" style="334"/>
    <col min="13063" max="13064" width="0" style="334" hidden="1" customWidth="1"/>
    <col min="13065" max="13065" width="26.42578125" style="334" customWidth="1"/>
    <col min="13066" max="13067" width="0" style="334" hidden="1" customWidth="1"/>
    <col min="13068" max="13068" width="6.42578125" style="334" customWidth="1"/>
    <col min="13069" max="13308" width="1.28515625" style="334" customWidth="1"/>
    <col min="13309" max="13312" width="9.140625" style="334"/>
    <col min="13313" max="13313" width="5.42578125" style="334" bestFit="1" customWidth="1"/>
    <col min="13314" max="13314" width="1.42578125" style="334" customWidth="1"/>
    <col min="13315" max="13315" width="25.5703125" style="334" customWidth="1"/>
    <col min="13316" max="13316" width="7.28515625" style="334" customWidth="1"/>
    <col min="13317" max="13318" width="9.140625" style="334"/>
    <col min="13319" max="13320" width="0" style="334" hidden="1" customWidth="1"/>
    <col min="13321" max="13321" width="26.42578125" style="334" customWidth="1"/>
    <col min="13322" max="13323" width="0" style="334" hidden="1" customWidth="1"/>
    <col min="13324" max="13324" width="6.42578125" style="334" customWidth="1"/>
    <col min="13325" max="13564" width="1.28515625" style="334" customWidth="1"/>
    <col min="13565" max="13568" width="9.140625" style="334"/>
    <col min="13569" max="13569" width="5.42578125" style="334" bestFit="1" customWidth="1"/>
    <col min="13570" max="13570" width="1.42578125" style="334" customWidth="1"/>
    <col min="13571" max="13571" width="25.5703125" style="334" customWidth="1"/>
    <col min="13572" max="13572" width="7.28515625" style="334" customWidth="1"/>
    <col min="13573" max="13574" width="9.140625" style="334"/>
    <col min="13575" max="13576" width="0" style="334" hidden="1" customWidth="1"/>
    <col min="13577" max="13577" width="26.42578125" style="334" customWidth="1"/>
    <col min="13578" max="13579" width="0" style="334" hidden="1" customWidth="1"/>
    <col min="13580" max="13580" width="6.42578125" style="334" customWidth="1"/>
    <col min="13581" max="13820" width="1.28515625" style="334" customWidth="1"/>
    <col min="13821" max="13824" width="9.140625" style="334"/>
    <col min="13825" max="13825" width="5.42578125" style="334" bestFit="1" customWidth="1"/>
    <col min="13826" max="13826" width="1.42578125" style="334" customWidth="1"/>
    <col min="13827" max="13827" width="25.5703125" style="334" customWidth="1"/>
    <col min="13828" max="13828" width="7.28515625" style="334" customWidth="1"/>
    <col min="13829" max="13830" width="9.140625" style="334"/>
    <col min="13831" max="13832" width="0" style="334" hidden="1" customWidth="1"/>
    <col min="13833" max="13833" width="26.42578125" style="334" customWidth="1"/>
    <col min="13834" max="13835" width="0" style="334" hidden="1" customWidth="1"/>
    <col min="13836" max="13836" width="6.42578125" style="334" customWidth="1"/>
    <col min="13837" max="14076" width="1.28515625" style="334" customWidth="1"/>
    <col min="14077" max="14080" width="9.140625" style="334"/>
    <col min="14081" max="14081" width="5.42578125" style="334" bestFit="1" customWidth="1"/>
    <col min="14082" max="14082" width="1.42578125" style="334" customWidth="1"/>
    <col min="14083" max="14083" width="25.5703125" style="334" customWidth="1"/>
    <col min="14084" max="14084" width="7.28515625" style="334" customWidth="1"/>
    <col min="14085" max="14086" width="9.140625" style="334"/>
    <col min="14087" max="14088" width="0" style="334" hidden="1" customWidth="1"/>
    <col min="14089" max="14089" width="26.42578125" style="334" customWidth="1"/>
    <col min="14090" max="14091" width="0" style="334" hidden="1" customWidth="1"/>
    <col min="14092" max="14092" width="6.42578125" style="334" customWidth="1"/>
    <col min="14093" max="14332" width="1.28515625" style="334" customWidth="1"/>
    <col min="14333" max="14336" width="9.140625" style="334"/>
    <col min="14337" max="14337" width="5.42578125" style="334" bestFit="1" customWidth="1"/>
    <col min="14338" max="14338" width="1.42578125" style="334" customWidth="1"/>
    <col min="14339" max="14339" width="25.5703125" style="334" customWidth="1"/>
    <col min="14340" max="14340" width="7.28515625" style="334" customWidth="1"/>
    <col min="14341" max="14342" width="9.140625" style="334"/>
    <col min="14343" max="14344" width="0" style="334" hidden="1" customWidth="1"/>
    <col min="14345" max="14345" width="26.42578125" style="334" customWidth="1"/>
    <col min="14346" max="14347" width="0" style="334" hidden="1" customWidth="1"/>
    <col min="14348" max="14348" width="6.42578125" style="334" customWidth="1"/>
    <col min="14349" max="14588" width="1.28515625" style="334" customWidth="1"/>
    <col min="14589" max="14592" width="9.140625" style="334"/>
    <col min="14593" max="14593" width="5.42578125" style="334" bestFit="1" customWidth="1"/>
    <col min="14594" max="14594" width="1.42578125" style="334" customWidth="1"/>
    <col min="14595" max="14595" width="25.5703125" style="334" customWidth="1"/>
    <col min="14596" max="14596" width="7.28515625" style="334" customWidth="1"/>
    <col min="14597" max="14598" width="9.140625" style="334"/>
    <col min="14599" max="14600" width="0" style="334" hidden="1" customWidth="1"/>
    <col min="14601" max="14601" width="26.42578125" style="334" customWidth="1"/>
    <col min="14602" max="14603" width="0" style="334" hidden="1" customWidth="1"/>
    <col min="14604" max="14604" width="6.42578125" style="334" customWidth="1"/>
    <col min="14605" max="14844" width="1.28515625" style="334" customWidth="1"/>
    <col min="14845" max="14848" width="9.140625" style="334"/>
    <col min="14849" max="14849" width="5.42578125" style="334" bestFit="1" customWidth="1"/>
    <col min="14850" max="14850" width="1.42578125" style="334" customWidth="1"/>
    <col min="14851" max="14851" width="25.5703125" style="334" customWidth="1"/>
    <col min="14852" max="14852" width="7.28515625" style="334" customWidth="1"/>
    <col min="14853" max="14854" width="9.140625" style="334"/>
    <col min="14855" max="14856" width="0" style="334" hidden="1" customWidth="1"/>
    <col min="14857" max="14857" width="26.42578125" style="334" customWidth="1"/>
    <col min="14858" max="14859" width="0" style="334" hidden="1" customWidth="1"/>
    <col min="14860" max="14860" width="6.42578125" style="334" customWidth="1"/>
    <col min="14861" max="15100" width="1.28515625" style="334" customWidth="1"/>
    <col min="15101" max="15104" width="9.140625" style="334"/>
    <col min="15105" max="15105" width="5.42578125" style="334" bestFit="1" customWidth="1"/>
    <col min="15106" max="15106" width="1.42578125" style="334" customWidth="1"/>
    <col min="15107" max="15107" width="25.5703125" style="334" customWidth="1"/>
    <col min="15108" max="15108" width="7.28515625" style="334" customWidth="1"/>
    <col min="15109" max="15110" width="9.140625" style="334"/>
    <col min="15111" max="15112" width="0" style="334" hidden="1" customWidth="1"/>
    <col min="15113" max="15113" width="26.42578125" style="334" customWidth="1"/>
    <col min="15114" max="15115" width="0" style="334" hidden="1" customWidth="1"/>
    <col min="15116" max="15116" width="6.42578125" style="334" customWidth="1"/>
    <col min="15117" max="15356" width="1.28515625" style="334" customWidth="1"/>
    <col min="15357" max="15360" width="9.140625" style="334"/>
    <col min="15361" max="15361" width="5.42578125" style="334" bestFit="1" customWidth="1"/>
    <col min="15362" max="15362" width="1.42578125" style="334" customWidth="1"/>
    <col min="15363" max="15363" width="25.5703125" style="334" customWidth="1"/>
    <col min="15364" max="15364" width="7.28515625" style="334" customWidth="1"/>
    <col min="15365" max="15366" width="9.140625" style="334"/>
    <col min="15367" max="15368" width="0" style="334" hidden="1" customWidth="1"/>
    <col min="15369" max="15369" width="26.42578125" style="334" customWidth="1"/>
    <col min="15370" max="15371" width="0" style="334" hidden="1" customWidth="1"/>
    <col min="15372" max="15372" width="6.42578125" style="334" customWidth="1"/>
    <col min="15373" max="15612" width="1.28515625" style="334" customWidth="1"/>
    <col min="15613" max="15616" width="9.140625" style="334"/>
    <col min="15617" max="15617" width="5.42578125" style="334" bestFit="1" customWidth="1"/>
    <col min="15618" max="15618" width="1.42578125" style="334" customWidth="1"/>
    <col min="15619" max="15619" width="25.5703125" style="334" customWidth="1"/>
    <col min="15620" max="15620" width="7.28515625" style="334" customWidth="1"/>
    <col min="15621" max="15622" width="9.140625" style="334"/>
    <col min="15623" max="15624" width="0" style="334" hidden="1" customWidth="1"/>
    <col min="15625" max="15625" width="26.42578125" style="334" customWidth="1"/>
    <col min="15626" max="15627" width="0" style="334" hidden="1" customWidth="1"/>
    <col min="15628" max="15628" width="6.42578125" style="334" customWidth="1"/>
    <col min="15629" max="15868" width="1.28515625" style="334" customWidth="1"/>
    <col min="15869" max="15872" width="9.140625" style="334"/>
    <col min="15873" max="15873" width="5.42578125" style="334" bestFit="1" customWidth="1"/>
    <col min="15874" max="15874" width="1.42578125" style="334" customWidth="1"/>
    <col min="15875" max="15875" width="25.5703125" style="334" customWidth="1"/>
    <col min="15876" max="15876" width="7.28515625" style="334" customWidth="1"/>
    <col min="15877" max="15878" width="9.140625" style="334"/>
    <col min="15879" max="15880" width="0" style="334" hidden="1" customWidth="1"/>
    <col min="15881" max="15881" width="26.42578125" style="334" customWidth="1"/>
    <col min="15882" max="15883" width="0" style="334" hidden="1" customWidth="1"/>
    <col min="15884" max="15884" width="6.42578125" style="334" customWidth="1"/>
    <col min="15885" max="16124" width="1.28515625" style="334" customWidth="1"/>
    <col min="16125" max="16128" width="9.140625" style="334"/>
    <col min="16129" max="16129" width="5.42578125" style="334" bestFit="1" customWidth="1"/>
    <col min="16130" max="16130" width="1.42578125" style="334" customWidth="1"/>
    <col min="16131" max="16131" width="25.5703125" style="334" customWidth="1"/>
    <col min="16132" max="16132" width="7.28515625" style="334" customWidth="1"/>
    <col min="16133" max="16134" width="9.140625" style="334"/>
    <col min="16135" max="16136" width="0" style="334" hidden="1" customWidth="1"/>
    <col min="16137" max="16137" width="26.42578125" style="334" customWidth="1"/>
    <col min="16138" max="16139" width="0" style="334" hidden="1" customWidth="1"/>
    <col min="16140" max="16140" width="6.42578125" style="334" customWidth="1"/>
    <col min="16141" max="16380" width="1.28515625" style="334" customWidth="1"/>
    <col min="16381" max="16384" width="9.140625" style="334"/>
  </cols>
  <sheetData>
    <row r="1" spans="1:253" ht="19.5" customHeight="1" x14ac:dyDescent="0.2">
      <c r="A1" s="850" t="str">
        <f>"PROJECT NAME: " &amp; Info_Job_Name</f>
        <v>PROJECT NAME: ENFRA - Columbia Gorge</v>
      </c>
      <c r="B1" s="850"/>
      <c r="C1" s="850"/>
      <c r="D1" s="475"/>
      <c r="E1" s="421"/>
      <c r="I1" s="421"/>
      <c r="J1" s="421"/>
      <c r="K1" s="421"/>
      <c r="L1" s="422" t="s">
        <v>1337</v>
      </c>
      <c r="M1" s="851"/>
      <c r="N1" s="852"/>
      <c r="O1" s="852"/>
      <c r="P1" s="852"/>
      <c r="Q1" s="852"/>
      <c r="R1" s="853"/>
      <c r="S1" s="853"/>
      <c r="T1" s="853"/>
      <c r="U1" s="853"/>
      <c r="V1" s="854"/>
      <c r="W1" s="421"/>
      <c r="X1" s="423" t="s">
        <v>1338</v>
      </c>
      <c r="Y1" s="421"/>
      <c r="Z1" s="421"/>
      <c r="AA1" s="421"/>
      <c r="AB1" s="421"/>
      <c r="AC1" s="421"/>
      <c r="AE1" s="421"/>
      <c r="AF1" s="421"/>
      <c r="AG1" s="421"/>
      <c r="AH1" s="421"/>
      <c r="AI1" s="421"/>
      <c r="AK1" s="424"/>
      <c r="AL1" s="424"/>
    </row>
    <row r="2" spans="1:253" s="262" customFormat="1" ht="13.5" thickBot="1" x14ac:dyDescent="0.25">
      <c r="A2" s="849" t="s">
        <v>1339</v>
      </c>
      <c r="B2" s="849"/>
      <c r="C2" s="849"/>
      <c r="D2" s="334"/>
      <c r="E2" s="425"/>
      <c r="F2" s="476"/>
      <c r="G2" s="421" t="s">
        <v>1340</v>
      </c>
      <c r="H2" s="425"/>
      <c r="I2" s="425"/>
      <c r="J2" s="426"/>
      <c r="K2" s="426"/>
      <c r="L2" s="427"/>
      <c r="M2" s="428">
        <v>1</v>
      </c>
      <c r="N2" s="428">
        <v>2</v>
      </c>
      <c r="O2" s="428">
        <v>3</v>
      </c>
      <c r="P2" s="428">
        <v>4</v>
      </c>
      <c r="Q2" s="428">
        <v>5</v>
      </c>
      <c r="R2" s="428">
        <f>Q2+3</f>
        <v>8</v>
      </c>
      <c r="S2" s="428">
        <f>R2+1</f>
        <v>9</v>
      </c>
      <c r="T2" s="428">
        <f>S2+1</f>
        <v>10</v>
      </c>
      <c r="U2" s="428">
        <f>T2+1</f>
        <v>11</v>
      </c>
      <c r="V2" s="428">
        <f>U2+1</f>
        <v>12</v>
      </c>
      <c r="W2" s="428">
        <f>V2+3</f>
        <v>15</v>
      </c>
      <c r="X2" s="428">
        <f>W2+1</f>
        <v>16</v>
      </c>
      <c r="Y2" s="428">
        <f>X2+1</f>
        <v>17</v>
      </c>
      <c r="Z2" s="428">
        <f>Y2+1</f>
        <v>18</v>
      </c>
      <c r="AA2" s="428">
        <f>Z2+1</f>
        <v>19</v>
      </c>
      <c r="AB2" s="428">
        <f>AA2+3</f>
        <v>22</v>
      </c>
      <c r="AC2" s="428">
        <f>AB2+1</f>
        <v>23</v>
      </c>
      <c r="AD2" s="428">
        <f>AC2+1</f>
        <v>24</v>
      </c>
      <c r="AE2" s="428">
        <f>AD2+1</f>
        <v>25</v>
      </c>
      <c r="AF2" s="428">
        <f>AE2+1</f>
        <v>26</v>
      </c>
      <c r="AG2" s="428">
        <f>AF2+3</f>
        <v>29</v>
      </c>
      <c r="AH2" s="428">
        <f>AG2+1</f>
        <v>30</v>
      </c>
      <c r="AI2" s="428">
        <f>AH2+1</f>
        <v>31</v>
      </c>
      <c r="AJ2" s="428">
        <f>AI2+1</f>
        <v>32</v>
      </c>
      <c r="AK2" s="428">
        <f>AJ2+1</f>
        <v>33</v>
      </c>
      <c r="AL2" s="428">
        <f>AK2+3</f>
        <v>36</v>
      </c>
      <c r="AM2" s="428">
        <f>AL2+1</f>
        <v>37</v>
      </c>
      <c r="AN2" s="428">
        <f>AM2+1</f>
        <v>38</v>
      </c>
      <c r="AO2" s="428">
        <f>AN2+1</f>
        <v>39</v>
      </c>
      <c r="AP2" s="428">
        <f>AO2+1</f>
        <v>40</v>
      </c>
      <c r="AQ2" s="428">
        <f>AP2+3</f>
        <v>43</v>
      </c>
      <c r="AR2" s="428">
        <f>AQ2+1</f>
        <v>44</v>
      </c>
      <c r="AS2" s="428">
        <f>AR2+1</f>
        <v>45</v>
      </c>
      <c r="AT2" s="428">
        <f>AS2+1</f>
        <v>46</v>
      </c>
      <c r="AU2" s="428">
        <f>AT2+1</f>
        <v>47</v>
      </c>
      <c r="AV2" s="428">
        <f>AU2+3</f>
        <v>50</v>
      </c>
      <c r="AW2" s="428">
        <f>AV2+1</f>
        <v>51</v>
      </c>
      <c r="AX2" s="428">
        <f>AW2+1</f>
        <v>52</v>
      </c>
      <c r="AY2" s="428">
        <f>AX2+1</f>
        <v>53</v>
      </c>
      <c r="AZ2" s="428">
        <f>AY2+1</f>
        <v>54</v>
      </c>
      <c r="BA2" s="428">
        <f>AZ2+3</f>
        <v>57</v>
      </c>
      <c r="BB2" s="428">
        <f>BA2+1</f>
        <v>58</v>
      </c>
      <c r="BC2" s="428">
        <f>BB2+1</f>
        <v>59</v>
      </c>
      <c r="BD2" s="428">
        <f>BC2+1</f>
        <v>60</v>
      </c>
      <c r="BE2" s="428">
        <f>BD2+1</f>
        <v>61</v>
      </c>
      <c r="BF2" s="428">
        <f>BE2+3</f>
        <v>64</v>
      </c>
      <c r="BG2" s="428">
        <f>BF2+1</f>
        <v>65</v>
      </c>
      <c r="BH2" s="428">
        <f>BG2+1</f>
        <v>66</v>
      </c>
      <c r="BI2" s="428">
        <f>BH2+1</f>
        <v>67</v>
      </c>
      <c r="BJ2" s="428">
        <f>BI2+1</f>
        <v>68</v>
      </c>
      <c r="BK2" s="428">
        <f>BJ2+3</f>
        <v>71</v>
      </c>
      <c r="BL2" s="428">
        <f>BK2+1</f>
        <v>72</v>
      </c>
      <c r="BM2" s="428">
        <f>BL2+1</f>
        <v>73</v>
      </c>
      <c r="BN2" s="428">
        <f>BM2+1</f>
        <v>74</v>
      </c>
      <c r="BO2" s="428">
        <f>BN2+1</f>
        <v>75</v>
      </c>
      <c r="BP2" s="428">
        <f>BO2+3</f>
        <v>78</v>
      </c>
      <c r="BQ2" s="428">
        <f>BP2+1</f>
        <v>79</v>
      </c>
      <c r="BR2" s="428">
        <f>BQ2+1</f>
        <v>80</v>
      </c>
      <c r="BS2" s="428">
        <f>BR2+1</f>
        <v>81</v>
      </c>
      <c r="BT2" s="428">
        <f>BS2+1</f>
        <v>82</v>
      </c>
      <c r="BU2" s="428">
        <f>BT2+3</f>
        <v>85</v>
      </c>
      <c r="BV2" s="428">
        <f>BU2+1</f>
        <v>86</v>
      </c>
      <c r="BW2" s="428">
        <f>BV2+1</f>
        <v>87</v>
      </c>
      <c r="BX2" s="428">
        <f>BW2+1</f>
        <v>88</v>
      </c>
      <c r="BY2" s="428">
        <f>BX2+1</f>
        <v>89</v>
      </c>
      <c r="BZ2" s="428">
        <f>BY2+3</f>
        <v>92</v>
      </c>
      <c r="CA2" s="428">
        <f>BZ2+1</f>
        <v>93</v>
      </c>
      <c r="CB2" s="428">
        <f>CA2+1</f>
        <v>94</v>
      </c>
      <c r="CC2" s="428">
        <f>CB2+1</f>
        <v>95</v>
      </c>
      <c r="CD2" s="428">
        <f>CC2+1</f>
        <v>96</v>
      </c>
      <c r="CE2" s="428">
        <f>CD2+3</f>
        <v>99</v>
      </c>
      <c r="CF2" s="428">
        <f>CE2+1</f>
        <v>100</v>
      </c>
      <c r="CG2" s="428">
        <f>CF2+1</f>
        <v>101</v>
      </c>
      <c r="CH2" s="428">
        <f>CG2+1</f>
        <v>102</v>
      </c>
      <c r="CI2" s="428">
        <f>CH2+1</f>
        <v>103</v>
      </c>
      <c r="CJ2" s="428">
        <f>CI2+3</f>
        <v>106</v>
      </c>
      <c r="CK2" s="428">
        <f>CJ2+1</f>
        <v>107</v>
      </c>
      <c r="CL2" s="428">
        <f>CK2+1</f>
        <v>108</v>
      </c>
      <c r="CM2" s="428">
        <f>CL2+1</f>
        <v>109</v>
      </c>
      <c r="CN2" s="428">
        <f>CM2+1</f>
        <v>110</v>
      </c>
      <c r="CO2" s="428">
        <f>CN2+3</f>
        <v>113</v>
      </c>
      <c r="CP2" s="428">
        <f>CO2+1</f>
        <v>114</v>
      </c>
      <c r="CQ2" s="428">
        <f>CP2+1</f>
        <v>115</v>
      </c>
      <c r="CR2" s="428">
        <f>CQ2+1</f>
        <v>116</v>
      </c>
      <c r="CS2" s="428">
        <f>CR2+1</f>
        <v>117</v>
      </c>
      <c r="CT2" s="428">
        <f>CS2+3</f>
        <v>120</v>
      </c>
      <c r="CU2" s="428">
        <f>CT2+1</f>
        <v>121</v>
      </c>
      <c r="CV2" s="428">
        <f>CU2+1</f>
        <v>122</v>
      </c>
      <c r="CW2" s="428">
        <f>CV2+1</f>
        <v>123</v>
      </c>
      <c r="CX2" s="428">
        <f>CW2+1</f>
        <v>124</v>
      </c>
      <c r="CY2" s="428">
        <f>CX2+3</f>
        <v>127</v>
      </c>
      <c r="CZ2" s="428">
        <f>CY2+1</f>
        <v>128</v>
      </c>
      <c r="DA2" s="428">
        <f>CZ2+1</f>
        <v>129</v>
      </c>
      <c r="DB2" s="428">
        <f>DA2+1</f>
        <v>130</v>
      </c>
      <c r="DC2" s="428">
        <f>DB2+1</f>
        <v>131</v>
      </c>
      <c r="DD2" s="428">
        <f>DC2+3</f>
        <v>134</v>
      </c>
      <c r="DE2" s="428">
        <f>DD2+1</f>
        <v>135</v>
      </c>
      <c r="DF2" s="428">
        <f>DE2+1</f>
        <v>136</v>
      </c>
      <c r="DG2" s="428">
        <f>DF2+1</f>
        <v>137</v>
      </c>
      <c r="DH2" s="428">
        <f>DG2+1</f>
        <v>138</v>
      </c>
      <c r="DI2" s="428">
        <f>DH2+3</f>
        <v>141</v>
      </c>
      <c r="DJ2" s="428">
        <f>DI2+1</f>
        <v>142</v>
      </c>
      <c r="DK2" s="428">
        <f>DJ2+1</f>
        <v>143</v>
      </c>
      <c r="DL2" s="428">
        <f>DK2+1</f>
        <v>144</v>
      </c>
      <c r="DM2" s="428">
        <f>DL2+1</f>
        <v>145</v>
      </c>
      <c r="DN2" s="428">
        <f>DM2+3</f>
        <v>148</v>
      </c>
      <c r="DO2" s="428">
        <f>DN2+1</f>
        <v>149</v>
      </c>
      <c r="DP2" s="428">
        <f>DO2+1</f>
        <v>150</v>
      </c>
      <c r="DQ2" s="428">
        <f>DP2+1</f>
        <v>151</v>
      </c>
      <c r="DR2" s="428">
        <f>DQ2+1</f>
        <v>152</v>
      </c>
      <c r="DS2" s="428">
        <f>DR2+3</f>
        <v>155</v>
      </c>
      <c r="DT2" s="428">
        <f>DS2+1</f>
        <v>156</v>
      </c>
      <c r="DU2" s="428">
        <f>DT2+1</f>
        <v>157</v>
      </c>
      <c r="DV2" s="428">
        <f>DU2+1</f>
        <v>158</v>
      </c>
      <c r="DW2" s="428">
        <f>DV2+1</f>
        <v>159</v>
      </c>
      <c r="DX2" s="428">
        <f>DW2+3</f>
        <v>162</v>
      </c>
      <c r="DY2" s="428">
        <f>DX2+1</f>
        <v>163</v>
      </c>
      <c r="DZ2" s="428">
        <f>DY2+1</f>
        <v>164</v>
      </c>
      <c r="EA2" s="428">
        <f>DZ2+1</f>
        <v>165</v>
      </c>
      <c r="EB2" s="428">
        <f>EA2+1</f>
        <v>166</v>
      </c>
      <c r="EC2" s="428">
        <f>EB2+3</f>
        <v>169</v>
      </c>
      <c r="ED2" s="428">
        <f>EC2+1</f>
        <v>170</v>
      </c>
      <c r="EE2" s="428">
        <f>ED2+1</f>
        <v>171</v>
      </c>
      <c r="EF2" s="428">
        <f>EE2+1</f>
        <v>172</v>
      </c>
      <c r="EG2" s="428">
        <f>EF2+1</f>
        <v>173</v>
      </c>
      <c r="EH2" s="428">
        <f>EG2+3</f>
        <v>176</v>
      </c>
      <c r="EI2" s="428">
        <f>EH2+1</f>
        <v>177</v>
      </c>
      <c r="EJ2" s="428">
        <f>EI2+1</f>
        <v>178</v>
      </c>
      <c r="EK2" s="428">
        <f>EJ2+1</f>
        <v>179</v>
      </c>
      <c r="EL2" s="428">
        <f>EK2+1</f>
        <v>180</v>
      </c>
      <c r="EM2" s="428">
        <f>EL2+3</f>
        <v>183</v>
      </c>
      <c r="EN2" s="428">
        <f>EM2+1</f>
        <v>184</v>
      </c>
      <c r="EO2" s="428">
        <f>EN2+1</f>
        <v>185</v>
      </c>
      <c r="EP2" s="428">
        <f>EO2+1</f>
        <v>186</v>
      </c>
      <c r="EQ2" s="428">
        <f>EP2+1</f>
        <v>187</v>
      </c>
      <c r="ER2" s="428">
        <f>EQ2+3</f>
        <v>190</v>
      </c>
      <c r="ES2" s="428">
        <f>ER2+1</f>
        <v>191</v>
      </c>
      <c r="ET2" s="428">
        <f>ES2+1</f>
        <v>192</v>
      </c>
      <c r="EU2" s="428">
        <f>ET2+1</f>
        <v>193</v>
      </c>
      <c r="EV2" s="428">
        <f>EU2+1</f>
        <v>194</v>
      </c>
      <c r="EW2" s="428">
        <f>EV2+3</f>
        <v>197</v>
      </c>
      <c r="EX2" s="428">
        <f>EW2+1</f>
        <v>198</v>
      </c>
      <c r="EY2" s="428">
        <f>EX2+1</f>
        <v>199</v>
      </c>
      <c r="EZ2" s="428">
        <f>EY2+1</f>
        <v>200</v>
      </c>
      <c r="FA2" s="428">
        <f>EZ2+1</f>
        <v>201</v>
      </c>
      <c r="FB2" s="428">
        <f>FA2+3</f>
        <v>204</v>
      </c>
      <c r="FC2" s="428">
        <f>FB2+1</f>
        <v>205</v>
      </c>
      <c r="FD2" s="428">
        <f>FC2+1</f>
        <v>206</v>
      </c>
      <c r="FE2" s="428">
        <f>FD2+1</f>
        <v>207</v>
      </c>
      <c r="FF2" s="428">
        <f>FE2+1</f>
        <v>208</v>
      </c>
      <c r="FG2" s="428">
        <f>FF2+3</f>
        <v>211</v>
      </c>
      <c r="FH2" s="428">
        <f>FG2+1</f>
        <v>212</v>
      </c>
      <c r="FI2" s="428">
        <f>FH2+1</f>
        <v>213</v>
      </c>
      <c r="FJ2" s="428">
        <f>FI2+1</f>
        <v>214</v>
      </c>
      <c r="FK2" s="428">
        <f>FJ2+1</f>
        <v>215</v>
      </c>
      <c r="FL2" s="428">
        <f>FK2+3</f>
        <v>218</v>
      </c>
      <c r="FM2" s="428">
        <f>FL2+1</f>
        <v>219</v>
      </c>
      <c r="FN2" s="428">
        <f>FM2+1</f>
        <v>220</v>
      </c>
      <c r="FO2" s="428">
        <f>FN2+1</f>
        <v>221</v>
      </c>
      <c r="FP2" s="428">
        <f>FO2+1</f>
        <v>222</v>
      </c>
      <c r="FQ2" s="428">
        <f>FP2+3</f>
        <v>225</v>
      </c>
      <c r="FR2" s="428">
        <f>FQ2+1</f>
        <v>226</v>
      </c>
      <c r="FS2" s="428">
        <f>FR2+1</f>
        <v>227</v>
      </c>
      <c r="FT2" s="428">
        <f>FS2+1</f>
        <v>228</v>
      </c>
      <c r="FU2" s="428">
        <f>FT2+1</f>
        <v>229</v>
      </c>
      <c r="FV2" s="428">
        <f>FU2+3</f>
        <v>232</v>
      </c>
      <c r="FW2" s="428">
        <f>FV2+1</f>
        <v>233</v>
      </c>
      <c r="FX2" s="428">
        <f>FW2+1</f>
        <v>234</v>
      </c>
      <c r="FY2" s="428">
        <f>FX2+1</f>
        <v>235</v>
      </c>
      <c r="FZ2" s="428">
        <f>FY2+1</f>
        <v>236</v>
      </c>
      <c r="GA2" s="428">
        <f>FZ2+3</f>
        <v>239</v>
      </c>
      <c r="GB2" s="428">
        <f>GA2+1</f>
        <v>240</v>
      </c>
      <c r="GC2" s="428">
        <f>GB2+1</f>
        <v>241</v>
      </c>
      <c r="GD2" s="428">
        <f>GC2+1</f>
        <v>242</v>
      </c>
      <c r="GE2" s="428">
        <f>GD2+1</f>
        <v>243</v>
      </c>
      <c r="GF2" s="428">
        <f>GE2+3</f>
        <v>246</v>
      </c>
      <c r="GG2" s="428">
        <f>GF2+1</f>
        <v>247</v>
      </c>
      <c r="GH2" s="428">
        <f>GG2+1</f>
        <v>248</v>
      </c>
      <c r="GI2" s="428">
        <f>GH2+1</f>
        <v>249</v>
      </c>
      <c r="GJ2" s="428">
        <f>GI2+1</f>
        <v>250</v>
      </c>
      <c r="GK2" s="428">
        <f>GJ2+3</f>
        <v>253</v>
      </c>
      <c r="GL2" s="428">
        <f>GK2+1</f>
        <v>254</v>
      </c>
      <c r="GM2" s="428">
        <f>GL2+1</f>
        <v>255</v>
      </c>
      <c r="GN2" s="428">
        <f>GM2+1</f>
        <v>256</v>
      </c>
      <c r="GO2" s="428">
        <f>GN2+1</f>
        <v>257</v>
      </c>
      <c r="GP2" s="428">
        <f>GO2+3</f>
        <v>260</v>
      </c>
      <c r="GQ2" s="428">
        <f>GP2+1</f>
        <v>261</v>
      </c>
      <c r="GR2" s="428">
        <f>GQ2+1</f>
        <v>262</v>
      </c>
      <c r="GS2" s="428">
        <f>GR2+1</f>
        <v>263</v>
      </c>
      <c r="GT2" s="428">
        <f>GS2+1</f>
        <v>264</v>
      </c>
      <c r="GU2" s="428">
        <f>GT2+3</f>
        <v>267</v>
      </c>
      <c r="GV2" s="428">
        <f>GU2+1</f>
        <v>268</v>
      </c>
      <c r="GW2" s="428">
        <f>GV2+1</f>
        <v>269</v>
      </c>
      <c r="GX2" s="428">
        <f>GW2+1</f>
        <v>270</v>
      </c>
      <c r="GY2" s="428">
        <f>GX2+1</f>
        <v>271</v>
      </c>
      <c r="GZ2" s="428">
        <f>GY2+3</f>
        <v>274</v>
      </c>
      <c r="HA2" s="428">
        <f>GZ2+1</f>
        <v>275</v>
      </c>
      <c r="HB2" s="428">
        <f>HA2+1</f>
        <v>276</v>
      </c>
      <c r="HC2" s="428">
        <f>HB2+1</f>
        <v>277</v>
      </c>
      <c r="HD2" s="428">
        <f>HC2+1</f>
        <v>278</v>
      </c>
      <c r="HE2" s="428">
        <f>HD2+3</f>
        <v>281</v>
      </c>
      <c r="HF2" s="428">
        <f>HE2+1</f>
        <v>282</v>
      </c>
      <c r="HG2" s="428">
        <f>HF2+1</f>
        <v>283</v>
      </c>
      <c r="HH2" s="428">
        <f>HG2+1</f>
        <v>284</v>
      </c>
      <c r="HI2" s="428">
        <f>HH2+1</f>
        <v>285</v>
      </c>
      <c r="HJ2" s="428">
        <f>HI2+3</f>
        <v>288</v>
      </c>
      <c r="HK2" s="428">
        <f>HJ2+1</f>
        <v>289</v>
      </c>
      <c r="HL2" s="428">
        <f>HK2+1</f>
        <v>290</v>
      </c>
      <c r="HM2" s="428">
        <f>HL2+1</f>
        <v>291</v>
      </c>
      <c r="HN2" s="428">
        <f>HM2+1</f>
        <v>292</v>
      </c>
      <c r="HO2" s="428">
        <f>HN2+3</f>
        <v>295</v>
      </c>
      <c r="HP2" s="428">
        <f>HO2+1</f>
        <v>296</v>
      </c>
      <c r="HQ2" s="428">
        <f>HP2+1</f>
        <v>297</v>
      </c>
      <c r="HR2" s="428">
        <f>HQ2+1</f>
        <v>298</v>
      </c>
      <c r="HS2" s="428">
        <f>HR2+1</f>
        <v>299</v>
      </c>
      <c r="HT2" s="428">
        <f>HS2+3</f>
        <v>302</v>
      </c>
      <c r="HU2" s="428">
        <f>HT2+1</f>
        <v>303</v>
      </c>
      <c r="HV2" s="428">
        <f>HU2+1</f>
        <v>304</v>
      </c>
      <c r="HW2" s="428">
        <f>HV2+1</f>
        <v>305</v>
      </c>
      <c r="HX2" s="428">
        <f>HW2+1</f>
        <v>306</v>
      </c>
      <c r="HY2" s="428">
        <f>HX2+3</f>
        <v>309</v>
      </c>
      <c r="HZ2" s="428">
        <f>HY2+1</f>
        <v>310</v>
      </c>
      <c r="IA2" s="428">
        <f>HZ2+1</f>
        <v>311</v>
      </c>
      <c r="IB2" s="428">
        <f>IA2+1</f>
        <v>312</v>
      </c>
      <c r="IC2" s="428">
        <f>IB2+1</f>
        <v>313</v>
      </c>
      <c r="ID2" s="428">
        <f>IC2+3</f>
        <v>316</v>
      </c>
      <c r="IE2" s="428">
        <f>ID2+1</f>
        <v>317</v>
      </c>
      <c r="IF2" s="428">
        <f>IE2+1</f>
        <v>318</v>
      </c>
      <c r="IG2" s="428">
        <f>IF2+1</f>
        <v>319</v>
      </c>
      <c r="IH2" s="428">
        <f>IG2+1</f>
        <v>320</v>
      </c>
      <c r="II2" s="428">
        <f>IH2+3</f>
        <v>323</v>
      </c>
      <c r="IJ2" s="428">
        <f>II2+1</f>
        <v>324</v>
      </c>
      <c r="IK2" s="428">
        <f>IJ2+1</f>
        <v>325</v>
      </c>
      <c r="IL2" s="428">
        <f>IK2+1</f>
        <v>326</v>
      </c>
      <c r="IM2" s="428">
        <f>IL2+1</f>
        <v>327</v>
      </c>
      <c r="IN2" s="428">
        <f>IM2+3</f>
        <v>330</v>
      </c>
      <c r="IO2" s="428">
        <f>IN2+1</f>
        <v>331</v>
      </c>
      <c r="IP2" s="428">
        <f>IO2+1</f>
        <v>332</v>
      </c>
      <c r="IQ2" s="428">
        <f>IP2+1</f>
        <v>333</v>
      </c>
      <c r="IR2" s="428">
        <f>IQ2+1</f>
        <v>334</v>
      </c>
    </row>
    <row r="3" spans="1:253" s="433" customFormat="1" ht="38.25" customHeight="1" thickBot="1" x14ac:dyDescent="0.25">
      <c r="A3" s="429" t="s">
        <v>1341</v>
      </c>
      <c r="B3" s="430"/>
      <c r="C3" s="431" t="s">
        <v>1342</v>
      </c>
      <c r="D3" s="431" t="s">
        <v>1343</v>
      </c>
      <c r="E3" s="431" t="s">
        <v>1344</v>
      </c>
      <c r="F3" s="431" t="s">
        <v>1345</v>
      </c>
      <c r="G3" s="431" t="s">
        <v>1346</v>
      </c>
      <c r="H3" s="431" t="s">
        <v>1347</v>
      </c>
      <c r="I3" s="431" t="s">
        <v>1079</v>
      </c>
      <c r="J3" s="432" t="s">
        <v>1348</v>
      </c>
      <c r="K3" s="432" t="s">
        <v>1349</v>
      </c>
      <c r="L3" s="432" t="s">
        <v>1350</v>
      </c>
      <c r="M3" s="855">
        <f>IF(M1="",DATE(YEAR(MIN(E4,E15,E26,E37,E48,E59,E70,E81,E92,E103,E114,E125,E136,E147,E158,E169,E180,E191,E202)),MONTH(MIN(E4,E15,E26,E37,E48,E59,E70,E81,E92,E103,E114,E125,E136,E147,E158,E169,E180,E191,E202)),7)-WEEKDAY(DATE(YEAR(MIN(E4,E15,E26,E37,E48,E59,E70,E81,E92,E103,E114,E125,E136,E147,E158,E169,E180,E191,E202)),MONTH(MIN(E4,E15,E26,E37,E48,E59,E70,E81,E92,E103,E114,E125,E136,E147,E158,E169,E180,E191,E202)),7),3),M1)</f>
        <v>2</v>
      </c>
      <c r="N3" s="856"/>
      <c r="O3" s="856"/>
      <c r="P3" s="856"/>
      <c r="Q3" s="857"/>
      <c r="R3" s="848">
        <f>M3+7</f>
        <v>9</v>
      </c>
      <c r="S3" s="848"/>
      <c r="T3" s="848"/>
      <c r="U3" s="848"/>
      <c r="V3" s="848"/>
      <c r="W3" s="848">
        <f>R3+7</f>
        <v>16</v>
      </c>
      <c r="X3" s="848"/>
      <c r="Y3" s="848"/>
      <c r="Z3" s="848"/>
      <c r="AA3" s="848"/>
      <c r="AB3" s="848">
        <f>W3+7</f>
        <v>23</v>
      </c>
      <c r="AC3" s="848"/>
      <c r="AD3" s="848"/>
      <c r="AE3" s="848"/>
      <c r="AF3" s="848"/>
      <c r="AG3" s="848">
        <f>AB3+7</f>
        <v>30</v>
      </c>
      <c r="AH3" s="848"/>
      <c r="AI3" s="848"/>
      <c r="AJ3" s="848"/>
      <c r="AK3" s="848"/>
      <c r="AL3" s="848">
        <f>AG3+7</f>
        <v>37</v>
      </c>
      <c r="AM3" s="848"/>
      <c r="AN3" s="848"/>
      <c r="AO3" s="848"/>
      <c r="AP3" s="848"/>
      <c r="AQ3" s="848">
        <f>AL3+7</f>
        <v>44</v>
      </c>
      <c r="AR3" s="848"/>
      <c r="AS3" s="848"/>
      <c r="AT3" s="848"/>
      <c r="AU3" s="848"/>
      <c r="AV3" s="848">
        <f>AQ3+7</f>
        <v>51</v>
      </c>
      <c r="AW3" s="848"/>
      <c r="AX3" s="848"/>
      <c r="AY3" s="848"/>
      <c r="AZ3" s="848"/>
      <c r="BA3" s="848">
        <f>AV3+7</f>
        <v>58</v>
      </c>
      <c r="BB3" s="848"/>
      <c r="BC3" s="848"/>
      <c r="BD3" s="848"/>
      <c r="BE3" s="848"/>
      <c r="BF3" s="848">
        <f>BA3+7</f>
        <v>65</v>
      </c>
      <c r="BG3" s="848"/>
      <c r="BH3" s="848"/>
      <c r="BI3" s="848"/>
      <c r="BJ3" s="848"/>
      <c r="BK3" s="848">
        <f>BF3+7</f>
        <v>72</v>
      </c>
      <c r="BL3" s="848"/>
      <c r="BM3" s="848"/>
      <c r="BN3" s="848"/>
      <c r="BO3" s="848"/>
      <c r="BP3" s="848">
        <f>BK3+7</f>
        <v>79</v>
      </c>
      <c r="BQ3" s="848"/>
      <c r="BR3" s="848"/>
      <c r="BS3" s="848"/>
      <c r="BT3" s="848"/>
      <c r="BU3" s="848">
        <f>BP3+7</f>
        <v>86</v>
      </c>
      <c r="BV3" s="848"/>
      <c r="BW3" s="848"/>
      <c r="BX3" s="848"/>
      <c r="BY3" s="848"/>
      <c r="BZ3" s="848">
        <f>BU3+7</f>
        <v>93</v>
      </c>
      <c r="CA3" s="848"/>
      <c r="CB3" s="848"/>
      <c r="CC3" s="848"/>
      <c r="CD3" s="848"/>
      <c r="CE3" s="848">
        <f>BZ3+7</f>
        <v>100</v>
      </c>
      <c r="CF3" s="848"/>
      <c r="CG3" s="848"/>
      <c r="CH3" s="848"/>
      <c r="CI3" s="848"/>
      <c r="CJ3" s="848">
        <f>CE3+7</f>
        <v>107</v>
      </c>
      <c r="CK3" s="848"/>
      <c r="CL3" s="848"/>
      <c r="CM3" s="848"/>
      <c r="CN3" s="848"/>
      <c r="CO3" s="848">
        <f>CJ3+7</f>
        <v>114</v>
      </c>
      <c r="CP3" s="848"/>
      <c r="CQ3" s="848"/>
      <c r="CR3" s="848"/>
      <c r="CS3" s="848"/>
      <c r="CT3" s="848">
        <f>CO3+7</f>
        <v>121</v>
      </c>
      <c r="CU3" s="848"/>
      <c r="CV3" s="848"/>
      <c r="CW3" s="848"/>
      <c r="CX3" s="848"/>
      <c r="CY3" s="848">
        <f>CT3+7</f>
        <v>128</v>
      </c>
      <c r="CZ3" s="848"/>
      <c r="DA3" s="848"/>
      <c r="DB3" s="848"/>
      <c r="DC3" s="848"/>
      <c r="DD3" s="848">
        <f>CY3+7</f>
        <v>135</v>
      </c>
      <c r="DE3" s="848"/>
      <c r="DF3" s="848"/>
      <c r="DG3" s="848"/>
      <c r="DH3" s="848"/>
      <c r="DI3" s="848">
        <f>DD3+7</f>
        <v>142</v>
      </c>
      <c r="DJ3" s="848"/>
      <c r="DK3" s="848"/>
      <c r="DL3" s="848"/>
      <c r="DM3" s="848"/>
      <c r="DN3" s="848">
        <f>DI3+7</f>
        <v>149</v>
      </c>
      <c r="DO3" s="848"/>
      <c r="DP3" s="848"/>
      <c r="DQ3" s="848"/>
      <c r="DR3" s="848"/>
      <c r="DS3" s="848">
        <f>DN3+7</f>
        <v>156</v>
      </c>
      <c r="DT3" s="848"/>
      <c r="DU3" s="848"/>
      <c r="DV3" s="848"/>
      <c r="DW3" s="848"/>
      <c r="DX3" s="848">
        <f>DS3+7</f>
        <v>163</v>
      </c>
      <c r="DY3" s="848"/>
      <c r="DZ3" s="848"/>
      <c r="EA3" s="848"/>
      <c r="EB3" s="848"/>
      <c r="EC3" s="848">
        <f>DX3+7</f>
        <v>170</v>
      </c>
      <c r="ED3" s="848"/>
      <c r="EE3" s="848"/>
      <c r="EF3" s="848"/>
      <c r="EG3" s="848"/>
      <c r="EH3" s="848">
        <f>EC3+7</f>
        <v>177</v>
      </c>
      <c r="EI3" s="848"/>
      <c r="EJ3" s="848"/>
      <c r="EK3" s="848"/>
      <c r="EL3" s="848"/>
      <c r="EM3" s="848">
        <f>EH3+7</f>
        <v>184</v>
      </c>
      <c r="EN3" s="848"/>
      <c r="EO3" s="848"/>
      <c r="EP3" s="848"/>
      <c r="EQ3" s="848"/>
      <c r="ER3" s="848">
        <f>EM3+7</f>
        <v>191</v>
      </c>
      <c r="ES3" s="848"/>
      <c r="ET3" s="848"/>
      <c r="EU3" s="848"/>
      <c r="EV3" s="848"/>
      <c r="EW3" s="848">
        <f>ER3+7</f>
        <v>198</v>
      </c>
      <c r="EX3" s="848"/>
      <c r="EY3" s="848"/>
      <c r="EZ3" s="848"/>
      <c r="FA3" s="848"/>
      <c r="FB3" s="848">
        <f>EW3+7</f>
        <v>205</v>
      </c>
      <c r="FC3" s="848"/>
      <c r="FD3" s="848"/>
      <c r="FE3" s="848"/>
      <c r="FF3" s="848"/>
      <c r="FG3" s="848">
        <f>FB3+7</f>
        <v>212</v>
      </c>
      <c r="FH3" s="848"/>
      <c r="FI3" s="848"/>
      <c r="FJ3" s="848"/>
      <c r="FK3" s="848"/>
      <c r="FL3" s="848">
        <f>FG3+7</f>
        <v>219</v>
      </c>
      <c r="FM3" s="848"/>
      <c r="FN3" s="848"/>
      <c r="FO3" s="848"/>
      <c r="FP3" s="848"/>
      <c r="FQ3" s="848">
        <f>FL3+7</f>
        <v>226</v>
      </c>
      <c r="FR3" s="848"/>
      <c r="FS3" s="848"/>
      <c r="FT3" s="848"/>
      <c r="FU3" s="848"/>
      <c r="FV3" s="848">
        <f>FQ3+7</f>
        <v>233</v>
      </c>
      <c r="FW3" s="848"/>
      <c r="FX3" s="848"/>
      <c r="FY3" s="848"/>
      <c r="FZ3" s="848"/>
      <c r="GA3" s="848">
        <f>FV3+7</f>
        <v>240</v>
      </c>
      <c r="GB3" s="848"/>
      <c r="GC3" s="848"/>
      <c r="GD3" s="848"/>
      <c r="GE3" s="848"/>
      <c r="GF3" s="848">
        <f>GA3+7</f>
        <v>247</v>
      </c>
      <c r="GG3" s="848"/>
      <c r="GH3" s="848"/>
      <c r="GI3" s="848"/>
      <c r="GJ3" s="848"/>
      <c r="GK3" s="848">
        <f>GF3+7</f>
        <v>254</v>
      </c>
      <c r="GL3" s="848"/>
      <c r="GM3" s="848"/>
      <c r="GN3" s="848"/>
      <c r="GO3" s="848"/>
      <c r="GP3" s="848">
        <f>GK3+7</f>
        <v>261</v>
      </c>
      <c r="GQ3" s="848"/>
      <c r="GR3" s="848"/>
      <c r="GS3" s="848"/>
      <c r="GT3" s="848"/>
      <c r="GU3" s="848">
        <f>GP3+7</f>
        <v>268</v>
      </c>
      <c r="GV3" s="848"/>
      <c r="GW3" s="848"/>
      <c r="GX3" s="848"/>
      <c r="GY3" s="848"/>
      <c r="GZ3" s="848">
        <f>GU3+7</f>
        <v>275</v>
      </c>
      <c r="HA3" s="848"/>
      <c r="HB3" s="848"/>
      <c r="HC3" s="848"/>
      <c r="HD3" s="848"/>
      <c r="HE3" s="848">
        <f>GZ3+7</f>
        <v>282</v>
      </c>
      <c r="HF3" s="848"/>
      <c r="HG3" s="848"/>
      <c r="HH3" s="848"/>
      <c r="HI3" s="848"/>
      <c r="HJ3" s="848">
        <f>HE3+7</f>
        <v>289</v>
      </c>
      <c r="HK3" s="848"/>
      <c r="HL3" s="848"/>
      <c r="HM3" s="848"/>
      <c r="HN3" s="848"/>
      <c r="HO3" s="848">
        <f>HJ3+7</f>
        <v>296</v>
      </c>
      <c r="HP3" s="848"/>
      <c r="HQ3" s="848"/>
      <c r="HR3" s="848"/>
      <c r="HS3" s="848"/>
      <c r="HT3" s="848">
        <f>HO3+7</f>
        <v>303</v>
      </c>
      <c r="HU3" s="848"/>
      <c r="HV3" s="848"/>
      <c r="HW3" s="848"/>
      <c r="HX3" s="848"/>
      <c r="HY3" s="848">
        <f>HT3+7</f>
        <v>310</v>
      </c>
      <c r="HZ3" s="848"/>
      <c r="IA3" s="848"/>
      <c r="IB3" s="848"/>
      <c r="IC3" s="848"/>
      <c r="ID3" s="848">
        <f>HY3+7</f>
        <v>317</v>
      </c>
      <c r="IE3" s="848"/>
      <c r="IF3" s="848"/>
      <c r="IG3" s="848"/>
      <c r="IH3" s="848"/>
      <c r="II3" s="848">
        <f>ID3+7</f>
        <v>324</v>
      </c>
      <c r="IJ3" s="848"/>
      <c r="IK3" s="848"/>
      <c r="IL3" s="848"/>
      <c r="IM3" s="848"/>
      <c r="IN3" s="848">
        <f>II3+7</f>
        <v>331</v>
      </c>
      <c r="IO3" s="848"/>
      <c r="IP3" s="848"/>
      <c r="IQ3" s="848"/>
      <c r="IR3" s="848"/>
    </row>
    <row r="4" spans="1:253" x14ac:dyDescent="0.2">
      <c r="A4" s="434">
        <v>1</v>
      </c>
      <c r="B4" s="435"/>
      <c r="C4" s="435" t="str">
        <f>Breakdown!$A9</f>
        <v>Package 1 Fan deck room</v>
      </c>
      <c r="D4" s="436"/>
      <c r="E4" s="437" t="str">
        <f>IF(E5="","",MIN(E5:E14))</f>
        <v/>
      </c>
      <c r="F4" s="437" t="str">
        <f>IF(F5="","",MAX(F5:F14))</f>
        <v/>
      </c>
      <c r="G4" s="438"/>
      <c r="H4" s="438"/>
      <c r="I4" s="439"/>
      <c r="J4" s="440">
        <f>MIN(J5:J14)</f>
        <v>0</v>
      </c>
      <c r="K4" s="440">
        <f>MAX(K5:K14)</f>
        <v>0</v>
      </c>
      <c r="L4" s="441">
        <f t="shared" ref="L4:L67" si="0">SUM(M4:IR4)</f>
        <v>0</v>
      </c>
      <c r="M4" s="442" t="str">
        <f t="shared" ref="M4:AK14" si="1">IF(AND(M$2&gt;=$J4,M$2&lt;=$K4),1,"")</f>
        <v/>
      </c>
      <c r="N4" s="443" t="str">
        <f t="shared" si="1"/>
        <v/>
      </c>
      <c r="O4" s="443" t="str">
        <f t="shared" si="1"/>
        <v/>
      </c>
      <c r="P4" s="443" t="str">
        <f t="shared" si="1"/>
        <v/>
      </c>
      <c r="Q4" s="444" t="str">
        <f t="shared" si="1"/>
        <v/>
      </c>
      <c r="R4" s="442" t="str">
        <f t="shared" si="1"/>
        <v/>
      </c>
      <c r="S4" s="443" t="str">
        <f t="shared" si="1"/>
        <v/>
      </c>
      <c r="T4" s="443" t="str">
        <f t="shared" si="1"/>
        <v/>
      </c>
      <c r="U4" s="443" t="str">
        <f t="shared" si="1"/>
        <v/>
      </c>
      <c r="V4" s="444" t="str">
        <f t="shared" si="1"/>
        <v/>
      </c>
      <c r="W4" s="442" t="str">
        <f t="shared" si="1"/>
        <v/>
      </c>
      <c r="X4" s="443" t="str">
        <f t="shared" si="1"/>
        <v/>
      </c>
      <c r="Y4" s="443" t="str">
        <f t="shared" si="1"/>
        <v/>
      </c>
      <c r="Z4" s="443" t="str">
        <f t="shared" si="1"/>
        <v/>
      </c>
      <c r="AA4" s="444" t="str">
        <f t="shared" si="1"/>
        <v/>
      </c>
      <c r="AB4" s="442" t="str">
        <f t="shared" si="1"/>
        <v/>
      </c>
      <c r="AC4" s="443" t="str">
        <f t="shared" si="1"/>
        <v/>
      </c>
      <c r="AD4" s="443" t="str">
        <f t="shared" si="1"/>
        <v/>
      </c>
      <c r="AE4" s="443" t="str">
        <f t="shared" si="1"/>
        <v/>
      </c>
      <c r="AF4" s="444" t="str">
        <f t="shared" si="1"/>
        <v/>
      </c>
      <c r="AG4" s="442" t="str">
        <f t="shared" si="1"/>
        <v/>
      </c>
      <c r="AH4" s="443" t="str">
        <f t="shared" si="1"/>
        <v/>
      </c>
      <c r="AI4" s="443" t="str">
        <f t="shared" si="1"/>
        <v/>
      </c>
      <c r="AJ4" s="443" t="str">
        <f t="shared" si="1"/>
        <v/>
      </c>
      <c r="AK4" s="444" t="str">
        <f t="shared" si="1"/>
        <v/>
      </c>
      <c r="AL4" s="442" t="str">
        <f t="shared" ref="AL4:BA19" si="2">IF(AND(AL$2&gt;=$J4,AL$2&lt;=$K4),1,"")</f>
        <v/>
      </c>
      <c r="AM4" s="443" t="str">
        <f t="shared" si="2"/>
        <v/>
      </c>
      <c r="AN4" s="443" t="str">
        <f t="shared" si="2"/>
        <v/>
      </c>
      <c r="AO4" s="443" t="str">
        <f t="shared" si="2"/>
        <v/>
      </c>
      <c r="AP4" s="444" t="str">
        <f t="shared" si="2"/>
        <v/>
      </c>
      <c r="AQ4" s="442" t="str">
        <f t="shared" si="2"/>
        <v/>
      </c>
      <c r="AR4" s="443" t="str">
        <f t="shared" si="2"/>
        <v/>
      </c>
      <c r="AS4" s="443" t="str">
        <f t="shared" si="2"/>
        <v/>
      </c>
      <c r="AT4" s="443" t="str">
        <f t="shared" si="2"/>
        <v/>
      </c>
      <c r="AU4" s="444" t="str">
        <f t="shared" si="2"/>
        <v/>
      </c>
      <c r="AV4" s="442" t="str">
        <f t="shared" si="2"/>
        <v/>
      </c>
      <c r="AW4" s="443" t="str">
        <f t="shared" si="2"/>
        <v/>
      </c>
      <c r="AX4" s="443" t="str">
        <f t="shared" si="2"/>
        <v/>
      </c>
      <c r="AY4" s="443" t="str">
        <f t="shared" si="2"/>
        <v/>
      </c>
      <c r="AZ4" s="444" t="str">
        <f t="shared" si="2"/>
        <v/>
      </c>
      <c r="BA4" s="442" t="str">
        <f t="shared" si="2"/>
        <v/>
      </c>
      <c r="BB4" s="443" t="str">
        <f t="shared" ref="BB4:BQ19" si="3">IF(AND(BB$2&gt;=$J4,BB$2&lt;=$K4),1,"")</f>
        <v/>
      </c>
      <c r="BC4" s="443" t="str">
        <f t="shared" si="3"/>
        <v/>
      </c>
      <c r="BD4" s="443" t="str">
        <f t="shared" si="3"/>
        <v/>
      </c>
      <c r="BE4" s="444" t="str">
        <f t="shared" si="3"/>
        <v/>
      </c>
      <c r="BF4" s="442" t="str">
        <f t="shared" si="3"/>
        <v/>
      </c>
      <c r="BG4" s="443" t="str">
        <f t="shared" si="3"/>
        <v/>
      </c>
      <c r="BH4" s="443" t="str">
        <f t="shared" si="3"/>
        <v/>
      </c>
      <c r="BI4" s="443" t="str">
        <f t="shared" si="3"/>
        <v/>
      </c>
      <c r="BJ4" s="444" t="str">
        <f t="shared" si="3"/>
        <v/>
      </c>
      <c r="BK4" s="442" t="str">
        <f t="shared" si="3"/>
        <v/>
      </c>
      <c r="BL4" s="443" t="str">
        <f t="shared" si="3"/>
        <v/>
      </c>
      <c r="BM4" s="443" t="str">
        <f t="shared" si="3"/>
        <v/>
      </c>
      <c r="BN4" s="443" t="str">
        <f t="shared" si="3"/>
        <v/>
      </c>
      <c r="BO4" s="444" t="str">
        <f t="shared" si="3"/>
        <v/>
      </c>
      <c r="BP4" s="442" t="str">
        <f t="shared" si="3"/>
        <v/>
      </c>
      <c r="BQ4" s="443" t="str">
        <f t="shared" si="3"/>
        <v/>
      </c>
      <c r="BR4" s="443" t="str">
        <f t="shared" ref="BR4:CG19" si="4">IF(AND(BR$2&gt;=$J4,BR$2&lt;=$K4),1,"")</f>
        <v/>
      </c>
      <c r="BS4" s="443" t="str">
        <f t="shared" si="4"/>
        <v/>
      </c>
      <c r="BT4" s="444" t="str">
        <f t="shared" si="4"/>
        <v/>
      </c>
      <c r="BU4" s="442" t="str">
        <f t="shared" si="4"/>
        <v/>
      </c>
      <c r="BV4" s="443" t="str">
        <f t="shared" si="4"/>
        <v/>
      </c>
      <c r="BW4" s="443" t="str">
        <f t="shared" si="4"/>
        <v/>
      </c>
      <c r="BX4" s="443" t="str">
        <f t="shared" si="4"/>
        <v/>
      </c>
      <c r="BY4" s="444" t="str">
        <f t="shared" si="4"/>
        <v/>
      </c>
      <c r="BZ4" s="442" t="str">
        <f t="shared" si="4"/>
        <v/>
      </c>
      <c r="CA4" s="443" t="str">
        <f t="shared" si="4"/>
        <v/>
      </c>
      <c r="CB4" s="443" t="str">
        <f t="shared" si="4"/>
        <v/>
      </c>
      <c r="CC4" s="443" t="str">
        <f t="shared" si="4"/>
        <v/>
      </c>
      <c r="CD4" s="444" t="str">
        <f t="shared" si="4"/>
        <v/>
      </c>
      <c r="CE4" s="442" t="str">
        <f t="shared" si="4"/>
        <v/>
      </c>
      <c r="CF4" s="443" t="str">
        <f t="shared" si="4"/>
        <v/>
      </c>
      <c r="CG4" s="443" t="str">
        <f t="shared" si="4"/>
        <v/>
      </c>
      <c r="CH4" s="443" t="str">
        <f t="shared" ref="CH4:CW19" si="5">IF(AND(CH$2&gt;=$J4,CH$2&lt;=$K4),1,"")</f>
        <v/>
      </c>
      <c r="CI4" s="444" t="str">
        <f t="shared" si="5"/>
        <v/>
      </c>
      <c r="CJ4" s="442" t="str">
        <f t="shared" si="5"/>
        <v/>
      </c>
      <c r="CK4" s="443" t="str">
        <f t="shared" si="5"/>
        <v/>
      </c>
      <c r="CL4" s="443" t="str">
        <f t="shared" si="5"/>
        <v/>
      </c>
      <c r="CM4" s="443" t="str">
        <f t="shared" si="5"/>
        <v/>
      </c>
      <c r="CN4" s="444" t="str">
        <f t="shared" si="5"/>
        <v/>
      </c>
      <c r="CO4" s="442" t="str">
        <f t="shared" si="5"/>
        <v/>
      </c>
      <c r="CP4" s="443" t="str">
        <f t="shared" si="5"/>
        <v/>
      </c>
      <c r="CQ4" s="443" t="str">
        <f t="shared" si="5"/>
        <v/>
      </c>
      <c r="CR4" s="443" t="str">
        <f t="shared" si="5"/>
        <v/>
      </c>
      <c r="CS4" s="444" t="str">
        <f t="shared" si="5"/>
        <v/>
      </c>
      <c r="CT4" s="442" t="str">
        <f t="shared" si="5"/>
        <v/>
      </c>
      <c r="CU4" s="443" t="str">
        <f t="shared" si="5"/>
        <v/>
      </c>
      <c r="CV4" s="443" t="str">
        <f t="shared" si="5"/>
        <v/>
      </c>
      <c r="CW4" s="443" t="str">
        <f t="shared" si="5"/>
        <v/>
      </c>
      <c r="CX4" s="444" t="str">
        <f t="shared" ref="CX4:DM19" si="6">IF(AND(CX$2&gt;=$J4,CX$2&lt;=$K4),1,"")</f>
        <v/>
      </c>
      <c r="CY4" s="442" t="str">
        <f t="shared" si="6"/>
        <v/>
      </c>
      <c r="CZ4" s="443" t="str">
        <f t="shared" si="6"/>
        <v/>
      </c>
      <c r="DA4" s="443" t="str">
        <f t="shared" si="6"/>
        <v/>
      </c>
      <c r="DB4" s="443" t="str">
        <f t="shared" si="6"/>
        <v/>
      </c>
      <c r="DC4" s="444" t="str">
        <f t="shared" si="6"/>
        <v/>
      </c>
      <c r="DD4" s="442" t="str">
        <f t="shared" si="6"/>
        <v/>
      </c>
      <c r="DE4" s="443" t="str">
        <f t="shared" si="6"/>
        <v/>
      </c>
      <c r="DF4" s="443" t="str">
        <f t="shared" si="6"/>
        <v/>
      </c>
      <c r="DG4" s="443" t="str">
        <f t="shared" si="6"/>
        <v/>
      </c>
      <c r="DH4" s="444" t="str">
        <f t="shared" si="6"/>
        <v/>
      </c>
      <c r="DI4" s="442" t="str">
        <f t="shared" si="6"/>
        <v/>
      </c>
      <c r="DJ4" s="443" t="str">
        <f t="shared" si="6"/>
        <v/>
      </c>
      <c r="DK4" s="443" t="str">
        <f t="shared" si="6"/>
        <v/>
      </c>
      <c r="DL4" s="443" t="str">
        <f t="shared" si="6"/>
        <v/>
      </c>
      <c r="DM4" s="444" t="str">
        <f t="shared" si="6"/>
        <v/>
      </c>
      <c r="DN4" s="442" t="str">
        <f t="shared" ref="DN4:FY7" si="7">IF(AND(DN$2&gt;=$J4,DN$2&lt;=$K4),1,"")</f>
        <v/>
      </c>
      <c r="DO4" s="443" t="str">
        <f t="shared" si="7"/>
        <v/>
      </c>
      <c r="DP4" s="443" t="str">
        <f t="shared" si="7"/>
        <v/>
      </c>
      <c r="DQ4" s="443" t="str">
        <f t="shared" si="7"/>
        <v/>
      </c>
      <c r="DR4" s="444" t="str">
        <f t="shared" si="7"/>
        <v/>
      </c>
      <c r="DS4" s="442" t="str">
        <f t="shared" si="7"/>
        <v/>
      </c>
      <c r="DT4" s="443" t="str">
        <f t="shared" si="7"/>
        <v/>
      </c>
      <c r="DU4" s="443" t="str">
        <f t="shared" si="7"/>
        <v/>
      </c>
      <c r="DV4" s="443" t="str">
        <f t="shared" si="7"/>
        <v/>
      </c>
      <c r="DW4" s="444" t="str">
        <f t="shared" si="7"/>
        <v/>
      </c>
      <c r="DX4" s="442" t="str">
        <f t="shared" si="7"/>
        <v/>
      </c>
      <c r="DY4" s="443" t="str">
        <f t="shared" si="7"/>
        <v/>
      </c>
      <c r="DZ4" s="443" t="str">
        <f t="shared" si="7"/>
        <v/>
      </c>
      <c r="EA4" s="443" t="str">
        <f t="shared" si="7"/>
        <v/>
      </c>
      <c r="EB4" s="444" t="str">
        <f t="shared" si="7"/>
        <v/>
      </c>
      <c r="EC4" s="442" t="str">
        <f t="shared" si="7"/>
        <v/>
      </c>
      <c r="ED4" s="443" t="str">
        <f t="shared" si="7"/>
        <v/>
      </c>
      <c r="EE4" s="443" t="str">
        <f t="shared" si="7"/>
        <v/>
      </c>
      <c r="EF4" s="443" t="str">
        <f t="shared" si="7"/>
        <v/>
      </c>
      <c r="EG4" s="444" t="str">
        <f t="shared" si="7"/>
        <v/>
      </c>
      <c r="EH4" s="442" t="str">
        <f t="shared" si="7"/>
        <v/>
      </c>
      <c r="EI4" s="443" t="str">
        <f t="shared" si="7"/>
        <v/>
      </c>
      <c r="EJ4" s="443" t="str">
        <f t="shared" si="7"/>
        <v/>
      </c>
      <c r="EK4" s="443" t="str">
        <f t="shared" si="7"/>
        <v/>
      </c>
      <c r="EL4" s="444" t="str">
        <f t="shared" si="7"/>
        <v/>
      </c>
      <c r="EM4" s="442" t="str">
        <f t="shared" si="7"/>
        <v/>
      </c>
      <c r="EN4" s="443" t="str">
        <f t="shared" si="7"/>
        <v/>
      </c>
      <c r="EO4" s="443" t="str">
        <f t="shared" si="7"/>
        <v/>
      </c>
      <c r="EP4" s="443" t="str">
        <f t="shared" si="7"/>
        <v/>
      </c>
      <c r="EQ4" s="444" t="str">
        <f t="shared" si="7"/>
        <v/>
      </c>
      <c r="ER4" s="442" t="str">
        <f t="shared" si="7"/>
        <v/>
      </c>
      <c r="ES4" s="443" t="str">
        <f t="shared" si="7"/>
        <v/>
      </c>
      <c r="ET4" s="443" t="str">
        <f t="shared" si="7"/>
        <v/>
      </c>
      <c r="EU4" s="443" t="str">
        <f t="shared" si="7"/>
        <v/>
      </c>
      <c r="EV4" s="444" t="str">
        <f t="shared" si="7"/>
        <v/>
      </c>
      <c r="EW4" s="442" t="str">
        <f t="shared" si="7"/>
        <v/>
      </c>
      <c r="EX4" s="443" t="str">
        <f t="shared" si="7"/>
        <v/>
      </c>
      <c r="EY4" s="443" t="str">
        <f t="shared" si="7"/>
        <v/>
      </c>
      <c r="EZ4" s="443" t="str">
        <f t="shared" si="7"/>
        <v/>
      </c>
      <c r="FA4" s="444" t="str">
        <f t="shared" si="7"/>
        <v/>
      </c>
      <c r="FB4" s="442" t="str">
        <f t="shared" si="7"/>
        <v/>
      </c>
      <c r="FC4" s="443" t="str">
        <f t="shared" si="7"/>
        <v/>
      </c>
      <c r="FD4" s="443" t="str">
        <f t="shared" si="7"/>
        <v/>
      </c>
      <c r="FE4" s="443" t="str">
        <f t="shared" si="7"/>
        <v/>
      </c>
      <c r="FF4" s="444" t="str">
        <f t="shared" si="7"/>
        <v/>
      </c>
      <c r="FG4" s="442" t="str">
        <f t="shared" si="7"/>
        <v/>
      </c>
      <c r="FH4" s="443" t="str">
        <f t="shared" si="7"/>
        <v/>
      </c>
      <c r="FI4" s="443" t="str">
        <f t="shared" si="7"/>
        <v/>
      </c>
      <c r="FJ4" s="443" t="str">
        <f t="shared" si="7"/>
        <v/>
      </c>
      <c r="FK4" s="444" t="str">
        <f t="shared" si="7"/>
        <v/>
      </c>
      <c r="FL4" s="442" t="str">
        <f t="shared" si="7"/>
        <v/>
      </c>
      <c r="FM4" s="443" t="str">
        <f t="shared" si="7"/>
        <v/>
      </c>
      <c r="FN4" s="443" t="str">
        <f t="shared" si="7"/>
        <v/>
      </c>
      <c r="FO4" s="443" t="str">
        <f t="shared" si="7"/>
        <v/>
      </c>
      <c r="FP4" s="444" t="str">
        <f t="shared" si="7"/>
        <v/>
      </c>
      <c r="FQ4" s="442" t="str">
        <f t="shared" si="7"/>
        <v/>
      </c>
      <c r="FR4" s="443" t="str">
        <f t="shared" si="7"/>
        <v/>
      </c>
      <c r="FS4" s="443" t="str">
        <f t="shared" si="7"/>
        <v/>
      </c>
      <c r="FT4" s="443" t="str">
        <f t="shared" si="7"/>
        <v/>
      </c>
      <c r="FU4" s="444" t="str">
        <f t="shared" si="7"/>
        <v/>
      </c>
      <c r="FV4" s="442" t="str">
        <f t="shared" si="7"/>
        <v/>
      </c>
      <c r="FW4" s="443" t="str">
        <f t="shared" si="7"/>
        <v/>
      </c>
      <c r="FX4" s="443" t="str">
        <f t="shared" si="7"/>
        <v/>
      </c>
      <c r="FY4" s="443" t="str">
        <f t="shared" si="7"/>
        <v/>
      </c>
      <c r="FZ4" s="444" t="str">
        <f t="shared" ref="FZ4:IK8" si="8">IF(AND(FZ$2&gt;=$J4,FZ$2&lt;=$K4),1,"")</f>
        <v/>
      </c>
      <c r="GA4" s="442" t="str">
        <f t="shared" si="8"/>
        <v/>
      </c>
      <c r="GB4" s="443" t="str">
        <f t="shared" si="8"/>
        <v/>
      </c>
      <c r="GC4" s="443" t="str">
        <f t="shared" si="8"/>
        <v/>
      </c>
      <c r="GD4" s="443" t="str">
        <f t="shared" si="8"/>
        <v/>
      </c>
      <c r="GE4" s="444" t="str">
        <f t="shared" si="8"/>
        <v/>
      </c>
      <c r="GF4" s="442" t="str">
        <f t="shared" si="8"/>
        <v/>
      </c>
      <c r="GG4" s="443" t="str">
        <f t="shared" si="8"/>
        <v/>
      </c>
      <c r="GH4" s="443" t="str">
        <f t="shared" si="8"/>
        <v/>
      </c>
      <c r="GI4" s="443" t="str">
        <f t="shared" si="8"/>
        <v/>
      </c>
      <c r="GJ4" s="444" t="str">
        <f t="shared" si="8"/>
        <v/>
      </c>
      <c r="GK4" s="442" t="str">
        <f t="shared" si="8"/>
        <v/>
      </c>
      <c r="GL4" s="443" t="str">
        <f t="shared" si="8"/>
        <v/>
      </c>
      <c r="GM4" s="443" t="str">
        <f t="shared" si="8"/>
        <v/>
      </c>
      <c r="GN4" s="443" t="str">
        <f t="shared" si="8"/>
        <v/>
      </c>
      <c r="GO4" s="444" t="str">
        <f t="shared" si="8"/>
        <v/>
      </c>
      <c r="GP4" s="442" t="str">
        <f t="shared" si="8"/>
        <v/>
      </c>
      <c r="GQ4" s="443" t="str">
        <f t="shared" si="8"/>
        <v/>
      </c>
      <c r="GR4" s="443" t="str">
        <f t="shared" si="8"/>
        <v/>
      </c>
      <c r="GS4" s="443" t="str">
        <f t="shared" si="8"/>
        <v/>
      </c>
      <c r="GT4" s="444" t="str">
        <f t="shared" si="8"/>
        <v/>
      </c>
      <c r="GU4" s="442" t="str">
        <f t="shared" si="8"/>
        <v/>
      </c>
      <c r="GV4" s="443" t="str">
        <f t="shared" si="8"/>
        <v/>
      </c>
      <c r="GW4" s="443" t="str">
        <f t="shared" si="8"/>
        <v/>
      </c>
      <c r="GX4" s="443" t="str">
        <f t="shared" si="8"/>
        <v/>
      </c>
      <c r="GY4" s="444" t="str">
        <f t="shared" si="8"/>
        <v/>
      </c>
      <c r="GZ4" s="442" t="str">
        <f t="shared" si="8"/>
        <v/>
      </c>
      <c r="HA4" s="443" t="str">
        <f t="shared" si="8"/>
        <v/>
      </c>
      <c r="HB4" s="443" t="str">
        <f t="shared" si="8"/>
        <v/>
      </c>
      <c r="HC4" s="443" t="str">
        <f t="shared" si="8"/>
        <v/>
      </c>
      <c r="HD4" s="444" t="str">
        <f t="shared" si="8"/>
        <v/>
      </c>
      <c r="HE4" s="442" t="str">
        <f t="shared" si="8"/>
        <v/>
      </c>
      <c r="HF4" s="443" t="str">
        <f t="shared" si="8"/>
        <v/>
      </c>
      <c r="HG4" s="443" t="str">
        <f t="shared" si="8"/>
        <v/>
      </c>
      <c r="HH4" s="443" t="str">
        <f t="shared" si="8"/>
        <v/>
      </c>
      <c r="HI4" s="444" t="str">
        <f t="shared" si="8"/>
        <v/>
      </c>
      <c r="HJ4" s="442" t="str">
        <f t="shared" si="8"/>
        <v/>
      </c>
      <c r="HK4" s="443" t="str">
        <f t="shared" si="8"/>
        <v/>
      </c>
      <c r="HL4" s="443" t="str">
        <f t="shared" si="8"/>
        <v/>
      </c>
      <c r="HM4" s="443" t="str">
        <f t="shared" si="8"/>
        <v/>
      </c>
      <c r="HN4" s="444" t="str">
        <f t="shared" si="8"/>
        <v/>
      </c>
      <c r="HO4" s="442" t="str">
        <f t="shared" si="8"/>
        <v/>
      </c>
      <c r="HP4" s="443" t="str">
        <f t="shared" si="8"/>
        <v/>
      </c>
      <c r="HQ4" s="443" t="str">
        <f t="shared" si="8"/>
        <v/>
      </c>
      <c r="HR4" s="443" t="str">
        <f t="shared" si="8"/>
        <v/>
      </c>
      <c r="HS4" s="444" t="str">
        <f t="shared" si="8"/>
        <v/>
      </c>
      <c r="HT4" s="442" t="str">
        <f t="shared" si="8"/>
        <v/>
      </c>
      <c r="HU4" s="443" t="str">
        <f t="shared" si="8"/>
        <v/>
      </c>
      <c r="HV4" s="443" t="str">
        <f t="shared" si="8"/>
        <v/>
      </c>
      <c r="HW4" s="443" t="str">
        <f t="shared" si="8"/>
        <v/>
      </c>
      <c r="HX4" s="444" t="str">
        <f t="shared" si="8"/>
        <v/>
      </c>
      <c r="HY4" s="442" t="str">
        <f t="shared" si="8"/>
        <v/>
      </c>
      <c r="HZ4" s="443" t="str">
        <f t="shared" si="8"/>
        <v/>
      </c>
      <c r="IA4" s="443" t="str">
        <f t="shared" si="8"/>
        <v/>
      </c>
      <c r="IB4" s="443" t="str">
        <f t="shared" si="8"/>
        <v/>
      </c>
      <c r="IC4" s="444" t="str">
        <f t="shared" si="8"/>
        <v/>
      </c>
      <c r="ID4" s="442" t="str">
        <f t="shared" si="8"/>
        <v/>
      </c>
      <c r="IE4" s="443" t="str">
        <f t="shared" si="8"/>
        <v/>
      </c>
      <c r="IF4" s="443" t="str">
        <f t="shared" si="8"/>
        <v/>
      </c>
      <c r="IG4" s="443" t="str">
        <f t="shared" si="8"/>
        <v/>
      </c>
      <c r="IH4" s="444" t="str">
        <f t="shared" si="8"/>
        <v/>
      </c>
      <c r="II4" s="442" t="str">
        <f t="shared" si="8"/>
        <v/>
      </c>
      <c r="IJ4" s="443" t="str">
        <f t="shared" si="8"/>
        <v/>
      </c>
      <c r="IK4" s="443" t="str">
        <f t="shared" si="8"/>
        <v/>
      </c>
      <c r="IL4" s="443" t="str">
        <f t="shared" ref="IL4:IR7" si="9">IF(AND(IL$2&gt;=$J4,IL$2&lt;=$K4),1,"")</f>
        <v/>
      </c>
      <c r="IM4" s="444" t="str">
        <f t="shared" si="9"/>
        <v/>
      </c>
      <c r="IN4" s="442" t="str">
        <f t="shared" si="9"/>
        <v/>
      </c>
      <c r="IO4" s="443" t="str">
        <f t="shared" si="9"/>
        <v/>
      </c>
      <c r="IP4" s="443" t="str">
        <f t="shared" si="9"/>
        <v/>
      </c>
      <c r="IQ4" s="443" t="str">
        <f t="shared" si="9"/>
        <v/>
      </c>
      <c r="IR4" s="444" t="str">
        <f t="shared" si="9"/>
        <v/>
      </c>
      <c r="IS4" s="445"/>
    </row>
    <row r="5" spans="1:253" x14ac:dyDescent="0.2">
      <c r="A5" s="446">
        <v>1.1000000000000001</v>
      </c>
      <c r="C5" s="447" t="s">
        <v>1351</v>
      </c>
      <c r="D5" s="447"/>
      <c r="E5" s="448"/>
      <c r="F5" s="448"/>
      <c r="G5" s="448"/>
      <c r="H5" s="448"/>
      <c r="I5" s="448"/>
      <c r="J5" s="449" t="str">
        <f t="shared" ref="J5:J14" si="10">IF(E5="","",E5-$M$3+1)</f>
        <v/>
      </c>
      <c r="K5" s="449" t="str">
        <f t="shared" ref="K5:K14" si="11">IF(F5="","",F5-$M$3+1)</f>
        <v/>
      </c>
      <c r="L5" s="450">
        <f t="shared" si="0"/>
        <v>0</v>
      </c>
      <c r="M5" s="451" t="str">
        <f t="shared" si="1"/>
        <v/>
      </c>
      <c r="N5" s="452" t="str">
        <f t="shared" si="1"/>
        <v/>
      </c>
      <c r="O5" s="452" t="str">
        <f t="shared" si="1"/>
        <v/>
      </c>
      <c r="P5" s="452" t="str">
        <f t="shared" si="1"/>
        <v/>
      </c>
      <c r="Q5" s="453" t="str">
        <f t="shared" si="1"/>
        <v/>
      </c>
      <c r="R5" s="451" t="str">
        <f t="shared" si="1"/>
        <v/>
      </c>
      <c r="S5" s="452" t="str">
        <f t="shared" si="1"/>
        <v/>
      </c>
      <c r="T5" s="452" t="str">
        <f t="shared" si="1"/>
        <v/>
      </c>
      <c r="U5" s="452" t="str">
        <f t="shared" si="1"/>
        <v/>
      </c>
      <c r="V5" s="453" t="str">
        <f t="shared" si="1"/>
        <v/>
      </c>
      <c r="W5" s="451" t="str">
        <f t="shared" si="1"/>
        <v/>
      </c>
      <c r="X5" s="452" t="str">
        <f t="shared" si="1"/>
        <v/>
      </c>
      <c r="Y5" s="452" t="str">
        <f t="shared" si="1"/>
        <v/>
      </c>
      <c r="Z5" s="452" t="str">
        <f t="shared" si="1"/>
        <v/>
      </c>
      <c r="AA5" s="453" t="str">
        <f t="shared" si="1"/>
        <v/>
      </c>
      <c r="AB5" s="451" t="str">
        <f t="shared" si="1"/>
        <v/>
      </c>
      <c r="AC5" s="452" t="str">
        <f t="shared" si="1"/>
        <v/>
      </c>
      <c r="AD5" s="452" t="str">
        <f t="shared" si="1"/>
        <v/>
      </c>
      <c r="AE5" s="452" t="str">
        <f t="shared" si="1"/>
        <v/>
      </c>
      <c r="AF5" s="453" t="str">
        <f t="shared" si="1"/>
        <v/>
      </c>
      <c r="AG5" s="451" t="str">
        <f t="shared" si="1"/>
        <v/>
      </c>
      <c r="AH5" s="452" t="str">
        <f t="shared" si="1"/>
        <v/>
      </c>
      <c r="AI5" s="452" t="str">
        <f t="shared" si="1"/>
        <v/>
      </c>
      <c r="AJ5" s="452" t="str">
        <f t="shared" si="1"/>
        <v/>
      </c>
      <c r="AK5" s="453" t="str">
        <f t="shared" si="1"/>
        <v/>
      </c>
      <c r="AL5" s="451" t="str">
        <f t="shared" si="2"/>
        <v/>
      </c>
      <c r="AM5" s="452" t="str">
        <f t="shared" si="2"/>
        <v/>
      </c>
      <c r="AN5" s="452" t="str">
        <f t="shared" si="2"/>
        <v/>
      </c>
      <c r="AO5" s="452" t="str">
        <f t="shared" si="2"/>
        <v/>
      </c>
      <c r="AP5" s="453" t="str">
        <f t="shared" si="2"/>
        <v/>
      </c>
      <c r="AQ5" s="451" t="str">
        <f t="shared" si="2"/>
        <v/>
      </c>
      <c r="AR5" s="452" t="str">
        <f t="shared" si="2"/>
        <v/>
      </c>
      <c r="AS5" s="452" t="str">
        <f t="shared" si="2"/>
        <v/>
      </c>
      <c r="AT5" s="452" t="str">
        <f t="shared" si="2"/>
        <v/>
      </c>
      <c r="AU5" s="453" t="str">
        <f t="shared" si="2"/>
        <v/>
      </c>
      <c r="AV5" s="451" t="str">
        <f t="shared" si="2"/>
        <v/>
      </c>
      <c r="AW5" s="452" t="str">
        <f t="shared" si="2"/>
        <v/>
      </c>
      <c r="AX5" s="452" t="str">
        <f t="shared" si="2"/>
        <v/>
      </c>
      <c r="AY5" s="452" t="str">
        <f t="shared" si="2"/>
        <v/>
      </c>
      <c r="AZ5" s="453" t="str">
        <f t="shared" si="2"/>
        <v/>
      </c>
      <c r="BA5" s="451" t="str">
        <f t="shared" si="2"/>
        <v/>
      </c>
      <c r="BB5" s="452" t="str">
        <f t="shared" si="3"/>
        <v/>
      </c>
      <c r="BC5" s="452" t="str">
        <f t="shared" si="3"/>
        <v/>
      </c>
      <c r="BD5" s="452" t="str">
        <f t="shared" si="3"/>
        <v/>
      </c>
      <c r="BE5" s="453" t="str">
        <f t="shared" si="3"/>
        <v/>
      </c>
      <c r="BF5" s="451" t="str">
        <f t="shared" si="3"/>
        <v/>
      </c>
      <c r="BG5" s="452" t="str">
        <f t="shared" si="3"/>
        <v/>
      </c>
      <c r="BH5" s="452" t="str">
        <f t="shared" si="3"/>
        <v/>
      </c>
      <c r="BI5" s="452" t="str">
        <f t="shared" si="3"/>
        <v/>
      </c>
      <c r="BJ5" s="453" t="str">
        <f t="shared" si="3"/>
        <v/>
      </c>
      <c r="BK5" s="451" t="str">
        <f t="shared" si="3"/>
        <v/>
      </c>
      <c r="BL5" s="452" t="str">
        <f t="shared" si="3"/>
        <v/>
      </c>
      <c r="BM5" s="452" t="str">
        <f t="shared" si="3"/>
        <v/>
      </c>
      <c r="BN5" s="452" t="str">
        <f t="shared" si="3"/>
        <v/>
      </c>
      <c r="BO5" s="453" t="str">
        <f t="shared" si="3"/>
        <v/>
      </c>
      <c r="BP5" s="451" t="str">
        <f t="shared" si="3"/>
        <v/>
      </c>
      <c r="BQ5" s="452" t="str">
        <f t="shared" si="3"/>
        <v/>
      </c>
      <c r="BR5" s="452" t="str">
        <f t="shared" si="4"/>
        <v/>
      </c>
      <c r="BS5" s="452" t="str">
        <f t="shared" si="4"/>
        <v/>
      </c>
      <c r="BT5" s="453" t="str">
        <f t="shared" si="4"/>
        <v/>
      </c>
      <c r="BU5" s="451" t="str">
        <f t="shared" si="4"/>
        <v/>
      </c>
      <c r="BV5" s="452" t="str">
        <f t="shared" si="4"/>
        <v/>
      </c>
      <c r="BW5" s="452" t="str">
        <f t="shared" si="4"/>
        <v/>
      </c>
      <c r="BX5" s="452" t="str">
        <f t="shared" si="4"/>
        <v/>
      </c>
      <c r="BY5" s="453" t="str">
        <f t="shared" si="4"/>
        <v/>
      </c>
      <c r="BZ5" s="451" t="str">
        <f t="shared" si="4"/>
        <v/>
      </c>
      <c r="CA5" s="452" t="str">
        <f t="shared" si="4"/>
        <v/>
      </c>
      <c r="CB5" s="452" t="str">
        <f t="shared" si="4"/>
        <v/>
      </c>
      <c r="CC5" s="452" t="str">
        <f t="shared" si="4"/>
        <v/>
      </c>
      <c r="CD5" s="453" t="str">
        <f t="shared" si="4"/>
        <v/>
      </c>
      <c r="CE5" s="451" t="str">
        <f t="shared" si="4"/>
        <v/>
      </c>
      <c r="CF5" s="452" t="str">
        <f t="shared" si="4"/>
        <v/>
      </c>
      <c r="CG5" s="452" t="str">
        <f t="shared" si="4"/>
        <v/>
      </c>
      <c r="CH5" s="452" t="str">
        <f t="shared" si="5"/>
        <v/>
      </c>
      <c r="CI5" s="453" t="str">
        <f t="shared" si="5"/>
        <v/>
      </c>
      <c r="CJ5" s="451" t="str">
        <f t="shared" si="5"/>
        <v/>
      </c>
      <c r="CK5" s="452" t="str">
        <f t="shared" si="5"/>
        <v/>
      </c>
      <c r="CL5" s="452" t="str">
        <f t="shared" si="5"/>
        <v/>
      </c>
      <c r="CM5" s="452" t="str">
        <f t="shared" si="5"/>
        <v/>
      </c>
      <c r="CN5" s="453" t="str">
        <f t="shared" si="5"/>
        <v/>
      </c>
      <c r="CO5" s="451" t="str">
        <f t="shared" si="5"/>
        <v/>
      </c>
      <c r="CP5" s="452" t="str">
        <f t="shared" si="5"/>
        <v/>
      </c>
      <c r="CQ5" s="452" t="str">
        <f t="shared" si="5"/>
        <v/>
      </c>
      <c r="CR5" s="452" t="str">
        <f t="shared" si="5"/>
        <v/>
      </c>
      <c r="CS5" s="453" t="str">
        <f t="shared" si="5"/>
        <v/>
      </c>
      <c r="CT5" s="451" t="str">
        <f t="shared" si="5"/>
        <v/>
      </c>
      <c r="CU5" s="452" t="str">
        <f t="shared" si="5"/>
        <v/>
      </c>
      <c r="CV5" s="452" t="str">
        <f t="shared" si="5"/>
        <v/>
      </c>
      <c r="CW5" s="452" t="str">
        <f t="shared" si="5"/>
        <v/>
      </c>
      <c r="CX5" s="453" t="str">
        <f t="shared" si="6"/>
        <v/>
      </c>
      <c r="CY5" s="451" t="str">
        <f t="shared" si="6"/>
        <v/>
      </c>
      <c r="CZ5" s="452" t="str">
        <f t="shared" si="6"/>
        <v/>
      </c>
      <c r="DA5" s="452" t="str">
        <f t="shared" si="6"/>
        <v/>
      </c>
      <c r="DB5" s="452" t="str">
        <f t="shared" si="6"/>
        <v/>
      </c>
      <c r="DC5" s="453" t="str">
        <f t="shared" si="6"/>
        <v/>
      </c>
      <c r="DD5" s="451" t="str">
        <f t="shared" si="6"/>
        <v/>
      </c>
      <c r="DE5" s="452" t="str">
        <f t="shared" si="6"/>
        <v/>
      </c>
      <c r="DF5" s="452" t="str">
        <f t="shared" si="6"/>
        <v/>
      </c>
      <c r="DG5" s="452" t="str">
        <f t="shared" si="6"/>
        <v/>
      </c>
      <c r="DH5" s="453" t="str">
        <f t="shared" si="6"/>
        <v/>
      </c>
      <c r="DI5" s="451" t="str">
        <f t="shared" si="6"/>
        <v/>
      </c>
      <c r="DJ5" s="452" t="str">
        <f t="shared" si="6"/>
        <v/>
      </c>
      <c r="DK5" s="452" t="str">
        <f t="shared" si="6"/>
        <v/>
      </c>
      <c r="DL5" s="452" t="str">
        <f t="shared" si="6"/>
        <v/>
      </c>
      <c r="DM5" s="453" t="str">
        <f t="shared" si="6"/>
        <v/>
      </c>
      <c r="DN5" s="451" t="str">
        <f t="shared" si="7"/>
        <v/>
      </c>
      <c r="DO5" s="452" t="str">
        <f t="shared" si="7"/>
        <v/>
      </c>
      <c r="DP5" s="452" t="str">
        <f t="shared" si="7"/>
        <v/>
      </c>
      <c r="DQ5" s="452" t="str">
        <f t="shared" si="7"/>
        <v/>
      </c>
      <c r="DR5" s="453" t="str">
        <f t="shared" si="7"/>
        <v/>
      </c>
      <c r="DS5" s="451" t="str">
        <f t="shared" si="7"/>
        <v/>
      </c>
      <c r="DT5" s="452" t="str">
        <f t="shared" si="7"/>
        <v/>
      </c>
      <c r="DU5" s="452" t="str">
        <f t="shared" si="7"/>
        <v/>
      </c>
      <c r="DV5" s="452" t="str">
        <f t="shared" si="7"/>
        <v/>
      </c>
      <c r="DW5" s="453" t="str">
        <f t="shared" si="7"/>
        <v/>
      </c>
      <c r="DX5" s="451" t="str">
        <f t="shared" si="7"/>
        <v/>
      </c>
      <c r="DY5" s="452" t="str">
        <f t="shared" si="7"/>
        <v/>
      </c>
      <c r="DZ5" s="452" t="str">
        <f t="shared" si="7"/>
        <v/>
      </c>
      <c r="EA5" s="452" t="str">
        <f t="shared" si="7"/>
        <v/>
      </c>
      <c r="EB5" s="453" t="str">
        <f t="shared" si="7"/>
        <v/>
      </c>
      <c r="EC5" s="451" t="str">
        <f t="shared" si="7"/>
        <v/>
      </c>
      <c r="ED5" s="452" t="str">
        <f t="shared" si="7"/>
        <v/>
      </c>
      <c r="EE5" s="452" t="str">
        <f t="shared" si="7"/>
        <v/>
      </c>
      <c r="EF5" s="452" t="str">
        <f t="shared" si="7"/>
        <v/>
      </c>
      <c r="EG5" s="453" t="str">
        <f t="shared" si="7"/>
        <v/>
      </c>
      <c r="EH5" s="451" t="str">
        <f t="shared" si="7"/>
        <v/>
      </c>
      <c r="EI5" s="452" t="str">
        <f t="shared" si="7"/>
        <v/>
      </c>
      <c r="EJ5" s="452" t="str">
        <f t="shared" si="7"/>
        <v/>
      </c>
      <c r="EK5" s="452" t="str">
        <f t="shared" si="7"/>
        <v/>
      </c>
      <c r="EL5" s="453" t="str">
        <f t="shared" si="7"/>
        <v/>
      </c>
      <c r="EM5" s="451" t="str">
        <f t="shared" si="7"/>
        <v/>
      </c>
      <c r="EN5" s="452" t="str">
        <f t="shared" si="7"/>
        <v/>
      </c>
      <c r="EO5" s="452" t="str">
        <f t="shared" si="7"/>
        <v/>
      </c>
      <c r="EP5" s="452" t="str">
        <f t="shared" si="7"/>
        <v/>
      </c>
      <c r="EQ5" s="453" t="str">
        <f t="shared" si="7"/>
        <v/>
      </c>
      <c r="ER5" s="451" t="str">
        <f t="shared" si="7"/>
        <v/>
      </c>
      <c r="ES5" s="452" t="str">
        <f t="shared" si="7"/>
        <v/>
      </c>
      <c r="ET5" s="452" t="str">
        <f t="shared" si="7"/>
        <v/>
      </c>
      <c r="EU5" s="452" t="str">
        <f t="shared" si="7"/>
        <v/>
      </c>
      <c r="EV5" s="453" t="str">
        <f t="shared" si="7"/>
        <v/>
      </c>
      <c r="EW5" s="451" t="str">
        <f t="shared" si="7"/>
        <v/>
      </c>
      <c r="EX5" s="452" t="str">
        <f t="shared" si="7"/>
        <v/>
      </c>
      <c r="EY5" s="452" t="str">
        <f t="shared" si="7"/>
        <v/>
      </c>
      <c r="EZ5" s="452" t="str">
        <f t="shared" si="7"/>
        <v/>
      </c>
      <c r="FA5" s="453" t="str">
        <f t="shared" si="7"/>
        <v/>
      </c>
      <c r="FB5" s="451" t="str">
        <f t="shared" si="7"/>
        <v/>
      </c>
      <c r="FC5" s="452" t="str">
        <f t="shared" si="7"/>
        <v/>
      </c>
      <c r="FD5" s="452" t="str">
        <f t="shared" si="7"/>
        <v/>
      </c>
      <c r="FE5" s="452" t="str">
        <f t="shared" si="7"/>
        <v/>
      </c>
      <c r="FF5" s="453" t="str">
        <f t="shared" si="7"/>
        <v/>
      </c>
      <c r="FG5" s="451" t="str">
        <f t="shared" si="7"/>
        <v/>
      </c>
      <c r="FH5" s="452" t="str">
        <f t="shared" si="7"/>
        <v/>
      </c>
      <c r="FI5" s="452" t="str">
        <f t="shared" si="7"/>
        <v/>
      </c>
      <c r="FJ5" s="452" t="str">
        <f t="shared" si="7"/>
        <v/>
      </c>
      <c r="FK5" s="453" t="str">
        <f t="shared" si="7"/>
        <v/>
      </c>
      <c r="FL5" s="451" t="str">
        <f t="shared" si="7"/>
        <v/>
      </c>
      <c r="FM5" s="452" t="str">
        <f t="shared" si="7"/>
        <v/>
      </c>
      <c r="FN5" s="452" t="str">
        <f t="shared" si="7"/>
        <v/>
      </c>
      <c r="FO5" s="452" t="str">
        <f t="shared" si="7"/>
        <v/>
      </c>
      <c r="FP5" s="453" t="str">
        <f t="shared" si="7"/>
        <v/>
      </c>
      <c r="FQ5" s="451" t="str">
        <f t="shared" si="7"/>
        <v/>
      </c>
      <c r="FR5" s="452" t="str">
        <f t="shared" si="7"/>
        <v/>
      </c>
      <c r="FS5" s="452" t="str">
        <f t="shared" si="7"/>
        <v/>
      </c>
      <c r="FT5" s="452" t="str">
        <f t="shared" si="7"/>
        <v/>
      </c>
      <c r="FU5" s="453" t="str">
        <f t="shared" si="7"/>
        <v/>
      </c>
      <c r="FV5" s="451" t="str">
        <f t="shared" si="7"/>
        <v/>
      </c>
      <c r="FW5" s="452" t="str">
        <f t="shared" si="7"/>
        <v/>
      </c>
      <c r="FX5" s="452" t="str">
        <f t="shared" si="7"/>
        <v/>
      </c>
      <c r="FY5" s="452" t="str">
        <f t="shared" si="7"/>
        <v/>
      </c>
      <c r="FZ5" s="453" t="str">
        <f t="shared" si="8"/>
        <v/>
      </c>
      <c r="GA5" s="451" t="str">
        <f t="shared" si="8"/>
        <v/>
      </c>
      <c r="GB5" s="452" t="str">
        <f t="shared" si="8"/>
        <v/>
      </c>
      <c r="GC5" s="452" t="str">
        <f t="shared" si="8"/>
        <v/>
      </c>
      <c r="GD5" s="452" t="str">
        <f t="shared" si="8"/>
        <v/>
      </c>
      <c r="GE5" s="453" t="str">
        <f t="shared" si="8"/>
        <v/>
      </c>
      <c r="GF5" s="451" t="str">
        <f t="shared" si="8"/>
        <v/>
      </c>
      <c r="GG5" s="452" t="str">
        <f t="shared" si="8"/>
        <v/>
      </c>
      <c r="GH5" s="452" t="str">
        <f t="shared" si="8"/>
        <v/>
      </c>
      <c r="GI5" s="452" t="str">
        <f t="shared" si="8"/>
        <v/>
      </c>
      <c r="GJ5" s="453" t="str">
        <f t="shared" si="8"/>
        <v/>
      </c>
      <c r="GK5" s="451" t="str">
        <f t="shared" si="8"/>
        <v/>
      </c>
      <c r="GL5" s="452" t="str">
        <f t="shared" si="8"/>
        <v/>
      </c>
      <c r="GM5" s="452" t="str">
        <f t="shared" si="8"/>
        <v/>
      </c>
      <c r="GN5" s="452" t="str">
        <f t="shared" si="8"/>
        <v/>
      </c>
      <c r="GO5" s="453" t="str">
        <f t="shared" si="8"/>
        <v/>
      </c>
      <c r="GP5" s="451" t="str">
        <f t="shared" si="8"/>
        <v/>
      </c>
      <c r="GQ5" s="452" t="str">
        <f t="shared" si="8"/>
        <v/>
      </c>
      <c r="GR5" s="452" t="str">
        <f t="shared" si="8"/>
        <v/>
      </c>
      <c r="GS5" s="452" t="str">
        <f t="shared" si="8"/>
        <v/>
      </c>
      <c r="GT5" s="453" t="str">
        <f t="shared" si="8"/>
        <v/>
      </c>
      <c r="GU5" s="451" t="str">
        <f t="shared" si="8"/>
        <v/>
      </c>
      <c r="GV5" s="452" t="str">
        <f t="shared" si="8"/>
        <v/>
      </c>
      <c r="GW5" s="452" t="str">
        <f t="shared" si="8"/>
        <v/>
      </c>
      <c r="GX5" s="452" t="str">
        <f t="shared" si="8"/>
        <v/>
      </c>
      <c r="GY5" s="453" t="str">
        <f t="shared" si="8"/>
        <v/>
      </c>
      <c r="GZ5" s="451" t="str">
        <f t="shared" si="8"/>
        <v/>
      </c>
      <c r="HA5" s="452" t="str">
        <f t="shared" si="8"/>
        <v/>
      </c>
      <c r="HB5" s="452" t="str">
        <f t="shared" si="8"/>
        <v/>
      </c>
      <c r="HC5" s="452" t="str">
        <f t="shared" si="8"/>
        <v/>
      </c>
      <c r="HD5" s="453" t="str">
        <f t="shared" si="8"/>
        <v/>
      </c>
      <c r="HE5" s="451" t="str">
        <f t="shared" si="8"/>
        <v/>
      </c>
      <c r="HF5" s="452" t="str">
        <f t="shared" si="8"/>
        <v/>
      </c>
      <c r="HG5" s="452" t="str">
        <f t="shared" si="8"/>
        <v/>
      </c>
      <c r="HH5" s="452" t="str">
        <f t="shared" si="8"/>
        <v/>
      </c>
      <c r="HI5" s="453" t="str">
        <f t="shared" si="8"/>
        <v/>
      </c>
      <c r="HJ5" s="451" t="str">
        <f t="shared" si="8"/>
        <v/>
      </c>
      <c r="HK5" s="452" t="str">
        <f t="shared" si="8"/>
        <v/>
      </c>
      <c r="HL5" s="452" t="str">
        <f t="shared" si="8"/>
        <v/>
      </c>
      <c r="HM5" s="452" t="str">
        <f t="shared" si="8"/>
        <v/>
      </c>
      <c r="HN5" s="453" t="str">
        <f t="shared" si="8"/>
        <v/>
      </c>
      <c r="HO5" s="451" t="str">
        <f t="shared" si="8"/>
        <v/>
      </c>
      <c r="HP5" s="452" t="str">
        <f t="shared" si="8"/>
        <v/>
      </c>
      <c r="HQ5" s="452" t="str">
        <f t="shared" si="8"/>
        <v/>
      </c>
      <c r="HR5" s="452" t="str">
        <f t="shared" si="8"/>
        <v/>
      </c>
      <c r="HS5" s="453" t="str">
        <f t="shared" si="8"/>
        <v/>
      </c>
      <c r="HT5" s="451" t="str">
        <f t="shared" si="8"/>
        <v/>
      </c>
      <c r="HU5" s="452" t="str">
        <f t="shared" si="8"/>
        <v/>
      </c>
      <c r="HV5" s="452" t="str">
        <f t="shared" si="8"/>
        <v/>
      </c>
      <c r="HW5" s="452" t="str">
        <f t="shared" si="8"/>
        <v/>
      </c>
      <c r="HX5" s="453" t="str">
        <f t="shared" si="8"/>
        <v/>
      </c>
      <c r="HY5" s="451" t="str">
        <f t="shared" si="8"/>
        <v/>
      </c>
      <c r="HZ5" s="452" t="str">
        <f t="shared" si="8"/>
        <v/>
      </c>
      <c r="IA5" s="452" t="str">
        <f t="shared" si="8"/>
        <v/>
      </c>
      <c r="IB5" s="452" t="str">
        <f t="shared" si="8"/>
        <v/>
      </c>
      <c r="IC5" s="453" t="str">
        <f t="shared" si="8"/>
        <v/>
      </c>
      <c r="ID5" s="451" t="str">
        <f t="shared" si="8"/>
        <v/>
      </c>
      <c r="IE5" s="452" t="str">
        <f t="shared" si="8"/>
        <v/>
      </c>
      <c r="IF5" s="452" t="str">
        <f t="shared" si="8"/>
        <v/>
      </c>
      <c r="IG5" s="452" t="str">
        <f t="shared" si="8"/>
        <v/>
      </c>
      <c r="IH5" s="453" t="str">
        <f t="shared" si="8"/>
        <v/>
      </c>
      <c r="II5" s="451" t="str">
        <f t="shared" si="8"/>
        <v/>
      </c>
      <c r="IJ5" s="452" t="str">
        <f t="shared" si="8"/>
        <v/>
      </c>
      <c r="IK5" s="452" t="str">
        <f t="shared" si="8"/>
        <v/>
      </c>
      <c r="IL5" s="452" t="str">
        <f t="shared" si="9"/>
        <v/>
      </c>
      <c r="IM5" s="453" t="str">
        <f t="shared" si="9"/>
        <v/>
      </c>
      <c r="IN5" s="451" t="str">
        <f t="shared" si="9"/>
        <v/>
      </c>
      <c r="IO5" s="452" t="str">
        <f t="shared" si="9"/>
        <v/>
      </c>
      <c r="IP5" s="452" t="str">
        <f t="shared" si="9"/>
        <v/>
      </c>
      <c r="IQ5" s="452" t="str">
        <f t="shared" si="9"/>
        <v/>
      </c>
      <c r="IR5" s="453" t="str">
        <f t="shared" si="9"/>
        <v/>
      </c>
    </row>
    <row r="6" spans="1:253" x14ac:dyDescent="0.2">
      <c r="A6" s="446">
        <v>1.2</v>
      </c>
      <c r="C6" s="447" t="s">
        <v>1352</v>
      </c>
      <c r="D6" s="447"/>
      <c r="E6" s="448"/>
      <c r="F6" s="448"/>
      <c r="G6" s="448"/>
      <c r="H6" s="448"/>
      <c r="I6" s="448"/>
      <c r="J6" s="449" t="str">
        <f t="shared" si="10"/>
        <v/>
      </c>
      <c r="K6" s="449" t="str">
        <f t="shared" si="11"/>
        <v/>
      </c>
      <c r="L6" s="450">
        <f t="shared" si="0"/>
        <v>0</v>
      </c>
      <c r="M6" s="451" t="str">
        <f t="shared" si="1"/>
        <v/>
      </c>
      <c r="N6" s="452" t="str">
        <f t="shared" si="1"/>
        <v/>
      </c>
      <c r="O6" s="452" t="str">
        <f t="shared" si="1"/>
        <v/>
      </c>
      <c r="P6" s="452" t="str">
        <f t="shared" si="1"/>
        <v/>
      </c>
      <c r="Q6" s="453" t="str">
        <f t="shared" si="1"/>
        <v/>
      </c>
      <c r="R6" s="451" t="str">
        <f t="shared" si="1"/>
        <v/>
      </c>
      <c r="S6" s="452" t="str">
        <f t="shared" si="1"/>
        <v/>
      </c>
      <c r="T6" s="452" t="str">
        <f t="shared" si="1"/>
        <v/>
      </c>
      <c r="U6" s="452" t="str">
        <f t="shared" si="1"/>
        <v/>
      </c>
      <c r="V6" s="453" t="str">
        <f t="shared" si="1"/>
        <v/>
      </c>
      <c r="W6" s="451" t="str">
        <f t="shared" si="1"/>
        <v/>
      </c>
      <c r="X6" s="452" t="str">
        <f t="shared" si="1"/>
        <v/>
      </c>
      <c r="Y6" s="452" t="str">
        <f t="shared" si="1"/>
        <v/>
      </c>
      <c r="Z6" s="452" t="str">
        <f t="shared" si="1"/>
        <v/>
      </c>
      <c r="AA6" s="453" t="str">
        <f t="shared" si="1"/>
        <v/>
      </c>
      <c r="AB6" s="451" t="str">
        <f t="shared" si="1"/>
        <v/>
      </c>
      <c r="AC6" s="452" t="str">
        <f t="shared" si="1"/>
        <v/>
      </c>
      <c r="AD6" s="452" t="str">
        <f t="shared" si="1"/>
        <v/>
      </c>
      <c r="AE6" s="452" t="str">
        <f t="shared" si="1"/>
        <v/>
      </c>
      <c r="AF6" s="453" t="str">
        <f t="shared" si="1"/>
        <v/>
      </c>
      <c r="AG6" s="451" t="str">
        <f t="shared" si="1"/>
        <v/>
      </c>
      <c r="AH6" s="452" t="str">
        <f t="shared" si="1"/>
        <v/>
      </c>
      <c r="AI6" s="452" t="str">
        <f t="shared" si="1"/>
        <v/>
      </c>
      <c r="AJ6" s="452" t="str">
        <f t="shared" si="1"/>
        <v/>
      </c>
      <c r="AK6" s="453" t="str">
        <f t="shared" si="1"/>
        <v/>
      </c>
      <c r="AL6" s="451" t="str">
        <f t="shared" si="2"/>
        <v/>
      </c>
      <c r="AM6" s="452" t="str">
        <f t="shared" si="2"/>
        <v/>
      </c>
      <c r="AN6" s="452" t="str">
        <f t="shared" si="2"/>
        <v/>
      </c>
      <c r="AO6" s="452" t="str">
        <f t="shared" si="2"/>
        <v/>
      </c>
      <c r="AP6" s="453" t="str">
        <f t="shared" si="2"/>
        <v/>
      </c>
      <c r="AQ6" s="451" t="str">
        <f t="shared" si="2"/>
        <v/>
      </c>
      <c r="AR6" s="452" t="str">
        <f t="shared" si="2"/>
        <v/>
      </c>
      <c r="AS6" s="452" t="str">
        <f t="shared" si="2"/>
        <v/>
      </c>
      <c r="AT6" s="452" t="str">
        <f t="shared" si="2"/>
        <v/>
      </c>
      <c r="AU6" s="453" t="str">
        <f t="shared" si="2"/>
        <v/>
      </c>
      <c r="AV6" s="451" t="str">
        <f t="shared" si="2"/>
        <v/>
      </c>
      <c r="AW6" s="452" t="str">
        <f t="shared" si="2"/>
        <v/>
      </c>
      <c r="AX6" s="452" t="str">
        <f t="shared" si="2"/>
        <v/>
      </c>
      <c r="AY6" s="452" t="str">
        <f t="shared" si="2"/>
        <v/>
      </c>
      <c r="AZ6" s="453" t="str">
        <f t="shared" si="2"/>
        <v/>
      </c>
      <c r="BA6" s="451" t="str">
        <f t="shared" si="2"/>
        <v/>
      </c>
      <c r="BB6" s="452" t="str">
        <f t="shared" si="3"/>
        <v/>
      </c>
      <c r="BC6" s="452" t="str">
        <f t="shared" si="3"/>
        <v/>
      </c>
      <c r="BD6" s="452" t="str">
        <f t="shared" si="3"/>
        <v/>
      </c>
      <c r="BE6" s="453" t="str">
        <f t="shared" si="3"/>
        <v/>
      </c>
      <c r="BF6" s="451" t="str">
        <f t="shared" si="3"/>
        <v/>
      </c>
      <c r="BG6" s="452" t="str">
        <f t="shared" si="3"/>
        <v/>
      </c>
      <c r="BH6" s="452" t="str">
        <f t="shared" si="3"/>
        <v/>
      </c>
      <c r="BI6" s="452" t="str">
        <f t="shared" si="3"/>
        <v/>
      </c>
      <c r="BJ6" s="453" t="str">
        <f t="shared" si="3"/>
        <v/>
      </c>
      <c r="BK6" s="451" t="str">
        <f t="shared" si="3"/>
        <v/>
      </c>
      <c r="BL6" s="452" t="str">
        <f t="shared" si="3"/>
        <v/>
      </c>
      <c r="BM6" s="452" t="str">
        <f t="shared" si="3"/>
        <v/>
      </c>
      <c r="BN6" s="452" t="str">
        <f t="shared" si="3"/>
        <v/>
      </c>
      <c r="BO6" s="453" t="str">
        <f t="shared" si="3"/>
        <v/>
      </c>
      <c r="BP6" s="451" t="str">
        <f t="shared" si="3"/>
        <v/>
      </c>
      <c r="BQ6" s="452" t="str">
        <f t="shared" si="3"/>
        <v/>
      </c>
      <c r="BR6" s="452" t="str">
        <f t="shared" si="4"/>
        <v/>
      </c>
      <c r="BS6" s="452" t="str">
        <f t="shared" si="4"/>
        <v/>
      </c>
      <c r="BT6" s="453" t="str">
        <f t="shared" si="4"/>
        <v/>
      </c>
      <c r="BU6" s="451" t="str">
        <f t="shared" si="4"/>
        <v/>
      </c>
      <c r="BV6" s="452" t="str">
        <f t="shared" si="4"/>
        <v/>
      </c>
      <c r="BW6" s="452" t="str">
        <f t="shared" si="4"/>
        <v/>
      </c>
      <c r="BX6" s="452" t="str">
        <f t="shared" si="4"/>
        <v/>
      </c>
      <c r="BY6" s="453" t="str">
        <f t="shared" si="4"/>
        <v/>
      </c>
      <c r="BZ6" s="451" t="str">
        <f t="shared" si="4"/>
        <v/>
      </c>
      <c r="CA6" s="452" t="str">
        <f t="shared" si="4"/>
        <v/>
      </c>
      <c r="CB6" s="452" t="str">
        <f t="shared" si="4"/>
        <v/>
      </c>
      <c r="CC6" s="452" t="str">
        <f t="shared" si="4"/>
        <v/>
      </c>
      <c r="CD6" s="453" t="str">
        <f t="shared" si="4"/>
        <v/>
      </c>
      <c r="CE6" s="451" t="str">
        <f t="shared" si="4"/>
        <v/>
      </c>
      <c r="CF6" s="452" t="str">
        <f t="shared" si="4"/>
        <v/>
      </c>
      <c r="CG6" s="452" t="str">
        <f t="shared" si="4"/>
        <v/>
      </c>
      <c r="CH6" s="452" t="str">
        <f t="shared" si="5"/>
        <v/>
      </c>
      <c r="CI6" s="453" t="str">
        <f t="shared" si="5"/>
        <v/>
      </c>
      <c r="CJ6" s="451" t="str">
        <f t="shared" si="5"/>
        <v/>
      </c>
      <c r="CK6" s="452" t="str">
        <f t="shared" si="5"/>
        <v/>
      </c>
      <c r="CL6" s="452" t="str">
        <f t="shared" si="5"/>
        <v/>
      </c>
      <c r="CM6" s="452" t="str">
        <f t="shared" si="5"/>
        <v/>
      </c>
      <c r="CN6" s="453" t="str">
        <f t="shared" si="5"/>
        <v/>
      </c>
      <c r="CO6" s="451" t="str">
        <f t="shared" si="5"/>
        <v/>
      </c>
      <c r="CP6" s="452" t="str">
        <f t="shared" si="5"/>
        <v/>
      </c>
      <c r="CQ6" s="452" t="str">
        <f t="shared" si="5"/>
        <v/>
      </c>
      <c r="CR6" s="452" t="str">
        <f t="shared" si="5"/>
        <v/>
      </c>
      <c r="CS6" s="453" t="str">
        <f t="shared" si="5"/>
        <v/>
      </c>
      <c r="CT6" s="451" t="str">
        <f t="shared" si="5"/>
        <v/>
      </c>
      <c r="CU6" s="452" t="str">
        <f t="shared" si="5"/>
        <v/>
      </c>
      <c r="CV6" s="452" t="str">
        <f t="shared" si="5"/>
        <v/>
      </c>
      <c r="CW6" s="452" t="str">
        <f t="shared" si="5"/>
        <v/>
      </c>
      <c r="CX6" s="453" t="str">
        <f t="shared" si="6"/>
        <v/>
      </c>
      <c r="CY6" s="451" t="str">
        <f t="shared" si="6"/>
        <v/>
      </c>
      <c r="CZ6" s="452" t="str">
        <f t="shared" si="6"/>
        <v/>
      </c>
      <c r="DA6" s="452" t="str">
        <f t="shared" si="6"/>
        <v/>
      </c>
      <c r="DB6" s="452" t="str">
        <f t="shared" si="6"/>
        <v/>
      </c>
      <c r="DC6" s="453" t="str">
        <f t="shared" si="6"/>
        <v/>
      </c>
      <c r="DD6" s="451" t="str">
        <f t="shared" si="6"/>
        <v/>
      </c>
      <c r="DE6" s="452" t="str">
        <f t="shared" si="6"/>
        <v/>
      </c>
      <c r="DF6" s="452" t="str">
        <f t="shared" si="6"/>
        <v/>
      </c>
      <c r="DG6" s="452" t="str">
        <f t="shared" si="6"/>
        <v/>
      </c>
      <c r="DH6" s="453" t="str">
        <f t="shared" si="6"/>
        <v/>
      </c>
      <c r="DI6" s="451" t="str">
        <f t="shared" si="6"/>
        <v/>
      </c>
      <c r="DJ6" s="452" t="str">
        <f t="shared" si="6"/>
        <v/>
      </c>
      <c r="DK6" s="452" t="str">
        <f t="shared" si="6"/>
        <v/>
      </c>
      <c r="DL6" s="452" t="str">
        <f t="shared" si="6"/>
        <v/>
      </c>
      <c r="DM6" s="453" t="str">
        <f t="shared" si="6"/>
        <v/>
      </c>
      <c r="DN6" s="451" t="str">
        <f t="shared" si="7"/>
        <v/>
      </c>
      <c r="DO6" s="452" t="str">
        <f t="shared" si="7"/>
        <v/>
      </c>
      <c r="DP6" s="452" t="str">
        <f t="shared" si="7"/>
        <v/>
      </c>
      <c r="DQ6" s="452" t="str">
        <f t="shared" si="7"/>
        <v/>
      </c>
      <c r="DR6" s="453" t="str">
        <f t="shared" si="7"/>
        <v/>
      </c>
      <c r="DS6" s="451" t="str">
        <f t="shared" si="7"/>
        <v/>
      </c>
      <c r="DT6" s="452" t="str">
        <f t="shared" si="7"/>
        <v/>
      </c>
      <c r="DU6" s="452" t="str">
        <f t="shared" si="7"/>
        <v/>
      </c>
      <c r="DV6" s="452" t="str">
        <f t="shared" si="7"/>
        <v/>
      </c>
      <c r="DW6" s="453" t="str">
        <f t="shared" si="7"/>
        <v/>
      </c>
      <c r="DX6" s="451" t="str">
        <f t="shared" si="7"/>
        <v/>
      </c>
      <c r="DY6" s="452" t="str">
        <f t="shared" si="7"/>
        <v/>
      </c>
      <c r="DZ6" s="452" t="str">
        <f t="shared" si="7"/>
        <v/>
      </c>
      <c r="EA6" s="452" t="str">
        <f t="shared" si="7"/>
        <v/>
      </c>
      <c r="EB6" s="453" t="str">
        <f t="shared" si="7"/>
        <v/>
      </c>
      <c r="EC6" s="451" t="str">
        <f t="shared" si="7"/>
        <v/>
      </c>
      <c r="ED6" s="452" t="str">
        <f t="shared" si="7"/>
        <v/>
      </c>
      <c r="EE6" s="452" t="str">
        <f t="shared" si="7"/>
        <v/>
      </c>
      <c r="EF6" s="452" t="str">
        <f t="shared" si="7"/>
        <v/>
      </c>
      <c r="EG6" s="453" t="str">
        <f t="shared" si="7"/>
        <v/>
      </c>
      <c r="EH6" s="451" t="str">
        <f t="shared" si="7"/>
        <v/>
      </c>
      <c r="EI6" s="452" t="str">
        <f t="shared" si="7"/>
        <v/>
      </c>
      <c r="EJ6" s="452" t="str">
        <f t="shared" si="7"/>
        <v/>
      </c>
      <c r="EK6" s="452" t="str">
        <f t="shared" si="7"/>
        <v/>
      </c>
      <c r="EL6" s="453" t="str">
        <f t="shared" si="7"/>
        <v/>
      </c>
      <c r="EM6" s="451" t="str">
        <f t="shared" si="7"/>
        <v/>
      </c>
      <c r="EN6" s="452" t="str">
        <f t="shared" si="7"/>
        <v/>
      </c>
      <c r="EO6" s="452" t="str">
        <f t="shared" si="7"/>
        <v/>
      </c>
      <c r="EP6" s="452" t="str">
        <f t="shared" si="7"/>
        <v/>
      </c>
      <c r="EQ6" s="453" t="str">
        <f t="shared" si="7"/>
        <v/>
      </c>
      <c r="ER6" s="451" t="str">
        <f t="shared" si="7"/>
        <v/>
      </c>
      <c r="ES6" s="452" t="str">
        <f t="shared" si="7"/>
        <v/>
      </c>
      <c r="ET6" s="452" t="str">
        <f t="shared" si="7"/>
        <v/>
      </c>
      <c r="EU6" s="452" t="str">
        <f t="shared" si="7"/>
        <v/>
      </c>
      <c r="EV6" s="453" t="str">
        <f t="shared" si="7"/>
        <v/>
      </c>
      <c r="EW6" s="451" t="str">
        <f t="shared" si="7"/>
        <v/>
      </c>
      <c r="EX6" s="452" t="str">
        <f t="shared" si="7"/>
        <v/>
      </c>
      <c r="EY6" s="452" t="str">
        <f t="shared" si="7"/>
        <v/>
      </c>
      <c r="EZ6" s="452" t="str">
        <f t="shared" si="7"/>
        <v/>
      </c>
      <c r="FA6" s="453" t="str">
        <f t="shared" si="7"/>
        <v/>
      </c>
      <c r="FB6" s="451" t="str">
        <f t="shared" si="7"/>
        <v/>
      </c>
      <c r="FC6" s="452" t="str">
        <f t="shared" si="7"/>
        <v/>
      </c>
      <c r="FD6" s="452" t="str">
        <f t="shared" si="7"/>
        <v/>
      </c>
      <c r="FE6" s="452" t="str">
        <f t="shared" si="7"/>
        <v/>
      </c>
      <c r="FF6" s="453" t="str">
        <f t="shared" si="7"/>
        <v/>
      </c>
      <c r="FG6" s="451" t="str">
        <f t="shared" si="7"/>
        <v/>
      </c>
      <c r="FH6" s="452" t="str">
        <f t="shared" si="7"/>
        <v/>
      </c>
      <c r="FI6" s="452" t="str">
        <f t="shared" si="7"/>
        <v/>
      </c>
      <c r="FJ6" s="452" t="str">
        <f t="shared" si="7"/>
        <v/>
      </c>
      <c r="FK6" s="453" t="str">
        <f t="shared" si="7"/>
        <v/>
      </c>
      <c r="FL6" s="451" t="str">
        <f t="shared" si="7"/>
        <v/>
      </c>
      <c r="FM6" s="452" t="str">
        <f t="shared" si="7"/>
        <v/>
      </c>
      <c r="FN6" s="452" t="str">
        <f t="shared" si="7"/>
        <v/>
      </c>
      <c r="FO6" s="452" t="str">
        <f t="shared" si="7"/>
        <v/>
      </c>
      <c r="FP6" s="453" t="str">
        <f t="shared" si="7"/>
        <v/>
      </c>
      <c r="FQ6" s="451" t="str">
        <f t="shared" si="7"/>
        <v/>
      </c>
      <c r="FR6" s="452" t="str">
        <f t="shared" si="7"/>
        <v/>
      </c>
      <c r="FS6" s="452" t="str">
        <f t="shared" si="7"/>
        <v/>
      </c>
      <c r="FT6" s="452" t="str">
        <f t="shared" si="7"/>
        <v/>
      </c>
      <c r="FU6" s="453" t="str">
        <f t="shared" si="7"/>
        <v/>
      </c>
      <c r="FV6" s="451" t="str">
        <f t="shared" si="7"/>
        <v/>
      </c>
      <c r="FW6" s="452" t="str">
        <f t="shared" si="7"/>
        <v/>
      </c>
      <c r="FX6" s="452" t="str">
        <f t="shared" si="7"/>
        <v/>
      </c>
      <c r="FY6" s="452" t="str">
        <f t="shared" si="7"/>
        <v/>
      </c>
      <c r="FZ6" s="453" t="str">
        <f t="shared" si="8"/>
        <v/>
      </c>
      <c r="GA6" s="451" t="str">
        <f t="shared" si="8"/>
        <v/>
      </c>
      <c r="GB6" s="452" t="str">
        <f t="shared" si="8"/>
        <v/>
      </c>
      <c r="GC6" s="452" t="str">
        <f t="shared" si="8"/>
        <v/>
      </c>
      <c r="GD6" s="452" t="str">
        <f t="shared" si="8"/>
        <v/>
      </c>
      <c r="GE6" s="453" t="str">
        <f t="shared" si="8"/>
        <v/>
      </c>
      <c r="GF6" s="451" t="str">
        <f t="shared" si="8"/>
        <v/>
      </c>
      <c r="GG6" s="452" t="str">
        <f t="shared" si="8"/>
        <v/>
      </c>
      <c r="GH6" s="452" t="str">
        <f t="shared" si="8"/>
        <v/>
      </c>
      <c r="GI6" s="452" t="str">
        <f t="shared" si="8"/>
        <v/>
      </c>
      <c r="GJ6" s="453" t="str">
        <f t="shared" si="8"/>
        <v/>
      </c>
      <c r="GK6" s="451" t="str">
        <f t="shared" si="8"/>
        <v/>
      </c>
      <c r="GL6" s="452" t="str">
        <f t="shared" si="8"/>
        <v/>
      </c>
      <c r="GM6" s="452" t="str">
        <f t="shared" si="8"/>
        <v/>
      </c>
      <c r="GN6" s="452" t="str">
        <f t="shared" si="8"/>
        <v/>
      </c>
      <c r="GO6" s="453" t="str">
        <f t="shared" si="8"/>
        <v/>
      </c>
      <c r="GP6" s="451" t="str">
        <f t="shared" si="8"/>
        <v/>
      </c>
      <c r="GQ6" s="452" t="str">
        <f t="shared" si="8"/>
        <v/>
      </c>
      <c r="GR6" s="452" t="str">
        <f t="shared" si="8"/>
        <v/>
      </c>
      <c r="GS6" s="452" t="str">
        <f t="shared" si="8"/>
        <v/>
      </c>
      <c r="GT6" s="453" t="str">
        <f t="shared" si="8"/>
        <v/>
      </c>
      <c r="GU6" s="451" t="str">
        <f t="shared" si="8"/>
        <v/>
      </c>
      <c r="GV6" s="452" t="str">
        <f t="shared" si="8"/>
        <v/>
      </c>
      <c r="GW6" s="452" t="str">
        <f t="shared" si="8"/>
        <v/>
      </c>
      <c r="GX6" s="452" t="str">
        <f t="shared" si="8"/>
        <v/>
      </c>
      <c r="GY6" s="453" t="str">
        <f t="shared" si="8"/>
        <v/>
      </c>
      <c r="GZ6" s="451" t="str">
        <f t="shared" si="8"/>
        <v/>
      </c>
      <c r="HA6" s="452" t="str">
        <f t="shared" si="8"/>
        <v/>
      </c>
      <c r="HB6" s="452" t="str">
        <f t="shared" si="8"/>
        <v/>
      </c>
      <c r="HC6" s="452" t="str">
        <f t="shared" si="8"/>
        <v/>
      </c>
      <c r="HD6" s="453" t="str">
        <f t="shared" si="8"/>
        <v/>
      </c>
      <c r="HE6" s="451" t="str">
        <f t="shared" si="8"/>
        <v/>
      </c>
      <c r="HF6" s="452" t="str">
        <f t="shared" si="8"/>
        <v/>
      </c>
      <c r="HG6" s="452" t="str">
        <f t="shared" si="8"/>
        <v/>
      </c>
      <c r="HH6" s="452" t="str">
        <f t="shared" si="8"/>
        <v/>
      </c>
      <c r="HI6" s="453" t="str">
        <f t="shared" si="8"/>
        <v/>
      </c>
      <c r="HJ6" s="451" t="str">
        <f t="shared" si="8"/>
        <v/>
      </c>
      <c r="HK6" s="452" t="str">
        <f t="shared" si="8"/>
        <v/>
      </c>
      <c r="HL6" s="452" t="str">
        <f t="shared" si="8"/>
        <v/>
      </c>
      <c r="HM6" s="452" t="str">
        <f t="shared" si="8"/>
        <v/>
      </c>
      <c r="HN6" s="453" t="str">
        <f t="shared" si="8"/>
        <v/>
      </c>
      <c r="HO6" s="451" t="str">
        <f t="shared" si="8"/>
        <v/>
      </c>
      <c r="HP6" s="452" t="str">
        <f t="shared" si="8"/>
        <v/>
      </c>
      <c r="HQ6" s="452" t="str">
        <f t="shared" si="8"/>
        <v/>
      </c>
      <c r="HR6" s="452" t="str">
        <f t="shared" si="8"/>
        <v/>
      </c>
      <c r="HS6" s="453" t="str">
        <f t="shared" si="8"/>
        <v/>
      </c>
      <c r="HT6" s="451" t="str">
        <f t="shared" si="8"/>
        <v/>
      </c>
      <c r="HU6" s="452" t="str">
        <f t="shared" si="8"/>
        <v/>
      </c>
      <c r="HV6" s="452" t="str">
        <f t="shared" si="8"/>
        <v/>
      </c>
      <c r="HW6" s="452" t="str">
        <f t="shared" si="8"/>
        <v/>
      </c>
      <c r="HX6" s="453" t="str">
        <f t="shared" si="8"/>
        <v/>
      </c>
      <c r="HY6" s="451" t="str">
        <f t="shared" si="8"/>
        <v/>
      </c>
      <c r="HZ6" s="452" t="str">
        <f t="shared" si="8"/>
        <v/>
      </c>
      <c r="IA6" s="452" t="str">
        <f t="shared" si="8"/>
        <v/>
      </c>
      <c r="IB6" s="452" t="str">
        <f t="shared" si="8"/>
        <v/>
      </c>
      <c r="IC6" s="453" t="str">
        <f t="shared" si="8"/>
        <v/>
      </c>
      <c r="ID6" s="451" t="str">
        <f t="shared" si="8"/>
        <v/>
      </c>
      <c r="IE6" s="452" t="str">
        <f t="shared" si="8"/>
        <v/>
      </c>
      <c r="IF6" s="452" t="str">
        <f t="shared" si="8"/>
        <v/>
      </c>
      <c r="IG6" s="452" t="str">
        <f t="shared" si="8"/>
        <v/>
      </c>
      <c r="IH6" s="453" t="str">
        <f t="shared" si="8"/>
        <v/>
      </c>
      <c r="II6" s="451" t="str">
        <f t="shared" si="8"/>
        <v/>
      </c>
      <c r="IJ6" s="452" t="str">
        <f t="shared" si="8"/>
        <v/>
      </c>
      <c r="IK6" s="452" t="str">
        <f t="shared" si="8"/>
        <v/>
      </c>
      <c r="IL6" s="452" t="str">
        <f t="shared" si="9"/>
        <v/>
      </c>
      <c r="IM6" s="453" t="str">
        <f t="shared" si="9"/>
        <v/>
      </c>
      <c r="IN6" s="451" t="str">
        <f t="shared" si="9"/>
        <v/>
      </c>
      <c r="IO6" s="452" t="str">
        <f t="shared" si="9"/>
        <v/>
      </c>
      <c r="IP6" s="452" t="str">
        <f t="shared" si="9"/>
        <v/>
      </c>
      <c r="IQ6" s="452" t="str">
        <f t="shared" si="9"/>
        <v/>
      </c>
      <c r="IR6" s="453" t="str">
        <f t="shared" si="9"/>
        <v/>
      </c>
    </row>
    <row r="7" spans="1:253" x14ac:dyDescent="0.2">
      <c r="A7" s="446">
        <v>1.3</v>
      </c>
      <c r="C7" s="447" t="s">
        <v>1353</v>
      </c>
      <c r="D7" s="447"/>
      <c r="E7" s="448"/>
      <c r="F7" s="448"/>
      <c r="G7" s="448"/>
      <c r="H7" s="448"/>
      <c r="I7" s="448"/>
      <c r="J7" s="449" t="str">
        <f t="shared" si="10"/>
        <v/>
      </c>
      <c r="K7" s="449" t="str">
        <f t="shared" si="11"/>
        <v/>
      </c>
      <c r="L7" s="450">
        <f t="shared" si="0"/>
        <v>0</v>
      </c>
      <c r="M7" s="451" t="str">
        <f t="shared" si="1"/>
        <v/>
      </c>
      <c r="N7" s="452" t="str">
        <f t="shared" si="1"/>
        <v/>
      </c>
      <c r="O7" s="452" t="str">
        <f t="shared" si="1"/>
        <v/>
      </c>
      <c r="P7" s="452" t="str">
        <f t="shared" si="1"/>
        <v/>
      </c>
      <c r="Q7" s="453" t="str">
        <f t="shared" si="1"/>
        <v/>
      </c>
      <c r="R7" s="451" t="str">
        <f t="shared" si="1"/>
        <v/>
      </c>
      <c r="S7" s="452" t="str">
        <f t="shared" si="1"/>
        <v/>
      </c>
      <c r="T7" s="452" t="str">
        <f t="shared" si="1"/>
        <v/>
      </c>
      <c r="U7" s="452" t="str">
        <f t="shared" si="1"/>
        <v/>
      </c>
      <c r="V7" s="453" t="str">
        <f t="shared" si="1"/>
        <v/>
      </c>
      <c r="W7" s="451" t="str">
        <f t="shared" si="1"/>
        <v/>
      </c>
      <c r="X7" s="452" t="str">
        <f t="shared" si="1"/>
        <v/>
      </c>
      <c r="Y7" s="452" t="str">
        <f t="shared" si="1"/>
        <v/>
      </c>
      <c r="Z7" s="452" t="str">
        <f t="shared" si="1"/>
        <v/>
      </c>
      <c r="AA7" s="453" t="str">
        <f t="shared" si="1"/>
        <v/>
      </c>
      <c r="AB7" s="451" t="str">
        <f t="shared" si="1"/>
        <v/>
      </c>
      <c r="AC7" s="452" t="str">
        <f t="shared" si="1"/>
        <v/>
      </c>
      <c r="AD7" s="452" t="str">
        <f t="shared" si="1"/>
        <v/>
      </c>
      <c r="AE7" s="452" t="str">
        <f t="shared" si="1"/>
        <v/>
      </c>
      <c r="AF7" s="453" t="str">
        <f t="shared" si="1"/>
        <v/>
      </c>
      <c r="AG7" s="451" t="str">
        <f t="shared" si="1"/>
        <v/>
      </c>
      <c r="AH7" s="452" t="str">
        <f t="shared" si="1"/>
        <v/>
      </c>
      <c r="AI7" s="452" t="str">
        <f t="shared" si="1"/>
        <v/>
      </c>
      <c r="AJ7" s="452" t="str">
        <f t="shared" si="1"/>
        <v/>
      </c>
      <c r="AK7" s="453" t="str">
        <f t="shared" si="1"/>
        <v/>
      </c>
      <c r="AL7" s="451" t="str">
        <f t="shared" si="2"/>
        <v/>
      </c>
      <c r="AM7" s="452" t="str">
        <f t="shared" si="2"/>
        <v/>
      </c>
      <c r="AN7" s="452" t="str">
        <f t="shared" si="2"/>
        <v/>
      </c>
      <c r="AO7" s="452" t="str">
        <f t="shared" si="2"/>
        <v/>
      </c>
      <c r="AP7" s="453" t="str">
        <f t="shared" si="2"/>
        <v/>
      </c>
      <c r="AQ7" s="451" t="str">
        <f t="shared" si="2"/>
        <v/>
      </c>
      <c r="AR7" s="452" t="str">
        <f t="shared" si="2"/>
        <v/>
      </c>
      <c r="AS7" s="452" t="str">
        <f t="shared" si="2"/>
        <v/>
      </c>
      <c r="AT7" s="452" t="str">
        <f t="shared" si="2"/>
        <v/>
      </c>
      <c r="AU7" s="453" t="str">
        <f t="shared" si="2"/>
        <v/>
      </c>
      <c r="AV7" s="451" t="str">
        <f t="shared" si="2"/>
        <v/>
      </c>
      <c r="AW7" s="452" t="str">
        <f t="shared" si="2"/>
        <v/>
      </c>
      <c r="AX7" s="452" t="str">
        <f t="shared" si="2"/>
        <v/>
      </c>
      <c r="AY7" s="452" t="str">
        <f t="shared" si="2"/>
        <v/>
      </c>
      <c r="AZ7" s="453" t="str">
        <f t="shared" si="2"/>
        <v/>
      </c>
      <c r="BA7" s="451" t="str">
        <f t="shared" si="2"/>
        <v/>
      </c>
      <c r="BB7" s="452" t="str">
        <f t="shared" si="3"/>
        <v/>
      </c>
      <c r="BC7" s="452" t="str">
        <f t="shared" si="3"/>
        <v/>
      </c>
      <c r="BD7" s="452" t="str">
        <f t="shared" si="3"/>
        <v/>
      </c>
      <c r="BE7" s="453" t="str">
        <f t="shared" si="3"/>
        <v/>
      </c>
      <c r="BF7" s="451" t="str">
        <f t="shared" si="3"/>
        <v/>
      </c>
      <c r="BG7" s="452" t="str">
        <f t="shared" si="3"/>
        <v/>
      </c>
      <c r="BH7" s="452" t="str">
        <f t="shared" si="3"/>
        <v/>
      </c>
      <c r="BI7" s="452" t="str">
        <f t="shared" si="3"/>
        <v/>
      </c>
      <c r="BJ7" s="453" t="str">
        <f t="shared" si="3"/>
        <v/>
      </c>
      <c r="BK7" s="451" t="str">
        <f t="shared" si="3"/>
        <v/>
      </c>
      <c r="BL7" s="452" t="str">
        <f t="shared" si="3"/>
        <v/>
      </c>
      <c r="BM7" s="452" t="str">
        <f t="shared" si="3"/>
        <v/>
      </c>
      <c r="BN7" s="452" t="str">
        <f t="shared" si="3"/>
        <v/>
      </c>
      <c r="BO7" s="453" t="str">
        <f t="shared" si="3"/>
        <v/>
      </c>
      <c r="BP7" s="451" t="str">
        <f t="shared" si="3"/>
        <v/>
      </c>
      <c r="BQ7" s="452" t="str">
        <f t="shared" si="3"/>
        <v/>
      </c>
      <c r="BR7" s="452" t="str">
        <f t="shared" si="4"/>
        <v/>
      </c>
      <c r="BS7" s="452" t="str">
        <f t="shared" si="4"/>
        <v/>
      </c>
      <c r="BT7" s="453" t="str">
        <f t="shared" si="4"/>
        <v/>
      </c>
      <c r="BU7" s="451" t="str">
        <f t="shared" si="4"/>
        <v/>
      </c>
      <c r="BV7" s="452" t="str">
        <f t="shared" si="4"/>
        <v/>
      </c>
      <c r="BW7" s="452" t="str">
        <f t="shared" si="4"/>
        <v/>
      </c>
      <c r="BX7" s="452" t="str">
        <f t="shared" si="4"/>
        <v/>
      </c>
      <c r="BY7" s="453" t="str">
        <f t="shared" si="4"/>
        <v/>
      </c>
      <c r="BZ7" s="451" t="str">
        <f t="shared" si="4"/>
        <v/>
      </c>
      <c r="CA7" s="452" t="str">
        <f t="shared" si="4"/>
        <v/>
      </c>
      <c r="CB7" s="452" t="str">
        <f t="shared" si="4"/>
        <v/>
      </c>
      <c r="CC7" s="452" t="str">
        <f t="shared" si="4"/>
        <v/>
      </c>
      <c r="CD7" s="453" t="str">
        <f t="shared" si="4"/>
        <v/>
      </c>
      <c r="CE7" s="451" t="str">
        <f t="shared" si="4"/>
        <v/>
      </c>
      <c r="CF7" s="452" t="str">
        <f t="shared" si="4"/>
        <v/>
      </c>
      <c r="CG7" s="452" t="str">
        <f t="shared" si="4"/>
        <v/>
      </c>
      <c r="CH7" s="452" t="str">
        <f t="shared" si="5"/>
        <v/>
      </c>
      <c r="CI7" s="453" t="str">
        <f t="shared" si="5"/>
        <v/>
      </c>
      <c r="CJ7" s="451" t="str">
        <f t="shared" si="5"/>
        <v/>
      </c>
      <c r="CK7" s="452" t="str">
        <f t="shared" si="5"/>
        <v/>
      </c>
      <c r="CL7" s="452" t="str">
        <f t="shared" si="5"/>
        <v/>
      </c>
      <c r="CM7" s="452" t="str">
        <f t="shared" si="5"/>
        <v/>
      </c>
      <c r="CN7" s="453" t="str">
        <f t="shared" si="5"/>
        <v/>
      </c>
      <c r="CO7" s="451" t="str">
        <f t="shared" si="5"/>
        <v/>
      </c>
      <c r="CP7" s="452" t="str">
        <f t="shared" si="5"/>
        <v/>
      </c>
      <c r="CQ7" s="452" t="str">
        <f t="shared" si="5"/>
        <v/>
      </c>
      <c r="CR7" s="452" t="str">
        <f t="shared" si="5"/>
        <v/>
      </c>
      <c r="CS7" s="453" t="str">
        <f t="shared" si="5"/>
        <v/>
      </c>
      <c r="CT7" s="451" t="str">
        <f t="shared" si="5"/>
        <v/>
      </c>
      <c r="CU7" s="452" t="str">
        <f t="shared" si="5"/>
        <v/>
      </c>
      <c r="CV7" s="452" t="str">
        <f t="shared" si="5"/>
        <v/>
      </c>
      <c r="CW7" s="452" t="str">
        <f t="shared" si="5"/>
        <v/>
      </c>
      <c r="CX7" s="453" t="str">
        <f t="shared" si="6"/>
        <v/>
      </c>
      <c r="CY7" s="451" t="str">
        <f t="shared" si="6"/>
        <v/>
      </c>
      <c r="CZ7" s="452" t="str">
        <f t="shared" si="6"/>
        <v/>
      </c>
      <c r="DA7" s="452" t="str">
        <f t="shared" si="6"/>
        <v/>
      </c>
      <c r="DB7" s="452" t="str">
        <f t="shared" si="6"/>
        <v/>
      </c>
      <c r="DC7" s="453" t="str">
        <f t="shared" si="6"/>
        <v/>
      </c>
      <c r="DD7" s="451" t="str">
        <f t="shared" si="6"/>
        <v/>
      </c>
      <c r="DE7" s="452" t="str">
        <f t="shared" si="6"/>
        <v/>
      </c>
      <c r="DF7" s="452" t="str">
        <f t="shared" si="6"/>
        <v/>
      </c>
      <c r="DG7" s="452" t="str">
        <f t="shared" si="6"/>
        <v/>
      </c>
      <c r="DH7" s="453" t="str">
        <f t="shared" si="6"/>
        <v/>
      </c>
      <c r="DI7" s="451" t="str">
        <f t="shared" si="6"/>
        <v/>
      </c>
      <c r="DJ7" s="452" t="str">
        <f t="shared" si="6"/>
        <v/>
      </c>
      <c r="DK7" s="452" t="str">
        <f t="shared" si="6"/>
        <v/>
      </c>
      <c r="DL7" s="452" t="str">
        <f t="shared" si="6"/>
        <v/>
      </c>
      <c r="DM7" s="453" t="str">
        <f t="shared" si="6"/>
        <v/>
      </c>
      <c r="DN7" s="451" t="str">
        <f t="shared" si="7"/>
        <v/>
      </c>
      <c r="DO7" s="452" t="str">
        <f t="shared" si="7"/>
        <v/>
      </c>
      <c r="DP7" s="452" t="str">
        <f t="shared" si="7"/>
        <v/>
      </c>
      <c r="DQ7" s="452" t="str">
        <f t="shared" si="7"/>
        <v/>
      </c>
      <c r="DR7" s="453" t="str">
        <f t="shared" si="7"/>
        <v/>
      </c>
      <c r="DS7" s="451" t="str">
        <f t="shared" si="7"/>
        <v/>
      </c>
      <c r="DT7" s="452" t="str">
        <f t="shared" si="7"/>
        <v/>
      </c>
      <c r="DU7" s="452" t="str">
        <f t="shared" si="7"/>
        <v/>
      </c>
      <c r="DV7" s="452" t="str">
        <f t="shared" si="7"/>
        <v/>
      </c>
      <c r="DW7" s="453" t="str">
        <f t="shared" si="7"/>
        <v/>
      </c>
      <c r="DX7" s="451" t="str">
        <f t="shared" si="7"/>
        <v/>
      </c>
      <c r="DY7" s="452" t="str">
        <f t="shared" si="7"/>
        <v/>
      </c>
      <c r="DZ7" s="452" t="str">
        <f t="shared" si="7"/>
        <v/>
      </c>
      <c r="EA7" s="452" t="str">
        <f t="shared" si="7"/>
        <v/>
      </c>
      <c r="EB7" s="453" t="str">
        <f t="shared" si="7"/>
        <v/>
      </c>
      <c r="EC7" s="451" t="str">
        <f t="shared" si="7"/>
        <v/>
      </c>
      <c r="ED7" s="452" t="str">
        <f t="shared" si="7"/>
        <v/>
      </c>
      <c r="EE7" s="452" t="str">
        <f t="shared" si="7"/>
        <v/>
      </c>
      <c r="EF7" s="452" t="str">
        <f t="shared" si="7"/>
        <v/>
      </c>
      <c r="EG7" s="453" t="str">
        <f t="shared" si="7"/>
        <v/>
      </c>
      <c r="EH7" s="451" t="str">
        <f t="shared" si="7"/>
        <v/>
      </c>
      <c r="EI7" s="452" t="str">
        <f t="shared" si="7"/>
        <v/>
      </c>
      <c r="EJ7" s="452" t="str">
        <f t="shared" si="7"/>
        <v/>
      </c>
      <c r="EK7" s="452" t="str">
        <f t="shared" si="7"/>
        <v/>
      </c>
      <c r="EL7" s="453" t="str">
        <f t="shared" si="7"/>
        <v/>
      </c>
      <c r="EM7" s="451" t="str">
        <f t="shared" si="7"/>
        <v/>
      </c>
      <c r="EN7" s="452" t="str">
        <f t="shared" si="7"/>
        <v/>
      </c>
      <c r="EO7" s="452" t="str">
        <f t="shared" si="7"/>
        <v/>
      </c>
      <c r="EP7" s="452" t="str">
        <f t="shared" si="7"/>
        <v/>
      </c>
      <c r="EQ7" s="453" t="str">
        <f t="shared" si="7"/>
        <v/>
      </c>
      <c r="ER7" s="451" t="str">
        <f t="shared" si="7"/>
        <v/>
      </c>
      <c r="ES7" s="452" t="str">
        <f t="shared" si="7"/>
        <v/>
      </c>
      <c r="ET7" s="452" t="str">
        <f t="shared" si="7"/>
        <v/>
      </c>
      <c r="EU7" s="452" t="str">
        <f t="shared" si="7"/>
        <v/>
      </c>
      <c r="EV7" s="453" t="str">
        <f t="shared" si="7"/>
        <v/>
      </c>
      <c r="EW7" s="451" t="str">
        <f t="shared" si="7"/>
        <v/>
      </c>
      <c r="EX7" s="452" t="str">
        <f t="shared" si="7"/>
        <v/>
      </c>
      <c r="EY7" s="452" t="str">
        <f t="shared" si="7"/>
        <v/>
      </c>
      <c r="EZ7" s="452" t="str">
        <f t="shared" si="7"/>
        <v/>
      </c>
      <c r="FA7" s="453" t="str">
        <f t="shared" si="7"/>
        <v/>
      </c>
      <c r="FB7" s="451" t="str">
        <f t="shared" si="7"/>
        <v/>
      </c>
      <c r="FC7" s="452" t="str">
        <f t="shared" si="7"/>
        <v/>
      </c>
      <c r="FD7" s="452" t="str">
        <f t="shared" si="7"/>
        <v/>
      </c>
      <c r="FE7" s="452" t="str">
        <f t="shared" si="7"/>
        <v/>
      </c>
      <c r="FF7" s="453" t="str">
        <f t="shared" si="7"/>
        <v/>
      </c>
      <c r="FG7" s="451" t="str">
        <f t="shared" si="7"/>
        <v/>
      </c>
      <c r="FH7" s="452" t="str">
        <f t="shared" si="7"/>
        <v/>
      </c>
      <c r="FI7" s="452" t="str">
        <f t="shared" si="7"/>
        <v/>
      </c>
      <c r="FJ7" s="452" t="str">
        <f t="shared" si="7"/>
        <v/>
      </c>
      <c r="FK7" s="453" t="str">
        <f t="shared" si="7"/>
        <v/>
      </c>
      <c r="FL7" s="451" t="str">
        <f t="shared" si="7"/>
        <v/>
      </c>
      <c r="FM7" s="452" t="str">
        <f t="shared" si="7"/>
        <v/>
      </c>
      <c r="FN7" s="452" t="str">
        <f t="shared" si="7"/>
        <v/>
      </c>
      <c r="FO7" s="452" t="str">
        <f t="shared" si="7"/>
        <v/>
      </c>
      <c r="FP7" s="453" t="str">
        <f t="shared" si="7"/>
        <v/>
      </c>
      <c r="FQ7" s="451" t="str">
        <f t="shared" si="7"/>
        <v/>
      </c>
      <c r="FR7" s="452" t="str">
        <f t="shared" si="7"/>
        <v/>
      </c>
      <c r="FS7" s="452" t="str">
        <f t="shared" si="7"/>
        <v/>
      </c>
      <c r="FT7" s="452" t="str">
        <f t="shared" si="7"/>
        <v/>
      </c>
      <c r="FU7" s="453" t="str">
        <f t="shared" si="7"/>
        <v/>
      </c>
      <c r="FV7" s="451" t="str">
        <f t="shared" si="7"/>
        <v/>
      </c>
      <c r="FW7" s="452" t="str">
        <f t="shared" si="7"/>
        <v/>
      </c>
      <c r="FX7" s="452" t="str">
        <f t="shared" si="7"/>
        <v/>
      </c>
      <c r="FY7" s="452" t="str">
        <f t="shared" ref="FY7:GO18" si="12">IF(AND(FY$2&gt;=$J7,FY$2&lt;=$K7),1,"")</f>
        <v/>
      </c>
      <c r="FZ7" s="453" t="str">
        <f t="shared" si="12"/>
        <v/>
      </c>
      <c r="GA7" s="451" t="str">
        <f t="shared" si="12"/>
        <v/>
      </c>
      <c r="GB7" s="452" t="str">
        <f t="shared" si="12"/>
        <v/>
      </c>
      <c r="GC7" s="452" t="str">
        <f t="shared" si="12"/>
        <v/>
      </c>
      <c r="GD7" s="452" t="str">
        <f t="shared" si="12"/>
        <v/>
      </c>
      <c r="GE7" s="453" t="str">
        <f t="shared" si="12"/>
        <v/>
      </c>
      <c r="GF7" s="451" t="str">
        <f t="shared" si="12"/>
        <v/>
      </c>
      <c r="GG7" s="452" t="str">
        <f t="shared" si="8"/>
        <v/>
      </c>
      <c r="GH7" s="452" t="str">
        <f t="shared" si="8"/>
        <v/>
      </c>
      <c r="GI7" s="452" t="str">
        <f t="shared" si="8"/>
        <v/>
      </c>
      <c r="GJ7" s="453" t="str">
        <f t="shared" si="8"/>
        <v/>
      </c>
      <c r="GK7" s="451" t="str">
        <f t="shared" si="12"/>
        <v/>
      </c>
      <c r="GL7" s="452" t="str">
        <f t="shared" si="8"/>
        <v/>
      </c>
      <c r="GM7" s="452" t="str">
        <f t="shared" si="8"/>
        <v/>
      </c>
      <c r="GN7" s="452" t="str">
        <f t="shared" si="8"/>
        <v/>
      </c>
      <c r="GO7" s="453" t="str">
        <f t="shared" si="8"/>
        <v/>
      </c>
      <c r="GP7" s="451" t="str">
        <f t="shared" si="8"/>
        <v/>
      </c>
      <c r="GQ7" s="452" t="str">
        <f t="shared" si="8"/>
        <v/>
      </c>
      <c r="GR7" s="452" t="str">
        <f t="shared" si="8"/>
        <v/>
      </c>
      <c r="GS7" s="452" t="str">
        <f t="shared" si="8"/>
        <v/>
      </c>
      <c r="GT7" s="453" t="str">
        <f t="shared" si="8"/>
        <v/>
      </c>
      <c r="GU7" s="451" t="str">
        <f t="shared" si="8"/>
        <v/>
      </c>
      <c r="GV7" s="452" t="str">
        <f t="shared" si="8"/>
        <v/>
      </c>
      <c r="GW7" s="452" t="str">
        <f t="shared" si="8"/>
        <v/>
      </c>
      <c r="GX7" s="452" t="str">
        <f t="shared" si="8"/>
        <v/>
      </c>
      <c r="GY7" s="453" t="str">
        <f t="shared" si="8"/>
        <v/>
      </c>
      <c r="GZ7" s="451" t="str">
        <f t="shared" si="8"/>
        <v/>
      </c>
      <c r="HA7" s="452" t="str">
        <f t="shared" si="8"/>
        <v/>
      </c>
      <c r="HB7" s="452" t="str">
        <f t="shared" si="8"/>
        <v/>
      </c>
      <c r="HC7" s="452" t="str">
        <f t="shared" si="8"/>
        <v/>
      </c>
      <c r="HD7" s="453" t="str">
        <f t="shared" si="8"/>
        <v/>
      </c>
      <c r="HE7" s="451" t="str">
        <f t="shared" si="8"/>
        <v/>
      </c>
      <c r="HF7" s="452" t="str">
        <f t="shared" si="8"/>
        <v/>
      </c>
      <c r="HG7" s="452" t="str">
        <f t="shared" si="8"/>
        <v/>
      </c>
      <c r="HH7" s="452" t="str">
        <f t="shared" si="8"/>
        <v/>
      </c>
      <c r="HI7" s="453" t="str">
        <f t="shared" si="8"/>
        <v/>
      </c>
      <c r="HJ7" s="451" t="str">
        <f t="shared" si="8"/>
        <v/>
      </c>
      <c r="HK7" s="452" t="str">
        <f t="shared" si="8"/>
        <v/>
      </c>
      <c r="HL7" s="452" t="str">
        <f t="shared" si="8"/>
        <v/>
      </c>
      <c r="HM7" s="452" t="str">
        <f t="shared" si="8"/>
        <v/>
      </c>
      <c r="HN7" s="453" t="str">
        <f t="shared" si="8"/>
        <v/>
      </c>
      <c r="HO7" s="451" t="str">
        <f t="shared" si="8"/>
        <v/>
      </c>
      <c r="HP7" s="452" t="str">
        <f t="shared" si="8"/>
        <v/>
      </c>
      <c r="HQ7" s="452" t="str">
        <f t="shared" si="8"/>
        <v/>
      </c>
      <c r="HR7" s="452" t="str">
        <f t="shared" si="8"/>
        <v/>
      </c>
      <c r="HS7" s="453" t="str">
        <f t="shared" si="8"/>
        <v/>
      </c>
      <c r="HT7" s="451" t="str">
        <f t="shared" si="8"/>
        <v/>
      </c>
      <c r="HU7" s="452" t="str">
        <f t="shared" si="8"/>
        <v/>
      </c>
      <c r="HV7" s="452" t="str">
        <f t="shared" si="8"/>
        <v/>
      </c>
      <c r="HW7" s="452" t="str">
        <f t="shared" si="8"/>
        <v/>
      </c>
      <c r="HX7" s="453" t="str">
        <f t="shared" si="8"/>
        <v/>
      </c>
      <c r="HY7" s="451" t="str">
        <f t="shared" si="8"/>
        <v/>
      </c>
      <c r="HZ7" s="452" t="str">
        <f t="shared" si="8"/>
        <v/>
      </c>
      <c r="IA7" s="452" t="str">
        <f t="shared" si="8"/>
        <v/>
      </c>
      <c r="IB7" s="452" t="str">
        <f t="shared" si="8"/>
        <v/>
      </c>
      <c r="IC7" s="453" t="str">
        <f t="shared" si="8"/>
        <v/>
      </c>
      <c r="ID7" s="451" t="str">
        <f t="shared" si="8"/>
        <v/>
      </c>
      <c r="IE7" s="452" t="str">
        <f t="shared" si="8"/>
        <v/>
      </c>
      <c r="IF7" s="452" t="str">
        <f t="shared" si="8"/>
        <v/>
      </c>
      <c r="IG7" s="452" t="str">
        <f t="shared" si="8"/>
        <v/>
      </c>
      <c r="IH7" s="453" t="str">
        <f t="shared" si="8"/>
        <v/>
      </c>
      <c r="II7" s="451" t="str">
        <f t="shared" si="8"/>
        <v/>
      </c>
      <c r="IJ7" s="452" t="str">
        <f t="shared" si="8"/>
        <v/>
      </c>
      <c r="IK7" s="452" t="str">
        <f t="shared" si="8"/>
        <v/>
      </c>
      <c r="IL7" s="452" t="str">
        <f t="shared" si="9"/>
        <v/>
      </c>
      <c r="IM7" s="453" t="str">
        <f t="shared" si="9"/>
        <v/>
      </c>
      <c r="IN7" s="451" t="str">
        <f t="shared" si="9"/>
        <v/>
      </c>
      <c r="IO7" s="452" t="str">
        <f t="shared" si="9"/>
        <v/>
      </c>
      <c r="IP7" s="452" t="str">
        <f t="shared" si="9"/>
        <v/>
      </c>
      <c r="IQ7" s="452" t="str">
        <f t="shared" si="9"/>
        <v/>
      </c>
      <c r="IR7" s="453" t="str">
        <f t="shared" si="9"/>
        <v/>
      </c>
    </row>
    <row r="8" spans="1:253" x14ac:dyDescent="0.2">
      <c r="A8" s="446">
        <v>1.4</v>
      </c>
      <c r="C8" s="447" t="s">
        <v>1354</v>
      </c>
      <c r="D8" s="447"/>
      <c r="E8" s="448"/>
      <c r="F8" s="448"/>
      <c r="G8" s="448"/>
      <c r="H8" s="448"/>
      <c r="I8" s="448"/>
      <c r="J8" s="449" t="str">
        <f t="shared" si="10"/>
        <v/>
      </c>
      <c r="K8" s="449" t="str">
        <f t="shared" si="11"/>
        <v/>
      </c>
      <c r="L8" s="450">
        <f t="shared" si="0"/>
        <v>0</v>
      </c>
      <c r="M8" s="451" t="str">
        <f t="shared" si="1"/>
        <v/>
      </c>
      <c r="N8" s="452" t="str">
        <f t="shared" si="1"/>
        <v/>
      </c>
      <c r="O8" s="452" t="str">
        <f t="shared" si="1"/>
        <v/>
      </c>
      <c r="P8" s="452" t="str">
        <f t="shared" si="1"/>
        <v/>
      </c>
      <c r="Q8" s="453" t="str">
        <f t="shared" si="1"/>
        <v/>
      </c>
      <c r="R8" s="451" t="str">
        <f t="shared" si="1"/>
        <v/>
      </c>
      <c r="S8" s="452" t="str">
        <f t="shared" si="1"/>
        <v/>
      </c>
      <c r="T8" s="452" t="str">
        <f t="shared" si="1"/>
        <v/>
      </c>
      <c r="U8" s="452" t="str">
        <f t="shared" si="1"/>
        <v/>
      </c>
      <c r="V8" s="453" t="str">
        <f t="shared" si="1"/>
        <v/>
      </c>
      <c r="W8" s="451" t="str">
        <f t="shared" si="1"/>
        <v/>
      </c>
      <c r="X8" s="452" t="str">
        <f t="shared" si="1"/>
        <v/>
      </c>
      <c r="Y8" s="452" t="str">
        <f t="shared" si="1"/>
        <v/>
      </c>
      <c r="Z8" s="452" t="str">
        <f t="shared" si="1"/>
        <v/>
      </c>
      <c r="AA8" s="453" t="str">
        <f t="shared" si="1"/>
        <v/>
      </c>
      <c r="AB8" s="451" t="str">
        <f t="shared" si="1"/>
        <v/>
      </c>
      <c r="AC8" s="452" t="str">
        <f t="shared" si="1"/>
        <v/>
      </c>
      <c r="AD8" s="452" t="str">
        <f t="shared" si="1"/>
        <v/>
      </c>
      <c r="AE8" s="452" t="str">
        <f t="shared" si="1"/>
        <v/>
      </c>
      <c r="AF8" s="453" t="str">
        <f t="shared" si="1"/>
        <v/>
      </c>
      <c r="AG8" s="451" t="str">
        <f t="shared" si="1"/>
        <v/>
      </c>
      <c r="AH8" s="452" t="str">
        <f t="shared" si="1"/>
        <v/>
      </c>
      <c r="AI8" s="452" t="str">
        <f t="shared" si="1"/>
        <v/>
      </c>
      <c r="AJ8" s="452" t="str">
        <f t="shared" si="1"/>
        <v/>
      </c>
      <c r="AK8" s="453" t="str">
        <f t="shared" si="1"/>
        <v/>
      </c>
      <c r="AL8" s="451" t="str">
        <f t="shared" si="2"/>
        <v/>
      </c>
      <c r="AM8" s="452" t="str">
        <f t="shared" si="2"/>
        <v/>
      </c>
      <c r="AN8" s="452" t="str">
        <f t="shared" si="2"/>
        <v/>
      </c>
      <c r="AO8" s="452" t="str">
        <f t="shared" si="2"/>
        <v/>
      </c>
      <c r="AP8" s="453" t="str">
        <f t="shared" si="2"/>
        <v/>
      </c>
      <c r="AQ8" s="451" t="str">
        <f t="shared" si="2"/>
        <v/>
      </c>
      <c r="AR8" s="452" t="str">
        <f t="shared" si="2"/>
        <v/>
      </c>
      <c r="AS8" s="452" t="str">
        <f t="shared" si="2"/>
        <v/>
      </c>
      <c r="AT8" s="452" t="str">
        <f t="shared" si="2"/>
        <v/>
      </c>
      <c r="AU8" s="453" t="str">
        <f t="shared" si="2"/>
        <v/>
      </c>
      <c r="AV8" s="451" t="str">
        <f t="shared" si="2"/>
        <v/>
      </c>
      <c r="AW8" s="452" t="str">
        <f t="shared" si="2"/>
        <v/>
      </c>
      <c r="AX8" s="452" t="str">
        <f t="shared" si="2"/>
        <v/>
      </c>
      <c r="AY8" s="452" t="str">
        <f t="shared" si="2"/>
        <v/>
      </c>
      <c r="AZ8" s="453" t="str">
        <f t="shared" si="2"/>
        <v/>
      </c>
      <c r="BA8" s="451" t="str">
        <f t="shared" si="2"/>
        <v/>
      </c>
      <c r="BB8" s="452" t="str">
        <f t="shared" si="3"/>
        <v/>
      </c>
      <c r="BC8" s="452" t="str">
        <f t="shared" si="3"/>
        <v/>
      </c>
      <c r="BD8" s="452" t="str">
        <f t="shared" si="3"/>
        <v/>
      </c>
      <c r="BE8" s="453" t="str">
        <f t="shared" si="3"/>
        <v/>
      </c>
      <c r="BF8" s="451" t="str">
        <f t="shared" si="3"/>
        <v/>
      </c>
      <c r="BG8" s="452" t="str">
        <f t="shared" si="3"/>
        <v/>
      </c>
      <c r="BH8" s="452" t="str">
        <f t="shared" si="3"/>
        <v/>
      </c>
      <c r="BI8" s="452" t="str">
        <f t="shared" si="3"/>
        <v/>
      </c>
      <c r="BJ8" s="453" t="str">
        <f t="shared" si="3"/>
        <v/>
      </c>
      <c r="BK8" s="451" t="str">
        <f t="shared" si="3"/>
        <v/>
      </c>
      <c r="BL8" s="452" t="str">
        <f t="shared" si="3"/>
        <v/>
      </c>
      <c r="BM8" s="452" t="str">
        <f t="shared" si="3"/>
        <v/>
      </c>
      <c r="BN8" s="452" t="str">
        <f t="shared" si="3"/>
        <v/>
      </c>
      <c r="BO8" s="453" t="str">
        <f t="shared" si="3"/>
        <v/>
      </c>
      <c r="BP8" s="451" t="str">
        <f t="shared" si="3"/>
        <v/>
      </c>
      <c r="BQ8" s="452" t="str">
        <f t="shared" si="3"/>
        <v/>
      </c>
      <c r="BR8" s="452" t="str">
        <f t="shared" si="4"/>
        <v/>
      </c>
      <c r="BS8" s="452" t="str">
        <f t="shared" si="4"/>
        <v/>
      </c>
      <c r="BT8" s="453" t="str">
        <f t="shared" si="4"/>
        <v/>
      </c>
      <c r="BU8" s="451" t="str">
        <f t="shared" si="4"/>
        <v/>
      </c>
      <c r="BV8" s="452" t="str">
        <f t="shared" si="4"/>
        <v/>
      </c>
      <c r="BW8" s="452" t="str">
        <f t="shared" si="4"/>
        <v/>
      </c>
      <c r="BX8" s="452" t="str">
        <f t="shared" si="4"/>
        <v/>
      </c>
      <c r="BY8" s="453" t="str">
        <f t="shared" si="4"/>
        <v/>
      </c>
      <c r="BZ8" s="451" t="str">
        <f t="shared" si="4"/>
        <v/>
      </c>
      <c r="CA8" s="452" t="str">
        <f t="shared" si="4"/>
        <v/>
      </c>
      <c r="CB8" s="452" t="str">
        <f t="shared" si="4"/>
        <v/>
      </c>
      <c r="CC8" s="452" t="str">
        <f t="shared" si="4"/>
        <v/>
      </c>
      <c r="CD8" s="453" t="str">
        <f t="shared" si="4"/>
        <v/>
      </c>
      <c r="CE8" s="451" t="str">
        <f t="shared" si="4"/>
        <v/>
      </c>
      <c r="CF8" s="452" t="str">
        <f t="shared" si="4"/>
        <v/>
      </c>
      <c r="CG8" s="452" t="str">
        <f t="shared" si="4"/>
        <v/>
      </c>
      <c r="CH8" s="452" t="str">
        <f t="shared" si="5"/>
        <v/>
      </c>
      <c r="CI8" s="453" t="str">
        <f t="shared" si="5"/>
        <v/>
      </c>
      <c r="CJ8" s="451" t="str">
        <f t="shared" si="5"/>
        <v/>
      </c>
      <c r="CK8" s="452" t="str">
        <f t="shared" si="5"/>
        <v/>
      </c>
      <c r="CL8" s="452" t="str">
        <f t="shared" si="5"/>
        <v/>
      </c>
      <c r="CM8" s="452" t="str">
        <f t="shared" si="5"/>
        <v/>
      </c>
      <c r="CN8" s="453" t="str">
        <f t="shared" si="5"/>
        <v/>
      </c>
      <c r="CO8" s="451" t="str">
        <f t="shared" si="5"/>
        <v/>
      </c>
      <c r="CP8" s="452" t="str">
        <f t="shared" si="5"/>
        <v/>
      </c>
      <c r="CQ8" s="452" t="str">
        <f t="shared" si="5"/>
        <v/>
      </c>
      <c r="CR8" s="452" t="str">
        <f t="shared" si="5"/>
        <v/>
      </c>
      <c r="CS8" s="453" t="str">
        <f t="shared" si="5"/>
        <v/>
      </c>
      <c r="CT8" s="451" t="str">
        <f t="shared" si="5"/>
        <v/>
      </c>
      <c r="CU8" s="452" t="str">
        <f t="shared" si="5"/>
        <v/>
      </c>
      <c r="CV8" s="452" t="str">
        <f t="shared" si="5"/>
        <v/>
      </c>
      <c r="CW8" s="452" t="str">
        <f t="shared" si="5"/>
        <v/>
      </c>
      <c r="CX8" s="453" t="str">
        <f t="shared" si="6"/>
        <v/>
      </c>
      <c r="CY8" s="451" t="str">
        <f t="shared" si="6"/>
        <v/>
      </c>
      <c r="CZ8" s="452" t="str">
        <f t="shared" si="6"/>
        <v/>
      </c>
      <c r="DA8" s="452" t="str">
        <f t="shared" si="6"/>
        <v/>
      </c>
      <c r="DB8" s="452" t="str">
        <f t="shared" si="6"/>
        <v/>
      </c>
      <c r="DC8" s="453" t="str">
        <f t="shared" si="6"/>
        <v/>
      </c>
      <c r="DD8" s="451" t="str">
        <f t="shared" si="6"/>
        <v/>
      </c>
      <c r="DE8" s="452" t="str">
        <f t="shared" si="6"/>
        <v/>
      </c>
      <c r="DF8" s="452" t="str">
        <f t="shared" si="6"/>
        <v/>
      </c>
      <c r="DG8" s="452" t="str">
        <f t="shared" si="6"/>
        <v/>
      </c>
      <c r="DH8" s="453" t="str">
        <f t="shared" si="6"/>
        <v/>
      </c>
      <c r="DI8" s="451" t="str">
        <f t="shared" si="6"/>
        <v/>
      </c>
      <c r="DJ8" s="452" t="str">
        <f t="shared" si="6"/>
        <v/>
      </c>
      <c r="DK8" s="452" t="str">
        <f t="shared" si="6"/>
        <v/>
      </c>
      <c r="DL8" s="452" t="str">
        <f t="shared" si="6"/>
        <v/>
      </c>
      <c r="DM8" s="453" t="str">
        <f t="shared" si="6"/>
        <v/>
      </c>
      <c r="DN8" s="451" t="str">
        <f t="shared" ref="DN8:FY11" si="13">IF(AND(DN$2&gt;=$J8,DN$2&lt;=$K8),1,"")</f>
        <v/>
      </c>
      <c r="DO8" s="452" t="str">
        <f t="shared" si="13"/>
        <v/>
      </c>
      <c r="DP8" s="452" t="str">
        <f t="shared" si="13"/>
        <v/>
      </c>
      <c r="DQ8" s="452" t="str">
        <f t="shared" si="13"/>
        <v/>
      </c>
      <c r="DR8" s="453" t="str">
        <f t="shared" si="13"/>
        <v/>
      </c>
      <c r="DS8" s="451" t="str">
        <f t="shared" si="13"/>
        <v/>
      </c>
      <c r="DT8" s="452" t="str">
        <f t="shared" si="13"/>
        <v/>
      </c>
      <c r="DU8" s="452" t="str">
        <f t="shared" si="13"/>
        <v/>
      </c>
      <c r="DV8" s="452" t="str">
        <f t="shared" si="13"/>
        <v/>
      </c>
      <c r="DW8" s="453" t="str">
        <f t="shared" si="13"/>
        <v/>
      </c>
      <c r="DX8" s="451" t="str">
        <f t="shared" si="13"/>
        <v/>
      </c>
      <c r="DY8" s="452" t="str">
        <f t="shared" si="13"/>
        <v/>
      </c>
      <c r="DZ8" s="452" t="str">
        <f t="shared" si="13"/>
        <v/>
      </c>
      <c r="EA8" s="452" t="str">
        <f t="shared" si="13"/>
        <v/>
      </c>
      <c r="EB8" s="453" t="str">
        <f t="shared" si="13"/>
        <v/>
      </c>
      <c r="EC8" s="451" t="str">
        <f t="shared" si="13"/>
        <v/>
      </c>
      <c r="ED8" s="452" t="str">
        <f t="shared" si="13"/>
        <v/>
      </c>
      <c r="EE8" s="452" t="str">
        <f t="shared" si="13"/>
        <v/>
      </c>
      <c r="EF8" s="452" t="str">
        <f t="shared" si="13"/>
        <v/>
      </c>
      <c r="EG8" s="453" t="str">
        <f t="shared" si="13"/>
        <v/>
      </c>
      <c r="EH8" s="451" t="str">
        <f t="shared" si="13"/>
        <v/>
      </c>
      <c r="EI8" s="452" t="str">
        <f t="shared" si="13"/>
        <v/>
      </c>
      <c r="EJ8" s="452" t="str">
        <f t="shared" si="13"/>
        <v/>
      </c>
      <c r="EK8" s="452" t="str">
        <f t="shared" si="13"/>
        <v/>
      </c>
      <c r="EL8" s="453" t="str">
        <f t="shared" si="13"/>
        <v/>
      </c>
      <c r="EM8" s="451" t="str">
        <f t="shared" si="13"/>
        <v/>
      </c>
      <c r="EN8" s="452" t="str">
        <f t="shared" si="13"/>
        <v/>
      </c>
      <c r="EO8" s="452" t="str">
        <f t="shared" si="13"/>
        <v/>
      </c>
      <c r="EP8" s="452" t="str">
        <f t="shared" si="13"/>
        <v/>
      </c>
      <c r="EQ8" s="453" t="str">
        <f t="shared" si="13"/>
        <v/>
      </c>
      <c r="ER8" s="451" t="str">
        <f t="shared" si="13"/>
        <v/>
      </c>
      <c r="ES8" s="452" t="str">
        <f t="shared" si="13"/>
        <v/>
      </c>
      <c r="ET8" s="452" t="str">
        <f t="shared" si="13"/>
        <v/>
      </c>
      <c r="EU8" s="452" t="str">
        <f t="shared" si="13"/>
        <v/>
      </c>
      <c r="EV8" s="453" t="str">
        <f t="shared" si="13"/>
        <v/>
      </c>
      <c r="EW8" s="451" t="str">
        <f t="shared" si="13"/>
        <v/>
      </c>
      <c r="EX8" s="452" t="str">
        <f t="shared" si="13"/>
        <v/>
      </c>
      <c r="EY8" s="452" t="str">
        <f t="shared" si="13"/>
        <v/>
      </c>
      <c r="EZ8" s="452" t="str">
        <f t="shared" si="13"/>
        <v/>
      </c>
      <c r="FA8" s="453" t="str">
        <f t="shared" si="13"/>
        <v/>
      </c>
      <c r="FB8" s="451" t="str">
        <f t="shared" si="13"/>
        <v/>
      </c>
      <c r="FC8" s="452" t="str">
        <f t="shared" si="13"/>
        <v/>
      </c>
      <c r="FD8" s="452" t="str">
        <f t="shared" si="13"/>
        <v/>
      </c>
      <c r="FE8" s="452" t="str">
        <f t="shared" si="13"/>
        <v/>
      </c>
      <c r="FF8" s="453" t="str">
        <f t="shared" si="13"/>
        <v/>
      </c>
      <c r="FG8" s="451" t="str">
        <f t="shared" si="13"/>
        <v/>
      </c>
      <c r="FH8" s="452" t="str">
        <f t="shared" si="13"/>
        <v/>
      </c>
      <c r="FI8" s="452" t="str">
        <f t="shared" si="13"/>
        <v/>
      </c>
      <c r="FJ8" s="452" t="str">
        <f t="shared" si="13"/>
        <v/>
      </c>
      <c r="FK8" s="453" t="str">
        <f t="shared" si="13"/>
        <v/>
      </c>
      <c r="FL8" s="451" t="str">
        <f t="shared" si="13"/>
        <v/>
      </c>
      <c r="FM8" s="452" t="str">
        <f t="shared" si="13"/>
        <v/>
      </c>
      <c r="FN8" s="452" t="str">
        <f t="shared" si="13"/>
        <v/>
      </c>
      <c r="FO8" s="452" t="str">
        <f t="shared" si="13"/>
        <v/>
      </c>
      <c r="FP8" s="453" t="str">
        <f t="shared" si="13"/>
        <v/>
      </c>
      <c r="FQ8" s="451" t="str">
        <f t="shared" si="13"/>
        <v/>
      </c>
      <c r="FR8" s="452" t="str">
        <f t="shared" si="13"/>
        <v/>
      </c>
      <c r="FS8" s="452" t="str">
        <f t="shared" si="13"/>
        <v/>
      </c>
      <c r="FT8" s="452" t="str">
        <f t="shared" si="13"/>
        <v/>
      </c>
      <c r="FU8" s="453" t="str">
        <f t="shared" si="13"/>
        <v/>
      </c>
      <c r="FV8" s="451" t="str">
        <f t="shared" si="13"/>
        <v/>
      </c>
      <c r="FW8" s="452" t="str">
        <f t="shared" si="13"/>
        <v/>
      </c>
      <c r="FX8" s="452" t="str">
        <f t="shared" si="13"/>
        <v/>
      </c>
      <c r="FY8" s="452" t="str">
        <f t="shared" si="13"/>
        <v/>
      </c>
      <c r="FZ8" s="453" t="str">
        <f t="shared" si="12"/>
        <v/>
      </c>
      <c r="GA8" s="451" t="str">
        <f t="shared" si="12"/>
        <v/>
      </c>
      <c r="GB8" s="452" t="str">
        <f t="shared" si="12"/>
        <v/>
      </c>
      <c r="GC8" s="452" t="str">
        <f t="shared" si="12"/>
        <v/>
      </c>
      <c r="GD8" s="452" t="str">
        <f t="shared" si="12"/>
        <v/>
      </c>
      <c r="GE8" s="453" t="str">
        <f t="shared" si="12"/>
        <v/>
      </c>
      <c r="GF8" s="451" t="str">
        <f t="shared" si="12"/>
        <v/>
      </c>
      <c r="GG8" s="452" t="str">
        <f t="shared" si="8"/>
        <v/>
      </c>
      <c r="GH8" s="452" t="str">
        <f t="shared" si="8"/>
        <v/>
      </c>
      <c r="GI8" s="452" t="str">
        <f t="shared" si="8"/>
        <v/>
      </c>
      <c r="GJ8" s="453" t="str">
        <f t="shared" si="8"/>
        <v/>
      </c>
      <c r="GK8" s="451" t="str">
        <f t="shared" si="12"/>
        <v/>
      </c>
      <c r="GL8" s="452" t="str">
        <f t="shared" si="8"/>
        <v/>
      </c>
      <c r="GM8" s="452" t="str">
        <f t="shared" si="8"/>
        <v/>
      </c>
      <c r="GN8" s="452" t="str">
        <f t="shared" si="8"/>
        <v/>
      </c>
      <c r="GO8" s="453" t="str">
        <f t="shared" ref="GO8:HD16" si="14">IF(AND(GO$2&gt;=$J8,GO$2&lt;=$K8),1,"")</f>
        <v/>
      </c>
      <c r="GP8" s="451" t="str">
        <f t="shared" si="14"/>
        <v/>
      </c>
      <c r="GQ8" s="452" t="str">
        <f t="shared" si="14"/>
        <v/>
      </c>
      <c r="GR8" s="452" t="str">
        <f t="shared" si="14"/>
        <v/>
      </c>
      <c r="GS8" s="452" t="str">
        <f t="shared" si="14"/>
        <v/>
      </c>
      <c r="GT8" s="453" t="str">
        <f t="shared" si="14"/>
        <v/>
      </c>
      <c r="GU8" s="451" t="str">
        <f t="shared" si="14"/>
        <v/>
      </c>
      <c r="GV8" s="452" t="str">
        <f t="shared" si="14"/>
        <v/>
      </c>
      <c r="GW8" s="452" t="str">
        <f t="shared" si="14"/>
        <v/>
      </c>
      <c r="GX8" s="452" t="str">
        <f t="shared" si="14"/>
        <v/>
      </c>
      <c r="GY8" s="453" t="str">
        <f t="shared" si="14"/>
        <v/>
      </c>
      <c r="GZ8" s="451" t="str">
        <f t="shared" si="14"/>
        <v/>
      </c>
      <c r="HA8" s="452" t="str">
        <f t="shared" si="14"/>
        <v/>
      </c>
      <c r="HB8" s="452" t="str">
        <f t="shared" si="14"/>
        <v/>
      </c>
      <c r="HC8" s="452" t="str">
        <f t="shared" si="14"/>
        <v/>
      </c>
      <c r="HD8" s="453" t="str">
        <f t="shared" si="14"/>
        <v/>
      </c>
      <c r="HE8" s="451" t="str">
        <f t="shared" ref="HE8:HT23" si="15">IF(AND(HE$2&gt;=$J8,HE$2&lt;=$K8),1,"")</f>
        <v/>
      </c>
      <c r="HF8" s="452" t="str">
        <f t="shared" si="15"/>
        <v/>
      </c>
      <c r="HG8" s="452" t="str">
        <f t="shared" si="15"/>
        <v/>
      </c>
      <c r="HH8" s="452" t="str">
        <f t="shared" si="15"/>
        <v/>
      </c>
      <c r="HI8" s="453" t="str">
        <f t="shared" si="15"/>
        <v/>
      </c>
      <c r="HJ8" s="451" t="str">
        <f t="shared" si="15"/>
        <v/>
      </c>
      <c r="HK8" s="452" t="str">
        <f t="shared" si="15"/>
        <v/>
      </c>
      <c r="HL8" s="452" t="str">
        <f t="shared" si="15"/>
        <v/>
      </c>
      <c r="HM8" s="452" t="str">
        <f t="shared" si="15"/>
        <v/>
      </c>
      <c r="HN8" s="453" t="str">
        <f t="shared" si="15"/>
        <v/>
      </c>
      <c r="HO8" s="451" t="str">
        <f t="shared" si="15"/>
        <v/>
      </c>
      <c r="HP8" s="452" t="str">
        <f t="shared" si="15"/>
        <v/>
      </c>
      <c r="HQ8" s="452" t="str">
        <f t="shared" si="15"/>
        <v/>
      </c>
      <c r="HR8" s="452" t="str">
        <f t="shared" si="15"/>
        <v/>
      </c>
      <c r="HS8" s="453" t="str">
        <f t="shared" si="15"/>
        <v/>
      </c>
      <c r="HT8" s="451" t="str">
        <f t="shared" si="15"/>
        <v/>
      </c>
      <c r="HU8" s="452" t="str">
        <f t="shared" ref="HU8:IJ23" si="16">IF(AND(HU$2&gt;=$J8,HU$2&lt;=$K8),1,"")</f>
        <v/>
      </c>
      <c r="HV8" s="452" t="str">
        <f t="shared" si="16"/>
        <v/>
      </c>
      <c r="HW8" s="452" t="str">
        <f t="shared" si="16"/>
        <v/>
      </c>
      <c r="HX8" s="453" t="str">
        <f t="shared" si="16"/>
        <v/>
      </c>
      <c r="HY8" s="451" t="str">
        <f t="shared" si="16"/>
        <v/>
      </c>
      <c r="HZ8" s="452" t="str">
        <f t="shared" si="16"/>
        <v/>
      </c>
      <c r="IA8" s="452" t="str">
        <f t="shared" si="16"/>
        <v/>
      </c>
      <c r="IB8" s="452" t="str">
        <f t="shared" si="16"/>
        <v/>
      </c>
      <c r="IC8" s="453" t="str">
        <f t="shared" si="16"/>
        <v/>
      </c>
      <c r="ID8" s="451" t="str">
        <f t="shared" si="16"/>
        <v/>
      </c>
      <c r="IE8" s="452" t="str">
        <f t="shared" si="16"/>
        <v/>
      </c>
      <c r="IF8" s="452" t="str">
        <f t="shared" si="16"/>
        <v/>
      </c>
      <c r="IG8" s="452" t="str">
        <f t="shared" si="16"/>
        <v/>
      </c>
      <c r="IH8" s="453" t="str">
        <f t="shared" si="16"/>
        <v/>
      </c>
      <c r="II8" s="451" t="str">
        <f t="shared" si="16"/>
        <v/>
      </c>
      <c r="IJ8" s="452" t="str">
        <f t="shared" si="16"/>
        <v/>
      </c>
      <c r="IK8" s="452" t="str">
        <f t="shared" ref="IK8:IR23" si="17">IF(AND(IK$2&gt;=$J8,IK$2&lt;=$K8),1,"")</f>
        <v/>
      </c>
      <c r="IL8" s="452" t="str">
        <f t="shared" si="17"/>
        <v/>
      </c>
      <c r="IM8" s="453" t="str">
        <f t="shared" si="17"/>
        <v/>
      </c>
      <c r="IN8" s="451" t="str">
        <f t="shared" si="17"/>
        <v/>
      </c>
      <c r="IO8" s="452" t="str">
        <f t="shared" si="17"/>
        <v/>
      </c>
      <c r="IP8" s="452" t="str">
        <f t="shared" si="17"/>
        <v/>
      </c>
      <c r="IQ8" s="452" t="str">
        <f t="shared" si="17"/>
        <v/>
      </c>
      <c r="IR8" s="453" t="str">
        <f t="shared" si="17"/>
        <v/>
      </c>
    </row>
    <row r="9" spans="1:253" x14ac:dyDescent="0.2">
      <c r="A9" s="446">
        <v>1.5</v>
      </c>
      <c r="C9" s="447" t="s">
        <v>1355</v>
      </c>
      <c r="D9" s="447"/>
      <c r="E9" s="448"/>
      <c r="F9" s="448"/>
      <c r="G9" s="448"/>
      <c r="H9" s="448"/>
      <c r="I9" s="448"/>
      <c r="J9" s="449" t="str">
        <f t="shared" si="10"/>
        <v/>
      </c>
      <c r="K9" s="449" t="str">
        <f t="shared" si="11"/>
        <v/>
      </c>
      <c r="L9" s="450">
        <f t="shared" si="0"/>
        <v>0</v>
      </c>
      <c r="M9" s="451" t="str">
        <f t="shared" si="1"/>
        <v/>
      </c>
      <c r="N9" s="452" t="str">
        <f t="shared" si="1"/>
        <v/>
      </c>
      <c r="O9" s="452" t="str">
        <f t="shared" si="1"/>
        <v/>
      </c>
      <c r="P9" s="452" t="str">
        <f t="shared" si="1"/>
        <v/>
      </c>
      <c r="Q9" s="453" t="str">
        <f t="shared" si="1"/>
        <v/>
      </c>
      <c r="R9" s="451" t="str">
        <f t="shared" si="1"/>
        <v/>
      </c>
      <c r="S9" s="452" t="str">
        <f t="shared" si="1"/>
        <v/>
      </c>
      <c r="T9" s="452" t="str">
        <f t="shared" si="1"/>
        <v/>
      </c>
      <c r="U9" s="452" t="str">
        <f t="shared" si="1"/>
        <v/>
      </c>
      <c r="V9" s="453" t="str">
        <f t="shared" si="1"/>
        <v/>
      </c>
      <c r="W9" s="451" t="str">
        <f t="shared" si="1"/>
        <v/>
      </c>
      <c r="X9" s="452" t="str">
        <f t="shared" si="1"/>
        <v/>
      </c>
      <c r="Y9" s="452" t="str">
        <f t="shared" si="1"/>
        <v/>
      </c>
      <c r="Z9" s="452" t="str">
        <f t="shared" si="1"/>
        <v/>
      </c>
      <c r="AA9" s="453" t="str">
        <f t="shared" si="1"/>
        <v/>
      </c>
      <c r="AB9" s="451" t="str">
        <f t="shared" si="1"/>
        <v/>
      </c>
      <c r="AC9" s="452" t="str">
        <f t="shared" si="1"/>
        <v/>
      </c>
      <c r="AD9" s="452" t="str">
        <f t="shared" si="1"/>
        <v/>
      </c>
      <c r="AE9" s="452" t="str">
        <f t="shared" si="1"/>
        <v/>
      </c>
      <c r="AF9" s="453" t="str">
        <f t="shared" si="1"/>
        <v/>
      </c>
      <c r="AG9" s="451" t="str">
        <f t="shared" si="1"/>
        <v/>
      </c>
      <c r="AH9" s="452" t="str">
        <f t="shared" si="1"/>
        <v/>
      </c>
      <c r="AI9" s="452" t="str">
        <f t="shared" si="1"/>
        <v/>
      </c>
      <c r="AJ9" s="452" t="str">
        <f t="shared" si="1"/>
        <v/>
      </c>
      <c r="AK9" s="453" t="str">
        <f t="shared" si="1"/>
        <v/>
      </c>
      <c r="AL9" s="451" t="str">
        <f t="shared" si="2"/>
        <v/>
      </c>
      <c r="AM9" s="452" t="str">
        <f t="shared" si="2"/>
        <v/>
      </c>
      <c r="AN9" s="452" t="str">
        <f t="shared" si="2"/>
        <v/>
      </c>
      <c r="AO9" s="452" t="str">
        <f t="shared" si="2"/>
        <v/>
      </c>
      <c r="AP9" s="453" t="str">
        <f t="shared" si="2"/>
        <v/>
      </c>
      <c r="AQ9" s="451" t="str">
        <f t="shared" si="2"/>
        <v/>
      </c>
      <c r="AR9" s="452" t="str">
        <f t="shared" si="2"/>
        <v/>
      </c>
      <c r="AS9" s="452" t="str">
        <f t="shared" si="2"/>
        <v/>
      </c>
      <c r="AT9" s="452" t="str">
        <f t="shared" si="2"/>
        <v/>
      </c>
      <c r="AU9" s="453" t="str">
        <f t="shared" si="2"/>
        <v/>
      </c>
      <c r="AV9" s="451" t="str">
        <f t="shared" si="2"/>
        <v/>
      </c>
      <c r="AW9" s="452" t="str">
        <f t="shared" si="2"/>
        <v/>
      </c>
      <c r="AX9" s="452" t="str">
        <f t="shared" si="2"/>
        <v/>
      </c>
      <c r="AY9" s="452" t="str">
        <f t="shared" si="2"/>
        <v/>
      </c>
      <c r="AZ9" s="453" t="str">
        <f t="shared" si="2"/>
        <v/>
      </c>
      <c r="BA9" s="451" t="str">
        <f t="shared" si="2"/>
        <v/>
      </c>
      <c r="BB9" s="452" t="str">
        <f t="shared" si="3"/>
        <v/>
      </c>
      <c r="BC9" s="452" t="str">
        <f t="shared" si="3"/>
        <v/>
      </c>
      <c r="BD9" s="452" t="str">
        <f t="shared" si="3"/>
        <v/>
      </c>
      <c r="BE9" s="453" t="str">
        <f t="shared" si="3"/>
        <v/>
      </c>
      <c r="BF9" s="451" t="str">
        <f t="shared" si="3"/>
        <v/>
      </c>
      <c r="BG9" s="452" t="str">
        <f t="shared" si="3"/>
        <v/>
      </c>
      <c r="BH9" s="452" t="str">
        <f t="shared" si="3"/>
        <v/>
      </c>
      <c r="BI9" s="452" t="str">
        <f t="shared" si="3"/>
        <v/>
      </c>
      <c r="BJ9" s="453" t="str">
        <f t="shared" si="3"/>
        <v/>
      </c>
      <c r="BK9" s="451" t="str">
        <f t="shared" si="3"/>
        <v/>
      </c>
      <c r="BL9" s="452" t="str">
        <f t="shared" si="3"/>
        <v/>
      </c>
      <c r="BM9" s="452" t="str">
        <f t="shared" si="3"/>
        <v/>
      </c>
      <c r="BN9" s="452" t="str">
        <f t="shared" si="3"/>
        <v/>
      </c>
      <c r="BO9" s="453" t="str">
        <f t="shared" si="3"/>
        <v/>
      </c>
      <c r="BP9" s="451" t="str">
        <f t="shared" si="3"/>
        <v/>
      </c>
      <c r="BQ9" s="452" t="str">
        <f t="shared" si="3"/>
        <v/>
      </c>
      <c r="BR9" s="452" t="str">
        <f t="shared" si="4"/>
        <v/>
      </c>
      <c r="BS9" s="452" t="str">
        <f t="shared" si="4"/>
        <v/>
      </c>
      <c r="BT9" s="453" t="str">
        <f t="shared" si="4"/>
        <v/>
      </c>
      <c r="BU9" s="451" t="str">
        <f t="shared" si="4"/>
        <v/>
      </c>
      <c r="BV9" s="452" t="str">
        <f t="shared" si="4"/>
        <v/>
      </c>
      <c r="BW9" s="452" t="str">
        <f t="shared" si="4"/>
        <v/>
      </c>
      <c r="BX9" s="452" t="str">
        <f t="shared" si="4"/>
        <v/>
      </c>
      <c r="BY9" s="453" t="str">
        <f t="shared" si="4"/>
        <v/>
      </c>
      <c r="BZ9" s="451" t="str">
        <f t="shared" si="4"/>
        <v/>
      </c>
      <c r="CA9" s="452" t="str">
        <f t="shared" si="4"/>
        <v/>
      </c>
      <c r="CB9" s="452" t="str">
        <f t="shared" si="4"/>
        <v/>
      </c>
      <c r="CC9" s="452" t="str">
        <f t="shared" si="4"/>
        <v/>
      </c>
      <c r="CD9" s="453" t="str">
        <f t="shared" si="4"/>
        <v/>
      </c>
      <c r="CE9" s="451" t="str">
        <f t="shared" si="4"/>
        <v/>
      </c>
      <c r="CF9" s="452" t="str">
        <f t="shared" si="4"/>
        <v/>
      </c>
      <c r="CG9" s="452" t="str">
        <f t="shared" si="4"/>
        <v/>
      </c>
      <c r="CH9" s="452" t="str">
        <f t="shared" si="5"/>
        <v/>
      </c>
      <c r="CI9" s="453" t="str">
        <f t="shared" si="5"/>
        <v/>
      </c>
      <c r="CJ9" s="451" t="str">
        <f t="shared" si="5"/>
        <v/>
      </c>
      <c r="CK9" s="452" t="str">
        <f t="shared" si="5"/>
        <v/>
      </c>
      <c r="CL9" s="452" t="str">
        <f t="shared" si="5"/>
        <v/>
      </c>
      <c r="CM9" s="452" t="str">
        <f t="shared" si="5"/>
        <v/>
      </c>
      <c r="CN9" s="453" t="str">
        <f t="shared" si="5"/>
        <v/>
      </c>
      <c r="CO9" s="451" t="str">
        <f t="shared" si="5"/>
        <v/>
      </c>
      <c r="CP9" s="452" t="str">
        <f t="shared" si="5"/>
        <v/>
      </c>
      <c r="CQ9" s="452" t="str">
        <f t="shared" si="5"/>
        <v/>
      </c>
      <c r="CR9" s="452" t="str">
        <f t="shared" si="5"/>
        <v/>
      </c>
      <c r="CS9" s="453" t="str">
        <f t="shared" si="5"/>
        <v/>
      </c>
      <c r="CT9" s="451" t="str">
        <f t="shared" si="5"/>
        <v/>
      </c>
      <c r="CU9" s="452" t="str">
        <f t="shared" si="5"/>
        <v/>
      </c>
      <c r="CV9" s="452" t="str">
        <f t="shared" si="5"/>
        <v/>
      </c>
      <c r="CW9" s="452" t="str">
        <f t="shared" si="5"/>
        <v/>
      </c>
      <c r="CX9" s="453" t="str">
        <f t="shared" si="6"/>
        <v/>
      </c>
      <c r="CY9" s="451" t="str">
        <f t="shared" si="6"/>
        <v/>
      </c>
      <c r="CZ9" s="452" t="str">
        <f t="shared" si="6"/>
        <v/>
      </c>
      <c r="DA9" s="452" t="str">
        <f t="shared" si="6"/>
        <v/>
      </c>
      <c r="DB9" s="452" t="str">
        <f t="shared" si="6"/>
        <v/>
      </c>
      <c r="DC9" s="453" t="str">
        <f t="shared" si="6"/>
        <v/>
      </c>
      <c r="DD9" s="451" t="str">
        <f t="shared" si="6"/>
        <v/>
      </c>
      <c r="DE9" s="452" t="str">
        <f t="shared" si="6"/>
        <v/>
      </c>
      <c r="DF9" s="452" t="str">
        <f t="shared" si="6"/>
        <v/>
      </c>
      <c r="DG9" s="452" t="str">
        <f t="shared" si="6"/>
        <v/>
      </c>
      <c r="DH9" s="453" t="str">
        <f t="shared" si="6"/>
        <v/>
      </c>
      <c r="DI9" s="451" t="str">
        <f t="shared" si="6"/>
        <v/>
      </c>
      <c r="DJ9" s="452" t="str">
        <f t="shared" si="6"/>
        <v/>
      </c>
      <c r="DK9" s="452" t="str">
        <f t="shared" si="6"/>
        <v/>
      </c>
      <c r="DL9" s="452" t="str">
        <f t="shared" si="6"/>
        <v/>
      </c>
      <c r="DM9" s="453" t="str">
        <f t="shared" si="6"/>
        <v/>
      </c>
      <c r="DN9" s="451" t="str">
        <f t="shared" si="13"/>
        <v/>
      </c>
      <c r="DO9" s="452" t="str">
        <f t="shared" si="13"/>
        <v/>
      </c>
      <c r="DP9" s="452" t="str">
        <f t="shared" si="13"/>
        <v/>
      </c>
      <c r="DQ9" s="452" t="str">
        <f t="shared" si="13"/>
        <v/>
      </c>
      <c r="DR9" s="453" t="str">
        <f t="shared" si="13"/>
        <v/>
      </c>
      <c r="DS9" s="451" t="str">
        <f t="shared" si="13"/>
        <v/>
      </c>
      <c r="DT9" s="452" t="str">
        <f t="shared" si="13"/>
        <v/>
      </c>
      <c r="DU9" s="452" t="str">
        <f t="shared" si="13"/>
        <v/>
      </c>
      <c r="DV9" s="452" t="str">
        <f t="shared" si="13"/>
        <v/>
      </c>
      <c r="DW9" s="453" t="str">
        <f t="shared" si="13"/>
        <v/>
      </c>
      <c r="DX9" s="451" t="str">
        <f t="shared" si="13"/>
        <v/>
      </c>
      <c r="DY9" s="452" t="str">
        <f t="shared" si="13"/>
        <v/>
      </c>
      <c r="DZ9" s="452" t="str">
        <f t="shared" si="13"/>
        <v/>
      </c>
      <c r="EA9" s="452" t="str">
        <f t="shared" si="13"/>
        <v/>
      </c>
      <c r="EB9" s="453" t="str">
        <f t="shared" si="13"/>
        <v/>
      </c>
      <c r="EC9" s="451" t="str">
        <f t="shared" si="13"/>
        <v/>
      </c>
      <c r="ED9" s="452" t="str">
        <f t="shared" si="13"/>
        <v/>
      </c>
      <c r="EE9" s="452" t="str">
        <f t="shared" si="13"/>
        <v/>
      </c>
      <c r="EF9" s="452" t="str">
        <f t="shared" si="13"/>
        <v/>
      </c>
      <c r="EG9" s="453" t="str">
        <f t="shared" si="13"/>
        <v/>
      </c>
      <c r="EH9" s="451" t="str">
        <f t="shared" si="13"/>
        <v/>
      </c>
      <c r="EI9" s="452" t="str">
        <f t="shared" si="13"/>
        <v/>
      </c>
      <c r="EJ9" s="452" t="str">
        <f t="shared" si="13"/>
        <v/>
      </c>
      <c r="EK9" s="452" t="str">
        <f t="shared" si="13"/>
        <v/>
      </c>
      <c r="EL9" s="453" t="str">
        <f t="shared" si="13"/>
        <v/>
      </c>
      <c r="EM9" s="451" t="str">
        <f t="shared" si="13"/>
        <v/>
      </c>
      <c r="EN9" s="452" t="str">
        <f t="shared" si="13"/>
        <v/>
      </c>
      <c r="EO9" s="452" t="str">
        <f t="shared" si="13"/>
        <v/>
      </c>
      <c r="EP9" s="452" t="str">
        <f t="shared" si="13"/>
        <v/>
      </c>
      <c r="EQ9" s="453" t="str">
        <f t="shared" si="13"/>
        <v/>
      </c>
      <c r="ER9" s="451" t="str">
        <f t="shared" si="13"/>
        <v/>
      </c>
      <c r="ES9" s="452" t="str">
        <f t="shared" si="13"/>
        <v/>
      </c>
      <c r="ET9" s="452" t="str">
        <f t="shared" si="13"/>
        <v/>
      </c>
      <c r="EU9" s="452" t="str">
        <f t="shared" si="13"/>
        <v/>
      </c>
      <c r="EV9" s="453" t="str">
        <f t="shared" si="13"/>
        <v/>
      </c>
      <c r="EW9" s="451" t="str">
        <f t="shared" si="13"/>
        <v/>
      </c>
      <c r="EX9" s="452" t="str">
        <f t="shared" si="13"/>
        <v/>
      </c>
      <c r="EY9" s="452" t="str">
        <f t="shared" si="13"/>
        <v/>
      </c>
      <c r="EZ9" s="452" t="str">
        <f t="shared" si="13"/>
        <v/>
      </c>
      <c r="FA9" s="453" t="str">
        <f t="shared" si="13"/>
        <v/>
      </c>
      <c r="FB9" s="451" t="str">
        <f t="shared" si="13"/>
        <v/>
      </c>
      <c r="FC9" s="452" t="str">
        <f t="shared" si="13"/>
        <v/>
      </c>
      <c r="FD9" s="452" t="str">
        <f t="shared" si="13"/>
        <v/>
      </c>
      <c r="FE9" s="452" t="str">
        <f t="shared" si="13"/>
        <v/>
      </c>
      <c r="FF9" s="453" t="str">
        <f t="shared" si="13"/>
        <v/>
      </c>
      <c r="FG9" s="451" t="str">
        <f t="shared" si="13"/>
        <v/>
      </c>
      <c r="FH9" s="452" t="str">
        <f t="shared" si="13"/>
        <v/>
      </c>
      <c r="FI9" s="452" t="str">
        <f t="shared" si="13"/>
        <v/>
      </c>
      <c r="FJ9" s="452" t="str">
        <f t="shared" si="13"/>
        <v/>
      </c>
      <c r="FK9" s="453" t="str">
        <f t="shared" si="13"/>
        <v/>
      </c>
      <c r="FL9" s="451" t="str">
        <f t="shared" si="13"/>
        <v/>
      </c>
      <c r="FM9" s="452" t="str">
        <f t="shared" si="13"/>
        <v/>
      </c>
      <c r="FN9" s="452" t="str">
        <f t="shared" si="13"/>
        <v/>
      </c>
      <c r="FO9" s="452" t="str">
        <f t="shared" si="13"/>
        <v/>
      </c>
      <c r="FP9" s="453" t="str">
        <f t="shared" si="13"/>
        <v/>
      </c>
      <c r="FQ9" s="451" t="str">
        <f t="shared" si="13"/>
        <v/>
      </c>
      <c r="FR9" s="452" t="str">
        <f t="shared" si="13"/>
        <v/>
      </c>
      <c r="FS9" s="452" t="str">
        <f t="shared" si="13"/>
        <v/>
      </c>
      <c r="FT9" s="452" t="str">
        <f t="shared" si="13"/>
        <v/>
      </c>
      <c r="FU9" s="453" t="str">
        <f t="shared" si="13"/>
        <v/>
      </c>
      <c r="FV9" s="451" t="str">
        <f t="shared" si="13"/>
        <v/>
      </c>
      <c r="FW9" s="452" t="str">
        <f t="shared" si="13"/>
        <v/>
      </c>
      <c r="FX9" s="452" t="str">
        <f t="shared" si="13"/>
        <v/>
      </c>
      <c r="FY9" s="452" t="str">
        <f t="shared" si="13"/>
        <v/>
      </c>
      <c r="FZ9" s="453" t="str">
        <f t="shared" si="12"/>
        <v/>
      </c>
      <c r="GA9" s="451" t="str">
        <f t="shared" si="12"/>
        <v/>
      </c>
      <c r="GB9" s="452" t="str">
        <f t="shared" si="12"/>
        <v/>
      </c>
      <c r="GC9" s="452" t="str">
        <f t="shared" si="12"/>
        <v/>
      </c>
      <c r="GD9" s="452" t="str">
        <f t="shared" si="12"/>
        <v/>
      </c>
      <c r="GE9" s="453" t="str">
        <f t="shared" si="12"/>
        <v/>
      </c>
      <c r="GF9" s="451" t="str">
        <f t="shared" si="12"/>
        <v/>
      </c>
      <c r="GG9" s="452" t="str">
        <f t="shared" si="12"/>
        <v/>
      </c>
      <c r="GH9" s="452" t="str">
        <f t="shared" si="12"/>
        <v/>
      </c>
      <c r="GI9" s="452" t="str">
        <f t="shared" si="12"/>
        <v/>
      </c>
      <c r="GJ9" s="453" t="str">
        <f t="shared" si="12"/>
        <v/>
      </c>
      <c r="GK9" s="451" t="str">
        <f t="shared" si="12"/>
        <v/>
      </c>
      <c r="GL9" s="452" t="str">
        <f t="shared" si="12"/>
        <v/>
      </c>
      <c r="GM9" s="452" t="str">
        <f t="shared" si="12"/>
        <v/>
      </c>
      <c r="GN9" s="452" t="str">
        <f t="shared" si="12"/>
        <v/>
      </c>
      <c r="GO9" s="453" t="str">
        <f t="shared" si="12"/>
        <v/>
      </c>
      <c r="GP9" s="451" t="str">
        <f t="shared" si="14"/>
        <v/>
      </c>
      <c r="GQ9" s="452" t="str">
        <f t="shared" si="14"/>
        <v/>
      </c>
      <c r="GR9" s="452" t="str">
        <f t="shared" si="14"/>
        <v/>
      </c>
      <c r="GS9" s="452" t="str">
        <f t="shared" si="14"/>
        <v/>
      </c>
      <c r="GT9" s="453" t="str">
        <f t="shared" si="14"/>
        <v/>
      </c>
      <c r="GU9" s="451" t="str">
        <f t="shared" si="14"/>
        <v/>
      </c>
      <c r="GV9" s="452" t="str">
        <f t="shared" si="14"/>
        <v/>
      </c>
      <c r="GW9" s="452" t="str">
        <f t="shared" si="14"/>
        <v/>
      </c>
      <c r="GX9" s="452" t="str">
        <f t="shared" si="14"/>
        <v/>
      </c>
      <c r="GY9" s="453" t="str">
        <f t="shared" si="14"/>
        <v/>
      </c>
      <c r="GZ9" s="451" t="str">
        <f t="shared" si="14"/>
        <v/>
      </c>
      <c r="HA9" s="452" t="str">
        <f t="shared" si="14"/>
        <v/>
      </c>
      <c r="HB9" s="452" t="str">
        <f t="shared" si="14"/>
        <v/>
      </c>
      <c r="HC9" s="452" t="str">
        <f t="shared" si="14"/>
        <v/>
      </c>
      <c r="HD9" s="453" t="str">
        <f t="shared" si="14"/>
        <v/>
      </c>
      <c r="HE9" s="451" t="str">
        <f t="shared" si="15"/>
        <v/>
      </c>
      <c r="HF9" s="452" t="str">
        <f t="shared" si="15"/>
        <v/>
      </c>
      <c r="HG9" s="452" t="str">
        <f t="shared" si="15"/>
        <v/>
      </c>
      <c r="HH9" s="452" t="str">
        <f t="shared" si="15"/>
        <v/>
      </c>
      <c r="HI9" s="453" t="str">
        <f t="shared" si="15"/>
        <v/>
      </c>
      <c r="HJ9" s="451" t="str">
        <f t="shared" si="15"/>
        <v/>
      </c>
      <c r="HK9" s="452" t="str">
        <f t="shared" si="15"/>
        <v/>
      </c>
      <c r="HL9" s="452" t="str">
        <f t="shared" si="15"/>
        <v/>
      </c>
      <c r="HM9" s="452" t="str">
        <f t="shared" si="15"/>
        <v/>
      </c>
      <c r="HN9" s="453" t="str">
        <f t="shared" si="15"/>
        <v/>
      </c>
      <c r="HO9" s="451" t="str">
        <f t="shared" si="15"/>
        <v/>
      </c>
      <c r="HP9" s="452" t="str">
        <f t="shared" si="15"/>
        <v/>
      </c>
      <c r="HQ9" s="452" t="str">
        <f t="shared" si="15"/>
        <v/>
      </c>
      <c r="HR9" s="452" t="str">
        <f t="shared" si="15"/>
        <v/>
      </c>
      <c r="HS9" s="453" t="str">
        <f t="shared" si="15"/>
        <v/>
      </c>
      <c r="HT9" s="451" t="str">
        <f t="shared" si="15"/>
        <v/>
      </c>
      <c r="HU9" s="452" t="str">
        <f t="shared" si="16"/>
        <v/>
      </c>
      <c r="HV9" s="452" t="str">
        <f t="shared" si="16"/>
        <v/>
      </c>
      <c r="HW9" s="452" t="str">
        <f t="shared" si="16"/>
        <v/>
      </c>
      <c r="HX9" s="453" t="str">
        <f t="shared" si="16"/>
        <v/>
      </c>
      <c r="HY9" s="451" t="str">
        <f t="shared" si="16"/>
        <v/>
      </c>
      <c r="HZ9" s="452" t="str">
        <f t="shared" si="16"/>
        <v/>
      </c>
      <c r="IA9" s="452" t="str">
        <f t="shared" si="16"/>
        <v/>
      </c>
      <c r="IB9" s="452" t="str">
        <f t="shared" si="16"/>
        <v/>
      </c>
      <c r="IC9" s="453" t="str">
        <f t="shared" si="16"/>
        <v/>
      </c>
      <c r="ID9" s="451" t="str">
        <f t="shared" si="16"/>
        <v/>
      </c>
      <c r="IE9" s="452" t="str">
        <f t="shared" si="16"/>
        <v/>
      </c>
      <c r="IF9" s="452" t="str">
        <f t="shared" si="16"/>
        <v/>
      </c>
      <c r="IG9" s="452" t="str">
        <f t="shared" si="16"/>
        <v/>
      </c>
      <c r="IH9" s="453" t="str">
        <f t="shared" si="16"/>
        <v/>
      </c>
      <c r="II9" s="451" t="str">
        <f t="shared" si="16"/>
        <v/>
      </c>
      <c r="IJ9" s="452" t="str">
        <f t="shared" si="16"/>
        <v/>
      </c>
      <c r="IK9" s="452" t="str">
        <f t="shared" si="17"/>
        <v/>
      </c>
      <c r="IL9" s="452" t="str">
        <f t="shared" si="17"/>
        <v/>
      </c>
      <c r="IM9" s="453" t="str">
        <f t="shared" si="17"/>
        <v/>
      </c>
      <c r="IN9" s="451" t="str">
        <f t="shared" si="17"/>
        <v/>
      </c>
      <c r="IO9" s="452" t="str">
        <f t="shared" si="17"/>
        <v/>
      </c>
      <c r="IP9" s="452" t="str">
        <f t="shared" si="17"/>
        <v/>
      </c>
      <c r="IQ9" s="452" t="str">
        <f t="shared" si="17"/>
        <v/>
      </c>
      <c r="IR9" s="453" t="str">
        <f t="shared" si="17"/>
        <v/>
      </c>
    </row>
    <row r="10" spans="1:253" x14ac:dyDescent="0.2">
      <c r="A10" s="446">
        <v>1.6</v>
      </c>
      <c r="C10" s="447" t="s">
        <v>1356</v>
      </c>
      <c r="D10" s="447"/>
      <c r="E10" s="448"/>
      <c r="F10" s="448"/>
      <c r="G10" s="448"/>
      <c r="H10" s="448"/>
      <c r="I10" s="448"/>
      <c r="J10" s="449" t="str">
        <f t="shared" si="10"/>
        <v/>
      </c>
      <c r="K10" s="449" t="str">
        <f t="shared" si="11"/>
        <v/>
      </c>
      <c r="L10" s="450">
        <f t="shared" si="0"/>
        <v>0</v>
      </c>
      <c r="M10" s="451" t="str">
        <f t="shared" si="1"/>
        <v/>
      </c>
      <c r="N10" s="452" t="str">
        <f t="shared" si="1"/>
        <v/>
      </c>
      <c r="O10" s="452" t="str">
        <f t="shared" si="1"/>
        <v/>
      </c>
      <c r="P10" s="452" t="str">
        <f t="shared" si="1"/>
        <v/>
      </c>
      <c r="Q10" s="453" t="str">
        <f t="shared" si="1"/>
        <v/>
      </c>
      <c r="R10" s="451" t="str">
        <f t="shared" si="1"/>
        <v/>
      </c>
      <c r="S10" s="452" t="str">
        <f t="shared" si="1"/>
        <v/>
      </c>
      <c r="T10" s="452" t="str">
        <f t="shared" si="1"/>
        <v/>
      </c>
      <c r="U10" s="452" t="str">
        <f t="shared" si="1"/>
        <v/>
      </c>
      <c r="V10" s="453" t="str">
        <f t="shared" si="1"/>
        <v/>
      </c>
      <c r="W10" s="451" t="str">
        <f t="shared" si="1"/>
        <v/>
      </c>
      <c r="X10" s="452" t="str">
        <f t="shared" si="1"/>
        <v/>
      </c>
      <c r="Y10" s="452" t="str">
        <f t="shared" si="1"/>
        <v/>
      </c>
      <c r="Z10" s="452" t="str">
        <f t="shared" si="1"/>
        <v/>
      </c>
      <c r="AA10" s="453" t="str">
        <f t="shared" si="1"/>
        <v/>
      </c>
      <c r="AB10" s="451" t="str">
        <f t="shared" si="1"/>
        <v/>
      </c>
      <c r="AC10" s="452" t="str">
        <f t="shared" si="1"/>
        <v/>
      </c>
      <c r="AD10" s="452" t="str">
        <f t="shared" si="1"/>
        <v/>
      </c>
      <c r="AE10" s="452" t="str">
        <f t="shared" si="1"/>
        <v/>
      </c>
      <c r="AF10" s="453" t="str">
        <f t="shared" si="1"/>
        <v/>
      </c>
      <c r="AG10" s="451" t="str">
        <f t="shared" si="1"/>
        <v/>
      </c>
      <c r="AH10" s="452" t="str">
        <f t="shared" si="1"/>
        <v/>
      </c>
      <c r="AI10" s="452" t="str">
        <f t="shared" si="1"/>
        <v/>
      </c>
      <c r="AJ10" s="452" t="str">
        <f t="shared" si="1"/>
        <v/>
      </c>
      <c r="AK10" s="453" t="str">
        <f t="shared" si="1"/>
        <v/>
      </c>
      <c r="AL10" s="451" t="str">
        <f t="shared" si="2"/>
        <v/>
      </c>
      <c r="AM10" s="452" t="str">
        <f t="shared" si="2"/>
        <v/>
      </c>
      <c r="AN10" s="452" t="str">
        <f t="shared" si="2"/>
        <v/>
      </c>
      <c r="AO10" s="452" t="str">
        <f t="shared" si="2"/>
        <v/>
      </c>
      <c r="AP10" s="453" t="str">
        <f t="shared" si="2"/>
        <v/>
      </c>
      <c r="AQ10" s="451" t="str">
        <f t="shared" si="2"/>
        <v/>
      </c>
      <c r="AR10" s="452" t="str">
        <f t="shared" si="2"/>
        <v/>
      </c>
      <c r="AS10" s="452" t="str">
        <f t="shared" si="2"/>
        <v/>
      </c>
      <c r="AT10" s="452" t="str">
        <f t="shared" si="2"/>
        <v/>
      </c>
      <c r="AU10" s="453" t="str">
        <f t="shared" si="2"/>
        <v/>
      </c>
      <c r="AV10" s="451" t="str">
        <f t="shared" si="2"/>
        <v/>
      </c>
      <c r="AW10" s="452" t="str">
        <f t="shared" si="2"/>
        <v/>
      </c>
      <c r="AX10" s="452" t="str">
        <f t="shared" si="2"/>
        <v/>
      </c>
      <c r="AY10" s="452" t="str">
        <f t="shared" si="2"/>
        <v/>
      </c>
      <c r="AZ10" s="453" t="str">
        <f t="shared" si="2"/>
        <v/>
      </c>
      <c r="BA10" s="451" t="str">
        <f t="shared" si="2"/>
        <v/>
      </c>
      <c r="BB10" s="452" t="str">
        <f t="shared" si="3"/>
        <v/>
      </c>
      <c r="BC10" s="452" t="str">
        <f t="shared" si="3"/>
        <v/>
      </c>
      <c r="BD10" s="452" t="str">
        <f t="shared" si="3"/>
        <v/>
      </c>
      <c r="BE10" s="453" t="str">
        <f t="shared" si="3"/>
        <v/>
      </c>
      <c r="BF10" s="451" t="str">
        <f t="shared" si="3"/>
        <v/>
      </c>
      <c r="BG10" s="452" t="str">
        <f t="shared" si="3"/>
        <v/>
      </c>
      <c r="BH10" s="452" t="str">
        <f t="shared" si="3"/>
        <v/>
      </c>
      <c r="BI10" s="452" t="str">
        <f t="shared" si="3"/>
        <v/>
      </c>
      <c r="BJ10" s="453" t="str">
        <f t="shared" si="3"/>
        <v/>
      </c>
      <c r="BK10" s="451" t="str">
        <f t="shared" si="3"/>
        <v/>
      </c>
      <c r="BL10" s="452" t="str">
        <f t="shared" si="3"/>
        <v/>
      </c>
      <c r="BM10" s="452" t="str">
        <f t="shared" si="3"/>
        <v/>
      </c>
      <c r="BN10" s="452" t="str">
        <f t="shared" si="3"/>
        <v/>
      </c>
      <c r="BO10" s="453" t="str">
        <f t="shared" si="3"/>
        <v/>
      </c>
      <c r="BP10" s="451" t="str">
        <f t="shared" si="3"/>
        <v/>
      </c>
      <c r="BQ10" s="452" t="str">
        <f t="shared" si="3"/>
        <v/>
      </c>
      <c r="BR10" s="452" t="str">
        <f t="shared" si="4"/>
        <v/>
      </c>
      <c r="BS10" s="452" t="str">
        <f t="shared" si="4"/>
        <v/>
      </c>
      <c r="BT10" s="453" t="str">
        <f t="shared" si="4"/>
        <v/>
      </c>
      <c r="BU10" s="451" t="str">
        <f t="shared" si="4"/>
        <v/>
      </c>
      <c r="BV10" s="452" t="str">
        <f t="shared" si="4"/>
        <v/>
      </c>
      <c r="BW10" s="452" t="str">
        <f t="shared" si="4"/>
        <v/>
      </c>
      <c r="BX10" s="452" t="str">
        <f t="shared" si="4"/>
        <v/>
      </c>
      <c r="BY10" s="453" t="str">
        <f t="shared" si="4"/>
        <v/>
      </c>
      <c r="BZ10" s="451" t="str">
        <f t="shared" si="4"/>
        <v/>
      </c>
      <c r="CA10" s="452" t="str">
        <f t="shared" si="4"/>
        <v/>
      </c>
      <c r="CB10" s="452" t="str">
        <f t="shared" si="4"/>
        <v/>
      </c>
      <c r="CC10" s="452" t="str">
        <f t="shared" si="4"/>
        <v/>
      </c>
      <c r="CD10" s="453" t="str">
        <f t="shared" si="4"/>
        <v/>
      </c>
      <c r="CE10" s="451" t="str">
        <f t="shared" si="4"/>
        <v/>
      </c>
      <c r="CF10" s="452" t="str">
        <f t="shared" si="4"/>
        <v/>
      </c>
      <c r="CG10" s="452" t="str">
        <f t="shared" si="4"/>
        <v/>
      </c>
      <c r="CH10" s="452" t="str">
        <f t="shared" si="5"/>
        <v/>
      </c>
      <c r="CI10" s="453" t="str">
        <f t="shared" si="5"/>
        <v/>
      </c>
      <c r="CJ10" s="451" t="str">
        <f t="shared" si="5"/>
        <v/>
      </c>
      <c r="CK10" s="452" t="str">
        <f t="shared" si="5"/>
        <v/>
      </c>
      <c r="CL10" s="452" t="str">
        <f t="shared" si="5"/>
        <v/>
      </c>
      <c r="CM10" s="452" t="str">
        <f t="shared" si="5"/>
        <v/>
      </c>
      <c r="CN10" s="453" t="str">
        <f t="shared" si="5"/>
        <v/>
      </c>
      <c r="CO10" s="451" t="str">
        <f t="shared" si="5"/>
        <v/>
      </c>
      <c r="CP10" s="452" t="str">
        <f t="shared" si="5"/>
        <v/>
      </c>
      <c r="CQ10" s="452" t="str">
        <f t="shared" si="5"/>
        <v/>
      </c>
      <c r="CR10" s="452" t="str">
        <f t="shared" si="5"/>
        <v/>
      </c>
      <c r="CS10" s="453" t="str">
        <f t="shared" si="5"/>
        <v/>
      </c>
      <c r="CT10" s="451" t="str">
        <f t="shared" si="5"/>
        <v/>
      </c>
      <c r="CU10" s="452" t="str">
        <f t="shared" si="5"/>
        <v/>
      </c>
      <c r="CV10" s="452" t="str">
        <f t="shared" si="5"/>
        <v/>
      </c>
      <c r="CW10" s="452" t="str">
        <f t="shared" si="5"/>
        <v/>
      </c>
      <c r="CX10" s="453" t="str">
        <f t="shared" si="6"/>
        <v/>
      </c>
      <c r="CY10" s="451" t="str">
        <f t="shared" si="6"/>
        <v/>
      </c>
      <c r="CZ10" s="452" t="str">
        <f t="shared" si="6"/>
        <v/>
      </c>
      <c r="DA10" s="452" t="str">
        <f t="shared" si="6"/>
        <v/>
      </c>
      <c r="DB10" s="452" t="str">
        <f t="shared" si="6"/>
        <v/>
      </c>
      <c r="DC10" s="453" t="str">
        <f t="shared" si="6"/>
        <v/>
      </c>
      <c r="DD10" s="451" t="str">
        <f t="shared" si="6"/>
        <v/>
      </c>
      <c r="DE10" s="452" t="str">
        <f t="shared" si="6"/>
        <v/>
      </c>
      <c r="DF10" s="452" t="str">
        <f t="shared" si="6"/>
        <v/>
      </c>
      <c r="DG10" s="452" t="str">
        <f t="shared" si="6"/>
        <v/>
      </c>
      <c r="DH10" s="453" t="str">
        <f t="shared" si="6"/>
        <v/>
      </c>
      <c r="DI10" s="451" t="str">
        <f t="shared" si="6"/>
        <v/>
      </c>
      <c r="DJ10" s="452" t="str">
        <f t="shared" si="6"/>
        <v/>
      </c>
      <c r="DK10" s="452" t="str">
        <f t="shared" si="6"/>
        <v/>
      </c>
      <c r="DL10" s="452" t="str">
        <f t="shared" si="6"/>
        <v/>
      </c>
      <c r="DM10" s="453" t="str">
        <f t="shared" si="6"/>
        <v/>
      </c>
      <c r="DN10" s="451" t="str">
        <f t="shared" si="13"/>
        <v/>
      </c>
      <c r="DO10" s="452" t="str">
        <f t="shared" si="13"/>
        <v/>
      </c>
      <c r="DP10" s="452" t="str">
        <f t="shared" si="13"/>
        <v/>
      </c>
      <c r="DQ10" s="452" t="str">
        <f t="shared" si="13"/>
        <v/>
      </c>
      <c r="DR10" s="453" t="str">
        <f t="shared" si="13"/>
        <v/>
      </c>
      <c r="DS10" s="451" t="str">
        <f t="shared" si="13"/>
        <v/>
      </c>
      <c r="DT10" s="452" t="str">
        <f t="shared" si="13"/>
        <v/>
      </c>
      <c r="DU10" s="452" t="str">
        <f t="shared" si="13"/>
        <v/>
      </c>
      <c r="DV10" s="452" t="str">
        <f t="shared" si="13"/>
        <v/>
      </c>
      <c r="DW10" s="453" t="str">
        <f t="shared" si="13"/>
        <v/>
      </c>
      <c r="DX10" s="451" t="str">
        <f t="shared" si="13"/>
        <v/>
      </c>
      <c r="DY10" s="452" t="str">
        <f t="shared" si="13"/>
        <v/>
      </c>
      <c r="DZ10" s="452" t="str">
        <f t="shared" si="13"/>
        <v/>
      </c>
      <c r="EA10" s="452" t="str">
        <f t="shared" si="13"/>
        <v/>
      </c>
      <c r="EB10" s="453" t="str">
        <f t="shared" si="13"/>
        <v/>
      </c>
      <c r="EC10" s="451" t="str">
        <f t="shared" si="13"/>
        <v/>
      </c>
      <c r="ED10" s="452" t="str">
        <f t="shared" si="13"/>
        <v/>
      </c>
      <c r="EE10" s="452" t="str">
        <f t="shared" si="13"/>
        <v/>
      </c>
      <c r="EF10" s="452" t="str">
        <f t="shared" si="13"/>
        <v/>
      </c>
      <c r="EG10" s="453" t="str">
        <f t="shared" si="13"/>
        <v/>
      </c>
      <c r="EH10" s="451" t="str">
        <f t="shared" si="13"/>
        <v/>
      </c>
      <c r="EI10" s="452" t="str">
        <f t="shared" si="13"/>
        <v/>
      </c>
      <c r="EJ10" s="452" t="str">
        <f t="shared" si="13"/>
        <v/>
      </c>
      <c r="EK10" s="452" t="str">
        <f t="shared" si="13"/>
        <v/>
      </c>
      <c r="EL10" s="453" t="str">
        <f t="shared" si="13"/>
        <v/>
      </c>
      <c r="EM10" s="451" t="str">
        <f t="shared" si="13"/>
        <v/>
      </c>
      <c r="EN10" s="452" t="str">
        <f t="shared" si="13"/>
        <v/>
      </c>
      <c r="EO10" s="452" t="str">
        <f t="shared" si="13"/>
        <v/>
      </c>
      <c r="EP10" s="452" t="str">
        <f t="shared" si="13"/>
        <v/>
      </c>
      <c r="EQ10" s="453" t="str">
        <f t="shared" si="13"/>
        <v/>
      </c>
      <c r="ER10" s="451" t="str">
        <f t="shared" si="13"/>
        <v/>
      </c>
      <c r="ES10" s="452" t="str">
        <f t="shared" si="13"/>
        <v/>
      </c>
      <c r="ET10" s="452" t="str">
        <f t="shared" si="13"/>
        <v/>
      </c>
      <c r="EU10" s="452" t="str">
        <f t="shared" si="13"/>
        <v/>
      </c>
      <c r="EV10" s="453" t="str">
        <f t="shared" si="13"/>
        <v/>
      </c>
      <c r="EW10" s="451" t="str">
        <f t="shared" si="13"/>
        <v/>
      </c>
      <c r="EX10" s="452" t="str">
        <f t="shared" si="13"/>
        <v/>
      </c>
      <c r="EY10" s="452" t="str">
        <f t="shared" si="13"/>
        <v/>
      </c>
      <c r="EZ10" s="452" t="str">
        <f t="shared" si="13"/>
        <v/>
      </c>
      <c r="FA10" s="453" t="str">
        <f t="shared" si="13"/>
        <v/>
      </c>
      <c r="FB10" s="451" t="str">
        <f t="shared" si="13"/>
        <v/>
      </c>
      <c r="FC10" s="452" t="str">
        <f t="shared" si="13"/>
        <v/>
      </c>
      <c r="FD10" s="452" t="str">
        <f t="shared" si="13"/>
        <v/>
      </c>
      <c r="FE10" s="452" t="str">
        <f t="shared" si="13"/>
        <v/>
      </c>
      <c r="FF10" s="453" t="str">
        <f t="shared" si="13"/>
        <v/>
      </c>
      <c r="FG10" s="451" t="str">
        <f t="shared" si="13"/>
        <v/>
      </c>
      <c r="FH10" s="452" t="str">
        <f t="shared" si="13"/>
        <v/>
      </c>
      <c r="FI10" s="452" t="str">
        <f t="shared" si="13"/>
        <v/>
      </c>
      <c r="FJ10" s="452" t="str">
        <f t="shared" si="13"/>
        <v/>
      </c>
      <c r="FK10" s="453" t="str">
        <f t="shared" si="13"/>
        <v/>
      </c>
      <c r="FL10" s="451" t="str">
        <f t="shared" si="13"/>
        <v/>
      </c>
      <c r="FM10" s="452" t="str">
        <f t="shared" si="13"/>
        <v/>
      </c>
      <c r="FN10" s="452" t="str">
        <f t="shared" si="13"/>
        <v/>
      </c>
      <c r="FO10" s="452" t="str">
        <f t="shared" si="13"/>
        <v/>
      </c>
      <c r="FP10" s="453" t="str">
        <f t="shared" si="13"/>
        <v/>
      </c>
      <c r="FQ10" s="451" t="str">
        <f t="shared" si="13"/>
        <v/>
      </c>
      <c r="FR10" s="452" t="str">
        <f t="shared" si="13"/>
        <v/>
      </c>
      <c r="FS10" s="452" t="str">
        <f t="shared" si="13"/>
        <v/>
      </c>
      <c r="FT10" s="452" t="str">
        <f t="shared" si="13"/>
        <v/>
      </c>
      <c r="FU10" s="453" t="str">
        <f t="shared" si="13"/>
        <v/>
      </c>
      <c r="FV10" s="451" t="str">
        <f t="shared" si="13"/>
        <v/>
      </c>
      <c r="FW10" s="452" t="str">
        <f t="shared" si="13"/>
        <v/>
      </c>
      <c r="FX10" s="452" t="str">
        <f t="shared" si="13"/>
        <v/>
      </c>
      <c r="FY10" s="452" t="str">
        <f t="shared" si="13"/>
        <v/>
      </c>
      <c r="FZ10" s="453" t="str">
        <f t="shared" si="12"/>
        <v/>
      </c>
      <c r="GA10" s="451" t="str">
        <f t="shared" si="12"/>
        <v/>
      </c>
      <c r="GB10" s="452" t="str">
        <f t="shared" si="12"/>
        <v/>
      </c>
      <c r="GC10" s="452" t="str">
        <f t="shared" si="12"/>
        <v/>
      </c>
      <c r="GD10" s="452" t="str">
        <f t="shared" si="12"/>
        <v/>
      </c>
      <c r="GE10" s="453" t="str">
        <f t="shared" si="12"/>
        <v/>
      </c>
      <c r="GF10" s="451" t="str">
        <f t="shared" si="12"/>
        <v/>
      </c>
      <c r="GG10" s="452" t="str">
        <f t="shared" si="12"/>
        <v/>
      </c>
      <c r="GH10" s="452" t="str">
        <f t="shared" si="12"/>
        <v/>
      </c>
      <c r="GI10" s="452" t="str">
        <f t="shared" si="12"/>
        <v/>
      </c>
      <c r="GJ10" s="453" t="str">
        <f t="shared" si="12"/>
        <v/>
      </c>
      <c r="GK10" s="451" t="str">
        <f t="shared" si="12"/>
        <v/>
      </c>
      <c r="GL10" s="452" t="str">
        <f t="shared" si="12"/>
        <v/>
      </c>
      <c r="GM10" s="452" t="str">
        <f t="shared" si="12"/>
        <v/>
      </c>
      <c r="GN10" s="452" t="str">
        <f t="shared" si="12"/>
        <v/>
      </c>
      <c r="GO10" s="453" t="str">
        <f t="shared" si="12"/>
        <v/>
      </c>
      <c r="GP10" s="451" t="str">
        <f t="shared" si="14"/>
        <v/>
      </c>
      <c r="GQ10" s="452" t="str">
        <f t="shared" si="14"/>
        <v/>
      </c>
      <c r="GR10" s="452" t="str">
        <f t="shared" si="14"/>
        <v/>
      </c>
      <c r="GS10" s="452" t="str">
        <f t="shared" si="14"/>
        <v/>
      </c>
      <c r="GT10" s="453" t="str">
        <f t="shared" si="14"/>
        <v/>
      </c>
      <c r="GU10" s="451" t="str">
        <f t="shared" si="14"/>
        <v/>
      </c>
      <c r="GV10" s="452" t="str">
        <f t="shared" si="14"/>
        <v/>
      </c>
      <c r="GW10" s="452" t="str">
        <f t="shared" si="14"/>
        <v/>
      </c>
      <c r="GX10" s="452" t="str">
        <f t="shared" si="14"/>
        <v/>
      </c>
      <c r="GY10" s="453" t="str">
        <f t="shared" si="14"/>
        <v/>
      </c>
      <c r="GZ10" s="451" t="str">
        <f t="shared" si="14"/>
        <v/>
      </c>
      <c r="HA10" s="452" t="str">
        <f t="shared" si="14"/>
        <v/>
      </c>
      <c r="HB10" s="452" t="str">
        <f t="shared" si="14"/>
        <v/>
      </c>
      <c r="HC10" s="452" t="str">
        <f t="shared" si="14"/>
        <v/>
      </c>
      <c r="HD10" s="453" t="str">
        <f t="shared" si="14"/>
        <v/>
      </c>
      <c r="HE10" s="451" t="str">
        <f t="shared" si="15"/>
        <v/>
      </c>
      <c r="HF10" s="452" t="str">
        <f t="shared" si="15"/>
        <v/>
      </c>
      <c r="HG10" s="452" t="str">
        <f t="shared" si="15"/>
        <v/>
      </c>
      <c r="HH10" s="452" t="str">
        <f t="shared" si="15"/>
        <v/>
      </c>
      <c r="HI10" s="453" t="str">
        <f t="shared" si="15"/>
        <v/>
      </c>
      <c r="HJ10" s="451" t="str">
        <f t="shared" si="15"/>
        <v/>
      </c>
      <c r="HK10" s="452" t="str">
        <f t="shared" si="15"/>
        <v/>
      </c>
      <c r="HL10" s="452" t="str">
        <f t="shared" si="15"/>
        <v/>
      </c>
      <c r="HM10" s="452" t="str">
        <f t="shared" si="15"/>
        <v/>
      </c>
      <c r="HN10" s="453" t="str">
        <f t="shared" si="15"/>
        <v/>
      </c>
      <c r="HO10" s="451" t="str">
        <f t="shared" si="15"/>
        <v/>
      </c>
      <c r="HP10" s="452" t="str">
        <f t="shared" si="15"/>
        <v/>
      </c>
      <c r="HQ10" s="452" t="str">
        <f t="shared" si="15"/>
        <v/>
      </c>
      <c r="HR10" s="452" t="str">
        <f t="shared" si="15"/>
        <v/>
      </c>
      <c r="HS10" s="453" t="str">
        <f t="shared" si="15"/>
        <v/>
      </c>
      <c r="HT10" s="451" t="str">
        <f t="shared" si="15"/>
        <v/>
      </c>
      <c r="HU10" s="452" t="str">
        <f t="shared" si="16"/>
        <v/>
      </c>
      <c r="HV10" s="452" t="str">
        <f t="shared" si="16"/>
        <v/>
      </c>
      <c r="HW10" s="452" t="str">
        <f t="shared" si="16"/>
        <v/>
      </c>
      <c r="HX10" s="453" t="str">
        <f t="shared" si="16"/>
        <v/>
      </c>
      <c r="HY10" s="451" t="str">
        <f t="shared" si="16"/>
        <v/>
      </c>
      <c r="HZ10" s="452" t="str">
        <f t="shared" si="16"/>
        <v/>
      </c>
      <c r="IA10" s="452" t="str">
        <f t="shared" si="16"/>
        <v/>
      </c>
      <c r="IB10" s="452" t="str">
        <f t="shared" si="16"/>
        <v/>
      </c>
      <c r="IC10" s="453" t="str">
        <f t="shared" si="16"/>
        <v/>
      </c>
      <c r="ID10" s="451" t="str">
        <f t="shared" si="16"/>
        <v/>
      </c>
      <c r="IE10" s="452" t="str">
        <f t="shared" si="16"/>
        <v/>
      </c>
      <c r="IF10" s="452" t="str">
        <f t="shared" si="16"/>
        <v/>
      </c>
      <c r="IG10" s="452" t="str">
        <f t="shared" si="16"/>
        <v/>
      </c>
      <c r="IH10" s="453" t="str">
        <f t="shared" si="16"/>
        <v/>
      </c>
      <c r="II10" s="451" t="str">
        <f t="shared" si="16"/>
        <v/>
      </c>
      <c r="IJ10" s="452" t="str">
        <f t="shared" si="16"/>
        <v/>
      </c>
      <c r="IK10" s="452" t="str">
        <f t="shared" si="17"/>
        <v/>
      </c>
      <c r="IL10" s="452" t="str">
        <f t="shared" si="17"/>
        <v/>
      </c>
      <c r="IM10" s="453" t="str">
        <f t="shared" si="17"/>
        <v/>
      </c>
      <c r="IN10" s="451" t="str">
        <f t="shared" si="17"/>
        <v/>
      </c>
      <c r="IO10" s="452" t="str">
        <f t="shared" si="17"/>
        <v/>
      </c>
      <c r="IP10" s="452" t="str">
        <f t="shared" si="17"/>
        <v/>
      </c>
      <c r="IQ10" s="452" t="str">
        <f t="shared" si="17"/>
        <v/>
      </c>
      <c r="IR10" s="453" t="str">
        <f t="shared" si="17"/>
        <v/>
      </c>
    </row>
    <row r="11" spans="1:253" x14ac:dyDescent="0.2">
      <c r="A11" s="446">
        <v>1.7</v>
      </c>
      <c r="C11" s="447" t="s">
        <v>1357</v>
      </c>
      <c r="D11" s="447"/>
      <c r="E11" s="448"/>
      <c r="F11" s="448"/>
      <c r="G11" s="448"/>
      <c r="H11" s="448"/>
      <c r="I11" s="448"/>
      <c r="J11" s="449" t="str">
        <f t="shared" si="10"/>
        <v/>
      </c>
      <c r="K11" s="449" t="str">
        <f t="shared" si="11"/>
        <v/>
      </c>
      <c r="L11" s="450">
        <f t="shared" si="0"/>
        <v>0</v>
      </c>
      <c r="M11" s="451" t="str">
        <f t="shared" si="1"/>
        <v/>
      </c>
      <c r="N11" s="452" t="str">
        <f t="shared" si="1"/>
        <v/>
      </c>
      <c r="O11" s="452" t="str">
        <f t="shared" si="1"/>
        <v/>
      </c>
      <c r="P11" s="452" t="str">
        <f t="shared" si="1"/>
        <v/>
      </c>
      <c r="Q11" s="453" t="str">
        <f t="shared" si="1"/>
        <v/>
      </c>
      <c r="R11" s="451" t="str">
        <f t="shared" si="1"/>
        <v/>
      </c>
      <c r="S11" s="452" t="str">
        <f t="shared" si="1"/>
        <v/>
      </c>
      <c r="T11" s="452" t="str">
        <f t="shared" si="1"/>
        <v/>
      </c>
      <c r="U11" s="452" t="str">
        <f t="shared" si="1"/>
        <v/>
      </c>
      <c r="V11" s="453" t="str">
        <f t="shared" si="1"/>
        <v/>
      </c>
      <c r="W11" s="451" t="str">
        <f t="shared" si="1"/>
        <v/>
      </c>
      <c r="X11" s="452" t="str">
        <f t="shared" si="1"/>
        <v/>
      </c>
      <c r="Y11" s="452" t="str">
        <f t="shared" si="1"/>
        <v/>
      </c>
      <c r="Z11" s="452" t="str">
        <f t="shared" si="1"/>
        <v/>
      </c>
      <c r="AA11" s="453" t="str">
        <f t="shared" si="1"/>
        <v/>
      </c>
      <c r="AB11" s="451" t="str">
        <f t="shared" si="1"/>
        <v/>
      </c>
      <c r="AC11" s="452" t="str">
        <f t="shared" si="1"/>
        <v/>
      </c>
      <c r="AD11" s="452" t="str">
        <f t="shared" si="1"/>
        <v/>
      </c>
      <c r="AE11" s="452" t="str">
        <f t="shared" si="1"/>
        <v/>
      </c>
      <c r="AF11" s="453" t="str">
        <f t="shared" si="1"/>
        <v/>
      </c>
      <c r="AG11" s="451" t="str">
        <f t="shared" si="1"/>
        <v/>
      </c>
      <c r="AH11" s="452" t="str">
        <f t="shared" si="1"/>
        <v/>
      </c>
      <c r="AI11" s="452" t="str">
        <f t="shared" si="1"/>
        <v/>
      </c>
      <c r="AJ11" s="452" t="str">
        <f t="shared" si="1"/>
        <v/>
      </c>
      <c r="AK11" s="453" t="str">
        <f t="shared" si="1"/>
        <v/>
      </c>
      <c r="AL11" s="451" t="str">
        <f t="shared" si="2"/>
        <v/>
      </c>
      <c r="AM11" s="452" t="str">
        <f t="shared" si="2"/>
        <v/>
      </c>
      <c r="AN11" s="452" t="str">
        <f t="shared" si="2"/>
        <v/>
      </c>
      <c r="AO11" s="452" t="str">
        <f t="shared" si="2"/>
        <v/>
      </c>
      <c r="AP11" s="453" t="str">
        <f t="shared" si="2"/>
        <v/>
      </c>
      <c r="AQ11" s="451" t="str">
        <f t="shared" si="2"/>
        <v/>
      </c>
      <c r="AR11" s="452" t="str">
        <f t="shared" si="2"/>
        <v/>
      </c>
      <c r="AS11" s="452" t="str">
        <f t="shared" si="2"/>
        <v/>
      </c>
      <c r="AT11" s="452" t="str">
        <f t="shared" si="2"/>
        <v/>
      </c>
      <c r="AU11" s="453" t="str">
        <f t="shared" si="2"/>
        <v/>
      </c>
      <c r="AV11" s="451" t="str">
        <f t="shared" si="2"/>
        <v/>
      </c>
      <c r="AW11" s="452" t="str">
        <f t="shared" si="2"/>
        <v/>
      </c>
      <c r="AX11" s="452" t="str">
        <f t="shared" si="2"/>
        <v/>
      </c>
      <c r="AY11" s="452" t="str">
        <f t="shared" si="2"/>
        <v/>
      </c>
      <c r="AZ11" s="453" t="str">
        <f t="shared" si="2"/>
        <v/>
      </c>
      <c r="BA11" s="451" t="str">
        <f t="shared" si="2"/>
        <v/>
      </c>
      <c r="BB11" s="452" t="str">
        <f t="shared" si="3"/>
        <v/>
      </c>
      <c r="BC11" s="452" t="str">
        <f t="shared" si="3"/>
        <v/>
      </c>
      <c r="BD11" s="452" t="str">
        <f t="shared" si="3"/>
        <v/>
      </c>
      <c r="BE11" s="453" t="str">
        <f t="shared" si="3"/>
        <v/>
      </c>
      <c r="BF11" s="451" t="str">
        <f t="shared" si="3"/>
        <v/>
      </c>
      <c r="BG11" s="452" t="str">
        <f t="shared" si="3"/>
        <v/>
      </c>
      <c r="BH11" s="452" t="str">
        <f t="shared" si="3"/>
        <v/>
      </c>
      <c r="BI11" s="452" t="str">
        <f t="shared" si="3"/>
        <v/>
      </c>
      <c r="BJ11" s="453" t="str">
        <f t="shared" si="3"/>
        <v/>
      </c>
      <c r="BK11" s="451" t="str">
        <f t="shared" si="3"/>
        <v/>
      </c>
      <c r="BL11" s="452" t="str">
        <f t="shared" si="3"/>
        <v/>
      </c>
      <c r="BM11" s="452" t="str">
        <f t="shared" si="3"/>
        <v/>
      </c>
      <c r="BN11" s="452" t="str">
        <f t="shared" si="3"/>
        <v/>
      </c>
      <c r="BO11" s="453" t="str">
        <f t="shared" si="3"/>
        <v/>
      </c>
      <c r="BP11" s="451" t="str">
        <f t="shared" si="3"/>
        <v/>
      </c>
      <c r="BQ11" s="452" t="str">
        <f t="shared" si="3"/>
        <v/>
      </c>
      <c r="BR11" s="452" t="str">
        <f t="shared" si="4"/>
        <v/>
      </c>
      <c r="BS11" s="452" t="str">
        <f t="shared" si="4"/>
        <v/>
      </c>
      <c r="BT11" s="453" t="str">
        <f t="shared" si="4"/>
        <v/>
      </c>
      <c r="BU11" s="451" t="str">
        <f t="shared" si="4"/>
        <v/>
      </c>
      <c r="BV11" s="452" t="str">
        <f t="shared" si="4"/>
        <v/>
      </c>
      <c r="BW11" s="452" t="str">
        <f t="shared" si="4"/>
        <v/>
      </c>
      <c r="BX11" s="452" t="str">
        <f t="shared" si="4"/>
        <v/>
      </c>
      <c r="BY11" s="453" t="str">
        <f t="shared" si="4"/>
        <v/>
      </c>
      <c r="BZ11" s="451" t="str">
        <f t="shared" si="4"/>
        <v/>
      </c>
      <c r="CA11" s="452" t="str">
        <f t="shared" si="4"/>
        <v/>
      </c>
      <c r="CB11" s="452" t="str">
        <f t="shared" si="4"/>
        <v/>
      </c>
      <c r="CC11" s="452" t="str">
        <f t="shared" si="4"/>
        <v/>
      </c>
      <c r="CD11" s="453" t="str">
        <f t="shared" si="4"/>
        <v/>
      </c>
      <c r="CE11" s="451" t="str">
        <f t="shared" si="4"/>
        <v/>
      </c>
      <c r="CF11" s="452" t="str">
        <f t="shared" si="4"/>
        <v/>
      </c>
      <c r="CG11" s="452" t="str">
        <f t="shared" si="4"/>
        <v/>
      </c>
      <c r="CH11" s="452" t="str">
        <f t="shared" si="5"/>
        <v/>
      </c>
      <c r="CI11" s="453" t="str">
        <f t="shared" si="5"/>
        <v/>
      </c>
      <c r="CJ11" s="451" t="str">
        <f t="shared" si="5"/>
        <v/>
      </c>
      <c r="CK11" s="452" t="str">
        <f t="shared" si="5"/>
        <v/>
      </c>
      <c r="CL11" s="452" t="str">
        <f t="shared" si="5"/>
        <v/>
      </c>
      <c r="CM11" s="452" t="str">
        <f t="shared" si="5"/>
        <v/>
      </c>
      <c r="CN11" s="453" t="str">
        <f t="shared" si="5"/>
        <v/>
      </c>
      <c r="CO11" s="451" t="str">
        <f t="shared" si="5"/>
        <v/>
      </c>
      <c r="CP11" s="452" t="str">
        <f t="shared" si="5"/>
        <v/>
      </c>
      <c r="CQ11" s="452" t="str">
        <f t="shared" si="5"/>
        <v/>
      </c>
      <c r="CR11" s="452" t="str">
        <f t="shared" si="5"/>
        <v/>
      </c>
      <c r="CS11" s="453" t="str">
        <f t="shared" si="5"/>
        <v/>
      </c>
      <c r="CT11" s="451" t="str">
        <f t="shared" si="5"/>
        <v/>
      </c>
      <c r="CU11" s="452" t="str">
        <f t="shared" si="5"/>
        <v/>
      </c>
      <c r="CV11" s="452" t="str">
        <f t="shared" si="5"/>
        <v/>
      </c>
      <c r="CW11" s="452" t="str">
        <f t="shared" si="5"/>
        <v/>
      </c>
      <c r="CX11" s="453" t="str">
        <f t="shared" si="6"/>
        <v/>
      </c>
      <c r="CY11" s="451" t="str">
        <f t="shared" si="6"/>
        <v/>
      </c>
      <c r="CZ11" s="452" t="str">
        <f t="shared" si="6"/>
        <v/>
      </c>
      <c r="DA11" s="452" t="str">
        <f t="shared" si="6"/>
        <v/>
      </c>
      <c r="DB11" s="452" t="str">
        <f t="shared" si="6"/>
        <v/>
      </c>
      <c r="DC11" s="453" t="str">
        <f t="shared" si="6"/>
        <v/>
      </c>
      <c r="DD11" s="451" t="str">
        <f t="shared" si="6"/>
        <v/>
      </c>
      <c r="DE11" s="452" t="str">
        <f t="shared" si="6"/>
        <v/>
      </c>
      <c r="DF11" s="452" t="str">
        <f t="shared" si="6"/>
        <v/>
      </c>
      <c r="DG11" s="452" t="str">
        <f t="shared" si="6"/>
        <v/>
      </c>
      <c r="DH11" s="453" t="str">
        <f t="shared" si="6"/>
        <v/>
      </c>
      <c r="DI11" s="451" t="str">
        <f t="shared" si="6"/>
        <v/>
      </c>
      <c r="DJ11" s="452" t="str">
        <f t="shared" si="6"/>
        <v/>
      </c>
      <c r="DK11" s="452" t="str">
        <f t="shared" si="6"/>
        <v/>
      </c>
      <c r="DL11" s="452" t="str">
        <f t="shared" si="6"/>
        <v/>
      </c>
      <c r="DM11" s="453" t="str">
        <f t="shared" si="6"/>
        <v/>
      </c>
      <c r="DN11" s="451" t="str">
        <f t="shared" si="13"/>
        <v/>
      </c>
      <c r="DO11" s="452" t="str">
        <f t="shared" si="13"/>
        <v/>
      </c>
      <c r="DP11" s="452" t="str">
        <f t="shared" si="13"/>
        <v/>
      </c>
      <c r="DQ11" s="452" t="str">
        <f t="shared" si="13"/>
        <v/>
      </c>
      <c r="DR11" s="453" t="str">
        <f t="shared" si="13"/>
        <v/>
      </c>
      <c r="DS11" s="451" t="str">
        <f t="shared" si="13"/>
        <v/>
      </c>
      <c r="DT11" s="452" t="str">
        <f t="shared" si="13"/>
        <v/>
      </c>
      <c r="DU11" s="452" t="str">
        <f t="shared" si="13"/>
        <v/>
      </c>
      <c r="DV11" s="452" t="str">
        <f t="shared" si="13"/>
        <v/>
      </c>
      <c r="DW11" s="453" t="str">
        <f t="shared" si="13"/>
        <v/>
      </c>
      <c r="DX11" s="451" t="str">
        <f t="shared" si="13"/>
        <v/>
      </c>
      <c r="DY11" s="452" t="str">
        <f t="shared" si="13"/>
        <v/>
      </c>
      <c r="DZ11" s="452" t="str">
        <f t="shared" si="13"/>
        <v/>
      </c>
      <c r="EA11" s="452" t="str">
        <f t="shared" si="13"/>
        <v/>
      </c>
      <c r="EB11" s="453" t="str">
        <f t="shared" si="13"/>
        <v/>
      </c>
      <c r="EC11" s="451" t="str">
        <f t="shared" si="13"/>
        <v/>
      </c>
      <c r="ED11" s="452" t="str">
        <f t="shared" si="13"/>
        <v/>
      </c>
      <c r="EE11" s="452" t="str">
        <f t="shared" si="13"/>
        <v/>
      </c>
      <c r="EF11" s="452" t="str">
        <f t="shared" si="13"/>
        <v/>
      </c>
      <c r="EG11" s="453" t="str">
        <f t="shared" si="13"/>
        <v/>
      </c>
      <c r="EH11" s="451" t="str">
        <f t="shared" si="13"/>
        <v/>
      </c>
      <c r="EI11" s="452" t="str">
        <f t="shared" si="13"/>
        <v/>
      </c>
      <c r="EJ11" s="452" t="str">
        <f t="shared" si="13"/>
        <v/>
      </c>
      <c r="EK11" s="452" t="str">
        <f t="shared" si="13"/>
        <v/>
      </c>
      <c r="EL11" s="453" t="str">
        <f t="shared" si="13"/>
        <v/>
      </c>
      <c r="EM11" s="451" t="str">
        <f t="shared" si="13"/>
        <v/>
      </c>
      <c r="EN11" s="452" t="str">
        <f t="shared" si="13"/>
        <v/>
      </c>
      <c r="EO11" s="452" t="str">
        <f t="shared" si="13"/>
        <v/>
      </c>
      <c r="EP11" s="452" t="str">
        <f t="shared" si="13"/>
        <v/>
      </c>
      <c r="EQ11" s="453" t="str">
        <f t="shared" si="13"/>
        <v/>
      </c>
      <c r="ER11" s="451" t="str">
        <f t="shared" si="13"/>
        <v/>
      </c>
      <c r="ES11" s="452" t="str">
        <f t="shared" si="13"/>
        <v/>
      </c>
      <c r="ET11" s="452" t="str">
        <f t="shared" si="13"/>
        <v/>
      </c>
      <c r="EU11" s="452" t="str">
        <f t="shared" si="13"/>
        <v/>
      </c>
      <c r="EV11" s="453" t="str">
        <f t="shared" si="13"/>
        <v/>
      </c>
      <c r="EW11" s="451" t="str">
        <f t="shared" si="13"/>
        <v/>
      </c>
      <c r="EX11" s="452" t="str">
        <f t="shared" si="13"/>
        <v/>
      </c>
      <c r="EY11" s="452" t="str">
        <f t="shared" si="13"/>
        <v/>
      </c>
      <c r="EZ11" s="452" t="str">
        <f t="shared" si="13"/>
        <v/>
      </c>
      <c r="FA11" s="453" t="str">
        <f t="shared" si="13"/>
        <v/>
      </c>
      <c r="FB11" s="451" t="str">
        <f t="shared" si="13"/>
        <v/>
      </c>
      <c r="FC11" s="452" t="str">
        <f t="shared" si="13"/>
        <v/>
      </c>
      <c r="FD11" s="452" t="str">
        <f t="shared" si="13"/>
        <v/>
      </c>
      <c r="FE11" s="452" t="str">
        <f t="shared" si="13"/>
        <v/>
      </c>
      <c r="FF11" s="453" t="str">
        <f t="shared" si="13"/>
        <v/>
      </c>
      <c r="FG11" s="451" t="str">
        <f t="shared" si="13"/>
        <v/>
      </c>
      <c r="FH11" s="452" t="str">
        <f t="shared" si="13"/>
        <v/>
      </c>
      <c r="FI11" s="452" t="str">
        <f t="shared" si="13"/>
        <v/>
      </c>
      <c r="FJ11" s="452" t="str">
        <f t="shared" si="13"/>
        <v/>
      </c>
      <c r="FK11" s="453" t="str">
        <f t="shared" si="13"/>
        <v/>
      </c>
      <c r="FL11" s="451" t="str">
        <f t="shared" si="13"/>
        <v/>
      </c>
      <c r="FM11" s="452" t="str">
        <f t="shared" si="13"/>
        <v/>
      </c>
      <c r="FN11" s="452" t="str">
        <f t="shared" si="13"/>
        <v/>
      </c>
      <c r="FO11" s="452" t="str">
        <f t="shared" si="13"/>
        <v/>
      </c>
      <c r="FP11" s="453" t="str">
        <f t="shared" si="13"/>
        <v/>
      </c>
      <c r="FQ11" s="451" t="str">
        <f t="shared" si="13"/>
        <v/>
      </c>
      <c r="FR11" s="452" t="str">
        <f t="shared" si="13"/>
        <v/>
      </c>
      <c r="FS11" s="452" t="str">
        <f t="shared" si="13"/>
        <v/>
      </c>
      <c r="FT11" s="452" t="str">
        <f t="shared" si="13"/>
        <v/>
      </c>
      <c r="FU11" s="453" t="str">
        <f t="shared" si="13"/>
        <v/>
      </c>
      <c r="FV11" s="451" t="str">
        <f t="shared" si="13"/>
        <v/>
      </c>
      <c r="FW11" s="452" t="str">
        <f t="shared" si="13"/>
        <v/>
      </c>
      <c r="FX11" s="452" t="str">
        <f t="shared" si="13"/>
        <v/>
      </c>
      <c r="FY11" s="452" t="str">
        <f t="shared" ref="FY11:GO26" si="18">IF(AND(FY$2&gt;=$J11,FY$2&lt;=$K11),1,"")</f>
        <v/>
      </c>
      <c r="FZ11" s="453" t="str">
        <f t="shared" si="18"/>
        <v/>
      </c>
      <c r="GA11" s="451" t="str">
        <f t="shared" si="18"/>
        <v/>
      </c>
      <c r="GB11" s="452" t="str">
        <f t="shared" si="18"/>
        <v/>
      </c>
      <c r="GC11" s="452" t="str">
        <f t="shared" si="18"/>
        <v/>
      </c>
      <c r="GD11" s="452" t="str">
        <f t="shared" si="18"/>
        <v/>
      </c>
      <c r="GE11" s="453" t="str">
        <f t="shared" si="18"/>
        <v/>
      </c>
      <c r="GF11" s="451" t="str">
        <f t="shared" si="18"/>
        <v/>
      </c>
      <c r="GG11" s="452" t="str">
        <f t="shared" si="12"/>
        <v/>
      </c>
      <c r="GH11" s="452" t="str">
        <f t="shared" si="12"/>
        <v/>
      </c>
      <c r="GI11" s="452" t="str">
        <f t="shared" si="12"/>
        <v/>
      </c>
      <c r="GJ11" s="453" t="str">
        <f t="shared" si="12"/>
        <v/>
      </c>
      <c r="GK11" s="451" t="str">
        <f t="shared" si="18"/>
        <v/>
      </c>
      <c r="GL11" s="452" t="str">
        <f t="shared" si="12"/>
        <v/>
      </c>
      <c r="GM11" s="452" t="str">
        <f t="shared" si="12"/>
        <v/>
      </c>
      <c r="GN11" s="452" t="str">
        <f t="shared" si="12"/>
        <v/>
      </c>
      <c r="GO11" s="453" t="str">
        <f t="shared" si="12"/>
        <v/>
      </c>
      <c r="GP11" s="451" t="str">
        <f t="shared" si="14"/>
        <v/>
      </c>
      <c r="GQ11" s="452" t="str">
        <f t="shared" si="14"/>
        <v/>
      </c>
      <c r="GR11" s="452" t="str">
        <f t="shared" si="14"/>
        <v/>
      </c>
      <c r="GS11" s="452" t="str">
        <f t="shared" si="14"/>
        <v/>
      </c>
      <c r="GT11" s="453" t="str">
        <f t="shared" si="14"/>
        <v/>
      </c>
      <c r="GU11" s="451" t="str">
        <f t="shared" si="14"/>
        <v/>
      </c>
      <c r="GV11" s="452" t="str">
        <f t="shared" si="14"/>
        <v/>
      </c>
      <c r="GW11" s="452" t="str">
        <f t="shared" si="14"/>
        <v/>
      </c>
      <c r="GX11" s="452" t="str">
        <f t="shared" si="14"/>
        <v/>
      </c>
      <c r="GY11" s="453" t="str">
        <f t="shared" si="14"/>
        <v/>
      </c>
      <c r="GZ11" s="451" t="str">
        <f t="shared" si="14"/>
        <v/>
      </c>
      <c r="HA11" s="452" t="str">
        <f t="shared" si="14"/>
        <v/>
      </c>
      <c r="HB11" s="452" t="str">
        <f t="shared" si="14"/>
        <v/>
      </c>
      <c r="HC11" s="452" t="str">
        <f t="shared" si="14"/>
        <v/>
      </c>
      <c r="HD11" s="453" t="str">
        <f t="shared" si="14"/>
        <v/>
      </c>
      <c r="HE11" s="451" t="str">
        <f t="shared" si="15"/>
        <v/>
      </c>
      <c r="HF11" s="452" t="str">
        <f t="shared" si="15"/>
        <v/>
      </c>
      <c r="HG11" s="452" t="str">
        <f t="shared" si="15"/>
        <v/>
      </c>
      <c r="HH11" s="452" t="str">
        <f t="shared" si="15"/>
        <v/>
      </c>
      <c r="HI11" s="453" t="str">
        <f t="shared" si="15"/>
        <v/>
      </c>
      <c r="HJ11" s="451" t="str">
        <f t="shared" si="15"/>
        <v/>
      </c>
      <c r="HK11" s="452" t="str">
        <f t="shared" si="15"/>
        <v/>
      </c>
      <c r="HL11" s="452" t="str">
        <f t="shared" si="15"/>
        <v/>
      </c>
      <c r="HM11" s="452" t="str">
        <f t="shared" si="15"/>
        <v/>
      </c>
      <c r="HN11" s="453" t="str">
        <f t="shared" si="15"/>
        <v/>
      </c>
      <c r="HO11" s="451" t="str">
        <f t="shared" si="15"/>
        <v/>
      </c>
      <c r="HP11" s="452" t="str">
        <f t="shared" si="15"/>
        <v/>
      </c>
      <c r="HQ11" s="452" t="str">
        <f t="shared" si="15"/>
        <v/>
      </c>
      <c r="HR11" s="452" t="str">
        <f t="shared" si="15"/>
        <v/>
      </c>
      <c r="HS11" s="453" t="str">
        <f t="shared" si="15"/>
        <v/>
      </c>
      <c r="HT11" s="451" t="str">
        <f t="shared" si="15"/>
        <v/>
      </c>
      <c r="HU11" s="452" t="str">
        <f t="shared" si="16"/>
        <v/>
      </c>
      <c r="HV11" s="452" t="str">
        <f t="shared" si="16"/>
        <v/>
      </c>
      <c r="HW11" s="452" t="str">
        <f t="shared" si="16"/>
        <v/>
      </c>
      <c r="HX11" s="453" t="str">
        <f t="shared" si="16"/>
        <v/>
      </c>
      <c r="HY11" s="451" t="str">
        <f t="shared" si="16"/>
        <v/>
      </c>
      <c r="HZ11" s="452" t="str">
        <f t="shared" si="16"/>
        <v/>
      </c>
      <c r="IA11" s="452" t="str">
        <f t="shared" si="16"/>
        <v/>
      </c>
      <c r="IB11" s="452" t="str">
        <f t="shared" si="16"/>
        <v/>
      </c>
      <c r="IC11" s="453" t="str">
        <f t="shared" si="16"/>
        <v/>
      </c>
      <c r="ID11" s="451" t="str">
        <f t="shared" si="16"/>
        <v/>
      </c>
      <c r="IE11" s="452" t="str">
        <f t="shared" si="16"/>
        <v/>
      </c>
      <c r="IF11" s="452" t="str">
        <f t="shared" si="16"/>
        <v/>
      </c>
      <c r="IG11" s="452" t="str">
        <f t="shared" si="16"/>
        <v/>
      </c>
      <c r="IH11" s="453" t="str">
        <f t="shared" si="16"/>
        <v/>
      </c>
      <c r="II11" s="451" t="str">
        <f t="shared" si="16"/>
        <v/>
      </c>
      <c r="IJ11" s="452" t="str">
        <f t="shared" si="16"/>
        <v/>
      </c>
      <c r="IK11" s="452" t="str">
        <f t="shared" si="17"/>
        <v/>
      </c>
      <c r="IL11" s="452" t="str">
        <f t="shared" si="17"/>
        <v/>
      </c>
      <c r="IM11" s="453" t="str">
        <f t="shared" si="17"/>
        <v/>
      </c>
      <c r="IN11" s="451" t="str">
        <f t="shared" si="17"/>
        <v/>
      </c>
      <c r="IO11" s="452" t="str">
        <f t="shared" si="17"/>
        <v/>
      </c>
      <c r="IP11" s="452" t="str">
        <f t="shared" si="17"/>
        <v/>
      </c>
      <c r="IQ11" s="452" t="str">
        <f t="shared" si="17"/>
        <v/>
      </c>
      <c r="IR11" s="453" t="str">
        <f t="shared" si="17"/>
        <v/>
      </c>
    </row>
    <row r="12" spans="1:253" x14ac:dyDescent="0.2">
      <c r="A12" s="446">
        <v>1.8</v>
      </c>
      <c r="C12" s="447" t="s">
        <v>1358</v>
      </c>
      <c r="D12" s="447"/>
      <c r="E12" s="448"/>
      <c r="F12" s="448"/>
      <c r="G12" s="448"/>
      <c r="H12" s="448"/>
      <c r="I12" s="448"/>
      <c r="J12" s="449" t="str">
        <f t="shared" si="10"/>
        <v/>
      </c>
      <c r="K12" s="449" t="str">
        <f t="shared" si="11"/>
        <v/>
      </c>
      <c r="L12" s="450">
        <f t="shared" si="0"/>
        <v>0</v>
      </c>
      <c r="M12" s="451" t="str">
        <f t="shared" si="1"/>
        <v/>
      </c>
      <c r="N12" s="452" t="str">
        <f t="shared" si="1"/>
        <v/>
      </c>
      <c r="O12" s="452" t="str">
        <f t="shared" si="1"/>
        <v/>
      </c>
      <c r="P12" s="452" t="str">
        <f t="shared" si="1"/>
        <v/>
      </c>
      <c r="Q12" s="453" t="str">
        <f t="shared" si="1"/>
        <v/>
      </c>
      <c r="R12" s="451" t="str">
        <f t="shared" si="1"/>
        <v/>
      </c>
      <c r="S12" s="452" t="str">
        <f t="shared" si="1"/>
        <v/>
      </c>
      <c r="T12" s="452" t="str">
        <f t="shared" si="1"/>
        <v/>
      </c>
      <c r="U12" s="452" t="str">
        <f t="shared" si="1"/>
        <v/>
      </c>
      <c r="V12" s="453" t="str">
        <f t="shared" si="1"/>
        <v/>
      </c>
      <c r="W12" s="451" t="str">
        <f t="shared" si="1"/>
        <v/>
      </c>
      <c r="X12" s="452" t="str">
        <f t="shared" si="1"/>
        <v/>
      </c>
      <c r="Y12" s="452" t="str">
        <f t="shared" si="1"/>
        <v/>
      </c>
      <c r="Z12" s="452" t="str">
        <f t="shared" si="1"/>
        <v/>
      </c>
      <c r="AA12" s="453" t="str">
        <f t="shared" si="1"/>
        <v/>
      </c>
      <c r="AB12" s="451" t="str">
        <f t="shared" si="1"/>
        <v/>
      </c>
      <c r="AC12" s="452" t="str">
        <f t="shared" si="1"/>
        <v/>
      </c>
      <c r="AD12" s="452" t="str">
        <f t="shared" si="1"/>
        <v/>
      </c>
      <c r="AE12" s="452" t="str">
        <f t="shared" si="1"/>
        <v/>
      </c>
      <c r="AF12" s="453" t="str">
        <f t="shared" si="1"/>
        <v/>
      </c>
      <c r="AG12" s="451" t="str">
        <f t="shared" si="1"/>
        <v/>
      </c>
      <c r="AH12" s="452" t="str">
        <f t="shared" si="1"/>
        <v/>
      </c>
      <c r="AI12" s="452" t="str">
        <f t="shared" si="1"/>
        <v/>
      </c>
      <c r="AJ12" s="452" t="str">
        <f t="shared" si="1"/>
        <v/>
      </c>
      <c r="AK12" s="453" t="str">
        <f t="shared" si="1"/>
        <v/>
      </c>
      <c r="AL12" s="451" t="str">
        <f t="shared" si="2"/>
        <v/>
      </c>
      <c r="AM12" s="452" t="str">
        <f t="shared" si="2"/>
        <v/>
      </c>
      <c r="AN12" s="452" t="str">
        <f t="shared" si="2"/>
        <v/>
      </c>
      <c r="AO12" s="452" t="str">
        <f t="shared" si="2"/>
        <v/>
      </c>
      <c r="AP12" s="453" t="str">
        <f t="shared" si="2"/>
        <v/>
      </c>
      <c r="AQ12" s="451" t="str">
        <f t="shared" si="2"/>
        <v/>
      </c>
      <c r="AR12" s="452" t="str">
        <f t="shared" si="2"/>
        <v/>
      </c>
      <c r="AS12" s="452" t="str">
        <f t="shared" si="2"/>
        <v/>
      </c>
      <c r="AT12" s="452" t="str">
        <f t="shared" si="2"/>
        <v/>
      </c>
      <c r="AU12" s="453" t="str">
        <f t="shared" si="2"/>
        <v/>
      </c>
      <c r="AV12" s="451" t="str">
        <f t="shared" si="2"/>
        <v/>
      </c>
      <c r="AW12" s="452" t="str">
        <f t="shared" si="2"/>
        <v/>
      </c>
      <c r="AX12" s="452" t="str">
        <f t="shared" si="2"/>
        <v/>
      </c>
      <c r="AY12" s="452" t="str">
        <f t="shared" si="2"/>
        <v/>
      </c>
      <c r="AZ12" s="453" t="str">
        <f t="shared" si="2"/>
        <v/>
      </c>
      <c r="BA12" s="451" t="str">
        <f t="shared" si="2"/>
        <v/>
      </c>
      <c r="BB12" s="452" t="str">
        <f t="shared" si="3"/>
        <v/>
      </c>
      <c r="BC12" s="452" t="str">
        <f t="shared" si="3"/>
        <v/>
      </c>
      <c r="BD12" s="452" t="str">
        <f t="shared" si="3"/>
        <v/>
      </c>
      <c r="BE12" s="453" t="str">
        <f t="shared" si="3"/>
        <v/>
      </c>
      <c r="BF12" s="451" t="str">
        <f t="shared" si="3"/>
        <v/>
      </c>
      <c r="BG12" s="452" t="str">
        <f t="shared" si="3"/>
        <v/>
      </c>
      <c r="BH12" s="452" t="str">
        <f t="shared" si="3"/>
        <v/>
      </c>
      <c r="BI12" s="452" t="str">
        <f t="shared" si="3"/>
        <v/>
      </c>
      <c r="BJ12" s="453" t="str">
        <f t="shared" si="3"/>
        <v/>
      </c>
      <c r="BK12" s="451" t="str">
        <f t="shared" si="3"/>
        <v/>
      </c>
      <c r="BL12" s="452" t="str">
        <f t="shared" si="3"/>
        <v/>
      </c>
      <c r="BM12" s="452" t="str">
        <f t="shared" si="3"/>
        <v/>
      </c>
      <c r="BN12" s="452" t="str">
        <f t="shared" si="3"/>
        <v/>
      </c>
      <c r="BO12" s="453" t="str">
        <f t="shared" si="3"/>
        <v/>
      </c>
      <c r="BP12" s="451" t="str">
        <f t="shared" si="3"/>
        <v/>
      </c>
      <c r="BQ12" s="452" t="str">
        <f t="shared" si="3"/>
        <v/>
      </c>
      <c r="BR12" s="452" t="str">
        <f t="shared" si="4"/>
        <v/>
      </c>
      <c r="BS12" s="452" t="str">
        <f t="shared" si="4"/>
        <v/>
      </c>
      <c r="BT12" s="453" t="str">
        <f t="shared" si="4"/>
        <v/>
      </c>
      <c r="BU12" s="451" t="str">
        <f t="shared" si="4"/>
        <v/>
      </c>
      <c r="BV12" s="452" t="str">
        <f t="shared" si="4"/>
        <v/>
      </c>
      <c r="BW12" s="452" t="str">
        <f t="shared" si="4"/>
        <v/>
      </c>
      <c r="BX12" s="452" t="str">
        <f t="shared" si="4"/>
        <v/>
      </c>
      <c r="BY12" s="453" t="str">
        <f t="shared" si="4"/>
        <v/>
      </c>
      <c r="BZ12" s="451" t="str">
        <f t="shared" si="4"/>
        <v/>
      </c>
      <c r="CA12" s="452" t="str">
        <f t="shared" si="4"/>
        <v/>
      </c>
      <c r="CB12" s="452" t="str">
        <f t="shared" si="4"/>
        <v/>
      </c>
      <c r="CC12" s="452" t="str">
        <f t="shared" si="4"/>
        <v/>
      </c>
      <c r="CD12" s="453" t="str">
        <f t="shared" si="4"/>
        <v/>
      </c>
      <c r="CE12" s="451" t="str">
        <f t="shared" si="4"/>
        <v/>
      </c>
      <c r="CF12" s="452" t="str">
        <f t="shared" si="4"/>
        <v/>
      </c>
      <c r="CG12" s="452" t="str">
        <f t="shared" si="4"/>
        <v/>
      </c>
      <c r="CH12" s="452" t="str">
        <f t="shared" si="5"/>
        <v/>
      </c>
      <c r="CI12" s="453" t="str">
        <f t="shared" si="5"/>
        <v/>
      </c>
      <c r="CJ12" s="451" t="str">
        <f t="shared" si="5"/>
        <v/>
      </c>
      <c r="CK12" s="452" t="str">
        <f t="shared" si="5"/>
        <v/>
      </c>
      <c r="CL12" s="452" t="str">
        <f t="shared" si="5"/>
        <v/>
      </c>
      <c r="CM12" s="452" t="str">
        <f t="shared" si="5"/>
        <v/>
      </c>
      <c r="CN12" s="453" t="str">
        <f t="shared" si="5"/>
        <v/>
      </c>
      <c r="CO12" s="451" t="str">
        <f t="shared" si="5"/>
        <v/>
      </c>
      <c r="CP12" s="452" t="str">
        <f t="shared" si="5"/>
        <v/>
      </c>
      <c r="CQ12" s="452" t="str">
        <f t="shared" si="5"/>
        <v/>
      </c>
      <c r="CR12" s="452" t="str">
        <f t="shared" si="5"/>
        <v/>
      </c>
      <c r="CS12" s="453" t="str">
        <f t="shared" si="5"/>
        <v/>
      </c>
      <c r="CT12" s="451" t="str">
        <f t="shared" si="5"/>
        <v/>
      </c>
      <c r="CU12" s="452" t="str">
        <f t="shared" si="5"/>
        <v/>
      </c>
      <c r="CV12" s="452" t="str">
        <f t="shared" si="5"/>
        <v/>
      </c>
      <c r="CW12" s="452" t="str">
        <f t="shared" si="5"/>
        <v/>
      </c>
      <c r="CX12" s="453" t="str">
        <f t="shared" si="6"/>
        <v/>
      </c>
      <c r="CY12" s="451" t="str">
        <f t="shared" si="6"/>
        <v/>
      </c>
      <c r="CZ12" s="452" t="str">
        <f t="shared" si="6"/>
        <v/>
      </c>
      <c r="DA12" s="452" t="str">
        <f t="shared" si="6"/>
        <v/>
      </c>
      <c r="DB12" s="452" t="str">
        <f t="shared" si="6"/>
        <v/>
      </c>
      <c r="DC12" s="453" t="str">
        <f t="shared" si="6"/>
        <v/>
      </c>
      <c r="DD12" s="451" t="str">
        <f t="shared" si="6"/>
        <v/>
      </c>
      <c r="DE12" s="452" t="str">
        <f t="shared" si="6"/>
        <v/>
      </c>
      <c r="DF12" s="452" t="str">
        <f t="shared" si="6"/>
        <v/>
      </c>
      <c r="DG12" s="452" t="str">
        <f t="shared" si="6"/>
        <v/>
      </c>
      <c r="DH12" s="453" t="str">
        <f t="shared" si="6"/>
        <v/>
      </c>
      <c r="DI12" s="451" t="str">
        <f t="shared" si="6"/>
        <v/>
      </c>
      <c r="DJ12" s="452" t="str">
        <f t="shared" si="6"/>
        <v/>
      </c>
      <c r="DK12" s="452" t="str">
        <f t="shared" si="6"/>
        <v/>
      </c>
      <c r="DL12" s="452" t="str">
        <f t="shared" si="6"/>
        <v/>
      </c>
      <c r="DM12" s="453" t="str">
        <f t="shared" si="6"/>
        <v/>
      </c>
      <c r="DN12" s="451" t="str">
        <f t="shared" ref="DN12:EC22" si="19">IF(AND(DN$2&gt;=$J12,DN$2&lt;=$K12),1,"")</f>
        <v/>
      </c>
      <c r="DO12" s="452" t="str">
        <f t="shared" si="19"/>
        <v/>
      </c>
      <c r="DP12" s="452" t="str">
        <f t="shared" si="19"/>
        <v/>
      </c>
      <c r="DQ12" s="452" t="str">
        <f t="shared" si="19"/>
        <v/>
      </c>
      <c r="DR12" s="453" t="str">
        <f t="shared" si="19"/>
        <v/>
      </c>
      <c r="DS12" s="451" t="str">
        <f t="shared" si="19"/>
        <v/>
      </c>
      <c r="DT12" s="452" t="str">
        <f t="shared" si="19"/>
        <v/>
      </c>
      <c r="DU12" s="452" t="str">
        <f t="shared" si="19"/>
        <v/>
      </c>
      <c r="DV12" s="452" t="str">
        <f t="shared" si="19"/>
        <v/>
      </c>
      <c r="DW12" s="453" t="str">
        <f t="shared" si="19"/>
        <v/>
      </c>
      <c r="DX12" s="451" t="str">
        <f t="shared" si="19"/>
        <v/>
      </c>
      <c r="DY12" s="452" t="str">
        <f t="shared" si="19"/>
        <v/>
      </c>
      <c r="DZ12" s="452" t="str">
        <f t="shared" si="19"/>
        <v/>
      </c>
      <c r="EA12" s="452" t="str">
        <f t="shared" si="19"/>
        <v/>
      </c>
      <c r="EB12" s="453" t="str">
        <f t="shared" si="19"/>
        <v/>
      </c>
      <c r="EC12" s="451" t="str">
        <f t="shared" si="19"/>
        <v/>
      </c>
      <c r="ED12" s="452" t="str">
        <f t="shared" ref="ED12:ES29" si="20">IF(AND(ED$2&gt;=$J12,ED$2&lt;=$K12),1,"")</f>
        <v/>
      </c>
      <c r="EE12" s="452" t="str">
        <f t="shared" si="20"/>
        <v/>
      </c>
      <c r="EF12" s="452" t="str">
        <f t="shared" si="20"/>
        <v/>
      </c>
      <c r="EG12" s="453" t="str">
        <f t="shared" si="20"/>
        <v/>
      </c>
      <c r="EH12" s="451" t="str">
        <f t="shared" si="20"/>
        <v/>
      </c>
      <c r="EI12" s="452" t="str">
        <f t="shared" si="20"/>
        <v/>
      </c>
      <c r="EJ12" s="452" t="str">
        <f t="shared" si="20"/>
        <v/>
      </c>
      <c r="EK12" s="452" t="str">
        <f t="shared" si="20"/>
        <v/>
      </c>
      <c r="EL12" s="453" t="str">
        <f t="shared" si="20"/>
        <v/>
      </c>
      <c r="EM12" s="451" t="str">
        <f t="shared" si="20"/>
        <v/>
      </c>
      <c r="EN12" s="452" t="str">
        <f t="shared" si="20"/>
        <v/>
      </c>
      <c r="EO12" s="452" t="str">
        <f t="shared" si="20"/>
        <v/>
      </c>
      <c r="EP12" s="452" t="str">
        <f t="shared" si="20"/>
        <v/>
      </c>
      <c r="EQ12" s="453" t="str">
        <f t="shared" si="20"/>
        <v/>
      </c>
      <c r="ER12" s="451" t="str">
        <f t="shared" si="20"/>
        <v/>
      </c>
      <c r="ES12" s="452" t="str">
        <f t="shared" si="20"/>
        <v/>
      </c>
      <c r="ET12" s="452" t="str">
        <f t="shared" ref="ET12:FI28" si="21">IF(AND(ET$2&gt;=$J12,ET$2&lt;=$K12),1,"")</f>
        <v/>
      </c>
      <c r="EU12" s="452" t="str">
        <f t="shared" si="21"/>
        <v/>
      </c>
      <c r="EV12" s="453" t="str">
        <f t="shared" si="21"/>
        <v/>
      </c>
      <c r="EW12" s="451" t="str">
        <f t="shared" si="21"/>
        <v/>
      </c>
      <c r="EX12" s="452" t="str">
        <f t="shared" si="21"/>
        <v/>
      </c>
      <c r="EY12" s="452" t="str">
        <f t="shared" si="21"/>
        <v/>
      </c>
      <c r="EZ12" s="452" t="str">
        <f t="shared" si="21"/>
        <v/>
      </c>
      <c r="FA12" s="453" t="str">
        <f t="shared" si="21"/>
        <v/>
      </c>
      <c r="FB12" s="451" t="str">
        <f t="shared" si="21"/>
        <v/>
      </c>
      <c r="FC12" s="452" t="str">
        <f t="shared" si="21"/>
        <v/>
      </c>
      <c r="FD12" s="452" t="str">
        <f t="shared" si="21"/>
        <v/>
      </c>
      <c r="FE12" s="452" t="str">
        <f t="shared" si="21"/>
        <v/>
      </c>
      <c r="FF12" s="453" t="str">
        <f t="shared" si="21"/>
        <v/>
      </c>
      <c r="FG12" s="451" t="str">
        <f t="shared" si="21"/>
        <v/>
      </c>
      <c r="FH12" s="452" t="str">
        <f t="shared" si="21"/>
        <v/>
      </c>
      <c r="FI12" s="452" t="str">
        <f t="shared" si="21"/>
        <v/>
      </c>
      <c r="FJ12" s="452" t="str">
        <f t="shared" ref="FJ12:FY28" si="22">IF(AND(FJ$2&gt;=$J12,FJ$2&lt;=$K12),1,"")</f>
        <v/>
      </c>
      <c r="FK12" s="453" t="str">
        <f t="shared" si="22"/>
        <v/>
      </c>
      <c r="FL12" s="451" t="str">
        <f t="shared" si="22"/>
        <v/>
      </c>
      <c r="FM12" s="452" t="str">
        <f t="shared" si="22"/>
        <v/>
      </c>
      <c r="FN12" s="452" t="str">
        <f t="shared" si="22"/>
        <v/>
      </c>
      <c r="FO12" s="452" t="str">
        <f t="shared" si="22"/>
        <v/>
      </c>
      <c r="FP12" s="453" t="str">
        <f t="shared" si="22"/>
        <v/>
      </c>
      <c r="FQ12" s="451" t="str">
        <f t="shared" si="22"/>
        <v/>
      </c>
      <c r="FR12" s="452" t="str">
        <f t="shared" si="22"/>
        <v/>
      </c>
      <c r="FS12" s="452" t="str">
        <f t="shared" si="22"/>
        <v/>
      </c>
      <c r="FT12" s="452" t="str">
        <f t="shared" si="22"/>
        <v/>
      </c>
      <c r="FU12" s="453" t="str">
        <f t="shared" si="22"/>
        <v/>
      </c>
      <c r="FV12" s="451" t="str">
        <f t="shared" si="22"/>
        <v/>
      </c>
      <c r="FW12" s="452" t="str">
        <f t="shared" si="22"/>
        <v/>
      </c>
      <c r="FX12" s="452" t="str">
        <f t="shared" si="22"/>
        <v/>
      </c>
      <c r="FY12" s="452" t="str">
        <f t="shared" si="22"/>
        <v/>
      </c>
      <c r="FZ12" s="453" t="str">
        <f t="shared" si="18"/>
        <v/>
      </c>
      <c r="GA12" s="451" t="str">
        <f t="shared" si="18"/>
        <v/>
      </c>
      <c r="GB12" s="452" t="str">
        <f t="shared" si="18"/>
        <v/>
      </c>
      <c r="GC12" s="452" t="str">
        <f t="shared" si="18"/>
        <v/>
      </c>
      <c r="GD12" s="452" t="str">
        <f t="shared" si="18"/>
        <v/>
      </c>
      <c r="GE12" s="453" t="str">
        <f t="shared" si="18"/>
        <v/>
      </c>
      <c r="GF12" s="451" t="str">
        <f t="shared" si="18"/>
        <v/>
      </c>
      <c r="GG12" s="452" t="str">
        <f t="shared" si="12"/>
        <v/>
      </c>
      <c r="GH12" s="452" t="str">
        <f t="shared" si="12"/>
        <v/>
      </c>
      <c r="GI12" s="452" t="str">
        <f t="shared" si="12"/>
        <v/>
      </c>
      <c r="GJ12" s="453" t="str">
        <f t="shared" si="12"/>
        <v/>
      </c>
      <c r="GK12" s="451" t="str">
        <f t="shared" si="18"/>
        <v/>
      </c>
      <c r="GL12" s="452" t="str">
        <f t="shared" si="12"/>
        <v/>
      </c>
      <c r="GM12" s="452" t="str">
        <f t="shared" si="12"/>
        <v/>
      </c>
      <c r="GN12" s="452" t="str">
        <f t="shared" si="12"/>
        <v/>
      </c>
      <c r="GO12" s="453" t="str">
        <f t="shared" si="12"/>
        <v/>
      </c>
      <c r="GP12" s="451" t="str">
        <f t="shared" si="14"/>
        <v/>
      </c>
      <c r="GQ12" s="452" t="str">
        <f t="shared" si="14"/>
        <v/>
      </c>
      <c r="GR12" s="452" t="str">
        <f t="shared" si="14"/>
        <v/>
      </c>
      <c r="GS12" s="452" t="str">
        <f t="shared" si="14"/>
        <v/>
      </c>
      <c r="GT12" s="453" t="str">
        <f t="shared" si="14"/>
        <v/>
      </c>
      <c r="GU12" s="451" t="str">
        <f t="shared" si="14"/>
        <v/>
      </c>
      <c r="GV12" s="452" t="str">
        <f t="shared" si="14"/>
        <v/>
      </c>
      <c r="GW12" s="452" t="str">
        <f t="shared" si="14"/>
        <v/>
      </c>
      <c r="GX12" s="452" t="str">
        <f t="shared" si="14"/>
        <v/>
      </c>
      <c r="GY12" s="453" t="str">
        <f t="shared" si="14"/>
        <v/>
      </c>
      <c r="GZ12" s="451" t="str">
        <f t="shared" si="14"/>
        <v/>
      </c>
      <c r="HA12" s="452" t="str">
        <f t="shared" si="14"/>
        <v/>
      </c>
      <c r="HB12" s="452" t="str">
        <f t="shared" si="14"/>
        <v/>
      </c>
      <c r="HC12" s="452" t="str">
        <f t="shared" si="14"/>
        <v/>
      </c>
      <c r="HD12" s="453" t="str">
        <f t="shared" si="14"/>
        <v/>
      </c>
      <c r="HE12" s="451" t="str">
        <f t="shared" si="15"/>
        <v/>
      </c>
      <c r="HF12" s="452" t="str">
        <f t="shared" si="15"/>
        <v/>
      </c>
      <c r="HG12" s="452" t="str">
        <f t="shared" si="15"/>
        <v/>
      </c>
      <c r="HH12" s="452" t="str">
        <f t="shared" si="15"/>
        <v/>
      </c>
      <c r="HI12" s="453" t="str">
        <f t="shared" si="15"/>
        <v/>
      </c>
      <c r="HJ12" s="451" t="str">
        <f t="shared" si="15"/>
        <v/>
      </c>
      <c r="HK12" s="452" t="str">
        <f t="shared" si="15"/>
        <v/>
      </c>
      <c r="HL12" s="452" t="str">
        <f t="shared" si="15"/>
        <v/>
      </c>
      <c r="HM12" s="452" t="str">
        <f t="shared" si="15"/>
        <v/>
      </c>
      <c r="HN12" s="453" t="str">
        <f t="shared" si="15"/>
        <v/>
      </c>
      <c r="HO12" s="451" t="str">
        <f t="shared" si="15"/>
        <v/>
      </c>
      <c r="HP12" s="452" t="str">
        <f t="shared" si="15"/>
        <v/>
      </c>
      <c r="HQ12" s="452" t="str">
        <f t="shared" si="15"/>
        <v/>
      </c>
      <c r="HR12" s="452" t="str">
        <f t="shared" si="15"/>
        <v/>
      </c>
      <c r="HS12" s="453" t="str">
        <f t="shared" si="15"/>
        <v/>
      </c>
      <c r="HT12" s="451" t="str">
        <f t="shared" si="15"/>
        <v/>
      </c>
      <c r="HU12" s="452" t="str">
        <f t="shared" si="16"/>
        <v/>
      </c>
      <c r="HV12" s="452" t="str">
        <f t="shared" si="16"/>
        <v/>
      </c>
      <c r="HW12" s="452" t="str">
        <f t="shared" si="16"/>
        <v/>
      </c>
      <c r="HX12" s="453" t="str">
        <f t="shared" si="16"/>
        <v/>
      </c>
      <c r="HY12" s="451" t="str">
        <f t="shared" si="16"/>
        <v/>
      </c>
      <c r="HZ12" s="452" t="str">
        <f t="shared" si="16"/>
        <v/>
      </c>
      <c r="IA12" s="452" t="str">
        <f t="shared" si="16"/>
        <v/>
      </c>
      <c r="IB12" s="452" t="str">
        <f t="shared" si="16"/>
        <v/>
      </c>
      <c r="IC12" s="453" t="str">
        <f t="shared" si="16"/>
        <v/>
      </c>
      <c r="ID12" s="451" t="str">
        <f t="shared" si="16"/>
        <v/>
      </c>
      <c r="IE12" s="452" t="str">
        <f t="shared" si="16"/>
        <v/>
      </c>
      <c r="IF12" s="452" t="str">
        <f t="shared" si="16"/>
        <v/>
      </c>
      <c r="IG12" s="452" t="str">
        <f t="shared" si="16"/>
        <v/>
      </c>
      <c r="IH12" s="453" t="str">
        <f t="shared" si="16"/>
        <v/>
      </c>
      <c r="II12" s="451" t="str">
        <f t="shared" si="16"/>
        <v/>
      </c>
      <c r="IJ12" s="452" t="str">
        <f t="shared" si="16"/>
        <v/>
      </c>
      <c r="IK12" s="452" t="str">
        <f t="shared" si="17"/>
        <v/>
      </c>
      <c r="IL12" s="452" t="str">
        <f t="shared" si="17"/>
        <v/>
      </c>
      <c r="IM12" s="453" t="str">
        <f t="shared" si="17"/>
        <v/>
      </c>
      <c r="IN12" s="451" t="str">
        <f t="shared" si="17"/>
        <v/>
      </c>
      <c r="IO12" s="452" t="str">
        <f t="shared" si="17"/>
        <v/>
      </c>
      <c r="IP12" s="452" t="str">
        <f t="shared" si="17"/>
        <v/>
      </c>
      <c r="IQ12" s="452" t="str">
        <f t="shared" si="17"/>
        <v/>
      </c>
      <c r="IR12" s="453" t="str">
        <f t="shared" si="17"/>
        <v/>
      </c>
    </row>
    <row r="13" spans="1:253" x14ac:dyDescent="0.2">
      <c r="A13" s="446">
        <v>1.9</v>
      </c>
      <c r="C13" s="447" t="s">
        <v>1359</v>
      </c>
      <c r="D13" s="447"/>
      <c r="E13" s="448"/>
      <c r="F13" s="448"/>
      <c r="G13" s="448"/>
      <c r="H13" s="448"/>
      <c r="I13" s="448"/>
      <c r="J13" s="449" t="str">
        <f t="shared" si="10"/>
        <v/>
      </c>
      <c r="K13" s="449" t="str">
        <f t="shared" si="11"/>
        <v/>
      </c>
      <c r="L13" s="450">
        <f t="shared" si="0"/>
        <v>0</v>
      </c>
      <c r="M13" s="451" t="str">
        <f t="shared" si="1"/>
        <v/>
      </c>
      <c r="N13" s="452" t="str">
        <f t="shared" si="1"/>
        <v/>
      </c>
      <c r="O13" s="452" t="str">
        <f t="shared" si="1"/>
        <v/>
      </c>
      <c r="P13" s="452" t="str">
        <f t="shared" si="1"/>
        <v/>
      </c>
      <c r="Q13" s="453" t="str">
        <f t="shared" si="1"/>
        <v/>
      </c>
      <c r="R13" s="451" t="str">
        <f t="shared" si="1"/>
        <v/>
      </c>
      <c r="S13" s="452" t="str">
        <f t="shared" si="1"/>
        <v/>
      </c>
      <c r="T13" s="452" t="str">
        <f t="shared" si="1"/>
        <v/>
      </c>
      <c r="U13" s="452" t="str">
        <f t="shared" si="1"/>
        <v/>
      </c>
      <c r="V13" s="453" t="str">
        <f t="shared" si="1"/>
        <v/>
      </c>
      <c r="W13" s="451" t="str">
        <f t="shared" si="1"/>
        <v/>
      </c>
      <c r="X13" s="452" t="str">
        <f t="shared" si="1"/>
        <v/>
      </c>
      <c r="Y13" s="452" t="str">
        <f t="shared" si="1"/>
        <v/>
      </c>
      <c r="Z13" s="452" t="str">
        <f t="shared" si="1"/>
        <v/>
      </c>
      <c r="AA13" s="453" t="str">
        <f t="shared" si="1"/>
        <v/>
      </c>
      <c r="AB13" s="451" t="str">
        <f t="shared" si="1"/>
        <v/>
      </c>
      <c r="AC13" s="452" t="str">
        <f t="shared" si="1"/>
        <v/>
      </c>
      <c r="AD13" s="452" t="str">
        <f t="shared" si="1"/>
        <v/>
      </c>
      <c r="AE13" s="452" t="str">
        <f t="shared" si="1"/>
        <v/>
      </c>
      <c r="AF13" s="453" t="str">
        <f t="shared" si="1"/>
        <v/>
      </c>
      <c r="AG13" s="451" t="str">
        <f t="shared" si="1"/>
        <v/>
      </c>
      <c r="AH13" s="452" t="str">
        <f t="shared" si="1"/>
        <v/>
      </c>
      <c r="AI13" s="452" t="str">
        <f t="shared" si="1"/>
        <v/>
      </c>
      <c r="AJ13" s="452" t="str">
        <f t="shared" si="1"/>
        <v/>
      </c>
      <c r="AK13" s="453" t="str">
        <f t="shared" si="1"/>
        <v/>
      </c>
      <c r="AL13" s="451" t="str">
        <f t="shared" si="2"/>
        <v/>
      </c>
      <c r="AM13" s="452" t="str">
        <f t="shared" si="2"/>
        <v/>
      </c>
      <c r="AN13" s="452" t="str">
        <f t="shared" si="2"/>
        <v/>
      </c>
      <c r="AO13" s="452" t="str">
        <f t="shared" si="2"/>
        <v/>
      </c>
      <c r="AP13" s="453" t="str">
        <f t="shared" si="2"/>
        <v/>
      </c>
      <c r="AQ13" s="451" t="str">
        <f t="shared" si="2"/>
        <v/>
      </c>
      <c r="AR13" s="452" t="str">
        <f t="shared" si="2"/>
        <v/>
      </c>
      <c r="AS13" s="452" t="str">
        <f t="shared" si="2"/>
        <v/>
      </c>
      <c r="AT13" s="452" t="str">
        <f t="shared" si="2"/>
        <v/>
      </c>
      <c r="AU13" s="453" t="str">
        <f t="shared" si="2"/>
        <v/>
      </c>
      <c r="AV13" s="451" t="str">
        <f t="shared" si="2"/>
        <v/>
      </c>
      <c r="AW13" s="452" t="str">
        <f t="shared" si="2"/>
        <v/>
      </c>
      <c r="AX13" s="452" t="str">
        <f t="shared" si="2"/>
        <v/>
      </c>
      <c r="AY13" s="452" t="str">
        <f t="shared" si="2"/>
        <v/>
      </c>
      <c r="AZ13" s="453" t="str">
        <f t="shared" si="2"/>
        <v/>
      </c>
      <c r="BA13" s="451" t="str">
        <f t="shared" si="2"/>
        <v/>
      </c>
      <c r="BB13" s="452" t="str">
        <f t="shared" si="3"/>
        <v/>
      </c>
      <c r="BC13" s="452" t="str">
        <f t="shared" si="3"/>
        <v/>
      </c>
      <c r="BD13" s="452" t="str">
        <f t="shared" si="3"/>
        <v/>
      </c>
      <c r="BE13" s="453" t="str">
        <f t="shared" si="3"/>
        <v/>
      </c>
      <c r="BF13" s="451" t="str">
        <f t="shared" si="3"/>
        <v/>
      </c>
      <c r="BG13" s="452" t="str">
        <f t="shared" si="3"/>
        <v/>
      </c>
      <c r="BH13" s="452" t="str">
        <f t="shared" si="3"/>
        <v/>
      </c>
      <c r="BI13" s="452" t="str">
        <f t="shared" si="3"/>
        <v/>
      </c>
      <c r="BJ13" s="453" t="str">
        <f t="shared" si="3"/>
        <v/>
      </c>
      <c r="BK13" s="451" t="str">
        <f t="shared" si="3"/>
        <v/>
      </c>
      <c r="BL13" s="452" t="str">
        <f t="shared" si="3"/>
        <v/>
      </c>
      <c r="BM13" s="452" t="str">
        <f t="shared" si="3"/>
        <v/>
      </c>
      <c r="BN13" s="452" t="str">
        <f t="shared" si="3"/>
        <v/>
      </c>
      <c r="BO13" s="453" t="str">
        <f t="shared" si="3"/>
        <v/>
      </c>
      <c r="BP13" s="451" t="str">
        <f t="shared" si="3"/>
        <v/>
      </c>
      <c r="BQ13" s="452" t="str">
        <f t="shared" si="3"/>
        <v/>
      </c>
      <c r="BR13" s="452" t="str">
        <f t="shared" si="4"/>
        <v/>
      </c>
      <c r="BS13" s="452" t="str">
        <f t="shared" si="4"/>
        <v/>
      </c>
      <c r="BT13" s="453" t="str">
        <f t="shared" si="4"/>
        <v/>
      </c>
      <c r="BU13" s="451" t="str">
        <f t="shared" si="4"/>
        <v/>
      </c>
      <c r="BV13" s="452" t="str">
        <f t="shared" si="4"/>
        <v/>
      </c>
      <c r="BW13" s="452" t="str">
        <f t="shared" si="4"/>
        <v/>
      </c>
      <c r="BX13" s="452" t="str">
        <f t="shared" si="4"/>
        <v/>
      </c>
      <c r="BY13" s="453" t="str">
        <f t="shared" si="4"/>
        <v/>
      </c>
      <c r="BZ13" s="451" t="str">
        <f t="shared" si="4"/>
        <v/>
      </c>
      <c r="CA13" s="452" t="str">
        <f t="shared" si="4"/>
        <v/>
      </c>
      <c r="CB13" s="452" t="str">
        <f t="shared" si="4"/>
        <v/>
      </c>
      <c r="CC13" s="452" t="str">
        <f t="shared" si="4"/>
        <v/>
      </c>
      <c r="CD13" s="453" t="str">
        <f t="shared" si="4"/>
        <v/>
      </c>
      <c r="CE13" s="451" t="str">
        <f t="shared" si="4"/>
        <v/>
      </c>
      <c r="CF13" s="452" t="str">
        <f t="shared" si="4"/>
        <v/>
      </c>
      <c r="CG13" s="452" t="str">
        <f t="shared" si="4"/>
        <v/>
      </c>
      <c r="CH13" s="452" t="str">
        <f t="shared" si="5"/>
        <v/>
      </c>
      <c r="CI13" s="453" t="str">
        <f t="shared" si="5"/>
        <v/>
      </c>
      <c r="CJ13" s="451" t="str">
        <f t="shared" si="5"/>
        <v/>
      </c>
      <c r="CK13" s="452" t="str">
        <f t="shared" si="5"/>
        <v/>
      </c>
      <c r="CL13" s="452" t="str">
        <f t="shared" si="5"/>
        <v/>
      </c>
      <c r="CM13" s="452" t="str">
        <f t="shared" si="5"/>
        <v/>
      </c>
      <c r="CN13" s="453" t="str">
        <f t="shared" si="5"/>
        <v/>
      </c>
      <c r="CO13" s="451" t="str">
        <f t="shared" si="5"/>
        <v/>
      </c>
      <c r="CP13" s="452" t="str">
        <f t="shared" si="5"/>
        <v/>
      </c>
      <c r="CQ13" s="452" t="str">
        <f t="shared" si="5"/>
        <v/>
      </c>
      <c r="CR13" s="452" t="str">
        <f t="shared" si="5"/>
        <v/>
      </c>
      <c r="CS13" s="453" t="str">
        <f t="shared" si="5"/>
        <v/>
      </c>
      <c r="CT13" s="451" t="str">
        <f t="shared" si="5"/>
        <v/>
      </c>
      <c r="CU13" s="452" t="str">
        <f t="shared" si="5"/>
        <v/>
      </c>
      <c r="CV13" s="452" t="str">
        <f t="shared" si="5"/>
        <v/>
      </c>
      <c r="CW13" s="452" t="str">
        <f t="shared" si="5"/>
        <v/>
      </c>
      <c r="CX13" s="453" t="str">
        <f t="shared" si="6"/>
        <v/>
      </c>
      <c r="CY13" s="451" t="str">
        <f t="shared" si="6"/>
        <v/>
      </c>
      <c r="CZ13" s="452" t="str">
        <f t="shared" si="6"/>
        <v/>
      </c>
      <c r="DA13" s="452" t="str">
        <f t="shared" si="6"/>
        <v/>
      </c>
      <c r="DB13" s="452" t="str">
        <f t="shared" si="6"/>
        <v/>
      </c>
      <c r="DC13" s="453" t="str">
        <f t="shared" si="6"/>
        <v/>
      </c>
      <c r="DD13" s="451" t="str">
        <f t="shared" si="6"/>
        <v/>
      </c>
      <c r="DE13" s="452" t="str">
        <f t="shared" si="6"/>
        <v/>
      </c>
      <c r="DF13" s="452" t="str">
        <f t="shared" si="6"/>
        <v/>
      </c>
      <c r="DG13" s="452" t="str">
        <f t="shared" si="6"/>
        <v/>
      </c>
      <c r="DH13" s="453" t="str">
        <f t="shared" si="6"/>
        <v/>
      </c>
      <c r="DI13" s="451" t="str">
        <f t="shared" si="6"/>
        <v/>
      </c>
      <c r="DJ13" s="452" t="str">
        <f t="shared" si="6"/>
        <v/>
      </c>
      <c r="DK13" s="452" t="str">
        <f t="shared" si="6"/>
        <v/>
      </c>
      <c r="DL13" s="452" t="str">
        <f t="shared" si="6"/>
        <v/>
      </c>
      <c r="DM13" s="453" t="str">
        <f t="shared" si="6"/>
        <v/>
      </c>
      <c r="DN13" s="451" t="str">
        <f t="shared" si="19"/>
        <v/>
      </c>
      <c r="DO13" s="452" t="str">
        <f t="shared" si="19"/>
        <v/>
      </c>
      <c r="DP13" s="452" t="str">
        <f t="shared" si="19"/>
        <v/>
      </c>
      <c r="DQ13" s="452" t="str">
        <f t="shared" si="19"/>
        <v/>
      </c>
      <c r="DR13" s="453" t="str">
        <f t="shared" si="19"/>
        <v/>
      </c>
      <c r="DS13" s="451" t="str">
        <f t="shared" si="19"/>
        <v/>
      </c>
      <c r="DT13" s="452" t="str">
        <f t="shared" si="19"/>
        <v/>
      </c>
      <c r="DU13" s="452" t="str">
        <f t="shared" si="19"/>
        <v/>
      </c>
      <c r="DV13" s="452" t="str">
        <f t="shared" si="19"/>
        <v/>
      </c>
      <c r="DW13" s="453" t="str">
        <f t="shared" si="19"/>
        <v/>
      </c>
      <c r="DX13" s="451" t="str">
        <f t="shared" si="19"/>
        <v/>
      </c>
      <c r="DY13" s="452" t="str">
        <f t="shared" si="19"/>
        <v/>
      </c>
      <c r="DZ13" s="452" t="str">
        <f t="shared" si="19"/>
        <v/>
      </c>
      <c r="EA13" s="452" t="str">
        <f t="shared" si="19"/>
        <v/>
      </c>
      <c r="EB13" s="453" t="str">
        <f t="shared" si="19"/>
        <v/>
      </c>
      <c r="EC13" s="451" t="str">
        <f t="shared" si="19"/>
        <v/>
      </c>
      <c r="ED13" s="452" t="str">
        <f t="shared" si="20"/>
        <v/>
      </c>
      <c r="EE13" s="452" t="str">
        <f t="shared" si="20"/>
        <v/>
      </c>
      <c r="EF13" s="452" t="str">
        <f t="shared" si="20"/>
        <v/>
      </c>
      <c r="EG13" s="453" t="str">
        <f t="shared" si="20"/>
        <v/>
      </c>
      <c r="EH13" s="451" t="str">
        <f t="shared" si="20"/>
        <v/>
      </c>
      <c r="EI13" s="452" t="str">
        <f t="shared" si="20"/>
        <v/>
      </c>
      <c r="EJ13" s="452" t="str">
        <f t="shared" si="20"/>
        <v/>
      </c>
      <c r="EK13" s="452" t="str">
        <f t="shared" si="20"/>
        <v/>
      </c>
      <c r="EL13" s="453" t="str">
        <f t="shared" si="20"/>
        <v/>
      </c>
      <c r="EM13" s="451" t="str">
        <f t="shared" si="20"/>
        <v/>
      </c>
      <c r="EN13" s="452" t="str">
        <f t="shared" si="20"/>
        <v/>
      </c>
      <c r="EO13" s="452" t="str">
        <f t="shared" si="20"/>
        <v/>
      </c>
      <c r="EP13" s="452" t="str">
        <f t="shared" si="20"/>
        <v/>
      </c>
      <c r="EQ13" s="453" t="str">
        <f t="shared" si="20"/>
        <v/>
      </c>
      <c r="ER13" s="451" t="str">
        <f t="shared" si="20"/>
        <v/>
      </c>
      <c r="ES13" s="452" t="str">
        <f t="shared" si="20"/>
        <v/>
      </c>
      <c r="ET13" s="452" t="str">
        <f t="shared" si="21"/>
        <v/>
      </c>
      <c r="EU13" s="452" t="str">
        <f t="shared" si="21"/>
        <v/>
      </c>
      <c r="EV13" s="453" t="str">
        <f t="shared" si="21"/>
        <v/>
      </c>
      <c r="EW13" s="451" t="str">
        <f t="shared" si="21"/>
        <v/>
      </c>
      <c r="EX13" s="452" t="str">
        <f t="shared" si="21"/>
        <v/>
      </c>
      <c r="EY13" s="452" t="str">
        <f t="shared" si="21"/>
        <v/>
      </c>
      <c r="EZ13" s="452" t="str">
        <f t="shared" si="21"/>
        <v/>
      </c>
      <c r="FA13" s="453" t="str">
        <f t="shared" si="21"/>
        <v/>
      </c>
      <c r="FB13" s="451" t="str">
        <f t="shared" si="21"/>
        <v/>
      </c>
      <c r="FC13" s="452" t="str">
        <f t="shared" si="21"/>
        <v/>
      </c>
      <c r="FD13" s="452" t="str">
        <f t="shared" si="21"/>
        <v/>
      </c>
      <c r="FE13" s="452" t="str">
        <f t="shared" si="21"/>
        <v/>
      </c>
      <c r="FF13" s="453" t="str">
        <f t="shared" si="21"/>
        <v/>
      </c>
      <c r="FG13" s="451" t="str">
        <f t="shared" si="21"/>
        <v/>
      </c>
      <c r="FH13" s="452" t="str">
        <f t="shared" si="21"/>
        <v/>
      </c>
      <c r="FI13" s="452" t="str">
        <f t="shared" si="21"/>
        <v/>
      </c>
      <c r="FJ13" s="452" t="str">
        <f t="shared" si="22"/>
        <v/>
      </c>
      <c r="FK13" s="453" t="str">
        <f t="shared" si="22"/>
        <v/>
      </c>
      <c r="FL13" s="451" t="str">
        <f t="shared" si="22"/>
        <v/>
      </c>
      <c r="FM13" s="452" t="str">
        <f t="shared" si="22"/>
        <v/>
      </c>
      <c r="FN13" s="452" t="str">
        <f t="shared" si="22"/>
        <v/>
      </c>
      <c r="FO13" s="452" t="str">
        <f t="shared" si="22"/>
        <v/>
      </c>
      <c r="FP13" s="453" t="str">
        <f t="shared" si="22"/>
        <v/>
      </c>
      <c r="FQ13" s="451" t="str">
        <f t="shared" si="22"/>
        <v/>
      </c>
      <c r="FR13" s="452" t="str">
        <f t="shared" si="22"/>
        <v/>
      </c>
      <c r="FS13" s="452" t="str">
        <f t="shared" si="22"/>
        <v/>
      </c>
      <c r="FT13" s="452" t="str">
        <f t="shared" si="22"/>
        <v/>
      </c>
      <c r="FU13" s="453" t="str">
        <f t="shared" si="22"/>
        <v/>
      </c>
      <c r="FV13" s="451" t="str">
        <f t="shared" si="22"/>
        <v/>
      </c>
      <c r="FW13" s="452" t="str">
        <f t="shared" si="22"/>
        <v/>
      </c>
      <c r="FX13" s="452" t="str">
        <f t="shared" si="22"/>
        <v/>
      </c>
      <c r="FY13" s="452" t="str">
        <f t="shared" si="22"/>
        <v/>
      </c>
      <c r="FZ13" s="453" t="str">
        <f t="shared" si="18"/>
        <v/>
      </c>
      <c r="GA13" s="451" t="str">
        <f t="shared" si="18"/>
        <v/>
      </c>
      <c r="GB13" s="452" t="str">
        <f t="shared" si="18"/>
        <v/>
      </c>
      <c r="GC13" s="452" t="str">
        <f t="shared" si="18"/>
        <v/>
      </c>
      <c r="GD13" s="452" t="str">
        <f t="shared" si="18"/>
        <v/>
      </c>
      <c r="GE13" s="453" t="str">
        <f t="shared" si="18"/>
        <v/>
      </c>
      <c r="GF13" s="451" t="str">
        <f t="shared" si="18"/>
        <v/>
      </c>
      <c r="GG13" s="452" t="str">
        <f t="shared" si="12"/>
        <v/>
      </c>
      <c r="GH13" s="452" t="str">
        <f t="shared" si="12"/>
        <v/>
      </c>
      <c r="GI13" s="452" t="str">
        <f t="shared" si="12"/>
        <v/>
      </c>
      <c r="GJ13" s="453" t="str">
        <f t="shared" si="12"/>
        <v/>
      </c>
      <c r="GK13" s="451" t="str">
        <f t="shared" si="18"/>
        <v/>
      </c>
      <c r="GL13" s="452" t="str">
        <f t="shared" si="12"/>
        <v/>
      </c>
      <c r="GM13" s="452" t="str">
        <f t="shared" si="12"/>
        <v/>
      </c>
      <c r="GN13" s="452" t="str">
        <f t="shared" si="12"/>
        <v/>
      </c>
      <c r="GO13" s="453" t="str">
        <f t="shared" si="12"/>
        <v/>
      </c>
      <c r="GP13" s="451" t="str">
        <f t="shared" si="14"/>
        <v/>
      </c>
      <c r="GQ13" s="452" t="str">
        <f t="shared" si="14"/>
        <v/>
      </c>
      <c r="GR13" s="452" t="str">
        <f t="shared" si="14"/>
        <v/>
      </c>
      <c r="GS13" s="452" t="str">
        <f t="shared" si="14"/>
        <v/>
      </c>
      <c r="GT13" s="453" t="str">
        <f t="shared" si="14"/>
        <v/>
      </c>
      <c r="GU13" s="451" t="str">
        <f t="shared" si="14"/>
        <v/>
      </c>
      <c r="GV13" s="452" t="str">
        <f t="shared" si="14"/>
        <v/>
      </c>
      <c r="GW13" s="452" t="str">
        <f t="shared" si="14"/>
        <v/>
      </c>
      <c r="GX13" s="452" t="str">
        <f t="shared" si="14"/>
        <v/>
      </c>
      <c r="GY13" s="453" t="str">
        <f t="shared" si="14"/>
        <v/>
      </c>
      <c r="GZ13" s="451" t="str">
        <f t="shared" si="14"/>
        <v/>
      </c>
      <c r="HA13" s="452" t="str">
        <f t="shared" si="14"/>
        <v/>
      </c>
      <c r="HB13" s="452" t="str">
        <f t="shared" si="14"/>
        <v/>
      </c>
      <c r="HC13" s="452" t="str">
        <f t="shared" si="14"/>
        <v/>
      </c>
      <c r="HD13" s="453" t="str">
        <f t="shared" si="14"/>
        <v/>
      </c>
      <c r="HE13" s="451" t="str">
        <f t="shared" si="15"/>
        <v/>
      </c>
      <c r="HF13" s="452" t="str">
        <f t="shared" si="15"/>
        <v/>
      </c>
      <c r="HG13" s="452" t="str">
        <f t="shared" si="15"/>
        <v/>
      </c>
      <c r="HH13" s="452" t="str">
        <f t="shared" si="15"/>
        <v/>
      </c>
      <c r="HI13" s="453" t="str">
        <f t="shared" si="15"/>
        <v/>
      </c>
      <c r="HJ13" s="451" t="str">
        <f t="shared" si="15"/>
        <v/>
      </c>
      <c r="HK13" s="452" t="str">
        <f t="shared" si="15"/>
        <v/>
      </c>
      <c r="HL13" s="452" t="str">
        <f t="shared" si="15"/>
        <v/>
      </c>
      <c r="HM13" s="452" t="str">
        <f t="shared" si="15"/>
        <v/>
      </c>
      <c r="HN13" s="453" t="str">
        <f t="shared" si="15"/>
        <v/>
      </c>
      <c r="HO13" s="451" t="str">
        <f t="shared" si="15"/>
        <v/>
      </c>
      <c r="HP13" s="452" t="str">
        <f t="shared" si="15"/>
        <v/>
      </c>
      <c r="HQ13" s="452" t="str">
        <f t="shared" si="15"/>
        <v/>
      </c>
      <c r="HR13" s="452" t="str">
        <f t="shared" si="15"/>
        <v/>
      </c>
      <c r="HS13" s="453" t="str">
        <f t="shared" si="15"/>
        <v/>
      </c>
      <c r="HT13" s="451" t="str">
        <f t="shared" si="15"/>
        <v/>
      </c>
      <c r="HU13" s="452" t="str">
        <f t="shared" si="16"/>
        <v/>
      </c>
      <c r="HV13" s="452" t="str">
        <f t="shared" si="16"/>
        <v/>
      </c>
      <c r="HW13" s="452" t="str">
        <f t="shared" si="16"/>
        <v/>
      </c>
      <c r="HX13" s="453" t="str">
        <f t="shared" si="16"/>
        <v/>
      </c>
      <c r="HY13" s="451" t="str">
        <f t="shared" si="16"/>
        <v/>
      </c>
      <c r="HZ13" s="452" t="str">
        <f t="shared" si="16"/>
        <v/>
      </c>
      <c r="IA13" s="452" t="str">
        <f t="shared" si="16"/>
        <v/>
      </c>
      <c r="IB13" s="452" t="str">
        <f t="shared" si="16"/>
        <v/>
      </c>
      <c r="IC13" s="453" t="str">
        <f t="shared" si="16"/>
        <v/>
      </c>
      <c r="ID13" s="451" t="str">
        <f t="shared" si="16"/>
        <v/>
      </c>
      <c r="IE13" s="452" t="str">
        <f t="shared" si="16"/>
        <v/>
      </c>
      <c r="IF13" s="452" t="str">
        <f t="shared" si="16"/>
        <v/>
      </c>
      <c r="IG13" s="452" t="str">
        <f t="shared" si="16"/>
        <v/>
      </c>
      <c r="IH13" s="453" t="str">
        <f t="shared" si="16"/>
        <v/>
      </c>
      <c r="II13" s="451" t="str">
        <f t="shared" si="16"/>
        <v/>
      </c>
      <c r="IJ13" s="452" t="str">
        <f t="shared" si="16"/>
        <v/>
      </c>
      <c r="IK13" s="452" t="str">
        <f t="shared" si="17"/>
        <v/>
      </c>
      <c r="IL13" s="452" t="str">
        <f t="shared" si="17"/>
        <v/>
      </c>
      <c r="IM13" s="453" t="str">
        <f t="shared" si="17"/>
        <v/>
      </c>
      <c r="IN13" s="451" t="str">
        <f t="shared" si="17"/>
        <v/>
      </c>
      <c r="IO13" s="452" t="str">
        <f t="shared" si="17"/>
        <v/>
      </c>
      <c r="IP13" s="452" t="str">
        <f t="shared" si="17"/>
        <v/>
      </c>
      <c r="IQ13" s="452" t="str">
        <f t="shared" si="17"/>
        <v/>
      </c>
      <c r="IR13" s="453" t="str">
        <f t="shared" si="17"/>
        <v/>
      </c>
    </row>
    <row r="14" spans="1:253" x14ac:dyDescent="0.2">
      <c r="A14" s="454">
        <v>1.1000000000000001</v>
      </c>
      <c r="C14" s="447" t="s">
        <v>1360</v>
      </c>
      <c r="D14" s="447"/>
      <c r="E14" s="448"/>
      <c r="F14" s="448"/>
      <c r="G14" s="448"/>
      <c r="H14" s="448"/>
      <c r="I14" s="448"/>
      <c r="J14" s="449" t="str">
        <f t="shared" si="10"/>
        <v/>
      </c>
      <c r="K14" s="449" t="str">
        <f t="shared" si="11"/>
        <v/>
      </c>
      <c r="L14" s="450">
        <f t="shared" si="0"/>
        <v>0</v>
      </c>
      <c r="M14" s="451" t="str">
        <f t="shared" si="1"/>
        <v/>
      </c>
      <c r="N14" s="452" t="str">
        <f t="shared" si="1"/>
        <v/>
      </c>
      <c r="O14" s="452" t="str">
        <f t="shared" si="1"/>
        <v/>
      </c>
      <c r="P14" s="452" t="str">
        <f t="shared" si="1"/>
        <v/>
      </c>
      <c r="Q14" s="453" t="str">
        <f t="shared" si="1"/>
        <v/>
      </c>
      <c r="R14" s="451" t="str">
        <f t="shared" ref="R14:AP29" si="23">IF(AND(R$2&gt;=$J14,R$2&lt;=$K14),1,"")</f>
        <v/>
      </c>
      <c r="S14" s="452" t="str">
        <f t="shared" si="23"/>
        <v/>
      </c>
      <c r="T14" s="452" t="str">
        <f t="shared" si="23"/>
        <v/>
      </c>
      <c r="U14" s="452" t="str">
        <f t="shared" si="23"/>
        <v/>
      </c>
      <c r="V14" s="453" t="str">
        <f t="shared" si="23"/>
        <v/>
      </c>
      <c r="W14" s="451" t="str">
        <f t="shared" si="23"/>
        <v/>
      </c>
      <c r="X14" s="452" t="str">
        <f t="shared" si="23"/>
        <v/>
      </c>
      <c r="Y14" s="452" t="str">
        <f t="shared" si="23"/>
        <v/>
      </c>
      <c r="Z14" s="452" t="str">
        <f t="shared" si="23"/>
        <v/>
      </c>
      <c r="AA14" s="453" t="str">
        <f t="shared" si="23"/>
        <v/>
      </c>
      <c r="AB14" s="451" t="str">
        <f t="shared" si="23"/>
        <v/>
      </c>
      <c r="AC14" s="452" t="str">
        <f t="shared" si="23"/>
        <v/>
      </c>
      <c r="AD14" s="452" t="str">
        <f t="shared" si="23"/>
        <v/>
      </c>
      <c r="AE14" s="452" t="str">
        <f t="shared" si="23"/>
        <v/>
      </c>
      <c r="AF14" s="453" t="str">
        <f t="shared" si="23"/>
        <v/>
      </c>
      <c r="AG14" s="451" t="str">
        <f t="shared" si="23"/>
        <v/>
      </c>
      <c r="AH14" s="452" t="str">
        <f t="shared" si="23"/>
        <v/>
      </c>
      <c r="AI14" s="452" t="str">
        <f t="shared" si="23"/>
        <v/>
      </c>
      <c r="AJ14" s="452" t="str">
        <f t="shared" si="23"/>
        <v/>
      </c>
      <c r="AK14" s="453" t="str">
        <f t="shared" si="23"/>
        <v/>
      </c>
      <c r="AL14" s="451" t="str">
        <f t="shared" si="2"/>
        <v/>
      </c>
      <c r="AM14" s="452" t="str">
        <f t="shared" si="2"/>
        <v/>
      </c>
      <c r="AN14" s="452" t="str">
        <f t="shared" si="2"/>
        <v/>
      </c>
      <c r="AO14" s="452" t="str">
        <f t="shared" si="2"/>
        <v/>
      </c>
      <c r="AP14" s="453" t="str">
        <f t="shared" si="2"/>
        <v/>
      </c>
      <c r="AQ14" s="451" t="str">
        <f t="shared" si="2"/>
        <v/>
      </c>
      <c r="AR14" s="452" t="str">
        <f t="shared" si="2"/>
        <v/>
      </c>
      <c r="AS14" s="452" t="str">
        <f t="shared" si="2"/>
        <v/>
      </c>
      <c r="AT14" s="452" t="str">
        <f t="shared" si="2"/>
        <v/>
      </c>
      <c r="AU14" s="453" t="str">
        <f t="shared" si="2"/>
        <v/>
      </c>
      <c r="AV14" s="451" t="str">
        <f t="shared" si="2"/>
        <v/>
      </c>
      <c r="AW14" s="452" t="str">
        <f t="shared" si="2"/>
        <v/>
      </c>
      <c r="AX14" s="452" t="str">
        <f t="shared" si="2"/>
        <v/>
      </c>
      <c r="AY14" s="452" t="str">
        <f t="shared" si="2"/>
        <v/>
      </c>
      <c r="AZ14" s="453" t="str">
        <f t="shared" si="2"/>
        <v/>
      </c>
      <c r="BA14" s="451" t="str">
        <f t="shared" si="2"/>
        <v/>
      </c>
      <c r="BB14" s="452" t="str">
        <f t="shared" si="3"/>
        <v/>
      </c>
      <c r="BC14" s="452" t="str">
        <f t="shared" si="3"/>
        <v/>
      </c>
      <c r="BD14" s="452" t="str">
        <f t="shared" si="3"/>
        <v/>
      </c>
      <c r="BE14" s="453" t="str">
        <f t="shared" si="3"/>
        <v/>
      </c>
      <c r="BF14" s="451" t="str">
        <f t="shared" si="3"/>
        <v/>
      </c>
      <c r="BG14" s="452" t="str">
        <f t="shared" si="3"/>
        <v/>
      </c>
      <c r="BH14" s="452" t="str">
        <f t="shared" si="3"/>
        <v/>
      </c>
      <c r="BI14" s="452" t="str">
        <f t="shared" si="3"/>
        <v/>
      </c>
      <c r="BJ14" s="453" t="str">
        <f t="shared" si="3"/>
        <v/>
      </c>
      <c r="BK14" s="451" t="str">
        <f t="shared" si="3"/>
        <v/>
      </c>
      <c r="BL14" s="452" t="str">
        <f t="shared" si="3"/>
        <v/>
      </c>
      <c r="BM14" s="452" t="str">
        <f t="shared" si="3"/>
        <v/>
      </c>
      <c r="BN14" s="452" t="str">
        <f t="shared" si="3"/>
        <v/>
      </c>
      <c r="BO14" s="453" t="str">
        <f t="shared" si="3"/>
        <v/>
      </c>
      <c r="BP14" s="451" t="str">
        <f t="shared" si="3"/>
        <v/>
      </c>
      <c r="BQ14" s="452" t="str">
        <f t="shared" si="3"/>
        <v/>
      </c>
      <c r="BR14" s="452" t="str">
        <f t="shared" si="4"/>
        <v/>
      </c>
      <c r="BS14" s="452" t="str">
        <f t="shared" si="4"/>
        <v/>
      </c>
      <c r="BT14" s="453" t="str">
        <f t="shared" si="4"/>
        <v/>
      </c>
      <c r="BU14" s="451" t="str">
        <f t="shared" si="4"/>
        <v/>
      </c>
      <c r="BV14" s="452" t="str">
        <f t="shared" si="4"/>
        <v/>
      </c>
      <c r="BW14" s="452" t="str">
        <f t="shared" si="4"/>
        <v/>
      </c>
      <c r="BX14" s="452" t="str">
        <f t="shared" si="4"/>
        <v/>
      </c>
      <c r="BY14" s="453" t="str">
        <f t="shared" si="4"/>
        <v/>
      </c>
      <c r="BZ14" s="451" t="str">
        <f t="shared" si="4"/>
        <v/>
      </c>
      <c r="CA14" s="452" t="str">
        <f t="shared" si="4"/>
        <v/>
      </c>
      <c r="CB14" s="452" t="str">
        <f t="shared" si="4"/>
        <v/>
      </c>
      <c r="CC14" s="452" t="str">
        <f t="shared" si="4"/>
        <v/>
      </c>
      <c r="CD14" s="453" t="str">
        <f t="shared" si="4"/>
        <v/>
      </c>
      <c r="CE14" s="451" t="str">
        <f t="shared" si="4"/>
        <v/>
      </c>
      <c r="CF14" s="452" t="str">
        <f t="shared" si="4"/>
        <v/>
      </c>
      <c r="CG14" s="452" t="str">
        <f t="shared" si="4"/>
        <v/>
      </c>
      <c r="CH14" s="452" t="str">
        <f t="shared" si="5"/>
        <v/>
      </c>
      <c r="CI14" s="453" t="str">
        <f t="shared" si="5"/>
        <v/>
      </c>
      <c r="CJ14" s="451" t="str">
        <f t="shared" si="5"/>
        <v/>
      </c>
      <c r="CK14" s="452" t="str">
        <f t="shared" si="5"/>
        <v/>
      </c>
      <c r="CL14" s="452" t="str">
        <f t="shared" si="5"/>
        <v/>
      </c>
      <c r="CM14" s="452" t="str">
        <f t="shared" si="5"/>
        <v/>
      </c>
      <c r="CN14" s="453" t="str">
        <f t="shared" si="5"/>
        <v/>
      </c>
      <c r="CO14" s="451" t="str">
        <f t="shared" si="5"/>
        <v/>
      </c>
      <c r="CP14" s="452" t="str">
        <f t="shared" si="5"/>
        <v/>
      </c>
      <c r="CQ14" s="452" t="str">
        <f t="shared" si="5"/>
        <v/>
      </c>
      <c r="CR14" s="452" t="str">
        <f t="shared" si="5"/>
        <v/>
      </c>
      <c r="CS14" s="453" t="str">
        <f t="shared" si="5"/>
        <v/>
      </c>
      <c r="CT14" s="451" t="str">
        <f t="shared" si="5"/>
        <v/>
      </c>
      <c r="CU14" s="452" t="str">
        <f t="shared" si="5"/>
        <v/>
      </c>
      <c r="CV14" s="452" t="str">
        <f t="shared" si="5"/>
        <v/>
      </c>
      <c r="CW14" s="452" t="str">
        <f t="shared" si="5"/>
        <v/>
      </c>
      <c r="CX14" s="453" t="str">
        <f t="shared" si="6"/>
        <v/>
      </c>
      <c r="CY14" s="451" t="str">
        <f t="shared" si="6"/>
        <v/>
      </c>
      <c r="CZ14" s="452" t="str">
        <f t="shared" si="6"/>
        <v/>
      </c>
      <c r="DA14" s="452" t="str">
        <f t="shared" si="6"/>
        <v/>
      </c>
      <c r="DB14" s="452" t="str">
        <f t="shared" si="6"/>
        <v/>
      </c>
      <c r="DC14" s="453" t="str">
        <f t="shared" si="6"/>
        <v/>
      </c>
      <c r="DD14" s="451" t="str">
        <f t="shared" si="6"/>
        <v/>
      </c>
      <c r="DE14" s="452" t="str">
        <f t="shared" si="6"/>
        <v/>
      </c>
      <c r="DF14" s="452" t="str">
        <f t="shared" si="6"/>
        <v/>
      </c>
      <c r="DG14" s="452" t="str">
        <f t="shared" si="6"/>
        <v/>
      </c>
      <c r="DH14" s="453" t="str">
        <f t="shared" si="6"/>
        <v/>
      </c>
      <c r="DI14" s="451" t="str">
        <f t="shared" si="6"/>
        <v/>
      </c>
      <c r="DJ14" s="452" t="str">
        <f t="shared" si="6"/>
        <v/>
      </c>
      <c r="DK14" s="452" t="str">
        <f t="shared" si="6"/>
        <v/>
      </c>
      <c r="DL14" s="452" t="str">
        <f t="shared" si="6"/>
        <v/>
      </c>
      <c r="DM14" s="453" t="str">
        <f t="shared" si="6"/>
        <v/>
      </c>
      <c r="DN14" s="451" t="str">
        <f t="shared" si="19"/>
        <v/>
      </c>
      <c r="DO14" s="452" t="str">
        <f t="shared" si="19"/>
        <v/>
      </c>
      <c r="DP14" s="452" t="str">
        <f t="shared" si="19"/>
        <v/>
      </c>
      <c r="DQ14" s="452" t="str">
        <f t="shared" si="19"/>
        <v/>
      </c>
      <c r="DR14" s="453" t="str">
        <f t="shared" si="19"/>
        <v/>
      </c>
      <c r="DS14" s="451" t="str">
        <f t="shared" si="19"/>
        <v/>
      </c>
      <c r="DT14" s="452" t="str">
        <f t="shared" si="19"/>
        <v/>
      </c>
      <c r="DU14" s="452" t="str">
        <f t="shared" si="19"/>
        <v/>
      </c>
      <c r="DV14" s="452" t="str">
        <f t="shared" si="19"/>
        <v/>
      </c>
      <c r="DW14" s="453" t="str">
        <f t="shared" si="19"/>
        <v/>
      </c>
      <c r="DX14" s="451" t="str">
        <f t="shared" si="19"/>
        <v/>
      </c>
      <c r="DY14" s="452" t="str">
        <f t="shared" si="19"/>
        <v/>
      </c>
      <c r="DZ14" s="452" t="str">
        <f t="shared" si="19"/>
        <v/>
      </c>
      <c r="EA14" s="452" t="str">
        <f t="shared" si="19"/>
        <v/>
      </c>
      <c r="EB14" s="453" t="str">
        <f t="shared" si="19"/>
        <v/>
      </c>
      <c r="EC14" s="451" t="str">
        <f t="shared" si="19"/>
        <v/>
      </c>
      <c r="ED14" s="452" t="str">
        <f t="shared" si="20"/>
        <v/>
      </c>
      <c r="EE14" s="452" t="str">
        <f t="shared" si="20"/>
        <v/>
      </c>
      <c r="EF14" s="452" t="str">
        <f t="shared" si="20"/>
        <v/>
      </c>
      <c r="EG14" s="453" t="str">
        <f t="shared" si="20"/>
        <v/>
      </c>
      <c r="EH14" s="451" t="str">
        <f t="shared" si="20"/>
        <v/>
      </c>
      <c r="EI14" s="452" t="str">
        <f t="shared" si="20"/>
        <v/>
      </c>
      <c r="EJ14" s="452" t="str">
        <f t="shared" si="20"/>
        <v/>
      </c>
      <c r="EK14" s="452" t="str">
        <f t="shared" si="20"/>
        <v/>
      </c>
      <c r="EL14" s="453" t="str">
        <f t="shared" si="20"/>
        <v/>
      </c>
      <c r="EM14" s="451" t="str">
        <f t="shared" si="20"/>
        <v/>
      </c>
      <c r="EN14" s="452" t="str">
        <f t="shared" si="20"/>
        <v/>
      </c>
      <c r="EO14" s="452" t="str">
        <f t="shared" si="20"/>
        <v/>
      </c>
      <c r="EP14" s="452" t="str">
        <f t="shared" si="20"/>
        <v/>
      </c>
      <c r="EQ14" s="453" t="str">
        <f t="shared" si="20"/>
        <v/>
      </c>
      <c r="ER14" s="451" t="str">
        <f t="shared" si="20"/>
        <v/>
      </c>
      <c r="ES14" s="452" t="str">
        <f t="shared" si="20"/>
        <v/>
      </c>
      <c r="ET14" s="452" t="str">
        <f t="shared" si="21"/>
        <v/>
      </c>
      <c r="EU14" s="452" t="str">
        <f t="shared" si="21"/>
        <v/>
      </c>
      <c r="EV14" s="453" t="str">
        <f t="shared" si="21"/>
        <v/>
      </c>
      <c r="EW14" s="451" t="str">
        <f t="shared" si="21"/>
        <v/>
      </c>
      <c r="EX14" s="452" t="str">
        <f t="shared" si="21"/>
        <v/>
      </c>
      <c r="EY14" s="452" t="str">
        <f t="shared" si="21"/>
        <v/>
      </c>
      <c r="EZ14" s="452" t="str">
        <f t="shared" si="21"/>
        <v/>
      </c>
      <c r="FA14" s="453" t="str">
        <f t="shared" si="21"/>
        <v/>
      </c>
      <c r="FB14" s="451" t="str">
        <f t="shared" si="21"/>
        <v/>
      </c>
      <c r="FC14" s="452" t="str">
        <f t="shared" si="21"/>
        <v/>
      </c>
      <c r="FD14" s="452" t="str">
        <f t="shared" si="21"/>
        <v/>
      </c>
      <c r="FE14" s="452" t="str">
        <f t="shared" si="21"/>
        <v/>
      </c>
      <c r="FF14" s="453" t="str">
        <f t="shared" si="21"/>
        <v/>
      </c>
      <c r="FG14" s="451" t="str">
        <f t="shared" si="21"/>
        <v/>
      </c>
      <c r="FH14" s="452" t="str">
        <f t="shared" si="21"/>
        <v/>
      </c>
      <c r="FI14" s="452" t="str">
        <f t="shared" si="21"/>
        <v/>
      </c>
      <c r="FJ14" s="452" t="str">
        <f t="shared" si="22"/>
        <v/>
      </c>
      <c r="FK14" s="453" t="str">
        <f t="shared" si="22"/>
        <v/>
      </c>
      <c r="FL14" s="451" t="str">
        <f t="shared" si="22"/>
        <v/>
      </c>
      <c r="FM14" s="452" t="str">
        <f t="shared" si="22"/>
        <v/>
      </c>
      <c r="FN14" s="452" t="str">
        <f t="shared" si="22"/>
        <v/>
      </c>
      <c r="FO14" s="452" t="str">
        <f t="shared" si="22"/>
        <v/>
      </c>
      <c r="FP14" s="453" t="str">
        <f t="shared" si="22"/>
        <v/>
      </c>
      <c r="FQ14" s="451" t="str">
        <f t="shared" si="22"/>
        <v/>
      </c>
      <c r="FR14" s="452" t="str">
        <f t="shared" si="22"/>
        <v/>
      </c>
      <c r="FS14" s="452" t="str">
        <f t="shared" si="22"/>
        <v/>
      </c>
      <c r="FT14" s="452" t="str">
        <f t="shared" si="22"/>
        <v/>
      </c>
      <c r="FU14" s="453" t="str">
        <f t="shared" si="22"/>
        <v/>
      </c>
      <c r="FV14" s="451" t="str">
        <f t="shared" si="22"/>
        <v/>
      </c>
      <c r="FW14" s="452" t="str">
        <f t="shared" si="22"/>
        <v/>
      </c>
      <c r="FX14" s="452" t="str">
        <f t="shared" si="22"/>
        <v/>
      </c>
      <c r="FY14" s="452" t="str">
        <f t="shared" si="22"/>
        <v/>
      </c>
      <c r="FZ14" s="453" t="str">
        <f t="shared" si="18"/>
        <v/>
      </c>
      <c r="GA14" s="451" t="str">
        <f t="shared" si="18"/>
        <v/>
      </c>
      <c r="GB14" s="452" t="str">
        <f t="shared" si="18"/>
        <v/>
      </c>
      <c r="GC14" s="452" t="str">
        <f t="shared" si="18"/>
        <v/>
      </c>
      <c r="GD14" s="452" t="str">
        <f t="shared" si="18"/>
        <v/>
      </c>
      <c r="GE14" s="453" t="str">
        <f t="shared" si="18"/>
        <v/>
      </c>
      <c r="GF14" s="451" t="str">
        <f t="shared" si="18"/>
        <v/>
      </c>
      <c r="GG14" s="452" t="str">
        <f t="shared" si="12"/>
        <v/>
      </c>
      <c r="GH14" s="452" t="str">
        <f t="shared" si="12"/>
        <v/>
      </c>
      <c r="GI14" s="452" t="str">
        <f t="shared" si="12"/>
        <v/>
      </c>
      <c r="GJ14" s="453" t="str">
        <f t="shared" si="12"/>
        <v/>
      </c>
      <c r="GK14" s="451" t="str">
        <f t="shared" si="18"/>
        <v/>
      </c>
      <c r="GL14" s="452" t="str">
        <f t="shared" si="12"/>
        <v/>
      </c>
      <c r="GM14" s="452" t="str">
        <f t="shared" si="12"/>
        <v/>
      </c>
      <c r="GN14" s="452" t="str">
        <f t="shared" si="12"/>
        <v/>
      </c>
      <c r="GO14" s="453" t="str">
        <f t="shared" si="12"/>
        <v/>
      </c>
      <c r="GP14" s="451" t="str">
        <f t="shared" si="14"/>
        <v/>
      </c>
      <c r="GQ14" s="452" t="str">
        <f t="shared" si="14"/>
        <v/>
      </c>
      <c r="GR14" s="452" t="str">
        <f t="shared" si="14"/>
        <v/>
      </c>
      <c r="GS14" s="452" t="str">
        <f t="shared" si="14"/>
        <v/>
      </c>
      <c r="GT14" s="453" t="str">
        <f t="shared" si="14"/>
        <v/>
      </c>
      <c r="GU14" s="451" t="str">
        <f t="shared" si="14"/>
        <v/>
      </c>
      <c r="GV14" s="452" t="str">
        <f t="shared" si="14"/>
        <v/>
      </c>
      <c r="GW14" s="452" t="str">
        <f t="shared" si="14"/>
        <v/>
      </c>
      <c r="GX14" s="452" t="str">
        <f t="shared" si="14"/>
        <v/>
      </c>
      <c r="GY14" s="453" t="str">
        <f t="shared" si="14"/>
        <v/>
      </c>
      <c r="GZ14" s="451" t="str">
        <f t="shared" si="14"/>
        <v/>
      </c>
      <c r="HA14" s="452" t="str">
        <f t="shared" si="14"/>
        <v/>
      </c>
      <c r="HB14" s="452" t="str">
        <f t="shared" si="14"/>
        <v/>
      </c>
      <c r="HC14" s="452" t="str">
        <f t="shared" si="14"/>
        <v/>
      </c>
      <c r="HD14" s="453" t="str">
        <f t="shared" si="14"/>
        <v/>
      </c>
      <c r="HE14" s="451" t="str">
        <f t="shared" si="15"/>
        <v/>
      </c>
      <c r="HF14" s="452" t="str">
        <f t="shared" si="15"/>
        <v/>
      </c>
      <c r="HG14" s="452" t="str">
        <f t="shared" si="15"/>
        <v/>
      </c>
      <c r="HH14" s="452" t="str">
        <f t="shared" si="15"/>
        <v/>
      </c>
      <c r="HI14" s="453" t="str">
        <f t="shared" si="15"/>
        <v/>
      </c>
      <c r="HJ14" s="451" t="str">
        <f t="shared" si="15"/>
        <v/>
      </c>
      <c r="HK14" s="452" t="str">
        <f t="shared" si="15"/>
        <v/>
      </c>
      <c r="HL14" s="452" t="str">
        <f t="shared" si="15"/>
        <v/>
      </c>
      <c r="HM14" s="452" t="str">
        <f t="shared" si="15"/>
        <v/>
      </c>
      <c r="HN14" s="453" t="str">
        <f t="shared" si="15"/>
        <v/>
      </c>
      <c r="HO14" s="451" t="str">
        <f t="shared" si="15"/>
        <v/>
      </c>
      <c r="HP14" s="452" t="str">
        <f t="shared" si="15"/>
        <v/>
      </c>
      <c r="HQ14" s="452" t="str">
        <f t="shared" si="15"/>
        <v/>
      </c>
      <c r="HR14" s="452" t="str">
        <f t="shared" si="15"/>
        <v/>
      </c>
      <c r="HS14" s="453" t="str">
        <f t="shared" si="15"/>
        <v/>
      </c>
      <c r="HT14" s="451" t="str">
        <f t="shared" si="15"/>
        <v/>
      </c>
      <c r="HU14" s="452" t="str">
        <f t="shared" si="16"/>
        <v/>
      </c>
      <c r="HV14" s="452" t="str">
        <f t="shared" si="16"/>
        <v/>
      </c>
      <c r="HW14" s="452" t="str">
        <f t="shared" si="16"/>
        <v/>
      </c>
      <c r="HX14" s="453" t="str">
        <f t="shared" si="16"/>
        <v/>
      </c>
      <c r="HY14" s="451" t="str">
        <f t="shared" si="16"/>
        <v/>
      </c>
      <c r="HZ14" s="452" t="str">
        <f t="shared" si="16"/>
        <v/>
      </c>
      <c r="IA14" s="452" t="str">
        <f t="shared" si="16"/>
        <v/>
      </c>
      <c r="IB14" s="452" t="str">
        <f t="shared" si="16"/>
        <v/>
      </c>
      <c r="IC14" s="453" t="str">
        <f t="shared" si="16"/>
        <v/>
      </c>
      <c r="ID14" s="451" t="str">
        <f t="shared" si="16"/>
        <v/>
      </c>
      <c r="IE14" s="452" t="str">
        <f t="shared" si="16"/>
        <v/>
      </c>
      <c r="IF14" s="452" t="str">
        <f t="shared" si="16"/>
        <v/>
      </c>
      <c r="IG14" s="452" t="str">
        <f t="shared" si="16"/>
        <v/>
      </c>
      <c r="IH14" s="453" t="str">
        <f t="shared" si="16"/>
        <v/>
      </c>
      <c r="II14" s="451" t="str">
        <f t="shared" si="16"/>
        <v/>
      </c>
      <c r="IJ14" s="452" t="str">
        <f t="shared" si="16"/>
        <v/>
      </c>
      <c r="IK14" s="452" t="str">
        <f t="shared" si="17"/>
        <v/>
      </c>
      <c r="IL14" s="452" t="str">
        <f t="shared" si="17"/>
        <v/>
      </c>
      <c r="IM14" s="453" t="str">
        <f t="shared" si="17"/>
        <v/>
      </c>
      <c r="IN14" s="451" t="str">
        <f t="shared" si="17"/>
        <v/>
      </c>
      <c r="IO14" s="452" t="str">
        <f t="shared" si="17"/>
        <v/>
      </c>
      <c r="IP14" s="452" t="str">
        <f t="shared" si="17"/>
        <v/>
      </c>
      <c r="IQ14" s="452" t="str">
        <f t="shared" si="17"/>
        <v/>
      </c>
      <c r="IR14" s="453" t="str">
        <f t="shared" si="17"/>
        <v/>
      </c>
    </row>
    <row r="15" spans="1:253" x14ac:dyDescent="0.2">
      <c r="A15" s="455">
        <v>2</v>
      </c>
      <c r="B15" s="456"/>
      <c r="C15" s="456" t="str">
        <f>Breakdown!$A10</f>
        <v>Package 1 Boiler room</v>
      </c>
      <c r="D15" s="457"/>
      <c r="E15" s="437" t="str">
        <f>IF(E16="","",MIN(E16:E25))</f>
        <v/>
      </c>
      <c r="F15" s="437" t="str">
        <f>IF(F16="","",MAX(F16:F25))</f>
        <v/>
      </c>
      <c r="G15" s="437"/>
      <c r="H15" s="437"/>
      <c r="I15" s="458"/>
      <c r="J15" s="459">
        <f>MIN(J16:J25)</f>
        <v>0</v>
      </c>
      <c r="K15" s="459">
        <f>MAX(K16:K25)</f>
        <v>0</v>
      </c>
      <c r="L15" s="460">
        <f t="shared" si="0"/>
        <v>0</v>
      </c>
      <c r="M15" s="451" t="str">
        <f t="shared" ref="M15:AB32" si="24">IF(AND(M$2&gt;=$J15,M$2&lt;=$K15),1,"")</f>
        <v/>
      </c>
      <c r="N15" s="452" t="str">
        <f t="shared" si="24"/>
        <v/>
      </c>
      <c r="O15" s="452" t="str">
        <f t="shared" si="24"/>
        <v/>
      </c>
      <c r="P15" s="452" t="str">
        <f t="shared" si="24"/>
        <v/>
      </c>
      <c r="Q15" s="453" t="str">
        <f t="shared" si="24"/>
        <v/>
      </c>
      <c r="R15" s="451" t="str">
        <f t="shared" si="24"/>
        <v/>
      </c>
      <c r="S15" s="452" t="str">
        <f t="shared" si="24"/>
        <v/>
      </c>
      <c r="T15" s="452" t="str">
        <f t="shared" si="24"/>
        <v/>
      </c>
      <c r="U15" s="452" t="str">
        <f t="shared" si="24"/>
        <v/>
      </c>
      <c r="V15" s="453" t="str">
        <f t="shared" si="24"/>
        <v/>
      </c>
      <c r="W15" s="451" t="str">
        <f t="shared" si="24"/>
        <v/>
      </c>
      <c r="X15" s="452" t="str">
        <f t="shared" si="24"/>
        <v/>
      </c>
      <c r="Y15" s="452" t="str">
        <f t="shared" si="24"/>
        <v/>
      </c>
      <c r="Z15" s="452" t="str">
        <f t="shared" si="24"/>
        <v/>
      </c>
      <c r="AA15" s="453" t="str">
        <f t="shared" si="24"/>
        <v/>
      </c>
      <c r="AB15" s="451" t="str">
        <f t="shared" si="24"/>
        <v/>
      </c>
      <c r="AC15" s="452" t="str">
        <f t="shared" si="23"/>
        <v/>
      </c>
      <c r="AD15" s="452" t="str">
        <f t="shared" si="23"/>
        <v/>
      </c>
      <c r="AE15" s="452" t="str">
        <f t="shared" si="23"/>
        <v/>
      </c>
      <c r="AF15" s="453" t="str">
        <f t="shared" si="23"/>
        <v/>
      </c>
      <c r="AG15" s="451" t="str">
        <f t="shared" si="23"/>
        <v/>
      </c>
      <c r="AH15" s="452" t="str">
        <f t="shared" si="23"/>
        <v/>
      </c>
      <c r="AI15" s="452" t="str">
        <f t="shared" si="23"/>
        <v/>
      </c>
      <c r="AJ15" s="452" t="str">
        <f t="shared" si="23"/>
        <v/>
      </c>
      <c r="AK15" s="453" t="str">
        <f t="shared" si="23"/>
        <v/>
      </c>
      <c r="AL15" s="451" t="str">
        <f t="shared" si="2"/>
        <v/>
      </c>
      <c r="AM15" s="452" t="str">
        <f t="shared" si="2"/>
        <v/>
      </c>
      <c r="AN15" s="452" t="str">
        <f t="shared" si="2"/>
        <v/>
      </c>
      <c r="AO15" s="452" t="str">
        <f t="shared" si="2"/>
        <v/>
      </c>
      <c r="AP15" s="453" t="str">
        <f t="shared" si="2"/>
        <v/>
      </c>
      <c r="AQ15" s="451" t="str">
        <f t="shared" si="2"/>
        <v/>
      </c>
      <c r="AR15" s="452" t="str">
        <f t="shared" si="2"/>
        <v/>
      </c>
      <c r="AS15" s="452" t="str">
        <f t="shared" si="2"/>
        <v/>
      </c>
      <c r="AT15" s="452" t="str">
        <f t="shared" si="2"/>
        <v/>
      </c>
      <c r="AU15" s="453" t="str">
        <f t="shared" si="2"/>
        <v/>
      </c>
      <c r="AV15" s="451" t="str">
        <f t="shared" si="2"/>
        <v/>
      </c>
      <c r="AW15" s="452" t="str">
        <f t="shared" si="2"/>
        <v/>
      </c>
      <c r="AX15" s="452" t="str">
        <f t="shared" si="2"/>
        <v/>
      </c>
      <c r="AY15" s="452" t="str">
        <f t="shared" si="2"/>
        <v/>
      </c>
      <c r="AZ15" s="453" t="str">
        <f t="shared" si="2"/>
        <v/>
      </c>
      <c r="BA15" s="451" t="str">
        <f t="shared" si="2"/>
        <v/>
      </c>
      <c r="BB15" s="452" t="str">
        <f t="shared" si="3"/>
        <v/>
      </c>
      <c r="BC15" s="452" t="str">
        <f t="shared" si="3"/>
        <v/>
      </c>
      <c r="BD15" s="452" t="str">
        <f t="shared" si="3"/>
        <v/>
      </c>
      <c r="BE15" s="453" t="str">
        <f t="shared" si="3"/>
        <v/>
      </c>
      <c r="BF15" s="451" t="str">
        <f t="shared" si="3"/>
        <v/>
      </c>
      <c r="BG15" s="452" t="str">
        <f t="shared" si="3"/>
        <v/>
      </c>
      <c r="BH15" s="452" t="str">
        <f t="shared" si="3"/>
        <v/>
      </c>
      <c r="BI15" s="452" t="str">
        <f t="shared" si="3"/>
        <v/>
      </c>
      <c r="BJ15" s="453" t="str">
        <f t="shared" si="3"/>
        <v/>
      </c>
      <c r="BK15" s="451" t="str">
        <f t="shared" si="3"/>
        <v/>
      </c>
      <c r="BL15" s="452" t="str">
        <f t="shared" si="3"/>
        <v/>
      </c>
      <c r="BM15" s="452" t="str">
        <f t="shared" si="3"/>
        <v/>
      </c>
      <c r="BN15" s="452" t="str">
        <f t="shared" si="3"/>
        <v/>
      </c>
      <c r="BO15" s="453" t="str">
        <f t="shared" si="3"/>
        <v/>
      </c>
      <c r="BP15" s="451" t="str">
        <f t="shared" si="3"/>
        <v/>
      </c>
      <c r="BQ15" s="452" t="str">
        <f t="shared" si="3"/>
        <v/>
      </c>
      <c r="BR15" s="452" t="str">
        <f t="shared" si="4"/>
        <v/>
      </c>
      <c r="BS15" s="452" t="str">
        <f t="shared" si="4"/>
        <v/>
      </c>
      <c r="BT15" s="453" t="str">
        <f t="shared" si="4"/>
        <v/>
      </c>
      <c r="BU15" s="451" t="str">
        <f t="shared" si="4"/>
        <v/>
      </c>
      <c r="BV15" s="452" t="str">
        <f t="shared" si="4"/>
        <v/>
      </c>
      <c r="BW15" s="452" t="str">
        <f t="shared" si="4"/>
        <v/>
      </c>
      <c r="BX15" s="452" t="str">
        <f t="shared" si="4"/>
        <v/>
      </c>
      <c r="BY15" s="453" t="str">
        <f t="shared" si="4"/>
        <v/>
      </c>
      <c r="BZ15" s="451" t="str">
        <f t="shared" si="4"/>
        <v/>
      </c>
      <c r="CA15" s="452" t="str">
        <f t="shared" si="4"/>
        <v/>
      </c>
      <c r="CB15" s="452" t="str">
        <f t="shared" si="4"/>
        <v/>
      </c>
      <c r="CC15" s="452" t="str">
        <f t="shared" si="4"/>
        <v/>
      </c>
      <c r="CD15" s="453" t="str">
        <f t="shared" si="4"/>
        <v/>
      </c>
      <c r="CE15" s="451" t="str">
        <f t="shared" si="4"/>
        <v/>
      </c>
      <c r="CF15" s="452" t="str">
        <f t="shared" si="4"/>
        <v/>
      </c>
      <c r="CG15" s="452" t="str">
        <f t="shared" si="4"/>
        <v/>
      </c>
      <c r="CH15" s="452" t="str">
        <f t="shared" si="5"/>
        <v/>
      </c>
      <c r="CI15" s="453" t="str">
        <f t="shared" si="5"/>
        <v/>
      </c>
      <c r="CJ15" s="451" t="str">
        <f t="shared" si="5"/>
        <v/>
      </c>
      <c r="CK15" s="452" t="str">
        <f t="shared" si="5"/>
        <v/>
      </c>
      <c r="CL15" s="452" t="str">
        <f t="shared" si="5"/>
        <v/>
      </c>
      <c r="CM15" s="452" t="str">
        <f t="shared" si="5"/>
        <v/>
      </c>
      <c r="CN15" s="453" t="str">
        <f t="shared" si="5"/>
        <v/>
      </c>
      <c r="CO15" s="451" t="str">
        <f t="shared" si="5"/>
        <v/>
      </c>
      <c r="CP15" s="452" t="str">
        <f t="shared" si="5"/>
        <v/>
      </c>
      <c r="CQ15" s="452" t="str">
        <f t="shared" si="5"/>
        <v/>
      </c>
      <c r="CR15" s="452" t="str">
        <f t="shared" si="5"/>
        <v/>
      </c>
      <c r="CS15" s="453" t="str">
        <f t="shared" si="5"/>
        <v/>
      </c>
      <c r="CT15" s="451" t="str">
        <f t="shared" si="5"/>
        <v/>
      </c>
      <c r="CU15" s="452" t="str">
        <f t="shared" si="5"/>
        <v/>
      </c>
      <c r="CV15" s="452" t="str">
        <f t="shared" si="5"/>
        <v/>
      </c>
      <c r="CW15" s="452" t="str">
        <f t="shared" si="5"/>
        <v/>
      </c>
      <c r="CX15" s="453" t="str">
        <f t="shared" si="6"/>
        <v/>
      </c>
      <c r="CY15" s="451" t="str">
        <f t="shared" si="6"/>
        <v/>
      </c>
      <c r="CZ15" s="452" t="str">
        <f t="shared" si="6"/>
        <v/>
      </c>
      <c r="DA15" s="452" t="str">
        <f t="shared" si="6"/>
        <v/>
      </c>
      <c r="DB15" s="452" t="str">
        <f t="shared" si="6"/>
        <v/>
      </c>
      <c r="DC15" s="453" t="str">
        <f t="shared" si="6"/>
        <v/>
      </c>
      <c r="DD15" s="451" t="str">
        <f t="shared" si="6"/>
        <v/>
      </c>
      <c r="DE15" s="452" t="str">
        <f t="shared" si="6"/>
        <v/>
      </c>
      <c r="DF15" s="452" t="str">
        <f t="shared" si="6"/>
        <v/>
      </c>
      <c r="DG15" s="452" t="str">
        <f t="shared" si="6"/>
        <v/>
      </c>
      <c r="DH15" s="453" t="str">
        <f t="shared" si="6"/>
        <v/>
      </c>
      <c r="DI15" s="451" t="str">
        <f t="shared" si="6"/>
        <v/>
      </c>
      <c r="DJ15" s="452" t="str">
        <f t="shared" si="6"/>
        <v/>
      </c>
      <c r="DK15" s="452" t="str">
        <f t="shared" si="6"/>
        <v/>
      </c>
      <c r="DL15" s="452" t="str">
        <f t="shared" si="6"/>
        <v/>
      </c>
      <c r="DM15" s="453" t="str">
        <f t="shared" si="6"/>
        <v/>
      </c>
      <c r="DN15" s="451" t="str">
        <f t="shared" si="19"/>
        <v/>
      </c>
      <c r="DO15" s="452" t="str">
        <f t="shared" si="19"/>
        <v/>
      </c>
      <c r="DP15" s="452" t="str">
        <f t="shared" si="19"/>
        <v/>
      </c>
      <c r="DQ15" s="452" t="str">
        <f t="shared" si="19"/>
        <v/>
      </c>
      <c r="DR15" s="453" t="str">
        <f t="shared" si="19"/>
        <v/>
      </c>
      <c r="DS15" s="451" t="str">
        <f t="shared" si="19"/>
        <v/>
      </c>
      <c r="DT15" s="452" t="str">
        <f t="shared" si="19"/>
        <v/>
      </c>
      <c r="DU15" s="452" t="str">
        <f t="shared" si="19"/>
        <v/>
      </c>
      <c r="DV15" s="452" t="str">
        <f t="shared" si="19"/>
        <v/>
      </c>
      <c r="DW15" s="453" t="str">
        <f t="shared" si="19"/>
        <v/>
      </c>
      <c r="DX15" s="451" t="str">
        <f t="shared" si="19"/>
        <v/>
      </c>
      <c r="DY15" s="452" t="str">
        <f t="shared" si="19"/>
        <v/>
      </c>
      <c r="DZ15" s="452" t="str">
        <f t="shared" si="19"/>
        <v/>
      </c>
      <c r="EA15" s="452" t="str">
        <f t="shared" si="19"/>
        <v/>
      </c>
      <c r="EB15" s="453" t="str">
        <f t="shared" si="19"/>
        <v/>
      </c>
      <c r="EC15" s="451" t="str">
        <f t="shared" si="19"/>
        <v/>
      </c>
      <c r="ED15" s="452" t="str">
        <f t="shared" si="20"/>
        <v/>
      </c>
      <c r="EE15" s="452" t="str">
        <f t="shared" si="20"/>
        <v/>
      </c>
      <c r="EF15" s="452" t="str">
        <f t="shared" si="20"/>
        <v/>
      </c>
      <c r="EG15" s="453" t="str">
        <f t="shared" si="20"/>
        <v/>
      </c>
      <c r="EH15" s="451" t="str">
        <f t="shared" si="20"/>
        <v/>
      </c>
      <c r="EI15" s="452" t="str">
        <f t="shared" si="20"/>
        <v/>
      </c>
      <c r="EJ15" s="452" t="str">
        <f t="shared" si="20"/>
        <v/>
      </c>
      <c r="EK15" s="452" t="str">
        <f t="shared" si="20"/>
        <v/>
      </c>
      <c r="EL15" s="453" t="str">
        <f t="shared" si="20"/>
        <v/>
      </c>
      <c r="EM15" s="451" t="str">
        <f t="shared" si="20"/>
        <v/>
      </c>
      <c r="EN15" s="452" t="str">
        <f t="shared" si="20"/>
        <v/>
      </c>
      <c r="EO15" s="452" t="str">
        <f t="shared" si="20"/>
        <v/>
      </c>
      <c r="EP15" s="452" t="str">
        <f t="shared" si="20"/>
        <v/>
      </c>
      <c r="EQ15" s="453" t="str">
        <f t="shared" si="20"/>
        <v/>
      </c>
      <c r="ER15" s="451" t="str">
        <f t="shared" si="20"/>
        <v/>
      </c>
      <c r="ES15" s="452" t="str">
        <f t="shared" si="20"/>
        <v/>
      </c>
      <c r="ET15" s="452" t="str">
        <f t="shared" si="21"/>
        <v/>
      </c>
      <c r="EU15" s="452" t="str">
        <f t="shared" si="21"/>
        <v/>
      </c>
      <c r="EV15" s="453" t="str">
        <f t="shared" si="21"/>
        <v/>
      </c>
      <c r="EW15" s="451" t="str">
        <f t="shared" si="21"/>
        <v/>
      </c>
      <c r="EX15" s="452" t="str">
        <f t="shared" si="21"/>
        <v/>
      </c>
      <c r="EY15" s="452" t="str">
        <f t="shared" si="21"/>
        <v/>
      </c>
      <c r="EZ15" s="452" t="str">
        <f t="shared" si="21"/>
        <v/>
      </c>
      <c r="FA15" s="453" t="str">
        <f t="shared" si="21"/>
        <v/>
      </c>
      <c r="FB15" s="451" t="str">
        <f t="shared" si="21"/>
        <v/>
      </c>
      <c r="FC15" s="452" t="str">
        <f t="shared" si="21"/>
        <v/>
      </c>
      <c r="FD15" s="452" t="str">
        <f t="shared" si="21"/>
        <v/>
      </c>
      <c r="FE15" s="452" t="str">
        <f t="shared" si="21"/>
        <v/>
      </c>
      <c r="FF15" s="453" t="str">
        <f t="shared" si="21"/>
        <v/>
      </c>
      <c r="FG15" s="451" t="str">
        <f t="shared" si="21"/>
        <v/>
      </c>
      <c r="FH15" s="452" t="str">
        <f t="shared" si="21"/>
        <v/>
      </c>
      <c r="FI15" s="452" t="str">
        <f t="shared" si="21"/>
        <v/>
      </c>
      <c r="FJ15" s="452" t="str">
        <f t="shared" si="22"/>
        <v/>
      </c>
      <c r="FK15" s="453" t="str">
        <f t="shared" si="22"/>
        <v/>
      </c>
      <c r="FL15" s="451" t="str">
        <f t="shared" si="22"/>
        <v/>
      </c>
      <c r="FM15" s="452" t="str">
        <f t="shared" si="22"/>
        <v/>
      </c>
      <c r="FN15" s="452" t="str">
        <f t="shared" si="22"/>
        <v/>
      </c>
      <c r="FO15" s="452" t="str">
        <f t="shared" si="22"/>
        <v/>
      </c>
      <c r="FP15" s="453" t="str">
        <f t="shared" si="22"/>
        <v/>
      </c>
      <c r="FQ15" s="451" t="str">
        <f t="shared" si="22"/>
        <v/>
      </c>
      <c r="FR15" s="452" t="str">
        <f t="shared" si="22"/>
        <v/>
      </c>
      <c r="FS15" s="452" t="str">
        <f t="shared" si="22"/>
        <v/>
      </c>
      <c r="FT15" s="452" t="str">
        <f t="shared" si="22"/>
        <v/>
      </c>
      <c r="FU15" s="453" t="str">
        <f t="shared" si="22"/>
        <v/>
      </c>
      <c r="FV15" s="451" t="str">
        <f t="shared" si="22"/>
        <v/>
      </c>
      <c r="FW15" s="452" t="str">
        <f t="shared" si="22"/>
        <v/>
      </c>
      <c r="FX15" s="452" t="str">
        <f t="shared" si="22"/>
        <v/>
      </c>
      <c r="FY15" s="452" t="str">
        <f t="shared" si="22"/>
        <v/>
      </c>
      <c r="FZ15" s="453" t="str">
        <f t="shared" si="18"/>
        <v/>
      </c>
      <c r="GA15" s="451" t="str">
        <f t="shared" si="18"/>
        <v/>
      </c>
      <c r="GB15" s="452" t="str">
        <f t="shared" si="18"/>
        <v/>
      </c>
      <c r="GC15" s="452" t="str">
        <f t="shared" si="18"/>
        <v/>
      </c>
      <c r="GD15" s="452" t="str">
        <f t="shared" si="18"/>
        <v/>
      </c>
      <c r="GE15" s="453" t="str">
        <f t="shared" si="18"/>
        <v/>
      </c>
      <c r="GF15" s="451" t="str">
        <f t="shared" si="18"/>
        <v/>
      </c>
      <c r="GG15" s="452" t="str">
        <f t="shared" si="12"/>
        <v/>
      </c>
      <c r="GH15" s="452" t="str">
        <f t="shared" si="12"/>
        <v/>
      </c>
      <c r="GI15" s="452" t="str">
        <f t="shared" si="12"/>
        <v/>
      </c>
      <c r="GJ15" s="453" t="str">
        <f t="shared" si="12"/>
        <v/>
      </c>
      <c r="GK15" s="451" t="str">
        <f t="shared" si="18"/>
        <v/>
      </c>
      <c r="GL15" s="452" t="str">
        <f t="shared" si="12"/>
        <v/>
      </c>
      <c r="GM15" s="452" t="str">
        <f t="shared" si="12"/>
        <v/>
      </c>
      <c r="GN15" s="452" t="str">
        <f t="shared" si="12"/>
        <v/>
      </c>
      <c r="GO15" s="453" t="str">
        <f t="shared" si="12"/>
        <v/>
      </c>
      <c r="GP15" s="451" t="str">
        <f t="shared" si="14"/>
        <v/>
      </c>
      <c r="GQ15" s="452" t="str">
        <f t="shared" si="14"/>
        <v/>
      </c>
      <c r="GR15" s="452" t="str">
        <f t="shared" si="14"/>
        <v/>
      </c>
      <c r="GS15" s="452" t="str">
        <f t="shared" si="14"/>
        <v/>
      </c>
      <c r="GT15" s="453" t="str">
        <f t="shared" si="14"/>
        <v/>
      </c>
      <c r="GU15" s="451" t="str">
        <f t="shared" si="14"/>
        <v/>
      </c>
      <c r="GV15" s="452" t="str">
        <f t="shared" si="14"/>
        <v/>
      </c>
      <c r="GW15" s="452" t="str">
        <f t="shared" si="14"/>
        <v/>
      </c>
      <c r="GX15" s="452" t="str">
        <f t="shared" si="14"/>
        <v/>
      </c>
      <c r="GY15" s="453" t="str">
        <f t="shared" si="14"/>
        <v/>
      </c>
      <c r="GZ15" s="451" t="str">
        <f t="shared" si="14"/>
        <v/>
      </c>
      <c r="HA15" s="452" t="str">
        <f t="shared" si="14"/>
        <v/>
      </c>
      <c r="HB15" s="452" t="str">
        <f t="shared" si="14"/>
        <v/>
      </c>
      <c r="HC15" s="452" t="str">
        <f t="shared" si="14"/>
        <v/>
      </c>
      <c r="HD15" s="453" t="str">
        <f t="shared" si="14"/>
        <v/>
      </c>
      <c r="HE15" s="451" t="str">
        <f t="shared" si="15"/>
        <v/>
      </c>
      <c r="HF15" s="452" t="str">
        <f t="shared" si="15"/>
        <v/>
      </c>
      <c r="HG15" s="452" t="str">
        <f t="shared" si="15"/>
        <v/>
      </c>
      <c r="HH15" s="452" t="str">
        <f t="shared" si="15"/>
        <v/>
      </c>
      <c r="HI15" s="453" t="str">
        <f t="shared" si="15"/>
        <v/>
      </c>
      <c r="HJ15" s="451" t="str">
        <f t="shared" si="15"/>
        <v/>
      </c>
      <c r="HK15" s="452" t="str">
        <f t="shared" si="15"/>
        <v/>
      </c>
      <c r="HL15" s="452" t="str">
        <f t="shared" si="15"/>
        <v/>
      </c>
      <c r="HM15" s="452" t="str">
        <f t="shared" si="15"/>
        <v/>
      </c>
      <c r="HN15" s="453" t="str">
        <f t="shared" si="15"/>
        <v/>
      </c>
      <c r="HO15" s="451" t="str">
        <f t="shared" si="15"/>
        <v/>
      </c>
      <c r="HP15" s="452" t="str">
        <f t="shared" si="15"/>
        <v/>
      </c>
      <c r="HQ15" s="452" t="str">
        <f t="shared" si="15"/>
        <v/>
      </c>
      <c r="HR15" s="452" t="str">
        <f t="shared" si="15"/>
        <v/>
      </c>
      <c r="HS15" s="453" t="str">
        <f t="shared" si="15"/>
        <v/>
      </c>
      <c r="HT15" s="451" t="str">
        <f t="shared" si="15"/>
        <v/>
      </c>
      <c r="HU15" s="452" t="str">
        <f t="shared" si="16"/>
        <v/>
      </c>
      <c r="HV15" s="452" t="str">
        <f t="shared" si="16"/>
        <v/>
      </c>
      <c r="HW15" s="452" t="str">
        <f t="shared" si="16"/>
        <v/>
      </c>
      <c r="HX15" s="453" t="str">
        <f t="shared" si="16"/>
        <v/>
      </c>
      <c r="HY15" s="451" t="str">
        <f t="shared" si="16"/>
        <v/>
      </c>
      <c r="HZ15" s="452" t="str">
        <f t="shared" si="16"/>
        <v/>
      </c>
      <c r="IA15" s="452" t="str">
        <f t="shared" si="16"/>
        <v/>
      </c>
      <c r="IB15" s="452" t="str">
        <f t="shared" si="16"/>
        <v/>
      </c>
      <c r="IC15" s="453" t="str">
        <f t="shared" si="16"/>
        <v/>
      </c>
      <c r="ID15" s="451" t="str">
        <f t="shared" si="16"/>
        <v/>
      </c>
      <c r="IE15" s="452" t="str">
        <f t="shared" si="16"/>
        <v/>
      </c>
      <c r="IF15" s="452" t="str">
        <f t="shared" si="16"/>
        <v/>
      </c>
      <c r="IG15" s="452" t="str">
        <f t="shared" si="16"/>
        <v/>
      </c>
      <c r="IH15" s="453" t="str">
        <f t="shared" si="16"/>
        <v/>
      </c>
      <c r="II15" s="451" t="str">
        <f t="shared" si="16"/>
        <v/>
      </c>
      <c r="IJ15" s="452" t="str">
        <f t="shared" si="16"/>
        <v/>
      </c>
      <c r="IK15" s="452" t="str">
        <f t="shared" si="17"/>
        <v/>
      </c>
      <c r="IL15" s="452" t="str">
        <f t="shared" si="17"/>
        <v/>
      </c>
      <c r="IM15" s="453" t="str">
        <f t="shared" si="17"/>
        <v/>
      </c>
      <c r="IN15" s="451" t="str">
        <f t="shared" si="17"/>
        <v/>
      </c>
      <c r="IO15" s="452" t="str">
        <f t="shared" si="17"/>
        <v/>
      </c>
      <c r="IP15" s="452" t="str">
        <f t="shared" si="17"/>
        <v/>
      </c>
      <c r="IQ15" s="452" t="str">
        <f t="shared" si="17"/>
        <v/>
      </c>
      <c r="IR15" s="453" t="str">
        <f t="shared" si="17"/>
        <v/>
      </c>
    </row>
    <row r="16" spans="1:253" x14ac:dyDescent="0.2">
      <c r="A16" s="461">
        <v>2.1</v>
      </c>
      <c r="C16" s="447" t="s">
        <v>1351</v>
      </c>
      <c r="D16" s="447"/>
      <c r="E16" s="448"/>
      <c r="F16" s="448"/>
      <c r="G16" s="448"/>
      <c r="H16" s="448"/>
      <c r="I16" s="448"/>
      <c r="J16" s="449" t="str">
        <f t="shared" ref="J16:J25" si="25">IF(E16="","",E16-$M$3+1)</f>
        <v/>
      </c>
      <c r="K16" s="449" t="str">
        <f t="shared" ref="K16:K25" si="26">IF(F16="","",F16-$M$3+1)</f>
        <v/>
      </c>
      <c r="L16" s="450">
        <f t="shared" si="0"/>
        <v>0</v>
      </c>
      <c r="M16" s="451" t="str">
        <f>IF(AND(M$2&gt;=$J16,M$2&lt;=$K16),1,"")</f>
        <v/>
      </c>
      <c r="N16" s="452" t="str">
        <f t="shared" si="24"/>
        <v/>
      </c>
      <c r="O16" s="452" t="str">
        <f t="shared" si="24"/>
        <v/>
      </c>
      <c r="P16" s="452" t="str">
        <f t="shared" si="24"/>
        <v/>
      </c>
      <c r="Q16" s="453" t="str">
        <f t="shared" si="24"/>
        <v/>
      </c>
      <c r="R16" s="451" t="str">
        <f>IF(AND(R$2&gt;=$J16,R$2&lt;=$K16),1,"")</f>
        <v/>
      </c>
      <c r="S16" s="452" t="str">
        <f t="shared" si="24"/>
        <v/>
      </c>
      <c r="T16" s="452" t="str">
        <f t="shared" si="24"/>
        <v/>
      </c>
      <c r="U16" s="452" t="str">
        <f t="shared" si="24"/>
        <v/>
      </c>
      <c r="V16" s="453" t="str">
        <f t="shared" si="24"/>
        <v/>
      </c>
      <c r="W16" s="451" t="str">
        <f>IF(AND(W$2&gt;=$J16,W$2&lt;=$K16),1,"")</f>
        <v/>
      </c>
      <c r="X16" s="452" t="str">
        <f t="shared" si="24"/>
        <v/>
      </c>
      <c r="Y16" s="452" t="str">
        <f t="shared" si="24"/>
        <v/>
      </c>
      <c r="Z16" s="452" t="str">
        <f t="shared" si="24"/>
        <v/>
      </c>
      <c r="AA16" s="453" t="str">
        <f t="shared" si="24"/>
        <v/>
      </c>
      <c r="AB16" s="451" t="str">
        <f>IF(AND(AB$2&gt;=$J16,AB$2&lt;=$K16),1,"")</f>
        <v/>
      </c>
      <c r="AC16" s="452" t="str">
        <f t="shared" si="23"/>
        <v/>
      </c>
      <c r="AD16" s="452" t="str">
        <f t="shared" si="23"/>
        <v/>
      </c>
      <c r="AE16" s="452" t="str">
        <f t="shared" si="23"/>
        <v/>
      </c>
      <c r="AF16" s="453" t="str">
        <f t="shared" si="23"/>
        <v/>
      </c>
      <c r="AG16" s="451" t="str">
        <f>IF(AND(AG$2&gt;=$J16,AG$2&lt;=$K16),1,"")</f>
        <v/>
      </c>
      <c r="AH16" s="452" t="str">
        <f t="shared" si="23"/>
        <v/>
      </c>
      <c r="AI16" s="452" t="str">
        <f t="shared" si="23"/>
        <v/>
      </c>
      <c r="AJ16" s="452" t="str">
        <f t="shared" si="23"/>
        <v/>
      </c>
      <c r="AK16" s="453" t="str">
        <f t="shared" si="23"/>
        <v/>
      </c>
      <c r="AL16" s="451" t="str">
        <f>IF(AND(AL$2&gt;=$J16,AL$2&lt;=$K16),1,"")</f>
        <v/>
      </c>
      <c r="AM16" s="452" t="str">
        <f t="shared" si="2"/>
        <v/>
      </c>
      <c r="AN16" s="452" t="str">
        <f t="shared" si="2"/>
        <v/>
      </c>
      <c r="AO16" s="452" t="str">
        <f t="shared" si="2"/>
        <v/>
      </c>
      <c r="AP16" s="453" t="str">
        <f t="shared" si="2"/>
        <v/>
      </c>
      <c r="AQ16" s="451" t="str">
        <f>IF(AND(AQ$2&gt;=$J16,AQ$2&lt;=$K16),1,"")</f>
        <v/>
      </c>
      <c r="AR16" s="452" t="str">
        <f t="shared" si="2"/>
        <v/>
      </c>
      <c r="AS16" s="452" t="str">
        <f t="shared" si="2"/>
        <v/>
      </c>
      <c r="AT16" s="452" t="str">
        <f t="shared" si="2"/>
        <v/>
      </c>
      <c r="AU16" s="453" t="str">
        <f t="shared" si="2"/>
        <v/>
      </c>
      <c r="AV16" s="451" t="str">
        <f>IF(AND(AV$2&gt;=$J16,AV$2&lt;=$K16),1,"")</f>
        <v/>
      </c>
      <c r="AW16" s="452" t="str">
        <f t="shared" si="2"/>
        <v/>
      </c>
      <c r="AX16" s="452" t="str">
        <f t="shared" si="2"/>
        <v/>
      </c>
      <c r="AY16" s="452" t="str">
        <f t="shared" si="2"/>
        <v/>
      </c>
      <c r="AZ16" s="453" t="str">
        <f t="shared" si="2"/>
        <v/>
      </c>
      <c r="BA16" s="451" t="str">
        <f>IF(AND(BA$2&gt;=$J16,BA$2&lt;=$K16),1,"")</f>
        <v/>
      </c>
      <c r="BB16" s="452" t="str">
        <f t="shared" si="3"/>
        <v/>
      </c>
      <c r="BC16" s="452" t="str">
        <f t="shared" si="3"/>
        <v/>
      </c>
      <c r="BD16" s="452" t="str">
        <f t="shared" si="3"/>
        <v/>
      </c>
      <c r="BE16" s="453" t="str">
        <f t="shared" si="3"/>
        <v/>
      </c>
      <c r="BF16" s="451" t="str">
        <f>IF(AND(BF$2&gt;=$J16,BF$2&lt;=$K16),1,"")</f>
        <v/>
      </c>
      <c r="BG16" s="452" t="str">
        <f t="shared" si="3"/>
        <v/>
      </c>
      <c r="BH16" s="452" t="str">
        <f t="shared" si="3"/>
        <v/>
      </c>
      <c r="BI16" s="452" t="str">
        <f t="shared" si="3"/>
        <v/>
      </c>
      <c r="BJ16" s="453" t="str">
        <f t="shared" si="3"/>
        <v/>
      </c>
      <c r="BK16" s="451" t="str">
        <f>IF(AND(BK$2&gt;=$J16,BK$2&lt;=$K16),1,"")</f>
        <v/>
      </c>
      <c r="BL16" s="452" t="str">
        <f t="shared" si="3"/>
        <v/>
      </c>
      <c r="BM16" s="452" t="str">
        <f t="shared" si="3"/>
        <v/>
      </c>
      <c r="BN16" s="452" t="str">
        <f t="shared" si="3"/>
        <v/>
      </c>
      <c r="BO16" s="453" t="str">
        <f t="shared" si="3"/>
        <v/>
      </c>
      <c r="BP16" s="451" t="str">
        <f>IF(AND(BP$2&gt;=$J16,BP$2&lt;=$K16),1,"")</f>
        <v/>
      </c>
      <c r="BQ16" s="452" t="str">
        <f t="shared" si="3"/>
        <v/>
      </c>
      <c r="BR16" s="452" t="str">
        <f t="shared" si="4"/>
        <v/>
      </c>
      <c r="BS16" s="452" t="str">
        <f t="shared" si="4"/>
        <v/>
      </c>
      <c r="BT16" s="453" t="str">
        <f t="shared" si="4"/>
        <v/>
      </c>
      <c r="BU16" s="451" t="str">
        <f>IF(AND(BU$2&gt;=$J16,BU$2&lt;=$K16),1,"")</f>
        <v/>
      </c>
      <c r="BV16" s="452" t="str">
        <f t="shared" si="4"/>
        <v/>
      </c>
      <c r="BW16" s="452" t="str">
        <f t="shared" si="4"/>
        <v/>
      </c>
      <c r="BX16" s="452" t="str">
        <f t="shared" si="4"/>
        <v/>
      </c>
      <c r="BY16" s="453" t="str">
        <f t="shared" si="4"/>
        <v/>
      </c>
      <c r="BZ16" s="451" t="str">
        <f>IF(AND(BZ$2&gt;=$J16,BZ$2&lt;=$K16),1,"")</f>
        <v/>
      </c>
      <c r="CA16" s="452" t="str">
        <f t="shared" si="4"/>
        <v/>
      </c>
      <c r="CB16" s="452" t="str">
        <f t="shared" si="4"/>
        <v/>
      </c>
      <c r="CC16" s="452" t="str">
        <f t="shared" si="4"/>
        <v/>
      </c>
      <c r="CD16" s="453" t="str">
        <f t="shared" si="4"/>
        <v/>
      </c>
      <c r="CE16" s="451" t="str">
        <f>IF(AND(CE$2&gt;=$J16,CE$2&lt;=$K16),1,"")</f>
        <v/>
      </c>
      <c r="CF16" s="452" t="str">
        <f t="shared" si="4"/>
        <v/>
      </c>
      <c r="CG16" s="452" t="str">
        <f t="shared" si="4"/>
        <v/>
      </c>
      <c r="CH16" s="452" t="str">
        <f t="shared" si="5"/>
        <v/>
      </c>
      <c r="CI16" s="453" t="str">
        <f t="shared" si="5"/>
        <v/>
      </c>
      <c r="CJ16" s="451" t="str">
        <f>IF(AND(CJ$2&gt;=$J16,CJ$2&lt;=$K16),1,"")</f>
        <v/>
      </c>
      <c r="CK16" s="452" t="str">
        <f t="shared" si="5"/>
        <v/>
      </c>
      <c r="CL16" s="452" t="str">
        <f t="shared" si="5"/>
        <v/>
      </c>
      <c r="CM16" s="452" t="str">
        <f t="shared" si="5"/>
        <v/>
      </c>
      <c r="CN16" s="453" t="str">
        <f t="shared" si="5"/>
        <v/>
      </c>
      <c r="CO16" s="451" t="str">
        <f>IF(AND(CO$2&gt;=$J16,CO$2&lt;=$K16),1,"")</f>
        <v/>
      </c>
      <c r="CP16" s="452" t="str">
        <f t="shared" si="5"/>
        <v/>
      </c>
      <c r="CQ16" s="452" t="str">
        <f t="shared" si="5"/>
        <v/>
      </c>
      <c r="CR16" s="452" t="str">
        <f t="shared" si="5"/>
        <v/>
      </c>
      <c r="CS16" s="453" t="str">
        <f t="shared" si="5"/>
        <v/>
      </c>
      <c r="CT16" s="451" t="str">
        <f>IF(AND(CT$2&gt;=$J16,CT$2&lt;=$K16),1,"")</f>
        <v/>
      </c>
      <c r="CU16" s="452" t="str">
        <f t="shared" si="5"/>
        <v/>
      </c>
      <c r="CV16" s="452" t="str">
        <f t="shared" si="5"/>
        <v/>
      </c>
      <c r="CW16" s="452" t="str">
        <f t="shared" si="5"/>
        <v/>
      </c>
      <c r="CX16" s="453" t="str">
        <f t="shared" si="6"/>
        <v/>
      </c>
      <c r="CY16" s="451" t="str">
        <f>IF(AND(CY$2&gt;=$J16,CY$2&lt;=$K16),1,"")</f>
        <v/>
      </c>
      <c r="CZ16" s="452" t="str">
        <f t="shared" si="6"/>
        <v/>
      </c>
      <c r="DA16" s="452" t="str">
        <f t="shared" si="6"/>
        <v/>
      </c>
      <c r="DB16" s="452" t="str">
        <f t="shared" si="6"/>
        <v/>
      </c>
      <c r="DC16" s="453" t="str">
        <f t="shared" si="6"/>
        <v/>
      </c>
      <c r="DD16" s="451" t="str">
        <f>IF(AND(DD$2&gt;=$J16,DD$2&lt;=$K16),1,"")</f>
        <v/>
      </c>
      <c r="DE16" s="452" t="str">
        <f t="shared" si="6"/>
        <v/>
      </c>
      <c r="DF16" s="452" t="str">
        <f t="shared" si="6"/>
        <v/>
      </c>
      <c r="DG16" s="452" t="str">
        <f t="shared" si="6"/>
        <v/>
      </c>
      <c r="DH16" s="453" t="str">
        <f t="shared" si="6"/>
        <v/>
      </c>
      <c r="DI16" s="451" t="str">
        <f>IF(AND(DI$2&gt;=$J16,DI$2&lt;=$K16),1,"")</f>
        <v/>
      </c>
      <c r="DJ16" s="452" t="str">
        <f t="shared" si="6"/>
        <v/>
      </c>
      <c r="DK16" s="452" t="str">
        <f t="shared" si="6"/>
        <v/>
      </c>
      <c r="DL16" s="452" t="str">
        <f t="shared" si="6"/>
        <v/>
      </c>
      <c r="DM16" s="453" t="str">
        <f t="shared" si="6"/>
        <v/>
      </c>
      <c r="DN16" s="451" t="str">
        <f>IF(AND(DN$2&gt;=$J16,DN$2&lt;=$K16),1,"")</f>
        <v/>
      </c>
      <c r="DO16" s="452" t="str">
        <f t="shared" si="19"/>
        <v/>
      </c>
      <c r="DP16" s="452" t="str">
        <f t="shared" si="19"/>
        <v/>
      </c>
      <c r="DQ16" s="452" t="str">
        <f t="shared" si="19"/>
        <v/>
      </c>
      <c r="DR16" s="453" t="str">
        <f t="shared" si="19"/>
        <v/>
      </c>
      <c r="DS16" s="451" t="str">
        <f>IF(AND(DS$2&gt;=$J16,DS$2&lt;=$K16),1,"")</f>
        <v/>
      </c>
      <c r="DT16" s="452" t="str">
        <f t="shared" si="19"/>
        <v/>
      </c>
      <c r="DU16" s="452" t="str">
        <f t="shared" si="19"/>
        <v/>
      </c>
      <c r="DV16" s="452" t="str">
        <f t="shared" si="19"/>
        <v/>
      </c>
      <c r="DW16" s="453" t="str">
        <f t="shared" si="19"/>
        <v/>
      </c>
      <c r="DX16" s="451" t="str">
        <f>IF(AND(DX$2&gt;=$J16,DX$2&lt;=$K16),1,"")</f>
        <v/>
      </c>
      <c r="DY16" s="452" t="str">
        <f t="shared" si="19"/>
        <v/>
      </c>
      <c r="DZ16" s="452" t="str">
        <f t="shared" si="19"/>
        <v/>
      </c>
      <c r="EA16" s="452" t="str">
        <f t="shared" si="19"/>
        <v/>
      </c>
      <c r="EB16" s="453" t="str">
        <f t="shared" si="19"/>
        <v/>
      </c>
      <c r="EC16" s="451" t="str">
        <f>IF(AND(EC$2&gt;=$J16,EC$2&lt;=$K16),1,"")</f>
        <v/>
      </c>
      <c r="ED16" s="452" t="str">
        <f t="shared" si="20"/>
        <v/>
      </c>
      <c r="EE16" s="452" t="str">
        <f t="shared" si="20"/>
        <v/>
      </c>
      <c r="EF16" s="452" t="str">
        <f t="shared" si="20"/>
        <v/>
      </c>
      <c r="EG16" s="453" t="str">
        <f t="shared" si="20"/>
        <v/>
      </c>
      <c r="EH16" s="451" t="str">
        <f>IF(AND(EH$2&gt;=$J16,EH$2&lt;=$K16),1,"")</f>
        <v/>
      </c>
      <c r="EI16" s="452" t="str">
        <f t="shared" si="20"/>
        <v/>
      </c>
      <c r="EJ16" s="452" t="str">
        <f t="shared" si="20"/>
        <v/>
      </c>
      <c r="EK16" s="452" t="str">
        <f t="shared" si="20"/>
        <v/>
      </c>
      <c r="EL16" s="453" t="str">
        <f t="shared" si="20"/>
        <v/>
      </c>
      <c r="EM16" s="451" t="str">
        <f>IF(AND(EM$2&gt;=$J16,EM$2&lt;=$K16),1,"")</f>
        <v/>
      </c>
      <c r="EN16" s="452" t="str">
        <f t="shared" si="20"/>
        <v/>
      </c>
      <c r="EO16" s="452" t="str">
        <f t="shared" si="20"/>
        <v/>
      </c>
      <c r="EP16" s="452" t="str">
        <f t="shared" si="20"/>
        <v/>
      </c>
      <c r="EQ16" s="453" t="str">
        <f t="shared" si="20"/>
        <v/>
      </c>
      <c r="ER16" s="451" t="str">
        <f>IF(AND(ER$2&gt;=$J16,ER$2&lt;=$K16),1,"")</f>
        <v/>
      </c>
      <c r="ES16" s="452" t="str">
        <f t="shared" si="20"/>
        <v/>
      </c>
      <c r="ET16" s="452" t="str">
        <f t="shared" si="21"/>
        <v/>
      </c>
      <c r="EU16" s="452" t="str">
        <f t="shared" si="21"/>
        <v/>
      </c>
      <c r="EV16" s="453" t="str">
        <f t="shared" si="21"/>
        <v/>
      </c>
      <c r="EW16" s="451" t="str">
        <f>IF(AND(EW$2&gt;=$J16,EW$2&lt;=$K16),1,"")</f>
        <v/>
      </c>
      <c r="EX16" s="452" t="str">
        <f t="shared" si="21"/>
        <v/>
      </c>
      <c r="EY16" s="452" t="str">
        <f t="shared" si="21"/>
        <v/>
      </c>
      <c r="EZ16" s="452" t="str">
        <f t="shared" si="21"/>
        <v/>
      </c>
      <c r="FA16" s="453" t="str">
        <f t="shared" si="21"/>
        <v/>
      </c>
      <c r="FB16" s="451" t="str">
        <f>IF(AND(FB$2&gt;=$J16,FB$2&lt;=$K16),1,"")</f>
        <v/>
      </c>
      <c r="FC16" s="452" t="str">
        <f t="shared" si="21"/>
        <v/>
      </c>
      <c r="FD16" s="452" t="str">
        <f t="shared" si="21"/>
        <v/>
      </c>
      <c r="FE16" s="452" t="str">
        <f t="shared" si="21"/>
        <v/>
      </c>
      <c r="FF16" s="453" t="str">
        <f t="shared" si="21"/>
        <v/>
      </c>
      <c r="FG16" s="451" t="str">
        <f>IF(AND(FG$2&gt;=$J16,FG$2&lt;=$K16),1,"")</f>
        <v/>
      </c>
      <c r="FH16" s="452" t="str">
        <f t="shared" si="21"/>
        <v/>
      </c>
      <c r="FI16" s="452" t="str">
        <f t="shared" si="21"/>
        <v/>
      </c>
      <c r="FJ16" s="452" t="str">
        <f t="shared" si="22"/>
        <v/>
      </c>
      <c r="FK16" s="453" t="str">
        <f t="shared" si="22"/>
        <v/>
      </c>
      <c r="FL16" s="451" t="str">
        <f>IF(AND(FL$2&gt;=$J16,FL$2&lt;=$K16),1,"")</f>
        <v/>
      </c>
      <c r="FM16" s="452" t="str">
        <f t="shared" si="22"/>
        <v/>
      </c>
      <c r="FN16" s="452" t="str">
        <f t="shared" si="22"/>
        <v/>
      </c>
      <c r="FO16" s="452" t="str">
        <f t="shared" si="22"/>
        <v/>
      </c>
      <c r="FP16" s="453" t="str">
        <f t="shared" si="22"/>
        <v/>
      </c>
      <c r="FQ16" s="451" t="str">
        <f>IF(AND(FQ$2&gt;=$J16,FQ$2&lt;=$K16),1,"")</f>
        <v/>
      </c>
      <c r="FR16" s="452" t="str">
        <f t="shared" si="22"/>
        <v/>
      </c>
      <c r="FS16" s="452" t="str">
        <f t="shared" si="22"/>
        <v/>
      </c>
      <c r="FT16" s="452" t="str">
        <f t="shared" si="22"/>
        <v/>
      </c>
      <c r="FU16" s="453" t="str">
        <f t="shared" si="22"/>
        <v/>
      </c>
      <c r="FV16" s="451" t="str">
        <f>IF(AND(FV$2&gt;=$J16,FV$2&lt;=$K16),1,"")</f>
        <v/>
      </c>
      <c r="FW16" s="452" t="str">
        <f t="shared" si="22"/>
        <v/>
      </c>
      <c r="FX16" s="452" t="str">
        <f t="shared" si="22"/>
        <v/>
      </c>
      <c r="FY16" s="452" t="str">
        <f t="shared" si="22"/>
        <v/>
      </c>
      <c r="FZ16" s="453" t="str">
        <f t="shared" si="18"/>
        <v/>
      </c>
      <c r="GA16" s="451" t="str">
        <f>IF(AND(GA$2&gt;=$J16,GA$2&lt;=$K16),1,"")</f>
        <v/>
      </c>
      <c r="GB16" s="452" t="str">
        <f t="shared" si="18"/>
        <v/>
      </c>
      <c r="GC16" s="452" t="str">
        <f t="shared" si="18"/>
        <v/>
      </c>
      <c r="GD16" s="452" t="str">
        <f t="shared" si="18"/>
        <v/>
      </c>
      <c r="GE16" s="453" t="str">
        <f t="shared" si="18"/>
        <v/>
      </c>
      <c r="GF16" s="451" t="str">
        <f>IF(AND(GF$2&gt;=$J16,GF$2&lt;=$K16),1,"")</f>
        <v/>
      </c>
      <c r="GG16" s="452" t="str">
        <f t="shared" si="12"/>
        <v/>
      </c>
      <c r="GH16" s="452" t="str">
        <f t="shared" si="12"/>
        <v/>
      </c>
      <c r="GI16" s="452" t="str">
        <f t="shared" si="12"/>
        <v/>
      </c>
      <c r="GJ16" s="453" t="str">
        <f t="shared" si="12"/>
        <v/>
      </c>
      <c r="GK16" s="451" t="str">
        <f>IF(AND(GK$2&gt;=$J16,GK$2&lt;=$K16),1,"")</f>
        <v/>
      </c>
      <c r="GL16" s="452" t="str">
        <f t="shared" si="12"/>
        <v/>
      </c>
      <c r="GM16" s="452" t="str">
        <f t="shared" si="12"/>
        <v/>
      </c>
      <c r="GN16" s="452" t="str">
        <f t="shared" si="12"/>
        <v/>
      </c>
      <c r="GO16" s="453" t="str">
        <f t="shared" si="12"/>
        <v/>
      </c>
      <c r="GP16" s="451" t="str">
        <f>IF(AND(GP$2&gt;=$J16,GP$2&lt;=$K16),1,"")</f>
        <v/>
      </c>
      <c r="GQ16" s="452" t="str">
        <f t="shared" si="14"/>
        <v/>
      </c>
      <c r="GR16" s="452" t="str">
        <f t="shared" si="14"/>
        <v/>
      </c>
      <c r="GS16" s="452" t="str">
        <f t="shared" si="14"/>
        <v/>
      </c>
      <c r="GT16" s="453" t="str">
        <f t="shared" si="14"/>
        <v/>
      </c>
      <c r="GU16" s="451" t="str">
        <f>IF(AND(GU$2&gt;=$J16,GU$2&lt;=$K16),1,"")</f>
        <v/>
      </c>
      <c r="GV16" s="452" t="str">
        <f t="shared" si="14"/>
        <v/>
      </c>
      <c r="GW16" s="452" t="str">
        <f t="shared" si="14"/>
        <v/>
      </c>
      <c r="GX16" s="452" t="str">
        <f t="shared" si="14"/>
        <v/>
      </c>
      <c r="GY16" s="453" t="str">
        <f t="shared" si="14"/>
        <v/>
      </c>
      <c r="GZ16" s="451" t="str">
        <f>IF(AND(GZ$2&gt;=$J16,GZ$2&lt;=$K16),1,"")</f>
        <v/>
      </c>
      <c r="HA16" s="452" t="str">
        <f t="shared" si="14"/>
        <v/>
      </c>
      <c r="HB16" s="452" t="str">
        <f t="shared" si="14"/>
        <v/>
      </c>
      <c r="HC16" s="452" t="str">
        <f t="shared" si="14"/>
        <v/>
      </c>
      <c r="HD16" s="453" t="str">
        <f t="shared" si="14"/>
        <v/>
      </c>
      <c r="HE16" s="451" t="str">
        <f>IF(AND(HE$2&gt;=$J16,HE$2&lt;=$K16),1,"")</f>
        <v/>
      </c>
      <c r="HF16" s="452" t="str">
        <f t="shared" si="15"/>
        <v/>
      </c>
      <c r="HG16" s="452" t="str">
        <f t="shared" si="15"/>
        <v/>
      </c>
      <c r="HH16" s="452" t="str">
        <f t="shared" si="15"/>
        <v/>
      </c>
      <c r="HI16" s="453" t="str">
        <f t="shared" si="15"/>
        <v/>
      </c>
      <c r="HJ16" s="451" t="str">
        <f>IF(AND(HJ$2&gt;=$J16,HJ$2&lt;=$K16),1,"")</f>
        <v/>
      </c>
      <c r="HK16" s="452" t="str">
        <f t="shared" si="15"/>
        <v/>
      </c>
      <c r="HL16" s="452" t="str">
        <f t="shared" si="15"/>
        <v/>
      </c>
      <c r="HM16" s="452" t="str">
        <f t="shared" si="15"/>
        <v/>
      </c>
      <c r="HN16" s="453" t="str">
        <f t="shared" si="15"/>
        <v/>
      </c>
      <c r="HO16" s="451" t="str">
        <f>IF(AND(HO$2&gt;=$J16,HO$2&lt;=$K16),1,"")</f>
        <v/>
      </c>
      <c r="HP16" s="452" t="str">
        <f t="shared" si="15"/>
        <v/>
      </c>
      <c r="HQ16" s="452" t="str">
        <f t="shared" si="15"/>
        <v/>
      </c>
      <c r="HR16" s="452" t="str">
        <f t="shared" si="15"/>
        <v/>
      </c>
      <c r="HS16" s="453" t="str">
        <f t="shared" si="15"/>
        <v/>
      </c>
      <c r="HT16" s="451" t="str">
        <f>IF(AND(HT$2&gt;=$J16,HT$2&lt;=$K16),1,"")</f>
        <v/>
      </c>
      <c r="HU16" s="452" t="str">
        <f t="shared" si="16"/>
        <v/>
      </c>
      <c r="HV16" s="452" t="str">
        <f t="shared" si="16"/>
        <v/>
      </c>
      <c r="HW16" s="452" t="str">
        <f t="shared" si="16"/>
        <v/>
      </c>
      <c r="HX16" s="453" t="str">
        <f t="shared" si="16"/>
        <v/>
      </c>
      <c r="HY16" s="451" t="str">
        <f>IF(AND(HY$2&gt;=$J16,HY$2&lt;=$K16),1,"")</f>
        <v/>
      </c>
      <c r="HZ16" s="452" t="str">
        <f t="shared" si="16"/>
        <v/>
      </c>
      <c r="IA16" s="452" t="str">
        <f t="shared" si="16"/>
        <v/>
      </c>
      <c r="IB16" s="452" t="str">
        <f t="shared" si="16"/>
        <v/>
      </c>
      <c r="IC16" s="453" t="str">
        <f t="shared" si="16"/>
        <v/>
      </c>
      <c r="ID16" s="451" t="str">
        <f>IF(AND(ID$2&gt;=$J16,ID$2&lt;=$K16),1,"")</f>
        <v/>
      </c>
      <c r="IE16" s="452" t="str">
        <f t="shared" si="16"/>
        <v/>
      </c>
      <c r="IF16" s="452" t="str">
        <f t="shared" si="16"/>
        <v/>
      </c>
      <c r="IG16" s="452" t="str">
        <f t="shared" si="16"/>
        <v/>
      </c>
      <c r="IH16" s="453" t="str">
        <f t="shared" si="16"/>
        <v/>
      </c>
      <c r="II16" s="451" t="str">
        <f>IF(AND(II$2&gt;=$J16,II$2&lt;=$K16),1,"")</f>
        <v/>
      </c>
      <c r="IJ16" s="452" t="str">
        <f t="shared" si="16"/>
        <v/>
      </c>
      <c r="IK16" s="452" t="str">
        <f t="shared" si="17"/>
        <v/>
      </c>
      <c r="IL16" s="452" t="str">
        <f t="shared" si="17"/>
        <v/>
      </c>
      <c r="IM16" s="453" t="str">
        <f t="shared" si="17"/>
        <v/>
      </c>
      <c r="IN16" s="451" t="str">
        <f>IF(AND(IN$2&gt;=$J16,IN$2&lt;=$K16),1,"")</f>
        <v/>
      </c>
      <c r="IO16" s="452" t="str">
        <f t="shared" si="17"/>
        <v/>
      </c>
      <c r="IP16" s="452" t="str">
        <f t="shared" si="17"/>
        <v/>
      </c>
      <c r="IQ16" s="452" t="str">
        <f t="shared" si="17"/>
        <v/>
      </c>
      <c r="IR16" s="453" t="str">
        <f t="shared" si="17"/>
        <v/>
      </c>
    </row>
    <row r="17" spans="1:252" x14ac:dyDescent="0.2">
      <c r="A17" s="461">
        <v>2.2000000000000002</v>
      </c>
      <c r="C17" s="447" t="s">
        <v>1352</v>
      </c>
      <c r="D17" s="447"/>
      <c r="E17" s="448"/>
      <c r="F17" s="448"/>
      <c r="G17" s="448"/>
      <c r="H17" s="448"/>
      <c r="I17" s="448"/>
      <c r="J17" s="449" t="str">
        <f t="shared" si="25"/>
        <v/>
      </c>
      <c r="K17" s="449" t="str">
        <f t="shared" si="26"/>
        <v/>
      </c>
      <c r="L17" s="450">
        <f t="shared" si="0"/>
        <v>0</v>
      </c>
      <c r="M17" s="451" t="str">
        <f t="shared" si="24"/>
        <v/>
      </c>
      <c r="N17" s="452" t="str">
        <f t="shared" si="24"/>
        <v/>
      </c>
      <c r="O17" s="452" t="str">
        <f t="shared" si="24"/>
        <v/>
      </c>
      <c r="P17" s="452" t="str">
        <f t="shared" si="24"/>
        <v/>
      </c>
      <c r="Q17" s="453" t="str">
        <f t="shared" si="24"/>
        <v/>
      </c>
      <c r="R17" s="451" t="str">
        <f t="shared" si="24"/>
        <v/>
      </c>
      <c r="S17" s="452" t="str">
        <f t="shared" si="24"/>
        <v/>
      </c>
      <c r="T17" s="452" t="str">
        <f t="shared" si="24"/>
        <v/>
      </c>
      <c r="U17" s="452" t="str">
        <f t="shared" si="24"/>
        <v/>
      </c>
      <c r="V17" s="453" t="str">
        <f t="shared" si="24"/>
        <v/>
      </c>
      <c r="W17" s="451" t="str">
        <f t="shared" si="24"/>
        <v/>
      </c>
      <c r="X17" s="452" t="str">
        <f t="shared" si="24"/>
        <v/>
      </c>
      <c r="Y17" s="452" t="str">
        <f t="shared" si="24"/>
        <v/>
      </c>
      <c r="Z17" s="452" t="str">
        <f t="shared" si="24"/>
        <v/>
      </c>
      <c r="AA17" s="453" t="str">
        <f t="shared" si="24"/>
        <v/>
      </c>
      <c r="AB17" s="451" t="str">
        <f t="shared" si="23"/>
        <v/>
      </c>
      <c r="AC17" s="452" t="str">
        <f t="shared" si="23"/>
        <v/>
      </c>
      <c r="AD17" s="452" t="str">
        <f t="shared" si="23"/>
        <v/>
      </c>
      <c r="AE17" s="452" t="str">
        <f t="shared" si="23"/>
        <v/>
      </c>
      <c r="AF17" s="453" t="str">
        <f t="shared" si="23"/>
        <v/>
      </c>
      <c r="AG17" s="451" t="str">
        <f t="shared" si="23"/>
        <v/>
      </c>
      <c r="AH17" s="452" t="str">
        <f t="shared" si="23"/>
        <v/>
      </c>
      <c r="AI17" s="452" t="str">
        <f t="shared" si="23"/>
        <v/>
      </c>
      <c r="AJ17" s="452" t="str">
        <f t="shared" si="23"/>
        <v/>
      </c>
      <c r="AK17" s="453" t="str">
        <f t="shared" si="23"/>
        <v/>
      </c>
      <c r="AL17" s="451" t="str">
        <f t="shared" si="2"/>
        <v/>
      </c>
      <c r="AM17" s="452" t="str">
        <f t="shared" si="2"/>
        <v/>
      </c>
      <c r="AN17" s="452" t="str">
        <f t="shared" si="2"/>
        <v/>
      </c>
      <c r="AO17" s="452" t="str">
        <f t="shared" si="2"/>
        <v/>
      </c>
      <c r="AP17" s="453" t="str">
        <f t="shared" si="2"/>
        <v/>
      </c>
      <c r="AQ17" s="451" t="str">
        <f t="shared" si="2"/>
        <v/>
      </c>
      <c r="AR17" s="452" t="str">
        <f t="shared" si="2"/>
        <v/>
      </c>
      <c r="AS17" s="452" t="str">
        <f t="shared" si="2"/>
        <v/>
      </c>
      <c r="AT17" s="452" t="str">
        <f t="shared" si="2"/>
        <v/>
      </c>
      <c r="AU17" s="453" t="str">
        <f t="shared" si="2"/>
        <v/>
      </c>
      <c r="AV17" s="451" t="str">
        <f t="shared" si="2"/>
        <v/>
      </c>
      <c r="AW17" s="452" t="str">
        <f t="shared" si="2"/>
        <v/>
      </c>
      <c r="AX17" s="452" t="str">
        <f t="shared" si="2"/>
        <v/>
      </c>
      <c r="AY17" s="452" t="str">
        <f t="shared" si="2"/>
        <v/>
      </c>
      <c r="AZ17" s="453" t="str">
        <f t="shared" si="2"/>
        <v/>
      </c>
      <c r="BA17" s="451" t="str">
        <f t="shared" si="2"/>
        <v/>
      </c>
      <c r="BB17" s="452" t="str">
        <f t="shared" si="3"/>
        <v/>
      </c>
      <c r="BC17" s="452" t="str">
        <f t="shared" si="3"/>
        <v/>
      </c>
      <c r="BD17" s="452" t="str">
        <f t="shared" si="3"/>
        <v/>
      </c>
      <c r="BE17" s="453" t="str">
        <f t="shared" si="3"/>
        <v/>
      </c>
      <c r="BF17" s="451" t="str">
        <f t="shared" si="3"/>
        <v/>
      </c>
      <c r="BG17" s="452" t="str">
        <f t="shared" si="3"/>
        <v/>
      </c>
      <c r="BH17" s="452" t="str">
        <f t="shared" si="3"/>
        <v/>
      </c>
      <c r="BI17" s="452" t="str">
        <f t="shared" si="3"/>
        <v/>
      </c>
      <c r="BJ17" s="453" t="str">
        <f t="shared" si="3"/>
        <v/>
      </c>
      <c r="BK17" s="451" t="str">
        <f t="shared" si="3"/>
        <v/>
      </c>
      <c r="BL17" s="452" t="str">
        <f t="shared" si="3"/>
        <v/>
      </c>
      <c r="BM17" s="452" t="str">
        <f t="shared" si="3"/>
        <v/>
      </c>
      <c r="BN17" s="452" t="str">
        <f t="shared" si="3"/>
        <v/>
      </c>
      <c r="BO17" s="453" t="str">
        <f t="shared" si="3"/>
        <v/>
      </c>
      <c r="BP17" s="451" t="str">
        <f t="shared" si="3"/>
        <v/>
      </c>
      <c r="BQ17" s="452" t="str">
        <f t="shared" si="3"/>
        <v/>
      </c>
      <c r="BR17" s="452" t="str">
        <f t="shared" si="4"/>
        <v/>
      </c>
      <c r="BS17" s="452" t="str">
        <f t="shared" si="4"/>
        <v/>
      </c>
      <c r="BT17" s="453" t="str">
        <f t="shared" si="4"/>
        <v/>
      </c>
      <c r="BU17" s="451" t="str">
        <f t="shared" si="4"/>
        <v/>
      </c>
      <c r="BV17" s="452" t="str">
        <f t="shared" si="4"/>
        <v/>
      </c>
      <c r="BW17" s="452" t="str">
        <f t="shared" si="4"/>
        <v/>
      </c>
      <c r="BX17" s="452" t="str">
        <f t="shared" si="4"/>
        <v/>
      </c>
      <c r="BY17" s="453" t="str">
        <f t="shared" si="4"/>
        <v/>
      </c>
      <c r="BZ17" s="451" t="str">
        <f t="shared" si="4"/>
        <v/>
      </c>
      <c r="CA17" s="452" t="str">
        <f t="shared" si="4"/>
        <v/>
      </c>
      <c r="CB17" s="452" t="str">
        <f t="shared" si="4"/>
        <v/>
      </c>
      <c r="CC17" s="452" t="str">
        <f t="shared" si="4"/>
        <v/>
      </c>
      <c r="CD17" s="453" t="str">
        <f t="shared" si="4"/>
        <v/>
      </c>
      <c r="CE17" s="451" t="str">
        <f t="shared" si="4"/>
        <v/>
      </c>
      <c r="CF17" s="452" t="str">
        <f t="shared" si="4"/>
        <v/>
      </c>
      <c r="CG17" s="452" t="str">
        <f t="shared" si="4"/>
        <v/>
      </c>
      <c r="CH17" s="452" t="str">
        <f t="shared" si="5"/>
        <v/>
      </c>
      <c r="CI17" s="453" t="str">
        <f t="shared" si="5"/>
        <v/>
      </c>
      <c r="CJ17" s="451" t="str">
        <f t="shared" si="5"/>
        <v/>
      </c>
      <c r="CK17" s="452" t="str">
        <f t="shared" si="5"/>
        <v/>
      </c>
      <c r="CL17" s="452" t="str">
        <f t="shared" si="5"/>
        <v/>
      </c>
      <c r="CM17" s="452" t="str">
        <f t="shared" si="5"/>
        <v/>
      </c>
      <c r="CN17" s="453" t="str">
        <f t="shared" si="5"/>
        <v/>
      </c>
      <c r="CO17" s="451" t="str">
        <f t="shared" si="5"/>
        <v/>
      </c>
      <c r="CP17" s="452" t="str">
        <f t="shared" si="5"/>
        <v/>
      </c>
      <c r="CQ17" s="452" t="str">
        <f t="shared" si="5"/>
        <v/>
      </c>
      <c r="CR17" s="452" t="str">
        <f t="shared" si="5"/>
        <v/>
      </c>
      <c r="CS17" s="453" t="str">
        <f t="shared" si="5"/>
        <v/>
      </c>
      <c r="CT17" s="451" t="str">
        <f t="shared" si="5"/>
        <v/>
      </c>
      <c r="CU17" s="452" t="str">
        <f t="shared" si="5"/>
        <v/>
      </c>
      <c r="CV17" s="452" t="str">
        <f t="shared" si="5"/>
        <v/>
      </c>
      <c r="CW17" s="452" t="str">
        <f t="shared" si="5"/>
        <v/>
      </c>
      <c r="CX17" s="453" t="str">
        <f t="shared" si="6"/>
        <v/>
      </c>
      <c r="CY17" s="451" t="str">
        <f t="shared" si="6"/>
        <v/>
      </c>
      <c r="CZ17" s="452" t="str">
        <f t="shared" si="6"/>
        <v/>
      </c>
      <c r="DA17" s="452" t="str">
        <f t="shared" si="6"/>
        <v/>
      </c>
      <c r="DB17" s="452" t="str">
        <f t="shared" si="6"/>
        <v/>
      </c>
      <c r="DC17" s="453" t="str">
        <f t="shared" si="6"/>
        <v/>
      </c>
      <c r="DD17" s="451" t="str">
        <f t="shared" si="6"/>
        <v/>
      </c>
      <c r="DE17" s="452" t="str">
        <f t="shared" si="6"/>
        <v/>
      </c>
      <c r="DF17" s="452" t="str">
        <f t="shared" si="6"/>
        <v/>
      </c>
      <c r="DG17" s="452" t="str">
        <f t="shared" si="6"/>
        <v/>
      </c>
      <c r="DH17" s="453" t="str">
        <f t="shared" si="6"/>
        <v/>
      </c>
      <c r="DI17" s="451" t="str">
        <f t="shared" si="6"/>
        <v/>
      </c>
      <c r="DJ17" s="452" t="str">
        <f t="shared" si="6"/>
        <v/>
      </c>
      <c r="DK17" s="452" t="str">
        <f t="shared" si="6"/>
        <v/>
      </c>
      <c r="DL17" s="452" t="str">
        <f t="shared" si="6"/>
        <v/>
      </c>
      <c r="DM17" s="453" t="str">
        <f t="shared" si="6"/>
        <v/>
      </c>
      <c r="DN17" s="451" t="str">
        <f t="shared" ref="DN17:EC37" si="27">IF(AND(DN$2&gt;=$J17,DN$2&lt;=$K17),1,"")</f>
        <v/>
      </c>
      <c r="DO17" s="452" t="str">
        <f t="shared" si="27"/>
        <v/>
      </c>
      <c r="DP17" s="452" t="str">
        <f t="shared" si="27"/>
        <v/>
      </c>
      <c r="DQ17" s="452" t="str">
        <f t="shared" si="27"/>
        <v/>
      </c>
      <c r="DR17" s="453" t="str">
        <f t="shared" si="27"/>
        <v/>
      </c>
      <c r="DS17" s="451" t="str">
        <f t="shared" si="27"/>
        <v/>
      </c>
      <c r="DT17" s="452" t="str">
        <f t="shared" si="27"/>
        <v/>
      </c>
      <c r="DU17" s="452" t="str">
        <f t="shared" si="27"/>
        <v/>
      </c>
      <c r="DV17" s="452" t="str">
        <f t="shared" si="27"/>
        <v/>
      </c>
      <c r="DW17" s="453" t="str">
        <f t="shared" si="27"/>
        <v/>
      </c>
      <c r="DX17" s="451" t="str">
        <f t="shared" si="27"/>
        <v/>
      </c>
      <c r="DY17" s="452" t="str">
        <f t="shared" si="27"/>
        <v/>
      </c>
      <c r="DZ17" s="452" t="str">
        <f t="shared" si="19"/>
        <v/>
      </c>
      <c r="EA17" s="452" t="str">
        <f t="shared" si="19"/>
        <v/>
      </c>
      <c r="EB17" s="453" t="str">
        <f t="shared" si="19"/>
        <v/>
      </c>
      <c r="EC17" s="451" t="str">
        <f t="shared" si="19"/>
        <v/>
      </c>
      <c r="ED17" s="452" t="str">
        <f t="shared" si="20"/>
        <v/>
      </c>
      <c r="EE17" s="452" t="str">
        <f t="shared" si="20"/>
        <v/>
      </c>
      <c r="EF17" s="452" t="str">
        <f t="shared" si="20"/>
        <v/>
      </c>
      <c r="EG17" s="453" t="str">
        <f t="shared" si="20"/>
        <v/>
      </c>
      <c r="EH17" s="451" t="str">
        <f t="shared" si="20"/>
        <v/>
      </c>
      <c r="EI17" s="452" t="str">
        <f t="shared" si="20"/>
        <v/>
      </c>
      <c r="EJ17" s="452" t="str">
        <f t="shared" si="20"/>
        <v/>
      </c>
      <c r="EK17" s="452" t="str">
        <f t="shared" si="20"/>
        <v/>
      </c>
      <c r="EL17" s="453" t="str">
        <f t="shared" si="20"/>
        <v/>
      </c>
      <c r="EM17" s="451" t="str">
        <f t="shared" si="20"/>
        <v/>
      </c>
      <c r="EN17" s="452" t="str">
        <f t="shared" si="20"/>
        <v/>
      </c>
      <c r="EO17" s="452" t="str">
        <f t="shared" si="20"/>
        <v/>
      </c>
      <c r="EP17" s="452" t="str">
        <f t="shared" si="20"/>
        <v/>
      </c>
      <c r="EQ17" s="453" t="str">
        <f t="shared" si="20"/>
        <v/>
      </c>
      <c r="ER17" s="451" t="str">
        <f t="shared" si="20"/>
        <v/>
      </c>
      <c r="ES17" s="452" t="str">
        <f t="shared" si="20"/>
        <v/>
      </c>
      <c r="ET17" s="452" t="str">
        <f t="shared" si="21"/>
        <v/>
      </c>
      <c r="EU17" s="452" t="str">
        <f t="shared" si="21"/>
        <v/>
      </c>
      <c r="EV17" s="453" t="str">
        <f t="shared" si="21"/>
        <v/>
      </c>
      <c r="EW17" s="451" t="str">
        <f t="shared" si="21"/>
        <v/>
      </c>
      <c r="EX17" s="452" t="str">
        <f t="shared" si="21"/>
        <v/>
      </c>
      <c r="EY17" s="452" t="str">
        <f t="shared" si="21"/>
        <v/>
      </c>
      <c r="EZ17" s="452" t="str">
        <f t="shared" si="21"/>
        <v/>
      </c>
      <c r="FA17" s="453" t="str">
        <f t="shared" si="21"/>
        <v/>
      </c>
      <c r="FB17" s="451" t="str">
        <f t="shared" si="21"/>
        <v/>
      </c>
      <c r="FC17" s="452" t="str">
        <f t="shared" si="21"/>
        <v/>
      </c>
      <c r="FD17" s="452" t="str">
        <f t="shared" si="21"/>
        <v/>
      </c>
      <c r="FE17" s="452" t="str">
        <f t="shared" si="21"/>
        <v/>
      </c>
      <c r="FF17" s="453" t="str">
        <f t="shared" si="21"/>
        <v/>
      </c>
      <c r="FG17" s="451" t="str">
        <f t="shared" si="21"/>
        <v/>
      </c>
      <c r="FH17" s="452" t="str">
        <f t="shared" si="21"/>
        <v/>
      </c>
      <c r="FI17" s="452" t="str">
        <f t="shared" si="21"/>
        <v/>
      </c>
      <c r="FJ17" s="452" t="str">
        <f t="shared" si="22"/>
        <v/>
      </c>
      <c r="FK17" s="453" t="str">
        <f t="shared" si="22"/>
        <v/>
      </c>
      <c r="FL17" s="451" t="str">
        <f t="shared" si="22"/>
        <v/>
      </c>
      <c r="FM17" s="452" t="str">
        <f t="shared" si="22"/>
        <v/>
      </c>
      <c r="FN17" s="452" t="str">
        <f t="shared" si="22"/>
        <v/>
      </c>
      <c r="FO17" s="452" t="str">
        <f t="shared" si="22"/>
        <v/>
      </c>
      <c r="FP17" s="453" t="str">
        <f t="shared" si="22"/>
        <v/>
      </c>
      <c r="FQ17" s="451" t="str">
        <f t="shared" si="22"/>
        <v/>
      </c>
      <c r="FR17" s="452" t="str">
        <f t="shared" si="22"/>
        <v/>
      </c>
      <c r="FS17" s="452" t="str">
        <f t="shared" si="22"/>
        <v/>
      </c>
      <c r="FT17" s="452" t="str">
        <f t="shared" si="22"/>
        <v/>
      </c>
      <c r="FU17" s="453" t="str">
        <f t="shared" si="22"/>
        <v/>
      </c>
      <c r="FV17" s="451" t="str">
        <f t="shared" si="22"/>
        <v/>
      </c>
      <c r="FW17" s="452" t="str">
        <f t="shared" si="22"/>
        <v/>
      </c>
      <c r="FX17" s="452" t="str">
        <f t="shared" si="22"/>
        <v/>
      </c>
      <c r="FY17" s="452" t="str">
        <f t="shared" si="22"/>
        <v/>
      </c>
      <c r="FZ17" s="453" t="str">
        <f t="shared" si="18"/>
        <v/>
      </c>
      <c r="GA17" s="451" t="str">
        <f t="shared" si="18"/>
        <v/>
      </c>
      <c r="GB17" s="452" t="str">
        <f t="shared" si="18"/>
        <v/>
      </c>
      <c r="GC17" s="452" t="str">
        <f t="shared" si="18"/>
        <v/>
      </c>
      <c r="GD17" s="452" t="str">
        <f t="shared" si="18"/>
        <v/>
      </c>
      <c r="GE17" s="453" t="str">
        <f t="shared" si="18"/>
        <v/>
      </c>
      <c r="GF17" s="451" t="str">
        <f>IF(AND(GF$2&gt;=$J17,GF$2&lt;=$K17),1,"")</f>
        <v/>
      </c>
      <c r="GG17" s="452" t="str">
        <f t="shared" si="12"/>
        <v/>
      </c>
      <c r="GH17" s="452" t="str">
        <f t="shared" si="12"/>
        <v/>
      </c>
      <c r="GI17" s="452" t="str">
        <f t="shared" si="12"/>
        <v/>
      </c>
      <c r="GJ17" s="453" t="str">
        <f t="shared" si="12"/>
        <v/>
      </c>
      <c r="GK17" s="451" t="str">
        <f t="shared" si="12"/>
        <v/>
      </c>
      <c r="GL17" s="452" t="str">
        <f t="shared" si="12"/>
        <v/>
      </c>
      <c r="GM17" s="452" t="str">
        <f t="shared" si="12"/>
        <v/>
      </c>
      <c r="GN17" s="452" t="str">
        <f t="shared" si="12"/>
        <v/>
      </c>
      <c r="GO17" s="453" t="str">
        <f t="shared" si="12"/>
        <v/>
      </c>
      <c r="GP17" s="451" t="str">
        <f t="shared" ref="GP17:HE27" si="28">IF(AND(GP$2&gt;=$J17,GP$2&lt;=$K17),1,"")</f>
        <v/>
      </c>
      <c r="GQ17" s="452" t="str">
        <f t="shared" si="28"/>
        <v/>
      </c>
      <c r="GR17" s="452" t="str">
        <f t="shared" si="28"/>
        <v/>
      </c>
      <c r="GS17" s="452" t="str">
        <f t="shared" si="28"/>
        <v/>
      </c>
      <c r="GT17" s="453" t="str">
        <f t="shared" si="28"/>
        <v/>
      </c>
      <c r="GU17" s="451" t="str">
        <f t="shared" si="28"/>
        <v/>
      </c>
      <c r="GV17" s="452" t="str">
        <f t="shared" si="28"/>
        <v/>
      </c>
      <c r="GW17" s="452" t="str">
        <f t="shared" si="28"/>
        <v/>
      </c>
      <c r="GX17" s="452" t="str">
        <f t="shared" si="28"/>
        <v/>
      </c>
      <c r="GY17" s="453" t="str">
        <f t="shared" si="28"/>
        <v/>
      </c>
      <c r="GZ17" s="451" t="str">
        <f t="shared" si="28"/>
        <v/>
      </c>
      <c r="HA17" s="452" t="str">
        <f t="shared" si="28"/>
        <v/>
      </c>
      <c r="HB17" s="452" t="str">
        <f t="shared" si="28"/>
        <v/>
      </c>
      <c r="HC17" s="452" t="str">
        <f t="shared" si="28"/>
        <v/>
      </c>
      <c r="HD17" s="453" t="str">
        <f t="shared" si="28"/>
        <v/>
      </c>
      <c r="HE17" s="451" t="str">
        <f t="shared" si="28"/>
        <v/>
      </c>
      <c r="HF17" s="452" t="str">
        <f t="shared" si="15"/>
        <v/>
      </c>
      <c r="HG17" s="452" t="str">
        <f t="shared" si="15"/>
        <v/>
      </c>
      <c r="HH17" s="452" t="str">
        <f t="shared" si="15"/>
        <v/>
      </c>
      <c r="HI17" s="453" t="str">
        <f t="shared" si="15"/>
        <v/>
      </c>
      <c r="HJ17" s="451" t="str">
        <f t="shared" si="15"/>
        <v/>
      </c>
      <c r="HK17" s="452" t="str">
        <f t="shared" si="15"/>
        <v/>
      </c>
      <c r="HL17" s="452" t="str">
        <f t="shared" si="15"/>
        <v/>
      </c>
      <c r="HM17" s="452" t="str">
        <f t="shared" si="15"/>
        <v/>
      </c>
      <c r="HN17" s="453" t="str">
        <f t="shared" si="15"/>
        <v/>
      </c>
      <c r="HO17" s="451" t="str">
        <f t="shared" si="15"/>
        <v/>
      </c>
      <c r="HP17" s="452" t="str">
        <f t="shared" si="15"/>
        <v/>
      </c>
      <c r="HQ17" s="452" t="str">
        <f t="shared" si="15"/>
        <v/>
      </c>
      <c r="HR17" s="452" t="str">
        <f t="shared" si="15"/>
        <v/>
      </c>
      <c r="HS17" s="453" t="str">
        <f t="shared" si="15"/>
        <v/>
      </c>
      <c r="HT17" s="451" t="str">
        <f t="shared" si="15"/>
        <v/>
      </c>
      <c r="HU17" s="452" t="str">
        <f t="shared" si="16"/>
        <v/>
      </c>
      <c r="HV17" s="452" t="str">
        <f t="shared" si="16"/>
        <v/>
      </c>
      <c r="HW17" s="452" t="str">
        <f t="shared" si="16"/>
        <v/>
      </c>
      <c r="HX17" s="453" t="str">
        <f t="shared" si="16"/>
        <v/>
      </c>
      <c r="HY17" s="451" t="str">
        <f t="shared" si="16"/>
        <v/>
      </c>
      <c r="HZ17" s="452" t="str">
        <f t="shared" si="16"/>
        <v/>
      </c>
      <c r="IA17" s="452" t="str">
        <f t="shared" si="16"/>
        <v/>
      </c>
      <c r="IB17" s="452" t="str">
        <f t="shared" si="16"/>
        <v/>
      </c>
      <c r="IC17" s="453" t="str">
        <f t="shared" si="16"/>
        <v/>
      </c>
      <c r="ID17" s="451" t="str">
        <f t="shared" si="16"/>
        <v/>
      </c>
      <c r="IE17" s="452" t="str">
        <f t="shared" si="16"/>
        <v/>
      </c>
      <c r="IF17" s="452" t="str">
        <f t="shared" si="16"/>
        <v/>
      </c>
      <c r="IG17" s="452" t="str">
        <f t="shared" si="16"/>
        <v/>
      </c>
      <c r="IH17" s="453" t="str">
        <f t="shared" si="16"/>
        <v/>
      </c>
      <c r="II17" s="451" t="str">
        <f t="shared" si="16"/>
        <v/>
      </c>
      <c r="IJ17" s="452" t="str">
        <f t="shared" si="16"/>
        <v/>
      </c>
      <c r="IK17" s="452" t="str">
        <f t="shared" si="17"/>
        <v/>
      </c>
      <c r="IL17" s="452" t="str">
        <f t="shared" si="17"/>
        <v/>
      </c>
      <c r="IM17" s="453" t="str">
        <f t="shared" si="17"/>
        <v/>
      </c>
      <c r="IN17" s="451" t="str">
        <f t="shared" si="17"/>
        <v/>
      </c>
      <c r="IO17" s="452" t="str">
        <f t="shared" si="17"/>
        <v/>
      </c>
      <c r="IP17" s="452" t="str">
        <f t="shared" si="17"/>
        <v/>
      </c>
      <c r="IQ17" s="452" t="str">
        <f t="shared" si="17"/>
        <v/>
      </c>
      <c r="IR17" s="453" t="str">
        <f t="shared" si="17"/>
        <v/>
      </c>
    </row>
    <row r="18" spans="1:252" x14ac:dyDescent="0.2">
      <c r="A18" s="461">
        <v>2.2999999999999998</v>
      </c>
      <c r="C18" s="447" t="s">
        <v>1353</v>
      </c>
      <c r="D18" s="447"/>
      <c r="E18" s="448"/>
      <c r="F18" s="448"/>
      <c r="G18" s="448"/>
      <c r="H18" s="448"/>
      <c r="I18" s="448"/>
      <c r="J18" s="449" t="str">
        <f t="shared" si="25"/>
        <v/>
      </c>
      <c r="K18" s="449" t="str">
        <f t="shared" si="26"/>
        <v/>
      </c>
      <c r="L18" s="450">
        <f t="shared" si="0"/>
        <v>0</v>
      </c>
      <c r="M18" s="451" t="str">
        <f t="shared" si="24"/>
        <v/>
      </c>
      <c r="N18" s="452" t="str">
        <f t="shared" si="24"/>
        <v/>
      </c>
      <c r="O18" s="452" t="str">
        <f t="shared" si="24"/>
        <v/>
      </c>
      <c r="P18" s="452" t="str">
        <f t="shared" si="24"/>
        <v/>
      </c>
      <c r="Q18" s="453" t="str">
        <f t="shared" si="24"/>
        <v/>
      </c>
      <c r="R18" s="451" t="str">
        <f t="shared" si="24"/>
        <v/>
      </c>
      <c r="S18" s="452" t="str">
        <f t="shared" si="24"/>
        <v/>
      </c>
      <c r="T18" s="452" t="str">
        <f t="shared" si="24"/>
        <v/>
      </c>
      <c r="U18" s="452" t="str">
        <f t="shared" si="24"/>
        <v/>
      </c>
      <c r="V18" s="453" t="str">
        <f t="shared" si="24"/>
        <v/>
      </c>
      <c r="W18" s="451" t="str">
        <f t="shared" si="24"/>
        <v/>
      </c>
      <c r="X18" s="452" t="str">
        <f t="shared" si="24"/>
        <v/>
      </c>
      <c r="Y18" s="452" t="str">
        <f t="shared" si="24"/>
        <v/>
      </c>
      <c r="Z18" s="452" t="str">
        <f t="shared" si="24"/>
        <v/>
      </c>
      <c r="AA18" s="453" t="str">
        <f t="shared" si="24"/>
        <v/>
      </c>
      <c r="AB18" s="451" t="str">
        <f t="shared" si="23"/>
        <v/>
      </c>
      <c r="AC18" s="452" t="str">
        <f t="shared" si="23"/>
        <v/>
      </c>
      <c r="AD18" s="452" t="str">
        <f t="shared" si="23"/>
        <v/>
      </c>
      <c r="AE18" s="452" t="str">
        <f t="shared" si="23"/>
        <v/>
      </c>
      <c r="AF18" s="453" t="str">
        <f t="shared" si="23"/>
        <v/>
      </c>
      <c r="AG18" s="451" t="str">
        <f t="shared" si="23"/>
        <v/>
      </c>
      <c r="AH18" s="452" t="str">
        <f t="shared" si="23"/>
        <v/>
      </c>
      <c r="AI18" s="452" t="str">
        <f t="shared" si="23"/>
        <v/>
      </c>
      <c r="AJ18" s="452" t="str">
        <f t="shared" si="23"/>
        <v/>
      </c>
      <c r="AK18" s="453" t="str">
        <f t="shared" si="23"/>
        <v/>
      </c>
      <c r="AL18" s="451" t="str">
        <f t="shared" si="23"/>
        <v/>
      </c>
      <c r="AM18" s="452" t="str">
        <f t="shared" si="23"/>
        <v/>
      </c>
      <c r="AN18" s="452" t="str">
        <f t="shared" si="23"/>
        <v/>
      </c>
      <c r="AO18" s="452" t="str">
        <f t="shared" si="23"/>
        <v/>
      </c>
      <c r="AP18" s="453" t="str">
        <f t="shared" si="23"/>
        <v/>
      </c>
      <c r="AQ18" s="451" t="str">
        <f t="shared" si="2"/>
        <v/>
      </c>
      <c r="AR18" s="452" t="str">
        <f t="shared" si="2"/>
        <v/>
      </c>
      <c r="AS18" s="452" t="str">
        <f t="shared" si="2"/>
        <v/>
      </c>
      <c r="AT18" s="452" t="str">
        <f t="shared" si="2"/>
        <v/>
      </c>
      <c r="AU18" s="453" t="str">
        <f t="shared" si="2"/>
        <v/>
      </c>
      <c r="AV18" s="451" t="str">
        <f t="shared" si="2"/>
        <v/>
      </c>
      <c r="AW18" s="452" t="str">
        <f t="shared" si="2"/>
        <v/>
      </c>
      <c r="AX18" s="452" t="str">
        <f t="shared" si="2"/>
        <v/>
      </c>
      <c r="AY18" s="452" t="str">
        <f t="shared" si="2"/>
        <v/>
      </c>
      <c r="AZ18" s="453" t="str">
        <f t="shared" si="2"/>
        <v/>
      </c>
      <c r="BA18" s="451" t="str">
        <f t="shared" si="2"/>
        <v/>
      </c>
      <c r="BB18" s="452" t="str">
        <f t="shared" si="3"/>
        <v/>
      </c>
      <c r="BC18" s="452" t="str">
        <f t="shared" si="3"/>
        <v/>
      </c>
      <c r="BD18" s="452" t="str">
        <f t="shared" si="3"/>
        <v/>
      </c>
      <c r="BE18" s="453" t="str">
        <f t="shared" si="3"/>
        <v/>
      </c>
      <c r="BF18" s="451" t="str">
        <f t="shared" si="3"/>
        <v/>
      </c>
      <c r="BG18" s="452" t="str">
        <f t="shared" si="3"/>
        <v/>
      </c>
      <c r="BH18" s="452" t="str">
        <f t="shared" si="3"/>
        <v/>
      </c>
      <c r="BI18" s="452" t="str">
        <f t="shared" si="3"/>
        <v/>
      </c>
      <c r="BJ18" s="453" t="str">
        <f t="shared" si="3"/>
        <v/>
      </c>
      <c r="BK18" s="451" t="str">
        <f t="shared" si="3"/>
        <v/>
      </c>
      <c r="BL18" s="452" t="str">
        <f t="shared" si="3"/>
        <v/>
      </c>
      <c r="BM18" s="452" t="str">
        <f t="shared" si="3"/>
        <v/>
      </c>
      <c r="BN18" s="452" t="str">
        <f t="shared" si="3"/>
        <v/>
      </c>
      <c r="BO18" s="453" t="str">
        <f t="shared" si="3"/>
        <v/>
      </c>
      <c r="BP18" s="451" t="str">
        <f t="shared" si="3"/>
        <v/>
      </c>
      <c r="BQ18" s="452" t="str">
        <f t="shared" si="3"/>
        <v/>
      </c>
      <c r="BR18" s="452" t="str">
        <f t="shared" si="4"/>
        <v/>
      </c>
      <c r="BS18" s="452" t="str">
        <f t="shared" si="4"/>
        <v/>
      </c>
      <c r="BT18" s="453" t="str">
        <f t="shared" si="4"/>
        <v/>
      </c>
      <c r="BU18" s="451" t="str">
        <f t="shared" si="4"/>
        <v/>
      </c>
      <c r="BV18" s="452" t="str">
        <f t="shared" si="4"/>
        <v/>
      </c>
      <c r="BW18" s="452" t="str">
        <f t="shared" si="4"/>
        <v/>
      </c>
      <c r="BX18" s="452" t="str">
        <f t="shared" si="4"/>
        <v/>
      </c>
      <c r="BY18" s="453" t="str">
        <f t="shared" si="4"/>
        <v/>
      </c>
      <c r="BZ18" s="451" t="str">
        <f t="shared" si="4"/>
        <v/>
      </c>
      <c r="CA18" s="452" t="str">
        <f t="shared" si="4"/>
        <v/>
      </c>
      <c r="CB18" s="452" t="str">
        <f t="shared" si="4"/>
        <v/>
      </c>
      <c r="CC18" s="452" t="str">
        <f t="shared" si="4"/>
        <v/>
      </c>
      <c r="CD18" s="453" t="str">
        <f t="shared" si="4"/>
        <v/>
      </c>
      <c r="CE18" s="451" t="str">
        <f t="shared" si="4"/>
        <v/>
      </c>
      <c r="CF18" s="452" t="str">
        <f t="shared" si="4"/>
        <v/>
      </c>
      <c r="CG18" s="452" t="str">
        <f t="shared" si="4"/>
        <v/>
      </c>
      <c r="CH18" s="452" t="str">
        <f t="shared" si="5"/>
        <v/>
      </c>
      <c r="CI18" s="453" t="str">
        <f t="shared" si="5"/>
        <v/>
      </c>
      <c r="CJ18" s="451" t="str">
        <f t="shared" si="5"/>
        <v/>
      </c>
      <c r="CK18" s="452" t="str">
        <f t="shared" si="5"/>
        <v/>
      </c>
      <c r="CL18" s="452" t="str">
        <f t="shared" si="5"/>
        <v/>
      </c>
      <c r="CM18" s="452" t="str">
        <f t="shared" si="5"/>
        <v/>
      </c>
      <c r="CN18" s="453" t="str">
        <f t="shared" si="5"/>
        <v/>
      </c>
      <c r="CO18" s="451" t="str">
        <f t="shared" si="5"/>
        <v/>
      </c>
      <c r="CP18" s="452" t="str">
        <f t="shared" si="5"/>
        <v/>
      </c>
      <c r="CQ18" s="452" t="str">
        <f t="shared" si="5"/>
        <v/>
      </c>
      <c r="CR18" s="452" t="str">
        <f t="shared" si="5"/>
        <v/>
      </c>
      <c r="CS18" s="453" t="str">
        <f t="shared" si="5"/>
        <v/>
      </c>
      <c r="CT18" s="451" t="str">
        <f t="shared" si="5"/>
        <v/>
      </c>
      <c r="CU18" s="452" t="str">
        <f t="shared" si="5"/>
        <v/>
      </c>
      <c r="CV18" s="452" t="str">
        <f t="shared" si="5"/>
        <v/>
      </c>
      <c r="CW18" s="452" t="str">
        <f t="shared" si="5"/>
        <v/>
      </c>
      <c r="CX18" s="453" t="str">
        <f t="shared" si="6"/>
        <v/>
      </c>
      <c r="CY18" s="451" t="str">
        <f t="shared" si="6"/>
        <v/>
      </c>
      <c r="CZ18" s="452" t="str">
        <f t="shared" si="6"/>
        <v/>
      </c>
      <c r="DA18" s="452" t="str">
        <f t="shared" si="6"/>
        <v/>
      </c>
      <c r="DB18" s="452" t="str">
        <f t="shared" si="6"/>
        <v/>
      </c>
      <c r="DC18" s="453" t="str">
        <f t="shared" si="6"/>
        <v/>
      </c>
      <c r="DD18" s="451" t="str">
        <f t="shared" si="6"/>
        <v/>
      </c>
      <c r="DE18" s="452" t="str">
        <f t="shared" si="6"/>
        <v/>
      </c>
      <c r="DF18" s="452" t="str">
        <f t="shared" si="6"/>
        <v/>
      </c>
      <c r="DG18" s="452" t="str">
        <f t="shared" si="6"/>
        <v/>
      </c>
      <c r="DH18" s="453" t="str">
        <f t="shared" si="6"/>
        <v/>
      </c>
      <c r="DI18" s="451" t="str">
        <f t="shared" si="6"/>
        <v/>
      </c>
      <c r="DJ18" s="452" t="str">
        <f t="shared" si="6"/>
        <v/>
      </c>
      <c r="DK18" s="452" t="str">
        <f t="shared" si="6"/>
        <v/>
      </c>
      <c r="DL18" s="452" t="str">
        <f t="shared" si="6"/>
        <v/>
      </c>
      <c r="DM18" s="453" t="str">
        <f t="shared" si="6"/>
        <v/>
      </c>
      <c r="DN18" s="451" t="str">
        <f t="shared" si="27"/>
        <v/>
      </c>
      <c r="DO18" s="452" t="str">
        <f t="shared" si="27"/>
        <v/>
      </c>
      <c r="DP18" s="452" t="str">
        <f t="shared" si="27"/>
        <v/>
      </c>
      <c r="DQ18" s="452" t="str">
        <f t="shared" si="27"/>
        <v/>
      </c>
      <c r="DR18" s="453" t="str">
        <f t="shared" si="27"/>
        <v/>
      </c>
      <c r="DS18" s="451" t="str">
        <f t="shared" si="27"/>
        <v/>
      </c>
      <c r="DT18" s="452" t="str">
        <f t="shared" si="27"/>
        <v/>
      </c>
      <c r="DU18" s="452" t="str">
        <f t="shared" si="27"/>
        <v/>
      </c>
      <c r="DV18" s="452" t="str">
        <f t="shared" si="27"/>
        <v/>
      </c>
      <c r="DW18" s="453" t="str">
        <f t="shared" si="27"/>
        <v/>
      </c>
      <c r="DX18" s="451" t="str">
        <f t="shared" si="27"/>
        <v/>
      </c>
      <c r="DY18" s="452" t="str">
        <f t="shared" si="27"/>
        <v/>
      </c>
      <c r="DZ18" s="452" t="str">
        <f t="shared" si="19"/>
        <v/>
      </c>
      <c r="EA18" s="452" t="str">
        <f t="shared" si="19"/>
        <v/>
      </c>
      <c r="EB18" s="453" t="str">
        <f t="shared" si="19"/>
        <v/>
      </c>
      <c r="EC18" s="451" t="str">
        <f t="shared" si="19"/>
        <v/>
      </c>
      <c r="ED18" s="452" t="str">
        <f t="shared" si="20"/>
        <v/>
      </c>
      <c r="EE18" s="452" t="str">
        <f t="shared" si="20"/>
        <v/>
      </c>
      <c r="EF18" s="452" t="str">
        <f t="shared" si="20"/>
        <v/>
      </c>
      <c r="EG18" s="453" t="str">
        <f t="shared" si="20"/>
        <v/>
      </c>
      <c r="EH18" s="451" t="str">
        <f t="shared" si="20"/>
        <v/>
      </c>
      <c r="EI18" s="452" t="str">
        <f t="shared" si="20"/>
        <v/>
      </c>
      <c r="EJ18" s="452" t="str">
        <f t="shared" si="20"/>
        <v/>
      </c>
      <c r="EK18" s="452" t="str">
        <f t="shared" si="20"/>
        <v/>
      </c>
      <c r="EL18" s="453" t="str">
        <f t="shared" si="20"/>
        <v/>
      </c>
      <c r="EM18" s="451" t="str">
        <f t="shared" si="20"/>
        <v/>
      </c>
      <c r="EN18" s="452" t="str">
        <f t="shared" si="20"/>
        <v/>
      </c>
      <c r="EO18" s="452" t="str">
        <f t="shared" si="20"/>
        <v/>
      </c>
      <c r="EP18" s="452" t="str">
        <f t="shared" si="20"/>
        <v/>
      </c>
      <c r="EQ18" s="453" t="str">
        <f t="shared" si="20"/>
        <v/>
      </c>
      <c r="ER18" s="451" t="str">
        <f t="shared" si="20"/>
        <v/>
      </c>
      <c r="ES18" s="452" t="str">
        <f t="shared" si="20"/>
        <v/>
      </c>
      <c r="ET18" s="452" t="str">
        <f t="shared" si="21"/>
        <v/>
      </c>
      <c r="EU18" s="452" t="str">
        <f t="shared" si="21"/>
        <v/>
      </c>
      <c r="EV18" s="453" t="str">
        <f t="shared" si="21"/>
        <v/>
      </c>
      <c r="EW18" s="451" t="str">
        <f t="shared" si="21"/>
        <v/>
      </c>
      <c r="EX18" s="452" t="str">
        <f t="shared" si="21"/>
        <v/>
      </c>
      <c r="EY18" s="452" t="str">
        <f t="shared" si="21"/>
        <v/>
      </c>
      <c r="EZ18" s="452" t="str">
        <f t="shared" si="21"/>
        <v/>
      </c>
      <c r="FA18" s="453" t="str">
        <f t="shared" si="21"/>
        <v/>
      </c>
      <c r="FB18" s="451" t="str">
        <f t="shared" si="21"/>
        <v/>
      </c>
      <c r="FC18" s="452" t="str">
        <f t="shared" si="21"/>
        <v/>
      </c>
      <c r="FD18" s="452" t="str">
        <f t="shared" si="21"/>
        <v/>
      </c>
      <c r="FE18" s="452" t="str">
        <f t="shared" si="21"/>
        <v/>
      </c>
      <c r="FF18" s="453" t="str">
        <f t="shared" si="21"/>
        <v/>
      </c>
      <c r="FG18" s="451" t="str">
        <f t="shared" si="21"/>
        <v/>
      </c>
      <c r="FH18" s="452" t="str">
        <f t="shared" si="21"/>
        <v/>
      </c>
      <c r="FI18" s="452" t="str">
        <f t="shared" si="21"/>
        <v/>
      </c>
      <c r="FJ18" s="452" t="str">
        <f t="shared" si="22"/>
        <v/>
      </c>
      <c r="FK18" s="453" t="str">
        <f t="shared" si="22"/>
        <v/>
      </c>
      <c r="FL18" s="451" t="str">
        <f t="shared" si="22"/>
        <v/>
      </c>
      <c r="FM18" s="452" t="str">
        <f t="shared" si="22"/>
        <v/>
      </c>
      <c r="FN18" s="452" t="str">
        <f t="shared" si="22"/>
        <v/>
      </c>
      <c r="FO18" s="452" t="str">
        <f t="shared" si="22"/>
        <v/>
      </c>
      <c r="FP18" s="453" t="str">
        <f t="shared" si="22"/>
        <v/>
      </c>
      <c r="FQ18" s="451" t="str">
        <f t="shared" si="22"/>
        <v/>
      </c>
      <c r="FR18" s="452" t="str">
        <f t="shared" si="22"/>
        <v/>
      </c>
      <c r="FS18" s="452" t="str">
        <f t="shared" si="22"/>
        <v/>
      </c>
      <c r="FT18" s="452" t="str">
        <f t="shared" si="22"/>
        <v/>
      </c>
      <c r="FU18" s="453" t="str">
        <f t="shared" si="22"/>
        <v/>
      </c>
      <c r="FV18" s="451" t="str">
        <f t="shared" si="22"/>
        <v/>
      </c>
      <c r="FW18" s="452" t="str">
        <f t="shared" si="22"/>
        <v/>
      </c>
      <c r="FX18" s="452" t="str">
        <f t="shared" si="22"/>
        <v/>
      </c>
      <c r="FY18" s="452" t="str">
        <f t="shared" si="22"/>
        <v/>
      </c>
      <c r="FZ18" s="453" t="str">
        <f t="shared" si="18"/>
        <v/>
      </c>
      <c r="GA18" s="451" t="str">
        <f t="shared" si="18"/>
        <v/>
      </c>
      <c r="GB18" s="452" t="str">
        <f t="shared" si="18"/>
        <v/>
      </c>
      <c r="GC18" s="452" t="str">
        <f t="shared" si="18"/>
        <v/>
      </c>
      <c r="GD18" s="452" t="str">
        <f t="shared" si="18"/>
        <v/>
      </c>
      <c r="GE18" s="453" t="str">
        <f t="shared" si="18"/>
        <v/>
      </c>
      <c r="GF18" s="451" t="str">
        <f t="shared" si="18"/>
        <v/>
      </c>
      <c r="GG18" s="452" t="str">
        <f t="shared" si="18"/>
        <v/>
      </c>
      <c r="GH18" s="452" t="str">
        <f t="shared" si="18"/>
        <v/>
      </c>
      <c r="GI18" s="452" t="str">
        <f t="shared" si="18"/>
        <v/>
      </c>
      <c r="GJ18" s="453" t="str">
        <f t="shared" si="18"/>
        <v/>
      </c>
      <c r="GK18" s="451" t="str">
        <f t="shared" si="18"/>
        <v/>
      </c>
      <c r="GL18" s="452" t="str">
        <f t="shared" si="12"/>
        <v/>
      </c>
      <c r="GM18" s="452" t="str">
        <f t="shared" si="12"/>
        <v/>
      </c>
      <c r="GN18" s="452" t="str">
        <f t="shared" si="12"/>
        <v/>
      </c>
      <c r="GO18" s="453" t="str">
        <f t="shared" si="12"/>
        <v/>
      </c>
      <c r="GP18" s="451" t="str">
        <f t="shared" si="28"/>
        <v/>
      </c>
      <c r="GQ18" s="452" t="str">
        <f t="shared" si="28"/>
        <v/>
      </c>
      <c r="GR18" s="452" t="str">
        <f t="shared" si="28"/>
        <v/>
      </c>
      <c r="GS18" s="452" t="str">
        <f t="shared" si="28"/>
        <v/>
      </c>
      <c r="GT18" s="453" t="str">
        <f t="shared" si="28"/>
        <v/>
      </c>
      <c r="GU18" s="451" t="str">
        <f t="shared" si="28"/>
        <v/>
      </c>
      <c r="GV18" s="452" t="str">
        <f t="shared" si="28"/>
        <v/>
      </c>
      <c r="GW18" s="452" t="str">
        <f t="shared" si="28"/>
        <v/>
      </c>
      <c r="GX18" s="452" t="str">
        <f t="shared" si="28"/>
        <v/>
      </c>
      <c r="GY18" s="453" t="str">
        <f t="shared" si="28"/>
        <v/>
      </c>
      <c r="GZ18" s="451" t="str">
        <f t="shared" si="28"/>
        <v/>
      </c>
      <c r="HA18" s="452" t="str">
        <f t="shared" si="28"/>
        <v/>
      </c>
      <c r="HB18" s="452" t="str">
        <f t="shared" si="28"/>
        <v/>
      </c>
      <c r="HC18" s="452" t="str">
        <f t="shared" si="28"/>
        <v/>
      </c>
      <c r="HD18" s="453" t="str">
        <f t="shared" si="28"/>
        <v/>
      </c>
      <c r="HE18" s="451" t="str">
        <f t="shared" si="28"/>
        <v/>
      </c>
      <c r="HF18" s="452" t="str">
        <f t="shared" si="15"/>
        <v/>
      </c>
      <c r="HG18" s="452" t="str">
        <f t="shared" si="15"/>
        <v/>
      </c>
      <c r="HH18" s="452" t="str">
        <f t="shared" si="15"/>
        <v/>
      </c>
      <c r="HI18" s="453" t="str">
        <f t="shared" si="15"/>
        <v/>
      </c>
      <c r="HJ18" s="451" t="str">
        <f t="shared" si="15"/>
        <v/>
      </c>
      <c r="HK18" s="452" t="str">
        <f t="shared" si="15"/>
        <v/>
      </c>
      <c r="HL18" s="452" t="str">
        <f t="shared" si="15"/>
        <v/>
      </c>
      <c r="HM18" s="452" t="str">
        <f t="shared" si="15"/>
        <v/>
      </c>
      <c r="HN18" s="453" t="str">
        <f t="shared" si="15"/>
        <v/>
      </c>
      <c r="HO18" s="451" t="str">
        <f t="shared" si="15"/>
        <v/>
      </c>
      <c r="HP18" s="452" t="str">
        <f t="shared" si="15"/>
        <v/>
      </c>
      <c r="HQ18" s="452" t="str">
        <f t="shared" si="15"/>
        <v/>
      </c>
      <c r="HR18" s="452" t="str">
        <f t="shared" si="15"/>
        <v/>
      </c>
      <c r="HS18" s="453" t="str">
        <f t="shared" si="15"/>
        <v/>
      </c>
      <c r="HT18" s="451" t="str">
        <f t="shared" si="15"/>
        <v/>
      </c>
      <c r="HU18" s="452" t="str">
        <f t="shared" si="16"/>
        <v/>
      </c>
      <c r="HV18" s="452" t="str">
        <f t="shared" si="16"/>
        <v/>
      </c>
      <c r="HW18" s="452" t="str">
        <f t="shared" si="16"/>
        <v/>
      </c>
      <c r="HX18" s="453" t="str">
        <f t="shared" si="16"/>
        <v/>
      </c>
      <c r="HY18" s="451" t="str">
        <f t="shared" si="16"/>
        <v/>
      </c>
      <c r="HZ18" s="452" t="str">
        <f t="shared" si="16"/>
        <v/>
      </c>
      <c r="IA18" s="452" t="str">
        <f t="shared" si="16"/>
        <v/>
      </c>
      <c r="IB18" s="452" t="str">
        <f t="shared" si="16"/>
        <v/>
      </c>
      <c r="IC18" s="453" t="str">
        <f t="shared" si="16"/>
        <v/>
      </c>
      <c r="ID18" s="451" t="str">
        <f t="shared" si="16"/>
        <v/>
      </c>
      <c r="IE18" s="452" t="str">
        <f t="shared" si="16"/>
        <v/>
      </c>
      <c r="IF18" s="452" t="str">
        <f t="shared" si="16"/>
        <v/>
      </c>
      <c r="IG18" s="452" t="str">
        <f t="shared" si="16"/>
        <v/>
      </c>
      <c r="IH18" s="453" t="str">
        <f t="shared" si="16"/>
        <v/>
      </c>
      <c r="II18" s="451" t="str">
        <f t="shared" si="16"/>
        <v/>
      </c>
      <c r="IJ18" s="452" t="str">
        <f t="shared" si="16"/>
        <v/>
      </c>
      <c r="IK18" s="452" t="str">
        <f t="shared" si="17"/>
        <v/>
      </c>
      <c r="IL18" s="452" t="str">
        <f t="shared" si="17"/>
        <v/>
      </c>
      <c r="IM18" s="453" t="str">
        <f t="shared" si="17"/>
        <v/>
      </c>
      <c r="IN18" s="451" t="str">
        <f t="shared" si="17"/>
        <v/>
      </c>
      <c r="IO18" s="452" t="str">
        <f t="shared" si="17"/>
        <v/>
      </c>
      <c r="IP18" s="452" t="str">
        <f t="shared" si="17"/>
        <v/>
      </c>
      <c r="IQ18" s="452" t="str">
        <f t="shared" si="17"/>
        <v/>
      </c>
      <c r="IR18" s="453" t="str">
        <f t="shared" si="17"/>
        <v/>
      </c>
    </row>
    <row r="19" spans="1:252" x14ac:dyDescent="0.2">
      <c r="A19" s="461">
        <v>2.4</v>
      </c>
      <c r="C19" s="447" t="s">
        <v>1354</v>
      </c>
      <c r="D19" s="447"/>
      <c r="E19" s="448"/>
      <c r="F19" s="448"/>
      <c r="G19" s="448"/>
      <c r="H19" s="448"/>
      <c r="I19" s="448"/>
      <c r="J19" s="449" t="str">
        <f t="shared" si="25"/>
        <v/>
      </c>
      <c r="K19" s="449" t="str">
        <f t="shared" si="26"/>
        <v/>
      </c>
      <c r="L19" s="450">
        <f t="shared" si="0"/>
        <v>0</v>
      </c>
      <c r="M19" s="451" t="str">
        <f t="shared" si="24"/>
        <v/>
      </c>
      <c r="N19" s="452" t="str">
        <f t="shared" si="24"/>
        <v/>
      </c>
      <c r="O19" s="452" t="str">
        <f t="shared" si="24"/>
        <v/>
      </c>
      <c r="P19" s="452" t="str">
        <f t="shared" si="24"/>
        <v/>
      </c>
      <c r="Q19" s="453" t="str">
        <f t="shared" si="24"/>
        <v/>
      </c>
      <c r="R19" s="451" t="str">
        <f t="shared" si="24"/>
        <v/>
      </c>
      <c r="S19" s="452" t="str">
        <f t="shared" si="24"/>
        <v/>
      </c>
      <c r="T19" s="452" t="str">
        <f t="shared" si="24"/>
        <v/>
      </c>
      <c r="U19" s="452" t="str">
        <f t="shared" si="24"/>
        <v/>
      </c>
      <c r="V19" s="453" t="str">
        <f t="shared" si="24"/>
        <v/>
      </c>
      <c r="W19" s="451" t="str">
        <f t="shared" si="24"/>
        <v/>
      </c>
      <c r="X19" s="452" t="str">
        <f t="shared" si="24"/>
        <v/>
      </c>
      <c r="Y19" s="452" t="str">
        <f t="shared" si="24"/>
        <v/>
      </c>
      <c r="Z19" s="452" t="str">
        <f t="shared" si="24"/>
        <v/>
      </c>
      <c r="AA19" s="453" t="str">
        <f t="shared" si="24"/>
        <v/>
      </c>
      <c r="AB19" s="451" t="str">
        <f t="shared" si="23"/>
        <v/>
      </c>
      <c r="AC19" s="452" t="str">
        <f t="shared" si="23"/>
        <v/>
      </c>
      <c r="AD19" s="452" t="str">
        <f t="shared" si="23"/>
        <v/>
      </c>
      <c r="AE19" s="452" t="str">
        <f t="shared" si="23"/>
        <v/>
      </c>
      <c r="AF19" s="453" t="str">
        <f t="shared" si="23"/>
        <v/>
      </c>
      <c r="AG19" s="451" t="str">
        <f t="shared" si="23"/>
        <v/>
      </c>
      <c r="AH19" s="452" t="str">
        <f t="shared" si="23"/>
        <v/>
      </c>
      <c r="AI19" s="452" t="str">
        <f t="shared" si="23"/>
        <v/>
      </c>
      <c r="AJ19" s="452" t="str">
        <f t="shared" si="23"/>
        <v/>
      </c>
      <c r="AK19" s="453" t="str">
        <f t="shared" si="23"/>
        <v/>
      </c>
      <c r="AL19" s="451" t="str">
        <f t="shared" si="23"/>
        <v/>
      </c>
      <c r="AM19" s="452" t="str">
        <f t="shared" si="23"/>
        <v/>
      </c>
      <c r="AN19" s="452" t="str">
        <f t="shared" si="23"/>
        <v/>
      </c>
      <c r="AO19" s="452" t="str">
        <f t="shared" si="23"/>
        <v/>
      </c>
      <c r="AP19" s="453" t="str">
        <f t="shared" si="23"/>
        <v/>
      </c>
      <c r="AQ19" s="451" t="str">
        <f t="shared" si="2"/>
        <v/>
      </c>
      <c r="AR19" s="452" t="str">
        <f t="shared" si="2"/>
        <v/>
      </c>
      <c r="AS19" s="452" t="str">
        <f t="shared" si="2"/>
        <v/>
      </c>
      <c r="AT19" s="452" t="str">
        <f t="shared" si="2"/>
        <v/>
      </c>
      <c r="AU19" s="453" t="str">
        <f t="shared" si="2"/>
        <v/>
      </c>
      <c r="AV19" s="451" t="str">
        <f t="shared" si="2"/>
        <v/>
      </c>
      <c r="AW19" s="452" t="str">
        <f t="shared" si="2"/>
        <v/>
      </c>
      <c r="AX19" s="452" t="str">
        <f t="shared" si="2"/>
        <v/>
      </c>
      <c r="AY19" s="452" t="str">
        <f t="shared" si="2"/>
        <v/>
      </c>
      <c r="AZ19" s="453" t="str">
        <f t="shared" si="2"/>
        <v/>
      </c>
      <c r="BA19" s="451" t="str">
        <f t="shared" si="2"/>
        <v/>
      </c>
      <c r="BB19" s="452" t="str">
        <f t="shared" si="3"/>
        <v/>
      </c>
      <c r="BC19" s="452" t="str">
        <f t="shared" si="3"/>
        <v/>
      </c>
      <c r="BD19" s="452" t="str">
        <f t="shared" si="3"/>
        <v/>
      </c>
      <c r="BE19" s="453" t="str">
        <f t="shared" si="3"/>
        <v/>
      </c>
      <c r="BF19" s="451" t="str">
        <f t="shared" si="3"/>
        <v/>
      </c>
      <c r="BG19" s="452" t="str">
        <f t="shared" si="3"/>
        <v/>
      </c>
      <c r="BH19" s="452" t="str">
        <f t="shared" si="3"/>
        <v/>
      </c>
      <c r="BI19" s="452" t="str">
        <f t="shared" si="3"/>
        <v/>
      </c>
      <c r="BJ19" s="453" t="str">
        <f t="shared" si="3"/>
        <v/>
      </c>
      <c r="BK19" s="451" t="str">
        <f t="shared" si="3"/>
        <v/>
      </c>
      <c r="BL19" s="452" t="str">
        <f t="shared" si="3"/>
        <v/>
      </c>
      <c r="BM19" s="452" t="str">
        <f t="shared" si="3"/>
        <v/>
      </c>
      <c r="BN19" s="452" t="str">
        <f t="shared" si="3"/>
        <v/>
      </c>
      <c r="BO19" s="453" t="str">
        <f t="shared" si="3"/>
        <v/>
      </c>
      <c r="BP19" s="451" t="str">
        <f t="shared" si="3"/>
        <v/>
      </c>
      <c r="BQ19" s="452" t="str">
        <f t="shared" si="3"/>
        <v/>
      </c>
      <c r="BR19" s="452" t="str">
        <f t="shared" si="4"/>
        <v/>
      </c>
      <c r="BS19" s="452" t="str">
        <f t="shared" si="4"/>
        <v/>
      </c>
      <c r="BT19" s="453" t="str">
        <f t="shared" si="4"/>
        <v/>
      </c>
      <c r="BU19" s="451" t="str">
        <f t="shared" si="4"/>
        <v/>
      </c>
      <c r="BV19" s="452" t="str">
        <f t="shared" si="4"/>
        <v/>
      </c>
      <c r="BW19" s="452" t="str">
        <f t="shared" si="4"/>
        <v/>
      </c>
      <c r="BX19" s="452" t="str">
        <f t="shared" si="4"/>
        <v/>
      </c>
      <c r="BY19" s="453" t="str">
        <f t="shared" si="4"/>
        <v/>
      </c>
      <c r="BZ19" s="451" t="str">
        <f t="shared" si="4"/>
        <v/>
      </c>
      <c r="CA19" s="452" t="str">
        <f t="shared" si="4"/>
        <v/>
      </c>
      <c r="CB19" s="452" t="str">
        <f t="shared" si="4"/>
        <v/>
      </c>
      <c r="CC19" s="452" t="str">
        <f t="shared" si="4"/>
        <v/>
      </c>
      <c r="CD19" s="453" t="str">
        <f t="shared" si="4"/>
        <v/>
      </c>
      <c r="CE19" s="451" t="str">
        <f t="shared" si="4"/>
        <v/>
      </c>
      <c r="CF19" s="452" t="str">
        <f t="shared" si="4"/>
        <v/>
      </c>
      <c r="CG19" s="452" t="str">
        <f t="shared" si="4"/>
        <v/>
      </c>
      <c r="CH19" s="452" t="str">
        <f t="shared" si="5"/>
        <v/>
      </c>
      <c r="CI19" s="453" t="str">
        <f t="shared" si="5"/>
        <v/>
      </c>
      <c r="CJ19" s="451" t="str">
        <f t="shared" si="5"/>
        <v/>
      </c>
      <c r="CK19" s="452" t="str">
        <f t="shared" si="5"/>
        <v/>
      </c>
      <c r="CL19" s="452" t="str">
        <f t="shared" si="5"/>
        <v/>
      </c>
      <c r="CM19" s="452" t="str">
        <f t="shared" si="5"/>
        <v/>
      </c>
      <c r="CN19" s="453" t="str">
        <f t="shared" si="5"/>
        <v/>
      </c>
      <c r="CO19" s="451" t="str">
        <f t="shared" si="5"/>
        <v/>
      </c>
      <c r="CP19" s="452" t="str">
        <f t="shared" si="5"/>
        <v/>
      </c>
      <c r="CQ19" s="452" t="str">
        <f t="shared" si="5"/>
        <v/>
      </c>
      <c r="CR19" s="452" t="str">
        <f t="shared" si="5"/>
        <v/>
      </c>
      <c r="CS19" s="453" t="str">
        <f t="shared" si="5"/>
        <v/>
      </c>
      <c r="CT19" s="451" t="str">
        <f t="shared" si="5"/>
        <v/>
      </c>
      <c r="CU19" s="452" t="str">
        <f t="shared" si="5"/>
        <v/>
      </c>
      <c r="CV19" s="452" t="str">
        <f t="shared" si="5"/>
        <v/>
      </c>
      <c r="CW19" s="452" t="str">
        <f t="shared" si="5"/>
        <v/>
      </c>
      <c r="CX19" s="453" t="str">
        <f t="shared" si="6"/>
        <v/>
      </c>
      <c r="CY19" s="451" t="str">
        <f t="shared" si="6"/>
        <v/>
      </c>
      <c r="CZ19" s="452" t="str">
        <f t="shared" si="6"/>
        <v/>
      </c>
      <c r="DA19" s="452" t="str">
        <f t="shared" si="6"/>
        <v/>
      </c>
      <c r="DB19" s="452" t="str">
        <f t="shared" si="6"/>
        <v/>
      </c>
      <c r="DC19" s="453" t="str">
        <f t="shared" si="6"/>
        <v/>
      </c>
      <c r="DD19" s="451" t="str">
        <f t="shared" si="6"/>
        <v/>
      </c>
      <c r="DE19" s="452" t="str">
        <f t="shared" si="6"/>
        <v/>
      </c>
      <c r="DF19" s="452" t="str">
        <f t="shared" si="6"/>
        <v/>
      </c>
      <c r="DG19" s="452" t="str">
        <f t="shared" si="6"/>
        <v/>
      </c>
      <c r="DH19" s="453" t="str">
        <f t="shared" si="6"/>
        <v/>
      </c>
      <c r="DI19" s="451" t="str">
        <f t="shared" si="6"/>
        <v/>
      </c>
      <c r="DJ19" s="452" t="str">
        <f t="shared" si="6"/>
        <v/>
      </c>
      <c r="DK19" s="452" t="str">
        <f t="shared" si="6"/>
        <v/>
      </c>
      <c r="DL19" s="452" t="str">
        <f t="shared" si="6"/>
        <v/>
      </c>
      <c r="DM19" s="453" t="str">
        <f t="shared" si="6"/>
        <v/>
      </c>
      <c r="DN19" s="451" t="str">
        <f t="shared" si="27"/>
        <v/>
      </c>
      <c r="DO19" s="452" t="str">
        <f t="shared" si="27"/>
        <v/>
      </c>
      <c r="DP19" s="452" t="str">
        <f t="shared" si="27"/>
        <v/>
      </c>
      <c r="DQ19" s="452" t="str">
        <f t="shared" si="27"/>
        <v/>
      </c>
      <c r="DR19" s="453" t="str">
        <f t="shared" si="27"/>
        <v/>
      </c>
      <c r="DS19" s="451" t="str">
        <f t="shared" si="27"/>
        <v/>
      </c>
      <c r="DT19" s="452" t="str">
        <f t="shared" si="27"/>
        <v/>
      </c>
      <c r="DU19" s="452" t="str">
        <f t="shared" si="27"/>
        <v/>
      </c>
      <c r="DV19" s="452" t="str">
        <f t="shared" si="27"/>
        <v/>
      </c>
      <c r="DW19" s="453" t="str">
        <f t="shared" si="27"/>
        <v/>
      </c>
      <c r="DX19" s="451" t="str">
        <f t="shared" si="27"/>
        <v/>
      </c>
      <c r="DY19" s="452" t="str">
        <f t="shared" si="27"/>
        <v/>
      </c>
      <c r="DZ19" s="452" t="str">
        <f t="shared" si="19"/>
        <v/>
      </c>
      <c r="EA19" s="452" t="str">
        <f t="shared" si="19"/>
        <v/>
      </c>
      <c r="EB19" s="453" t="str">
        <f t="shared" si="19"/>
        <v/>
      </c>
      <c r="EC19" s="451" t="str">
        <f t="shared" si="19"/>
        <v/>
      </c>
      <c r="ED19" s="452" t="str">
        <f t="shared" si="20"/>
        <v/>
      </c>
      <c r="EE19" s="452" t="str">
        <f t="shared" si="20"/>
        <v/>
      </c>
      <c r="EF19" s="452" t="str">
        <f t="shared" si="20"/>
        <v/>
      </c>
      <c r="EG19" s="453" t="str">
        <f t="shared" si="20"/>
        <v/>
      </c>
      <c r="EH19" s="451" t="str">
        <f t="shared" si="20"/>
        <v/>
      </c>
      <c r="EI19" s="452" t="str">
        <f t="shared" si="20"/>
        <v/>
      </c>
      <c r="EJ19" s="452" t="str">
        <f t="shared" si="20"/>
        <v/>
      </c>
      <c r="EK19" s="452" t="str">
        <f t="shared" si="20"/>
        <v/>
      </c>
      <c r="EL19" s="453" t="str">
        <f t="shared" si="20"/>
        <v/>
      </c>
      <c r="EM19" s="451" t="str">
        <f t="shared" si="20"/>
        <v/>
      </c>
      <c r="EN19" s="452" t="str">
        <f t="shared" si="20"/>
        <v/>
      </c>
      <c r="EO19" s="452" t="str">
        <f t="shared" si="20"/>
        <v/>
      </c>
      <c r="EP19" s="452" t="str">
        <f t="shared" si="20"/>
        <v/>
      </c>
      <c r="EQ19" s="453" t="str">
        <f t="shared" si="20"/>
        <v/>
      </c>
      <c r="ER19" s="451" t="str">
        <f t="shared" si="20"/>
        <v/>
      </c>
      <c r="ES19" s="452" t="str">
        <f t="shared" si="20"/>
        <v/>
      </c>
      <c r="ET19" s="452" t="str">
        <f t="shared" si="21"/>
        <v/>
      </c>
      <c r="EU19" s="452" t="str">
        <f t="shared" si="21"/>
        <v/>
      </c>
      <c r="EV19" s="453" t="str">
        <f t="shared" si="21"/>
        <v/>
      </c>
      <c r="EW19" s="451" t="str">
        <f t="shared" si="21"/>
        <v/>
      </c>
      <c r="EX19" s="452" t="str">
        <f t="shared" si="21"/>
        <v/>
      </c>
      <c r="EY19" s="452" t="str">
        <f t="shared" si="21"/>
        <v/>
      </c>
      <c r="EZ19" s="452" t="str">
        <f t="shared" si="21"/>
        <v/>
      </c>
      <c r="FA19" s="453" t="str">
        <f t="shared" si="21"/>
        <v/>
      </c>
      <c r="FB19" s="451" t="str">
        <f t="shared" si="21"/>
        <v/>
      </c>
      <c r="FC19" s="452" t="str">
        <f t="shared" si="21"/>
        <v/>
      </c>
      <c r="FD19" s="452" t="str">
        <f t="shared" si="21"/>
        <v/>
      </c>
      <c r="FE19" s="452" t="str">
        <f t="shared" si="21"/>
        <v/>
      </c>
      <c r="FF19" s="453" t="str">
        <f t="shared" si="21"/>
        <v/>
      </c>
      <c r="FG19" s="451" t="str">
        <f t="shared" si="21"/>
        <v/>
      </c>
      <c r="FH19" s="452" t="str">
        <f t="shared" si="21"/>
        <v/>
      </c>
      <c r="FI19" s="452" t="str">
        <f t="shared" si="21"/>
        <v/>
      </c>
      <c r="FJ19" s="452" t="str">
        <f t="shared" si="22"/>
        <v/>
      </c>
      <c r="FK19" s="453" t="str">
        <f t="shared" si="22"/>
        <v/>
      </c>
      <c r="FL19" s="451" t="str">
        <f t="shared" si="22"/>
        <v/>
      </c>
      <c r="FM19" s="452" t="str">
        <f t="shared" si="22"/>
        <v/>
      </c>
      <c r="FN19" s="452" t="str">
        <f t="shared" si="22"/>
        <v/>
      </c>
      <c r="FO19" s="452" t="str">
        <f t="shared" si="22"/>
        <v/>
      </c>
      <c r="FP19" s="453" t="str">
        <f t="shared" si="22"/>
        <v/>
      </c>
      <c r="FQ19" s="451" t="str">
        <f t="shared" si="22"/>
        <v/>
      </c>
      <c r="FR19" s="452" t="str">
        <f t="shared" si="22"/>
        <v/>
      </c>
      <c r="FS19" s="452" t="str">
        <f t="shared" si="22"/>
        <v/>
      </c>
      <c r="FT19" s="452" t="str">
        <f t="shared" si="22"/>
        <v/>
      </c>
      <c r="FU19" s="453" t="str">
        <f t="shared" si="22"/>
        <v/>
      </c>
      <c r="FV19" s="451" t="str">
        <f t="shared" si="22"/>
        <v/>
      </c>
      <c r="FW19" s="452" t="str">
        <f t="shared" si="22"/>
        <v/>
      </c>
      <c r="FX19" s="452" t="str">
        <f t="shared" si="22"/>
        <v/>
      </c>
      <c r="FY19" s="452" t="str">
        <f t="shared" si="22"/>
        <v/>
      </c>
      <c r="FZ19" s="453" t="str">
        <f t="shared" si="18"/>
        <v/>
      </c>
      <c r="GA19" s="451" t="str">
        <f t="shared" si="18"/>
        <v/>
      </c>
      <c r="GB19" s="452" t="str">
        <f t="shared" si="18"/>
        <v/>
      </c>
      <c r="GC19" s="452" t="str">
        <f t="shared" si="18"/>
        <v/>
      </c>
      <c r="GD19" s="452" t="str">
        <f t="shared" si="18"/>
        <v/>
      </c>
      <c r="GE19" s="453" t="str">
        <f t="shared" si="18"/>
        <v/>
      </c>
      <c r="GF19" s="451" t="str">
        <f t="shared" si="18"/>
        <v/>
      </c>
      <c r="GG19" s="452" t="str">
        <f t="shared" si="18"/>
        <v/>
      </c>
      <c r="GH19" s="452" t="str">
        <f t="shared" si="18"/>
        <v/>
      </c>
      <c r="GI19" s="452" t="str">
        <f t="shared" si="18"/>
        <v/>
      </c>
      <c r="GJ19" s="453" t="str">
        <f t="shared" si="18"/>
        <v/>
      </c>
      <c r="GK19" s="451" t="str">
        <f t="shared" si="18"/>
        <v/>
      </c>
      <c r="GL19" s="452" t="str">
        <f t="shared" si="18"/>
        <v/>
      </c>
      <c r="GM19" s="452" t="str">
        <f t="shared" si="18"/>
        <v/>
      </c>
      <c r="GN19" s="452" t="str">
        <f t="shared" si="18"/>
        <v/>
      </c>
      <c r="GO19" s="453" t="str">
        <f t="shared" si="18"/>
        <v/>
      </c>
      <c r="GP19" s="451" t="str">
        <f t="shared" si="28"/>
        <v/>
      </c>
      <c r="GQ19" s="452" t="str">
        <f t="shared" si="28"/>
        <v/>
      </c>
      <c r="GR19" s="452" t="str">
        <f t="shared" si="28"/>
        <v/>
      </c>
      <c r="GS19" s="452" t="str">
        <f t="shared" si="28"/>
        <v/>
      </c>
      <c r="GT19" s="453" t="str">
        <f t="shared" si="28"/>
        <v/>
      </c>
      <c r="GU19" s="451" t="str">
        <f t="shared" si="28"/>
        <v/>
      </c>
      <c r="GV19" s="452" t="str">
        <f t="shared" si="28"/>
        <v/>
      </c>
      <c r="GW19" s="452" t="str">
        <f t="shared" si="28"/>
        <v/>
      </c>
      <c r="GX19" s="452" t="str">
        <f t="shared" si="28"/>
        <v/>
      </c>
      <c r="GY19" s="453" t="str">
        <f t="shared" si="28"/>
        <v/>
      </c>
      <c r="GZ19" s="451" t="str">
        <f t="shared" si="28"/>
        <v/>
      </c>
      <c r="HA19" s="452" t="str">
        <f t="shared" si="28"/>
        <v/>
      </c>
      <c r="HB19" s="452" t="str">
        <f t="shared" si="28"/>
        <v/>
      </c>
      <c r="HC19" s="452" t="str">
        <f t="shared" si="28"/>
        <v/>
      </c>
      <c r="HD19" s="453" t="str">
        <f t="shared" si="28"/>
        <v/>
      </c>
      <c r="HE19" s="451" t="str">
        <f t="shared" si="28"/>
        <v/>
      </c>
      <c r="HF19" s="452" t="str">
        <f t="shared" si="15"/>
        <v/>
      </c>
      <c r="HG19" s="452" t="str">
        <f t="shared" si="15"/>
        <v/>
      </c>
      <c r="HH19" s="452" t="str">
        <f t="shared" si="15"/>
        <v/>
      </c>
      <c r="HI19" s="453" t="str">
        <f t="shared" si="15"/>
        <v/>
      </c>
      <c r="HJ19" s="451" t="str">
        <f t="shared" si="15"/>
        <v/>
      </c>
      <c r="HK19" s="452" t="str">
        <f t="shared" si="15"/>
        <v/>
      </c>
      <c r="HL19" s="452" t="str">
        <f t="shared" si="15"/>
        <v/>
      </c>
      <c r="HM19" s="452" t="str">
        <f t="shared" si="15"/>
        <v/>
      </c>
      <c r="HN19" s="453" t="str">
        <f t="shared" si="15"/>
        <v/>
      </c>
      <c r="HO19" s="451" t="str">
        <f t="shared" si="15"/>
        <v/>
      </c>
      <c r="HP19" s="452" t="str">
        <f t="shared" si="15"/>
        <v/>
      </c>
      <c r="HQ19" s="452" t="str">
        <f t="shared" si="15"/>
        <v/>
      </c>
      <c r="HR19" s="452" t="str">
        <f t="shared" si="15"/>
        <v/>
      </c>
      <c r="HS19" s="453" t="str">
        <f t="shared" si="15"/>
        <v/>
      </c>
      <c r="HT19" s="451" t="str">
        <f t="shared" si="15"/>
        <v/>
      </c>
      <c r="HU19" s="452" t="str">
        <f t="shared" si="16"/>
        <v/>
      </c>
      <c r="HV19" s="452" t="str">
        <f t="shared" si="16"/>
        <v/>
      </c>
      <c r="HW19" s="452" t="str">
        <f t="shared" si="16"/>
        <v/>
      </c>
      <c r="HX19" s="453" t="str">
        <f t="shared" si="16"/>
        <v/>
      </c>
      <c r="HY19" s="451" t="str">
        <f t="shared" si="16"/>
        <v/>
      </c>
      <c r="HZ19" s="452" t="str">
        <f t="shared" si="16"/>
        <v/>
      </c>
      <c r="IA19" s="452" t="str">
        <f t="shared" si="16"/>
        <v/>
      </c>
      <c r="IB19" s="452" t="str">
        <f t="shared" si="16"/>
        <v/>
      </c>
      <c r="IC19" s="453" t="str">
        <f t="shared" si="16"/>
        <v/>
      </c>
      <c r="ID19" s="451" t="str">
        <f t="shared" si="16"/>
        <v/>
      </c>
      <c r="IE19" s="452" t="str">
        <f t="shared" si="16"/>
        <v/>
      </c>
      <c r="IF19" s="452" t="str">
        <f t="shared" si="16"/>
        <v/>
      </c>
      <c r="IG19" s="452" t="str">
        <f t="shared" si="16"/>
        <v/>
      </c>
      <c r="IH19" s="453" t="str">
        <f t="shared" si="16"/>
        <v/>
      </c>
      <c r="II19" s="451" t="str">
        <f t="shared" si="16"/>
        <v/>
      </c>
      <c r="IJ19" s="452" t="str">
        <f t="shared" si="16"/>
        <v/>
      </c>
      <c r="IK19" s="452" t="str">
        <f t="shared" si="17"/>
        <v/>
      </c>
      <c r="IL19" s="452" t="str">
        <f t="shared" si="17"/>
        <v/>
      </c>
      <c r="IM19" s="453" t="str">
        <f t="shared" si="17"/>
        <v/>
      </c>
      <c r="IN19" s="451" t="str">
        <f t="shared" si="17"/>
        <v/>
      </c>
      <c r="IO19" s="452" t="str">
        <f t="shared" si="17"/>
        <v/>
      </c>
      <c r="IP19" s="452" t="str">
        <f t="shared" si="17"/>
        <v/>
      </c>
      <c r="IQ19" s="452" t="str">
        <f t="shared" si="17"/>
        <v/>
      </c>
      <c r="IR19" s="453" t="str">
        <f t="shared" si="17"/>
        <v/>
      </c>
    </row>
    <row r="20" spans="1:252" x14ac:dyDescent="0.2">
      <c r="A20" s="461">
        <v>2.5</v>
      </c>
      <c r="C20" s="447" t="s">
        <v>1355</v>
      </c>
      <c r="D20" s="447"/>
      <c r="E20" s="448"/>
      <c r="F20" s="448"/>
      <c r="G20" s="448"/>
      <c r="H20" s="448"/>
      <c r="I20" s="448"/>
      <c r="J20" s="449" t="str">
        <f t="shared" si="25"/>
        <v/>
      </c>
      <c r="K20" s="449" t="str">
        <f t="shared" si="26"/>
        <v/>
      </c>
      <c r="L20" s="450">
        <f t="shared" si="0"/>
        <v>0</v>
      </c>
      <c r="M20" s="451" t="str">
        <f t="shared" si="24"/>
        <v/>
      </c>
      <c r="N20" s="452" t="str">
        <f t="shared" si="24"/>
        <v/>
      </c>
      <c r="O20" s="452" t="str">
        <f t="shared" si="24"/>
        <v/>
      </c>
      <c r="P20" s="452" t="str">
        <f t="shared" si="24"/>
        <v/>
      </c>
      <c r="Q20" s="453" t="str">
        <f t="shared" si="24"/>
        <v/>
      </c>
      <c r="R20" s="451" t="str">
        <f t="shared" si="24"/>
        <v/>
      </c>
      <c r="S20" s="452" t="str">
        <f t="shared" si="24"/>
        <v/>
      </c>
      <c r="T20" s="452" t="str">
        <f t="shared" si="24"/>
        <v/>
      </c>
      <c r="U20" s="452" t="str">
        <f t="shared" si="24"/>
        <v/>
      </c>
      <c r="V20" s="453" t="str">
        <f t="shared" si="24"/>
        <v/>
      </c>
      <c r="W20" s="451" t="str">
        <f t="shared" si="24"/>
        <v/>
      </c>
      <c r="X20" s="452" t="str">
        <f t="shared" si="24"/>
        <v/>
      </c>
      <c r="Y20" s="452" t="str">
        <f t="shared" si="24"/>
        <v/>
      </c>
      <c r="Z20" s="452" t="str">
        <f t="shared" si="24"/>
        <v/>
      </c>
      <c r="AA20" s="453" t="str">
        <f t="shared" si="24"/>
        <v/>
      </c>
      <c r="AB20" s="451" t="str">
        <f t="shared" si="23"/>
        <v/>
      </c>
      <c r="AC20" s="452" t="str">
        <f t="shared" si="23"/>
        <v/>
      </c>
      <c r="AD20" s="452" t="str">
        <f t="shared" si="23"/>
        <v/>
      </c>
      <c r="AE20" s="452" t="str">
        <f t="shared" si="23"/>
        <v/>
      </c>
      <c r="AF20" s="453" t="str">
        <f t="shared" si="23"/>
        <v/>
      </c>
      <c r="AG20" s="451" t="str">
        <f t="shared" si="23"/>
        <v/>
      </c>
      <c r="AH20" s="452" t="str">
        <f t="shared" si="23"/>
        <v/>
      </c>
      <c r="AI20" s="452" t="str">
        <f t="shared" si="23"/>
        <v/>
      </c>
      <c r="AJ20" s="452" t="str">
        <f t="shared" si="23"/>
        <v/>
      </c>
      <c r="AK20" s="453" t="str">
        <f t="shared" si="23"/>
        <v/>
      </c>
      <c r="AL20" s="451" t="str">
        <f t="shared" si="23"/>
        <v/>
      </c>
      <c r="AM20" s="452" t="str">
        <f t="shared" si="23"/>
        <v/>
      </c>
      <c r="AN20" s="452" t="str">
        <f t="shared" si="23"/>
        <v/>
      </c>
      <c r="AO20" s="452" t="str">
        <f t="shared" si="23"/>
        <v/>
      </c>
      <c r="AP20" s="453" t="str">
        <f t="shared" si="23"/>
        <v/>
      </c>
      <c r="AQ20" s="451" t="str">
        <f t="shared" ref="AQ20:BF35" si="29">IF(AND(AQ$2&gt;=$J20,AQ$2&lt;=$K20),1,"")</f>
        <v/>
      </c>
      <c r="AR20" s="452" t="str">
        <f t="shared" si="29"/>
        <v/>
      </c>
      <c r="AS20" s="452" t="str">
        <f t="shared" si="29"/>
        <v/>
      </c>
      <c r="AT20" s="452" t="str">
        <f t="shared" si="29"/>
        <v/>
      </c>
      <c r="AU20" s="453" t="str">
        <f t="shared" si="29"/>
        <v/>
      </c>
      <c r="AV20" s="451" t="str">
        <f t="shared" si="29"/>
        <v/>
      </c>
      <c r="AW20" s="452" t="str">
        <f t="shared" si="29"/>
        <v/>
      </c>
      <c r="AX20" s="452" t="str">
        <f t="shared" si="29"/>
        <v/>
      </c>
      <c r="AY20" s="452" t="str">
        <f t="shared" si="29"/>
        <v/>
      </c>
      <c r="AZ20" s="453" t="str">
        <f t="shared" si="29"/>
        <v/>
      </c>
      <c r="BA20" s="451" t="str">
        <f t="shared" si="29"/>
        <v/>
      </c>
      <c r="BB20" s="452" t="str">
        <f t="shared" si="29"/>
        <v/>
      </c>
      <c r="BC20" s="452" t="str">
        <f t="shared" si="29"/>
        <v/>
      </c>
      <c r="BD20" s="452" t="str">
        <f t="shared" si="29"/>
        <v/>
      </c>
      <c r="BE20" s="453" t="str">
        <f t="shared" si="29"/>
        <v/>
      </c>
      <c r="BF20" s="451" t="str">
        <f t="shared" si="29"/>
        <v/>
      </c>
      <c r="BG20" s="452" t="str">
        <f t="shared" ref="BG20:BV36" si="30">IF(AND(BG$2&gt;=$J20,BG$2&lt;=$K20),1,"")</f>
        <v/>
      </c>
      <c r="BH20" s="452" t="str">
        <f t="shared" si="30"/>
        <v/>
      </c>
      <c r="BI20" s="452" t="str">
        <f t="shared" si="30"/>
        <v/>
      </c>
      <c r="BJ20" s="453" t="str">
        <f t="shared" si="30"/>
        <v/>
      </c>
      <c r="BK20" s="451" t="str">
        <f t="shared" si="30"/>
        <v/>
      </c>
      <c r="BL20" s="452" t="str">
        <f t="shared" si="30"/>
        <v/>
      </c>
      <c r="BM20" s="452" t="str">
        <f t="shared" si="30"/>
        <v/>
      </c>
      <c r="BN20" s="452" t="str">
        <f t="shared" si="30"/>
        <v/>
      </c>
      <c r="BO20" s="453" t="str">
        <f t="shared" si="30"/>
        <v/>
      </c>
      <c r="BP20" s="451" t="str">
        <f t="shared" si="30"/>
        <v/>
      </c>
      <c r="BQ20" s="452" t="str">
        <f t="shared" si="30"/>
        <v/>
      </c>
      <c r="BR20" s="452" t="str">
        <f t="shared" si="30"/>
        <v/>
      </c>
      <c r="BS20" s="452" t="str">
        <f t="shared" si="30"/>
        <v/>
      </c>
      <c r="BT20" s="453" t="str">
        <f t="shared" si="30"/>
        <v/>
      </c>
      <c r="BU20" s="451" t="str">
        <f t="shared" si="30"/>
        <v/>
      </c>
      <c r="BV20" s="452" t="str">
        <f t="shared" si="30"/>
        <v/>
      </c>
      <c r="BW20" s="452" t="str">
        <f t="shared" ref="BW20:CL36" si="31">IF(AND(BW$2&gt;=$J20,BW$2&lt;=$K20),1,"")</f>
        <v/>
      </c>
      <c r="BX20" s="452" t="str">
        <f t="shared" si="31"/>
        <v/>
      </c>
      <c r="BY20" s="453" t="str">
        <f t="shared" si="31"/>
        <v/>
      </c>
      <c r="BZ20" s="451" t="str">
        <f t="shared" si="31"/>
        <v/>
      </c>
      <c r="CA20" s="452" t="str">
        <f t="shared" si="31"/>
        <v/>
      </c>
      <c r="CB20" s="452" t="str">
        <f t="shared" si="31"/>
        <v/>
      </c>
      <c r="CC20" s="452" t="str">
        <f t="shared" si="31"/>
        <v/>
      </c>
      <c r="CD20" s="453" t="str">
        <f t="shared" si="31"/>
        <v/>
      </c>
      <c r="CE20" s="451" t="str">
        <f t="shared" si="31"/>
        <v/>
      </c>
      <c r="CF20" s="452" t="str">
        <f t="shared" si="31"/>
        <v/>
      </c>
      <c r="CG20" s="452" t="str">
        <f t="shared" si="31"/>
        <v/>
      </c>
      <c r="CH20" s="452" t="str">
        <f t="shared" si="31"/>
        <v/>
      </c>
      <c r="CI20" s="453" t="str">
        <f t="shared" si="31"/>
        <v/>
      </c>
      <c r="CJ20" s="451" t="str">
        <f t="shared" si="31"/>
        <v/>
      </c>
      <c r="CK20" s="452" t="str">
        <f t="shared" si="31"/>
        <v/>
      </c>
      <c r="CL20" s="452" t="str">
        <f t="shared" si="31"/>
        <v/>
      </c>
      <c r="CM20" s="452" t="str">
        <f t="shared" ref="CM20:DB36" si="32">IF(AND(CM$2&gt;=$J20,CM$2&lt;=$K20),1,"")</f>
        <v/>
      </c>
      <c r="CN20" s="453" t="str">
        <f t="shared" si="32"/>
        <v/>
      </c>
      <c r="CO20" s="451" t="str">
        <f t="shared" si="32"/>
        <v/>
      </c>
      <c r="CP20" s="452" t="str">
        <f t="shared" si="32"/>
        <v/>
      </c>
      <c r="CQ20" s="452" t="str">
        <f t="shared" si="32"/>
        <v/>
      </c>
      <c r="CR20" s="452" t="str">
        <f t="shared" si="32"/>
        <v/>
      </c>
      <c r="CS20" s="453" t="str">
        <f t="shared" si="32"/>
        <v/>
      </c>
      <c r="CT20" s="451" t="str">
        <f t="shared" si="32"/>
        <v/>
      </c>
      <c r="CU20" s="452" t="str">
        <f t="shared" si="32"/>
        <v/>
      </c>
      <c r="CV20" s="452" t="str">
        <f t="shared" si="32"/>
        <v/>
      </c>
      <c r="CW20" s="452" t="str">
        <f t="shared" si="32"/>
        <v/>
      </c>
      <c r="CX20" s="453" t="str">
        <f t="shared" si="32"/>
        <v/>
      </c>
      <c r="CY20" s="451" t="str">
        <f t="shared" si="32"/>
        <v/>
      </c>
      <c r="CZ20" s="452" t="str">
        <f t="shared" si="32"/>
        <v/>
      </c>
      <c r="DA20" s="452" t="str">
        <f t="shared" si="32"/>
        <v/>
      </c>
      <c r="DB20" s="452" t="str">
        <f t="shared" si="32"/>
        <v/>
      </c>
      <c r="DC20" s="453" t="str">
        <f t="shared" ref="DC20:DR39" si="33">IF(AND(DC$2&gt;=$J20,DC$2&lt;=$K20),1,"")</f>
        <v/>
      </c>
      <c r="DD20" s="451" t="str">
        <f t="shared" si="33"/>
        <v/>
      </c>
      <c r="DE20" s="452" t="str">
        <f t="shared" si="33"/>
        <v/>
      </c>
      <c r="DF20" s="452" t="str">
        <f t="shared" si="33"/>
        <v/>
      </c>
      <c r="DG20" s="452" t="str">
        <f t="shared" si="33"/>
        <v/>
      </c>
      <c r="DH20" s="453" t="str">
        <f t="shared" si="33"/>
        <v/>
      </c>
      <c r="DI20" s="451" t="str">
        <f t="shared" si="33"/>
        <v/>
      </c>
      <c r="DJ20" s="452" t="str">
        <f t="shared" si="33"/>
        <v/>
      </c>
      <c r="DK20" s="452" t="str">
        <f t="shared" si="33"/>
        <v/>
      </c>
      <c r="DL20" s="452" t="str">
        <f t="shared" si="33"/>
        <v/>
      </c>
      <c r="DM20" s="453" t="str">
        <f t="shared" si="33"/>
        <v/>
      </c>
      <c r="DN20" s="451" t="str">
        <f t="shared" si="33"/>
        <v/>
      </c>
      <c r="DO20" s="452" t="str">
        <f t="shared" si="33"/>
        <v/>
      </c>
      <c r="DP20" s="452" t="str">
        <f t="shared" si="33"/>
        <v/>
      </c>
      <c r="DQ20" s="452" t="str">
        <f t="shared" si="33"/>
        <v/>
      </c>
      <c r="DR20" s="453" t="str">
        <f t="shared" si="33"/>
        <v/>
      </c>
      <c r="DS20" s="451" t="str">
        <f t="shared" si="27"/>
        <v/>
      </c>
      <c r="DT20" s="452" t="str">
        <f t="shared" si="27"/>
        <v/>
      </c>
      <c r="DU20" s="452" t="str">
        <f t="shared" si="27"/>
        <v/>
      </c>
      <c r="DV20" s="452" t="str">
        <f t="shared" si="27"/>
        <v/>
      </c>
      <c r="DW20" s="453" t="str">
        <f t="shared" si="27"/>
        <v/>
      </c>
      <c r="DX20" s="451" t="str">
        <f t="shared" si="27"/>
        <v/>
      </c>
      <c r="DY20" s="452" t="str">
        <f t="shared" si="27"/>
        <v/>
      </c>
      <c r="DZ20" s="452" t="str">
        <f t="shared" si="19"/>
        <v/>
      </c>
      <c r="EA20" s="452" t="str">
        <f t="shared" si="19"/>
        <v/>
      </c>
      <c r="EB20" s="453" t="str">
        <f t="shared" si="19"/>
        <v/>
      </c>
      <c r="EC20" s="451" t="str">
        <f t="shared" si="19"/>
        <v/>
      </c>
      <c r="ED20" s="452" t="str">
        <f t="shared" si="20"/>
        <v/>
      </c>
      <c r="EE20" s="452" t="str">
        <f t="shared" si="20"/>
        <v/>
      </c>
      <c r="EF20" s="452" t="str">
        <f t="shared" si="20"/>
        <v/>
      </c>
      <c r="EG20" s="453" t="str">
        <f t="shared" si="20"/>
        <v/>
      </c>
      <c r="EH20" s="451" t="str">
        <f t="shared" si="20"/>
        <v/>
      </c>
      <c r="EI20" s="452" t="str">
        <f t="shared" si="20"/>
        <v/>
      </c>
      <c r="EJ20" s="452" t="str">
        <f t="shared" si="20"/>
        <v/>
      </c>
      <c r="EK20" s="452" t="str">
        <f t="shared" si="20"/>
        <v/>
      </c>
      <c r="EL20" s="453" t="str">
        <f t="shared" si="20"/>
        <v/>
      </c>
      <c r="EM20" s="451" t="str">
        <f t="shared" si="20"/>
        <v/>
      </c>
      <c r="EN20" s="452" t="str">
        <f t="shared" si="20"/>
        <v/>
      </c>
      <c r="EO20" s="452" t="str">
        <f t="shared" si="20"/>
        <v/>
      </c>
      <c r="EP20" s="452" t="str">
        <f t="shared" si="20"/>
        <v/>
      </c>
      <c r="EQ20" s="453" t="str">
        <f t="shared" si="20"/>
        <v/>
      </c>
      <c r="ER20" s="451" t="str">
        <f t="shared" si="20"/>
        <v/>
      </c>
      <c r="ES20" s="452" t="str">
        <f t="shared" si="20"/>
        <v/>
      </c>
      <c r="ET20" s="452" t="str">
        <f t="shared" si="21"/>
        <v/>
      </c>
      <c r="EU20" s="452" t="str">
        <f t="shared" si="21"/>
        <v/>
      </c>
      <c r="EV20" s="453" t="str">
        <f t="shared" si="21"/>
        <v/>
      </c>
      <c r="EW20" s="451" t="str">
        <f t="shared" si="21"/>
        <v/>
      </c>
      <c r="EX20" s="452" t="str">
        <f t="shared" si="21"/>
        <v/>
      </c>
      <c r="EY20" s="452" t="str">
        <f t="shared" si="21"/>
        <v/>
      </c>
      <c r="EZ20" s="452" t="str">
        <f t="shared" si="21"/>
        <v/>
      </c>
      <c r="FA20" s="453" t="str">
        <f t="shared" si="21"/>
        <v/>
      </c>
      <c r="FB20" s="451" t="str">
        <f t="shared" si="21"/>
        <v/>
      </c>
      <c r="FC20" s="452" t="str">
        <f t="shared" si="21"/>
        <v/>
      </c>
      <c r="FD20" s="452" t="str">
        <f t="shared" si="21"/>
        <v/>
      </c>
      <c r="FE20" s="452" t="str">
        <f t="shared" si="21"/>
        <v/>
      </c>
      <c r="FF20" s="453" t="str">
        <f t="shared" si="21"/>
        <v/>
      </c>
      <c r="FG20" s="451" t="str">
        <f t="shared" si="21"/>
        <v/>
      </c>
      <c r="FH20" s="452" t="str">
        <f t="shared" si="21"/>
        <v/>
      </c>
      <c r="FI20" s="452" t="str">
        <f t="shared" si="21"/>
        <v/>
      </c>
      <c r="FJ20" s="452" t="str">
        <f t="shared" si="22"/>
        <v/>
      </c>
      <c r="FK20" s="453" t="str">
        <f t="shared" si="22"/>
        <v/>
      </c>
      <c r="FL20" s="451" t="str">
        <f t="shared" si="22"/>
        <v/>
      </c>
      <c r="FM20" s="452" t="str">
        <f t="shared" si="22"/>
        <v/>
      </c>
      <c r="FN20" s="452" t="str">
        <f t="shared" si="22"/>
        <v/>
      </c>
      <c r="FO20" s="452" t="str">
        <f t="shared" si="22"/>
        <v/>
      </c>
      <c r="FP20" s="453" t="str">
        <f t="shared" si="22"/>
        <v/>
      </c>
      <c r="FQ20" s="451" t="str">
        <f t="shared" si="22"/>
        <v/>
      </c>
      <c r="FR20" s="452" t="str">
        <f t="shared" si="22"/>
        <v/>
      </c>
      <c r="FS20" s="452" t="str">
        <f t="shared" si="22"/>
        <v/>
      </c>
      <c r="FT20" s="452" t="str">
        <f t="shared" si="22"/>
        <v/>
      </c>
      <c r="FU20" s="453" t="str">
        <f t="shared" si="22"/>
        <v/>
      </c>
      <c r="FV20" s="451" t="str">
        <f t="shared" si="22"/>
        <v/>
      </c>
      <c r="FW20" s="452" t="str">
        <f t="shared" si="22"/>
        <v/>
      </c>
      <c r="FX20" s="452" t="str">
        <f t="shared" si="22"/>
        <v/>
      </c>
      <c r="FY20" s="452" t="str">
        <f t="shared" si="22"/>
        <v/>
      </c>
      <c r="FZ20" s="453" t="str">
        <f t="shared" si="18"/>
        <v/>
      </c>
      <c r="GA20" s="451" t="str">
        <f t="shared" si="18"/>
        <v/>
      </c>
      <c r="GB20" s="452" t="str">
        <f t="shared" si="18"/>
        <v/>
      </c>
      <c r="GC20" s="452" t="str">
        <f t="shared" si="18"/>
        <v/>
      </c>
      <c r="GD20" s="452" t="str">
        <f t="shared" si="18"/>
        <v/>
      </c>
      <c r="GE20" s="453" t="str">
        <f t="shared" si="18"/>
        <v/>
      </c>
      <c r="GF20" s="451" t="str">
        <f t="shared" si="18"/>
        <v/>
      </c>
      <c r="GG20" s="452" t="str">
        <f t="shared" si="18"/>
        <v/>
      </c>
      <c r="GH20" s="452" t="str">
        <f t="shared" si="18"/>
        <v/>
      </c>
      <c r="GI20" s="452" t="str">
        <f t="shared" si="18"/>
        <v/>
      </c>
      <c r="GJ20" s="453" t="str">
        <f t="shared" si="18"/>
        <v/>
      </c>
      <c r="GK20" s="451" t="str">
        <f t="shared" si="18"/>
        <v/>
      </c>
      <c r="GL20" s="452" t="str">
        <f t="shared" si="18"/>
        <v/>
      </c>
      <c r="GM20" s="452" t="str">
        <f t="shared" si="18"/>
        <v/>
      </c>
      <c r="GN20" s="452" t="str">
        <f t="shared" si="18"/>
        <v/>
      </c>
      <c r="GO20" s="453" t="str">
        <f t="shared" si="18"/>
        <v/>
      </c>
      <c r="GP20" s="451" t="str">
        <f t="shared" si="28"/>
        <v/>
      </c>
      <c r="GQ20" s="452" t="str">
        <f t="shared" si="28"/>
        <v/>
      </c>
      <c r="GR20" s="452" t="str">
        <f t="shared" si="28"/>
        <v/>
      </c>
      <c r="GS20" s="452" t="str">
        <f t="shared" si="28"/>
        <v/>
      </c>
      <c r="GT20" s="453" t="str">
        <f t="shared" si="28"/>
        <v/>
      </c>
      <c r="GU20" s="451" t="str">
        <f t="shared" si="28"/>
        <v/>
      </c>
      <c r="GV20" s="452" t="str">
        <f t="shared" si="28"/>
        <v/>
      </c>
      <c r="GW20" s="452" t="str">
        <f t="shared" si="28"/>
        <v/>
      </c>
      <c r="GX20" s="452" t="str">
        <f t="shared" si="28"/>
        <v/>
      </c>
      <c r="GY20" s="453" t="str">
        <f t="shared" si="28"/>
        <v/>
      </c>
      <c r="GZ20" s="451" t="str">
        <f t="shared" si="28"/>
        <v/>
      </c>
      <c r="HA20" s="452" t="str">
        <f t="shared" si="28"/>
        <v/>
      </c>
      <c r="HB20" s="452" t="str">
        <f t="shared" si="28"/>
        <v/>
      </c>
      <c r="HC20" s="452" t="str">
        <f t="shared" si="28"/>
        <v/>
      </c>
      <c r="HD20" s="453" t="str">
        <f t="shared" si="28"/>
        <v/>
      </c>
      <c r="HE20" s="451" t="str">
        <f t="shared" si="28"/>
        <v/>
      </c>
      <c r="HF20" s="452" t="str">
        <f t="shared" si="15"/>
        <v/>
      </c>
      <c r="HG20" s="452" t="str">
        <f t="shared" si="15"/>
        <v/>
      </c>
      <c r="HH20" s="452" t="str">
        <f t="shared" si="15"/>
        <v/>
      </c>
      <c r="HI20" s="453" t="str">
        <f t="shared" si="15"/>
        <v/>
      </c>
      <c r="HJ20" s="451" t="str">
        <f t="shared" si="15"/>
        <v/>
      </c>
      <c r="HK20" s="452" t="str">
        <f t="shared" si="15"/>
        <v/>
      </c>
      <c r="HL20" s="452" t="str">
        <f t="shared" si="15"/>
        <v/>
      </c>
      <c r="HM20" s="452" t="str">
        <f t="shared" si="15"/>
        <v/>
      </c>
      <c r="HN20" s="453" t="str">
        <f t="shared" si="15"/>
        <v/>
      </c>
      <c r="HO20" s="451" t="str">
        <f t="shared" si="15"/>
        <v/>
      </c>
      <c r="HP20" s="452" t="str">
        <f t="shared" si="15"/>
        <v/>
      </c>
      <c r="HQ20" s="452" t="str">
        <f t="shared" si="15"/>
        <v/>
      </c>
      <c r="HR20" s="452" t="str">
        <f t="shared" si="15"/>
        <v/>
      </c>
      <c r="HS20" s="453" t="str">
        <f t="shared" si="15"/>
        <v/>
      </c>
      <c r="HT20" s="451" t="str">
        <f t="shared" si="15"/>
        <v/>
      </c>
      <c r="HU20" s="452" t="str">
        <f t="shared" si="16"/>
        <v/>
      </c>
      <c r="HV20" s="452" t="str">
        <f t="shared" si="16"/>
        <v/>
      </c>
      <c r="HW20" s="452" t="str">
        <f t="shared" si="16"/>
        <v/>
      </c>
      <c r="HX20" s="453" t="str">
        <f t="shared" si="16"/>
        <v/>
      </c>
      <c r="HY20" s="451" t="str">
        <f t="shared" si="16"/>
        <v/>
      </c>
      <c r="HZ20" s="452" t="str">
        <f t="shared" si="16"/>
        <v/>
      </c>
      <c r="IA20" s="452" t="str">
        <f t="shared" si="16"/>
        <v/>
      </c>
      <c r="IB20" s="452" t="str">
        <f t="shared" si="16"/>
        <v/>
      </c>
      <c r="IC20" s="453" t="str">
        <f t="shared" si="16"/>
        <v/>
      </c>
      <c r="ID20" s="451" t="str">
        <f t="shared" si="16"/>
        <v/>
      </c>
      <c r="IE20" s="452" t="str">
        <f t="shared" si="16"/>
        <v/>
      </c>
      <c r="IF20" s="452" t="str">
        <f t="shared" si="16"/>
        <v/>
      </c>
      <c r="IG20" s="452" t="str">
        <f t="shared" si="16"/>
        <v/>
      </c>
      <c r="IH20" s="453" t="str">
        <f t="shared" si="16"/>
        <v/>
      </c>
      <c r="II20" s="451" t="str">
        <f t="shared" si="16"/>
        <v/>
      </c>
      <c r="IJ20" s="452" t="str">
        <f t="shared" si="16"/>
        <v/>
      </c>
      <c r="IK20" s="452" t="str">
        <f t="shared" si="17"/>
        <v/>
      </c>
      <c r="IL20" s="452" t="str">
        <f t="shared" si="17"/>
        <v/>
      </c>
      <c r="IM20" s="453" t="str">
        <f t="shared" si="17"/>
        <v/>
      </c>
      <c r="IN20" s="451" t="str">
        <f t="shared" si="17"/>
        <v/>
      </c>
      <c r="IO20" s="452" t="str">
        <f t="shared" si="17"/>
        <v/>
      </c>
      <c r="IP20" s="452" t="str">
        <f t="shared" si="17"/>
        <v/>
      </c>
      <c r="IQ20" s="452" t="str">
        <f t="shared" si="17"/>
        <v/>
      </c>
      <c r="IR20" s="453" t="str">
        <f t="shared" si="17"/>
        <v/>
      </c>
    </row>
    <row r="21" spans="1:252" x14ac:dyDescent="0.2">
      <c r="A21" s="461">
        <v>2.6</v>
      </c>
      <c r="C21" s="447" t="s">
        <v>1356</v>
      </c>
      <c r="D21" s="447"/>
      <c r="E21" s="448"/>
      <c r="F21" s="448"/>
      <c r="G21" s="448"/>
      <c r="H21" s="448"/>
      <c r="I21" s="448"/>
      <c r="J21" s="449" t="str">
        <f t="shared" si="25"/>
        <v/>
      </c>
      <c r="K21" s="449" t="str">
        <f t="shared" si="26"/>
        <v/>
      </c>
      <c r="L21" s="450">
        <f t="shared" si="0"/>
        <v>0</v>
      </c>
      <c r="M21" s="451" t="str">
        <f t="shared" si="24"/>
        <v/>
      </c>
      <c r="N21" s="452" t="str">
        <f t="shared" si="24"/>
        <v/>
      </c>
      <c r="O21" s="452" t="str">
        <f t="shared" si="24"/>
        <v/>
      </c>
      <c r="P21" s="452" t="str">
        <f t="shared" si="24"/>
        <v/>
      </c>
      <c r="Q21" s="453" t="str">
        <f t="shared" si="24"/>
        <v/>
      </c>
      <c r="R21" s="451" t="str">
        <f t="shared" si="24"/>
        <v/>
      </c>
      <c r="S21" s="452" t="str">
        <f t="shared" si="24"/>
        <v/>
      </c>
      <c r="T21" s="452" t="str">
        <f t="shared" si="24"/>
        <v/>
      </c>
      <c r="U21" s="452" t="str">
        <f t="shared" si="24"/>
        <v/>
      </c>
      <c r="V21" s="453" t="str">
        <f t="shared" si="24"/>
        <v/>
      </c>
      <c r="W21" s="451" t="str">
        <f t="shared" si="24"/>
        <v/>
      </c>
      <c r="X21" s="452" t="str">
        <f t="shared" si="24"/>
        <v/>
      </c>
      <c r="Y21" s="452" t="str">
        <f t="shared" si="24"/>
        <v/>
      </c>
      <c r="Z21" s="452" t="str">
        <f t="shared" si="24"/>
        <v/>
      </c>
      <c r="AA21" s="453" t="str">
        <f t="shared" si="24"/>
        <v/>
      </c>
      <c r="AB21" s="451" t="str">
        <f t="shared" si="23"/>
        <v/>
      </c>
      <c r="AC21" s="452" t="str">
        <f t="shared" si="23"/>
        <v/>
      </c>
      <c r="AD21" s="452" t="str">
        <f t="shared" si="23"/>
        <v/>
      </c>
      <c r="AE21" s="452" t="str">
        <f t="shared" si="23"/>
        <v/>
      </c>
      <c r="AF21" s="453" t="str">
        <f t="shared" si="23"/>
        <v/>
      </c>
      <c r="AG21" s="451" t="str">
        <f t="shared" si="23"/>
        <v/>
      </c>
      <c r="AH21" s="452" t="str">
        <f t="shared" si="23"/>
        <v/>
      </c>
      <c r="AI21" s="452" t="str">
        <f t="shared" si="23"/>
        <v/>
      </c>
      <c r="AJ21" s="452" t="str">
        <f t="shared" si="23"/>
        <v/>
      </c>
      <c r="AK21" s="453" t="str">
        <f t="shared" si="23"/>
        <v/>
      </c>
      <c r="AL21" s="451" t="str">
        <f t="shared" si="23"/>
        <v/>
      </c>
      <c r="AM21" s="452" t="str">
        <f t="shared" si="23"/>
        <v/>
      </c>
      <c r="AN21" s="452" t="str">
        <f t="shared" si="23"/>
        <v/>
      </c>
      <c r="AO21" s="452" t="str">
        <f t="shared" si="23"/>
        <v/>
      </c>
      <c r="AP21" s="453" t="str">
        <f t="shared" si="23"/>
        <v/>
      </c>
      <c r="AQ21" s="451" t="str">
        <f t="shared" si="29"/>
        <v/>
      </c>
      <c r="AR21" s="452" t="str">
        <f t="shared" si="29"/>
        <v/>
      </c>
      <c r="AS21" s="452" t="str">
        <f t="shared" si="29"/>
        <v/>
      </c>
      <c r="AT21" s="452" t="str">
        <f t="shared" si="29"/>
        <v/>
      </c>
      <c r="AU21" s="453" t="str">
        <f t="shared" si="29"/>
        <v/>
      </c>
      <c r="AV21" s="451" t="str">
        <f t="shared" si="29"/>
        <v/>
      </c>
      <c r="AW21" s="452" t="str">
        <f t="shared" si="29"/>
        <v/>
      </c>
      <c r="AX21" s="452" t="str">
        <f t="shared" si="29"/>
        <v/>
      </c>
      <c r="AY21" s="452" t="str">
        <f t="shared" si="29"/>
        <v/>
      </c>
      <c r="AZ21" s="453" t="str">
        <f t="shared" si="29"/>
        <v/>
      </c>
      <c r="BA21" s="451" t="str">
        <f t="shared" si="29"/>
        <v/>
      </c>
      <c r="BB21" s="452" t="str">
        <f t="shared" si="29"/>
        <v/>
      </c>
      <c r="BC21" s="452" t="str">
        <f t="shared" si="29"/>
        <v/>
      </c>
      <c r="BD21" s="452" t="str">
        <f t="shared" si="29"/>
        <v/>
      </c>
      <c r="BE21" s="453" t="str">
        <f t="shared" si="29"/>
        <v/>
      </c>
      <c r="BF21" s="451" t="str">
        <f t="shared" si="29"/>
        <v/>
      </c>
      <c r="BG21" s="452" t="str">
        <f t="shared" si="30"/>
        <v/>
      </c>
      <c r="BH21" s="452" t="str">
        <f t="shared" si="30"/>
        <v/>
      </c>
      <c r="BI21" s="452" t="str">
        <f t="shared" si="30"/>
        <v/>
      </c>
      <c r="BJ21" s="453" t="str">
        <f t="shared" si="30"/>
        <v/>
      </c>
      <c r="BK21" s="451" t="str">
        <f t="shared" si="30"/>
        <v/>
      </c>
      <c r="BL21" s="452" t="str">
        <f t="shared" si="30"/>
        <v/>
      </c>
      <c r="BM21" s="452" t="str">
        <f t="shared" si="30"/>
        <v/>
      </c>
      <c r="BN21" s="452" t="str">
        <f t="shared" si="30"/>
        <v/>
      </c>
      <c r="BO21" s="453" t="str">
        <f t="shared" si="30"/>
        <v/>
      </c>
      <c r="BP21" s="451" t="str">
        <f t="shared" si="30"/>
        <v/>
      </c>
      <c r="BQ21" s="452" t="str">
        <f t="shared" si="30"/>
        <v/>
      </c>
      <c r="BR21" s="452" t="str">
        <f t="shared" si="30"/>
        <v/>
      </c>
      <c r="BS21" s="452" t="str">
        <f t="shared" si="30"/>
        <v/>
      </c>
      <c r="BT21" s="453" t="str">
        <f t="shared" si="30"/>
        <v/>
      </c>
      <c r="BU21" s="451" t="str">
        <f t="shared" si="30"/>
        <v/>
      </c>
      <c r="BV21" s="452" t="str">
        <f t="shared" si="30"/>
        <v/>
      </c>
      <c r="BW21" s="452" t="str">
        <f t="shared" si="31"/>
        <v/>
      </c>
      <c r="BX21" s="452" t="str">
        <f t="shared" si="31"/>
        <v/>
      </c>
      <c r="BY21" s="453" t="str">
        <f t="shared" si="31"/>
        <v/>
      </c>
      <c r="BZ21" s="451" t="str">
        <f t="shared" si="31"/>
        <v/>
      </c>
      <c r="CA21" s="452" t="str">
        <f t="shared" si="31"/>
        <v/>
      </c>
      <c r="CB21" s="452" t="str">
        <f t="shared" si="31"/>
        <v/>
      </c>
      <c r="CC21" s="452" t="str">
        <f t="shared" si="31"/>
        <v/>
      </c>
      <c r="CD21" s="453" t="str">
        <f t="shared" si="31"/>
        <v/>
      </c>
      <c r="CE21" s="451" t="str">
        <f t="shared" si="31"/>
        <v/>
      </c>
      <c r="CF21" s="452" t="str">
        <f t="shared" si="31"/>
        <v/>
      </c>
      <c r="CG21" s="452" t="str">
        <f t="shared" si="31"/>
        <v/>
      </c>
      <c r="CH21" s="452" t="str">
        <f t="shared" si="31"/>
        <v/>
      </c>
      <c r="CI21" s="453" t="str">
        <f t="shared" si="31"/>
        <v/>
      </c>
      <c r="CJ21" s="451" t="str">
        <f t="shared" si="31"/>
        <v/>
      </c>
      <c r="CK21" s="452" t="str">
        <f t="shared" si="31"/>
        <v/>
      </c>
      <c r="CL21" s="452" t="str">
        <f t="shared" si="31"/>
        <v/>
      </c>
      <c r="CM21" s="452" t="str">
        <f t="shared" si="32"/>
        <v/>
      </c>
      <c r="CN21" s="453" t="str">
        <f t="shared" si="32"/>
        <v/>
      </c>
      <c r="CO21" s="451" t="str">
        <f t="shared" si="32"/>
        <v/>
      </c>
      <c r="CP21" s="452" t="str">
        <f t="shared" si="32"/>
        <v/>
      </c>
      <c r="CQ21" s="452" t="str">
        <f t="shared" si="32"/>
        <v/>
      </c>
      <c r="CR21" s="452" t="str">
        <f t="shared" si="32"/>
        <v/>
      </c>
      <c r="CS21" s="453" t="str">
        <f t="shared" si="32"/>
        <v/>
      </c>
      <c r="CT21" s="451" t="str">
        <f t="shared" si="32"/>
        <v/>
      </c>
      <c r="CU21" s="452" t="str">
        <f t="shared" si="32"/>
        <v/>
      </c>
      <c r="CV21" s="452" t="str">
        <f t="shared" si="32"/>
        <v/>
      </c>
      <c r="CW21" s="452" t="str">
        <f t="shared" si="32"/>
        <v/>
      </c>
      <c r="CX21" s="453" t="str">
        <f t="shared" si="32"/>
        <v/>
      </c>
      <c r="CY21" s="451" t="str">
        <f t="shared" si="32"/>
        <v/>
      </c>
      <c r="CZ21" s="452" t="str">
        <f t="shared" si="32"/>
        <v/>
      </c>
      <c r="DA21" s="452" t="str">
        <f t="shared" si="32"/>
        <v/>
      </c>
      <c r="DB21" s="452" t="str">
        <f t="shared" si="32"/>
        <v/>
      </c>
      <c r="DC21" s="453" t="str">
        <f t="shared" si="33"/>
        <v/>
      </c>
      <c r="DD21" s="451" t="str">
        <f t="shared" si="33"/>
        <v/>
      </c>
      <c r="DE21" s="452" t="str">
        <f t="shared" si="33"/>
        <v/>
      </c>
      <c r="DF21" s="452" t="str">
        <f t="shared" si="33"/>
        <v/>
      </c>
      <c r="DG21" s="452" t="str">
        <f t="shared" si="33"/>
        <v/>
      </c>
      <c r="DH21" s="453" t="str">
        <f t="shared" si="33"/>
        <v/>
      </c>
      <c r="DI21" s="451" t="str">
        <f t="shared" si="33"/>
        <v/>
      </c>
      <c r="DJ21" s="452" t="str">
        <f t="shared" si="33"/>
        <v/>
      </c>
      <c r="DK21" s="452" t="str">
        <f t="shared" si="33"/>
        <v/>
      </c>
      <c r="DL21" s="452" t="str">
        <f t="shared" si="33"/>
        <v/>
      </c>
      <c r="DM21" s="453" t="str">
        <f t="shared" si="33"/>
        <v/>
      </c>
      <c r="DN21" s="451" t="str">
        <f t="shared" si="27"/>
        <v/>
      </c>
      <c r="DO21" s="452" t="str">
        <f t="shared" si="27"/>
        <v/>
      </c>
      <c r="DP21" s="452" t="str">
        <f t="shared" si="27"/>
        <v/>
      </c>
      <c r="DQ21" s="452" t="str">
        <f t="shared" si="27"/>
        <v/>
      </c>
      <c r="DR21" s="453" t="str">
        <f t="shared" si="27"/>
        <v/>
      </c>
      <c r="DS21" s="451" t="str">
        <f t="shared" si="27"/>
        <v/>
      </c>
      <c r="DT21" s="452" t="str">
        <f t="shared" si="27"/>
        <v/>
      </c>
      <c r="DU21" s="452" t="str">
        <f t="shared" si="27"/>
        <v/>
      </c>
      <c r="DV21" s="452" t="str">
        <f t="shared" si="27"/>
        <v/>
      </c>
      <c r="DW21" s="453" t="str">
        <f t="shared" si="27"/>
        <v/>
      </c>
      <c r="DX21" s="451" t="str">
        <f t="shared" si="27"/>
        <v/>
      </c>
      <c r="DY21" s="452" t="str">
        <f t="shared" si="27"/>
        <v/>
      </c>
      <c r="DZ21" s="452" t="str">
        <f t="shared" si="19"/>
        <v/>
      </c>
      <c r="EA21" s="452" t="str">
        <f t="shared" si="19"/>
        <v/>
      </c>
      <c r="EB21" s="453" t="str">
        <f t="shared" si="19"/>
        <v/>
      </c>
      <c r="EC21" s="451" t="str">
        <f t="shared" si="19"/>
        <v/>
      </c>
      <c r="ED21" s="452" t="str">
        <f t="shared" si="20"/>
        <v/>
      </c>
      <c r="EE21" s="452" t="str">
        <f t="shared" si="20"/>
        <v/>
      </c>
      <c r="EF21" s="452" t="str">
        <f t="shared" si="20"/>
        <v/>
      </c>
      <c r="EG21" s="453" t="str">
        <f t="shared" si="20"/>
        <v/>
      </c>
      <c r="EH21" s="451" t="str">
        <f t="shared" si="20"/>
        <v/>
      </c>
      <c r="EI21" s="452" t="str">
        <f t="shared" si="20"/>
        <v/>
      </c>
      <c r="EJ21" s="452" t="str">
        <f t="shared" si="20"/>
        <v/>
      </c>
      <c r="EK21" s="452" t="str">
        <f t="shared" si="20"/>
        <v/>
      </c>
      <c r="EL21" s="453" t="str">
        <f t="shared" si="20"/>
        <v/>
      </c>
      <c r="EM21" s="451" t="str">
        <f t="shared" si="20"/>
        <v/>
      </c>
      <c r="EN21" s="452" t="str">
        <f t="shared" si="20"/>
        <v/>
      </c>
      <c r="EO21" s="452" t="str">
        <f t="shared" si="20"/>
        <v/>
      </c>
      <c r="EP21" s="452" t="str">
        <f t="shared" si="20"/>
        <v/>
      </c>
      <c r="EQ21" s="453" t="str">
        <f t="shared" si="20"/>
        <v/>
      </c>
      <c r="ER21" s="451" t="str">
        <f t="shared" si="20"/>
        <v/>
      </c>
      <c r="ES21" s="452" t="str">
        <f t="shared" si="20"/>
        <v/>
      </c>
      <c r="ET21" s="452" t="str">
        <f t="shared" si="21"/>
        <v/>
      </c>
      <c r="EU21" s="452" t="str">
        <f t="shared" si="21"/>
        <v/>
      </c>
      <c r="EV21" s="453" t="str">
        <f t="shared" si="21"/>
        <v/>
      </c>
      <c r="EW21" s="451" t="str">
        <f t="shared" si="21"/>
        <v/>
      </c>
      <c r="EX21" s="452" t="str">
        <f t="shared" si="21"/>
        <v/>
      </c>
      <c r="EY21" s="452" t="str">
        <f t="shared" si="21"/>
        <v/>
      </c>
      <c r="EZ21" s="452" t="str">
        <f t="shared" si="21"/>
        <v/>
      </c>
      <c r="FA21" s="453" t="str">
        <f t="shared" si="21"/>
        <v/>
      </c>
      <c r="FB21" s="451" t="str">
        <f t="shared" si="21"/>
        <v/>
      </c>
      <c r="FC21" s="452" t="str">
        <f t="shared" si="21"/>
        <v/>
      </c>
      <c r="FD21" s="452" t="str">
        <f t="shared" si="21"/>
        <v/>
      </c>
      <c r="FE21" s="452" t="str">
        <f t="shared" si="21"/>
        <v/>
      </c>
      <c r="FF21" s="453" t="str">
        <f t="shared" si="21"/>
        <v/>
      </c>
      <c r="FG21" s="451" t="str">
        <f t="shared" si="21"/>
        <v/>
      </c>
      <c r="FH21" s="452" t="str">
        <f t="shared" si="21"/>
        <v/>
      </c>
      <c r="FI21" s="452" t="str">
        <f t="shared" si="21"/>
        <v/>
      </c>
      <c r="FJ21" s="452" t="str">
        <f t="shared" si="22"/>
        <v/>
      </c>
      <c r="FK21" s="453" t="str">
        <f t="shared" si="22"/>
        <v/>
      </c>
      <c r="FL21" s="451" t="str">
        <f t="shared" si="22"/>
        <v/>
      </c>
      <c r="FM21" s="452" t="str">
        <f t="shared" si="22"/>
        <v/>
      </c>
      <c r="FN21" s="452" t="str">
        <f t="shared" si="22"/>
        <v/>
      </c>
      <c r="FO21" s="452" t="str">
        <f t="shared" si="22"/>
        <v/>
      </c>
      <c r="FP21" s="453" t="str">
        <f t="shared" si="22"/>
        <v/>
      </c>
      <c r="FQ21" s="451" t="str">
        <f t="shared" si="22"/>
        <v/>
      </c>
      <c r="FR21" s="452" t="str">
        <f t="shared" si="22"/>
        <v/>
      </c>
      <c r="FS21" s="452" t="str">
        <f t="shared" si="22"/>
        <v/>
      </c>
      <c r="FT21" s="452" t="str">
        <f t="shared" si="22"/>
        <v/>
      </c>
      <c r="FU21" s="453" t="str">
        <f t="shared" si="22"/>
        <v/>
      </c>
      <c r="FV21" s="451" t="str">
        <f t="shared" si="22"/>
        <v/>
      </c>
      <c r="FW21" s="452" t="str">
        <f t="shared" si="22"/>
        <v/>
      </c>
      <c r="FX21" s="452" t="str">
        <f t="shared" si="22"/>
        <v/>
      </c>
      <c r="FY21" s="452" t="str">
        <f t="shared" si="22"/>
        <v/>
      </c>
      <c r="FZ21" s="453" t="str">
        <f t="shared" si="18"/>
        <v/>
      </c>
      <c r="GA21" s="451" t="str">
        <f t="shared" si="18"/>
        <v/>
      </c>
      <c r="GB21" s="452" t="str">
        <f t="shared" si="18"/>
        <v/>
      </c>
      <c r="GC21" s="452" t="str">
        <f t="shared" si="18"/>
        <v/>
      </c>
      <c r="GD21" s="452" t="str">
        <f t="shared" si="18"/>
        <v/>
      </c>
      <c r="GE21" s="453" t="str">
        <f t="shared" si="18"/>
        <v/>
      </c>
      <c r="GF21" s="451" t="str">
        <f t="shared" si="18"/>
        <v/>
      </c>
      <c r="GG21" s="452" t="str">
        <f t="shared" si="18"/>
        <v/>
      </c>
      <c r="GH21" s="452" t="str">
        <f t="shared" si="18"/>
        <v/>
      </c>
      <c r="GI21" s="452" t="str">
        <f t="shared" si="18"/>
        <v/>
      </c>
      <c r="GJ21" s="453" t="str">
        <f t="shared" si="18"/>
        <v/>
      </c>
      <c r="GK21" s="451" t="str">
        <f t="shared" si="18"/>
        <v/>
      </c>
      <c r="GL21" s="452" t="str">
        <f t="shared" si="18"/>
        <v/>
      </c>
      <c r="GM21" s="452" t="str">
        <f t="shared" si="18"/>
        <v/>
      </c>
      <c r="GN21" s="452" t="str">
        <f t="shared" si="18"/>
        <v/>
      </c>
      <c r="GO21" s="453" t="str">
        <f t="shared" si="18"/>
        <v/>
      </c>
      <c r="GP21" s="451" t="str">
        <f t="shared" si="28"/>
        <v/>
      </c>
      <c r="GQ21" s="452" t="str">
        <f t="shared" si="28"/>
        <v/>
      </c>
      <c r="GR21" s="452" t="str">
        <f t="shared" si="28"/>
        <v/>
      </c>
      <c r="GS21" s="452" t="str">
        <f t="shared" si="28"/>
        <v/>
      </c>
      <c r="GT21" s="453" t="str">
        <f t="shared" si="28"/>
        <v/>
      </c>
      <c r="GU21" s="451" t="str">
        <f t="shared" si="28"/>
        <v/>
      </c>
      <c r="GV21" s="452" t="str">
        <f t="shared" si="28"/>
        <v/>
      </c>
      <c r="GW21" s="452" t="str">
        <f t="shared" si="28"/>
        <v/>
      </c>
      <c r="GX21" s="452" t="str">
        <f t="shared" si="28"/>
        <v/>
      </c>
      <c r="GY21" s="453" t="str">
        <f t="shared" si="28"/>
        <v/>
      </c>
      <c r="GZ21" s="451" t="str">
        <f t="shared" si="28"/>
        <v/>
      </c>
      <c r="HA21" s="452" t="str">
        <f t="shared" si="28"/>
        <v/>
      </c>
      <c r="HB21" s="452" t="str">
        <f t="shared" si="28"/>
        <v/>
      </c>
      <c r="HC21" s="452" t="str">
        <f t="shared" si="28"/>
        <v/>
      </c>
      <c r="HD21" s="453" t="str">
        <f t="shared" si="28"/>
        <v/>
      </c>
      <c r="HE21" s="451" t="str">
        <f t="shared" si="28"/>
        <v/>
      </c>
      <c r="HF21" s="452" t="str">
        <f t="shared" si="15"/>
        <v/>
      </c>
      <c r="HG21" s="452" t="str">
        <f t="shared" si="15"/>
        <v/>
      </c>
      <c r="HH21" s="452" t="str">
        <f t="shared" si="15"/>
        <v/>
      </c>
      <c r="HI21" s="453" t="str">
        <f t="shared" si="15"/>
        <v/>
      </c>
      <c r="HJ21" s="451" t="str">
        <f t="shared" si="15"/>
        <v/>
      </c>
      <c r="HK21" s="452" t="str">
        <f t="shared" si="15"/>
        <v/>
      </c>
      <c r="HL21" s="452" t="str">
        <f t="shared" si="15"/>
        <v/>
      </c>
      <c r="HM21" s="452" t="str">
        <f t="shared" si="15"/>
        <v/>
      </c>
      <c r="HN21" s="453" t="str">
        <f t="shared" si="15"/>
        <v/>
      </c>
      <c r="HO21" s="451" t="str">
        <f t="shared" si="15"/>
        <v/>
      </c>
      <c r="HP21" s="452" t="str">
        <f t="shared" si="15"/>
        <v/>
      </c>
      <c r="HQ21" s="452" t="str">
        <f t="shared" si="15"/>
        <v/>
      </c>
      <c r="HR21" s="452" t="str">
        <f t="shared" si="15"/>
        <v/>
      </c>
      <c r="HS21" s="453" t="str">
        <f t="shared" si="15"/>
        <v/>
      </c>
      <c r="HT21" s="451" t="str">
        <f t="shared" si="15"/>
        <v/>
      </c>
      <c r="HU21" s="452" t="str">
        <f t="shared" si="16"/>
        <v/>
      </c>
      <c r="HV21" s="452" t="str">
        <f t="shared" si="16"/>
        <v/>
      </c>
      <c r="HW21" s="452" t="str">
        <f t="shared" si="16"/>
        <v/>
      </c>
      <c r="HX21" s="453" t="str">
        <f t="shared" si="16"/>
        <v/>
      </c>
      <c r="HY21" s="451" t="str">
        <f t="shared" si="16"/>
        <v/>
      </c>
      <c r="HZ21" s="452" t="str">
        <f t="shared" si="16"/>
        <v/>
      </c>
      <c r="IA21" s="452" t="str">
        <f t="shared" si="16"/>
        <v/>
      </c>
      <c r="IB21" s="452" t="str">
        <f t="shared" si="16"/>
        <v/>
      </c>
      <c r="IC21" s="453" t="str">
        <f t="shared" si="16"/>
        <v/>
      </c>
      <c r="ID21" s="451" t="str">
        <f t="shared" si="16"/>
        <v/>
      </c>
      <c r="IE21" s="452" t="str">
        <f t="shared" si="16"/>
        <v/>
      </c>
      <c r="IF21" s="452" t="str">
        <f t="shared" si="16"/>
        <v/>
      </c>
      <c r="IG21" s="452" t="str">
        <f t="shared" si="16"/>
        <v/>
      </c>
      <c r="IH21" s="453" t="str">
        <f t="shared" si="16"/>
        <v/>
      </c>
      <c r="II21" s="451" t="str">
        <f t="shared" si="16"/>
        <v/>
      </c>
      <c r="IJ21" s="452" t="str">
        <f t="shared" si="16"/>
        <v/>
      </c>
      <c r="IK21" s="452" t="str">
        <f t="shared" si="17"/>
        <v/>
      </c>
      <c r="IL21" s="452" t="str">
        <f t="shared" si="17"/>
        <v/>
      </c>
      <c r="IM21" s="453" t="str">
        <f t="shared" si="17"/>
        <v/>
      </c>
      <c r="IN21" s="451" t="str">
        <f t="shared" si="17"/>
        <v/>
      </c>
      <c r="IO21" s="452" t="str">
        <f t="shared" si="17"/>
        <v/>
      </c>
      <c r="IP21" s="452" t="str">
        <f t="shared" si="17"/>
        <v/>
      </c>
      <c r="IQ21" s="452" t="str">
        <f t="shared" si="17"/>
        <v/>
      </c>
      <c r="IR21" s="453" t="str">
        <f t="shared" si="17"/>
        <v/>
      </c>
    </row>
    <row r="22" spans="1:252" x14ac:dyDescent="0.2">
      <c r="A22" s="461">
        <v>2.7</v>
      </c>
      <c r="C22" s="447" t="s">
        <v>1357</v>
      </c>
      <c r="D22" s="447"/>
      <c r="E22" s="448"/>
      <c r="F22" s="448"/>
      <c r="G22" s="448"/>
      <c r="H22" s="448"/>
      <c r="I22" s="448"/>
      <c r="J22" s="449" t="str">
        <f t="shared" si="25"/>
        <v/>
      </c>
      <c r="K22" s="449" t="str">
        <f t="shared" si="26"/>
        <v/>
      </c>
      <c r="L22" s="450">
        <f t="shared" si="0"/>
        <v>0</v>
      </c>
      <c r="M22" s="451" t="str">
        <f t="shared" si="24"/>
        <v/>
      </c>
      <c r="N22" s="452" t="str">
        <f t="shared" si="24"/>
        <v/>
      </c>
      <c r="O22" s="452" t="str">
        <f t="shared" si="24"/>
        <v/>
      </c>
      <c r="P22" s="452" t="str">
        <f t="shared" si="24"/>
        <v/>
      </c>
      <c r="Q22" s="453" t="str">
        <f t="shared" si="24"/>
        <v/>
      </c>
      <c r="R22" s="451" t="str">
        <f t="shared" si="24"/>
        <v/>
      </c>
      <c r="S22" s="452" t="str">
        <f t="shared" si="24"/>
        <v/>
      </c>
      <c r="T22" s="452" t="str">
        <f t="shared" si="24"/>
        <v/>
      </c>
      <c r="U22" s="452" t="str">
        <f t="shared" si="24"/>
        <v/>
      </c>
      <c r="V22" s="453" t="str">
        <f t="shared" si="24"/>
        <v/>
      </c>
      <c r="W22" s="451" t="str">
        <f t="shared" si="24"/>
        <v/>
      </c>
      <c r="X22" s="452" t="str">
        <f t="shared" si="24"/>
        <v/>
      </c>
      <c r="Y22" s="452" t="str">
        <f t="shared" si="24"/>
        <v/>
      </c>
      <c r="Z22" s="452" t="str">
        <f t="shared" si="24"/>
        <v/>
      </c>
      <c r="AA22" s="453" t="str">
        <f t="shared" si="24"/>
        <v/>
      </c>
      <c r="AB22" s="451" t="str">
        <f t="shared" si="23"/>
        <v/>
      </c>
      <c r="AC22" s="452" t="str">
        <f t="shared" si="23"/>
        <v/>
      </c>
      <c r="AD22" s="452" t="str">
        <f t="shared" si="23"/>
        <v/>
      </c>
      <c r="AE22" s="452" t="str">
        <f t="shared" si="23"/>
        <v/>
      </c>
      <c r="AF22" s="453" t="str">
        <f t="shared" si="23"/>
        <v/>
      </c>
      <c r="AG22" s="451" t="str">
        <f t="shared" si="23"/>
        <v/>
      </c>
      <c r="AH22" s="452" t="str">
        <f t="shared" si="23"/>
        <v/>
      </c>
      <c r="AI22" s="452" t="str">
        <f t="shared" si="23"/>
        <v/>
      </c>
      <c r="AJ22" s="452" t="str">
        <f t="shared" si="23"/>
        <v/>
      </c>
      <c r="AK22" s="453" t="str">
        <f t="shared" si="23"/>
        <v/>
      </c>
      <c r="AL22" s="451" t="str">
        <f t="shared" si="23"/>
        <v/>
      </c>
      <c r="AM22" s="452" t="str">
        <f t="shared" si="23"/>
        <v/>
      </c>
      <c r="AN22" s="452" t="str">
        <f t="shared" si="23"/>
        <v/>
      </c>
      <c r="AO22" s="452" t="str">
        <f t="shared" si="23"/>
        <v/>
      </c>
      <c r="AP22" s="453" t="str">
        <f t="shared" si="23"/>
        <v/>
      </c>
      <c r="AQ22" s="451" t="str">
        <f t="shared" si="29"/>
        <v/>
      </c>
      <c r="AR22" s="452" t="str">
        <f t="shared" si="29"/>
        <v/>
      </c>
      <c r="AS22" s="452" t="str">
        <f t="shared" si="29"/>
        <v/>
      </c>
      <c r="AT22" s="452" t="str">
        <f t="shared" si="29"/>
        <v/>
      </c>
      <c r="AU22" s="453" t="str">
        <f t="shared" si="29"/>
        <v/>
      </c>
      <c r="AV22" s="451" t="str">
        <f t="shared" si="29"/>
        <v/>
      </c>
      <c r="AW22" s="452" t="str">
        <f t="shared" si="29"/>
        <v/>
      </c>
      <c r="AX22" s="452" t="str">
        <f t="shared" si="29"/>
        <v/>
      </c>
      <c r="AY22" s="452" t="str">
        <f t="shared" si="29"/>
        <v/>
      </c>
      <c r="AZ22" s="453" t="str">
        <f t="shared" si="29"/>
        <v/>
      </c>
      <c r="BA22" s="451" t="str">
        <f t="shared" si="29"/>
        <v/>
      </c>
      <c r="BB22" s="452" t="str">
        <f t="shared" si="29"/>
        <v/>
      </c>
      <c r="BC22" s="452" t="str">
        <f t="shared" si="29"/>
        <v/>
      </c>
      <c r="BD22" s="452" t="str">
        <f t="shared" si="29"/>
        <v/>
      </c>
      <c r="BE22" s="453" t="str">
        <f t="shared" si="29"/>
        <v/>
      </c>
      <c r="BF22" s="451" t="str">
        <f t="shared" si="29"/>
        <v/>
      </c>
      <c r="BG22" s="452" t="str">
        <f t="shared" si="30"/>
        <v/>
      </c>
      <c r="BH22" s="452" t="str">
        <f t="shared" si="30"/>
        <v/>
      </c>
      <c r="BI22" s="452" t="str">
        <f t="shared" si="30"/>
        <v/>
      </c>
      <c r="BJ22" s="453" t="str">
        <f t="shared" si="30"/>
        <v/>
      </c>
      <c r="BK22" s="451" t="str">
        <f t="shared" si="30"/>
        <v/>
      </c>
      <c r="BL22" s="452" t="str">
        <f t="shared" si="30"/>
        <v/>
      </c>
      <c r="BM22" s="452" t="str">
        <f t="shared" si="30"/>
        <v/>
      </c>
      <c r="BN22" s="452" t="str">
        <f t="shared" si="30"/>
        <v/>
      </c>
      <c r="BO22" s="453" t="str">
        <f t="shared" si="30"/>
        <v/>
      </c>
      <c r="BP22" s="451" t="str">
        <f t="shared" si="30"/>
        <v/>
      </c>
      <c r="BQ22" s="452" t="str">
        <f t="shared" si="30"/>
        <v/>
      </c>
      <c r="BR22" s="452" t="str">
        <f t="shared" si="30"/>
        <v/>
      </c>
      <c r="BS22" s="452" t="str">
        <f t="shared" si="30"/>
        <v/>
      </c>
      <c r="BT22" s="453" t="str">
        <f t="shared" si="30"/>
        <v/>
      </c>
      <c r="BU22" s="451" t="str">
        <f t="shared" si="30"/>
        <v/>
      </c>
      <c r="BV22" s="452" t="str">
        <f t="shared" si="30"/>
        <v/>
      </c>
      <c r="BW22" s="452" t="str">
        <f t="shared" si="31"/>
        <v/>
      </c>
      <c r="BX22" s="452" t="str">
        <f t="shared" si="31"/>
        <v/>
      </c>
      <c r="BY22" s="453" t="str">
        <f t="shared" si="31"/>
        <v/>
      </c>
      <c r="BZ22" s="451" t="str">
        <f t="shared" si="31"/>
        <v/>
      </c>
      <c r="CA22" s="452" t="str">
        <f t="shared" si="31"/>
        <v/>
      </c>
      <c r="CB22" s="452" t="str">
        <f t="shared" si="31"/>
        <v/>
      </c>
      <c r="CC22" s="452" t="str">
        <f t="shared" si="31"/>
        <v/>
      </c>
      <c r="CD22" s="453" t="str">
        <f t="shared" si="31"/>
        <v/>
      </c>
      <c r="CE22" s="451" t="str">
        <f t="shared" si="31"/>
        <v/>
      </c>
      <c r="CF22" s="452" t="str">
        <f t="shared" si="31"/>
        <v/>
      </c>
      <c r="CG22" s="452" t="str">
        <f t="shared" si="31"/>
        <v/>
      </c>
      <c r="CH22" s="452" t="str">
        <f t="shared" si="31"/>
        <v/>
      </c>
      <c r="CI22" s="453" t="str">
        <f t="shared" si="31"/>
        <v/>
      </c>
      <c r="CJ22" s="451" t="str">
        <f t="shared" si="31"/>
        <v/>
      </c>
      <c r="CK22" s="452" t="str">
        <f t="shared" si="31"/>
        <v/>
      </c>
      <c r="CL22" s="452" t="str">
        <f t="shared" si="31"/>
        <v/>
      </c>
      <c r="CM22" s="452" t="str">
        <f t="shared" si="32"/>
        <v/>
      </c>
      <c r="CN22" s="453" t="str">
        <f t="shared" si="32"/>
        <v/>
      </c>
      <c r="CO22" s="451" t="str">
        <f t="shared" si="32"/>
        <v/>
      </c>
      <c r="CP22" s="452" t="str">
        <f t="shared" si="32"/>
        <v/>
      </c>
      <c r="CQ22" s="452" t="str">
        <f t="shared" si="32"/>
        <v/>
      </c>
      <c r="CR22" s="452" t="str">
        <f t="shared" si="32"/>
        <v/>
      </c>
      <c r="CS22" s="453" t="str">
        <f t="shared" si="32"/>
        <v/>
      </c>
      <c r="CT22" s="451" t="str">
        <f t="shared" si="32"/>
        <v/>
      </c>
      <c r="CU22" s="452" t="str">
        <f t="shared" si="32"/>
        <v/>
      </c>
      <c r="CV22" s="452" t="str">
        <f t="shared" si="32"/>
        <v/>
      </c>
      <c r="CW22" s="452" t="str">
        <f t="shared" si="32"/>
        <v/>
      </c>
      <c r="CX22" s="453" t="str">
        <f t="shared" si="32"/>
        <v/>
      </c>
      <c r="CY22" s="451" t="str">
        <f t="shared" si="32"/>
        <v/>
      </c>
      <c r="CZ22" s="452" t="str">
        <f t="shared" si="32"/>
        <v/>
      </c>
      <c r="DA22" s="452" t="str">
        <f t="shared" si="32"/>
        <v/>
      </c>
      <c r="DB22" s="452" t="str">
        <f t="shared" si="32"/>
        <v/>
      </c>
      <c r="DC22" s="453" t="str">
        <f t="shared" si="33"/>
        <v/>
      </c>
      <c r="DD22" s="451" t="str">
        <f t="shared" si="33"/>
        <v/>
      </c>
      <c r="DE22" s="452" t="str">
        <f t="shared" si="33"/>
        <v/>
      </c>
      <c r="DF22" s="452" t="str">
        <f t="shared" si="33"/>
        <v/>
      </c>
      <c r="DG22" s="452" t="str">
        <f t="shared" si="33"/>
        <v/>
      </c>
      <c r="DH22" s="453" t="str">
        <f t="shared" si="33"/>
        <v/>
      </c>
      <c r="DI22" s="451" t="str">
        <f t="shared" si="33"/>
        <v/>
      </c>
      <c r="DJ22" s="452" t="str">
        <f t="shared" si="33"/>
        <v/>
      </c>
      <c r="DK22" s="452" t="str">
        <f t="shared" si="33"/>
        <v/>
      </c>
      <c r="DL22" s="452" t="str">
        <f t="shared" si="33"/>
        <v/>
      </c>
      <c r="DM22" s="453" t="str">
        <f t="shared" si="33"/>
        <v/>
      </c>
      <c r="DN22" s="451" t="str">
        <f t="shared" si="27"/>
        <v/>
      </c>
      <c r="DO22" s="452" t="str">
        <f t="shared" si="27"/>
        <v/>
      </c>
      <c r="DP22" s="452" t="str">
        <f t="shared" si="27"/>
        <v/>
      </c>
      <c r="DQ22" s="452" t="str">
        <f t="shared" si="27"/>
        <v/>
      </c>
      <c r="DR22" s="453" t="str">
        <f t="shared" si="27"/>
        <v/>
      </c>
      <c r="DS22" s="451" t="str">
        <f t="shared" si="27"/>
        <v/>
      </c>
      <c r="DT22" s="452" t="str">
        <f t="shared" si="27"/>
        <v/>
      </c>
      <c r="DU22" s="452" t="str">
        <f t="shared" si="27"/>
        <v/>
      </c>
      <c r="DV22" s="452" t="str">
        <f t="shared" si="27"/>
        <v/>
      </c>
      <c r="DW22" s="453" t="str">
        <f t="shared" si="27"/>
        <v/>
      </c>
      <c r="DX22" s="451" t="str">
        <f t="shared" si="27"/>
        <v/>
      </c>
      <c r="DY22" s="452" t="str">
        <f t="shared" si="27"/>
        <v/>
      </c>
      <c r="DZ22" s="452" t="str">
        <f t="shared" si="19"/>
        <v/>
      </c>
      <c r="EA22" s="452" t="str">
        <f t="shared" si="19"/>
        <v/>
      </c>
      <c r="EB22" s="453" t="str">
        <f t="shared" si="19"/>
        <v/>
      </c>
      <c r="EC22" s="451" t="str">
        <f t="shared" si="19"/>
        <v/>
      </c>
      <c r="ED22" s="452" t="str">
        <f t="shared" si="20"/>
        <v/>
      </c>
      <c r="EE22" s="452" t="str">
        <f t="shared" si="20"/>
        <v/>
      </c>
      <c r="EF22" s="452" t="str">
        <f t="shared" si="20"/>
        <v/>
      </c>
      <c r="EG22" s="453" t="str">
        <f t="shared" si="20"/>
        <v/>
      </c>
      <c r="EH22" s="451" t="str">
        <f t="shared" si="20"/>
        <v/>
      </c>
      <c r="EI22" s="452" t="str">
        <f t="shared" si="20"/>
        <v/>
      </c>
      <c r="EJ22" s="452" t="str">
        <f t="shared" si="20"/>
        <v/>
      </c>
      <c r="EK22" s="452" t="str">
        <f t="shared" si="20"/>
        <v/>
      </c>
      <c r="EL22" s="453" t="str">
        <f t="shared" si="20"/>
        <v/>
      </c>
      <c r="EM22" s="451" t="str">
        <f t="shared" si="20"/>
        <v/>
      </c>
      <c r="EN22" s="452" t="str">
        <f t="shared" si="20"/>
        <v/>
      </c>
      <c r="EO22" s="452" t="str">
        <f t="shared" si="20"/>
        <v/>
      </c>
      <c r="EP22" s="452" t="str">
        <f t="shared" si="20"/>
        <v/>
      </c>
      <c r="EQ22" s="453" t="str">
        <f t="shared" si="20"/>
        <v/>
      </c>
      <c r="ER22" s="451" t="str">
        <f t="shared" si="20"/>
        <v/>
      </c>
      <c r="ES22" s="452" t="str">
        <f t="shared" si="20"/>
        <v/>
      </c>
      <c r="ET22" s="452" t="str">
        <f t="shared" si="21"/>
        <v/>
      </c>
      <c r="EU22" s="452" t="str">
        <f t="shared" si="21"/>
        <v/>
      </c>
      <c r="EV22" s="453" t="str">
        <f t="shared" si="21"/>
        <v/>
      </c>
      <c r="EW22" s="451" t="str">
        <f t="shared" si="21"/>
        <v/>
      </c>
      <c r="EX22" s="452" t="str">
        <f t="shared" si="21"/>
        <v/>
      </c>
      <c r="EY22" s="452" t="str">
        <f t="shared" si="21"/>
        <v/>
      </c>
      <c r="EZ22" s="452" t="str">
        <f t="shared" si="21"/>
        <v/>
      </c>
      <c r="FA22" s="453" t="str">
        <f t="shared" si="21"/>
        <v/>
      </c>
      <c r="FB22" s="451" t="str">
        <f t="shared" si="21"/>
        <v/>
      </c>
      <c r="FC22" s="452" t="str">
        <f t="shared" si="21"/>
        <v/>
      </c>
      <c r="FD22" s="452" t="str">
        <f t="shared" si="21"/>
        <v/>
      </c>
      <c r="FE22" s="452" t="str">
        <f t="shared" si="21"/>
        <v/>
      </c>
      <c r="FF22" s="453" t="str">
        <f t="shared" si="21"/>
        <v/>
      </c>
      <c r="FG22" s="451" t="str">
        <f t="shared" si="21"/>
        <v/>
      </c>
      <c r="FH22" s="452" t="str">
        <f t="shared" si="21"/>
        <v/>
      </c>
      <c r="FI22" s="452" t="str">
        <f t="shared" si="21"/>
        <v/>
      </c>
      <c r="FJ22" s="452" t="str">
        <f t="shared" si="22"/>
        <v/>
      </c>
      <c r="FK22" s="453" t="str">
        <f t="shared" si="22"/>
        <v/>
      </c>
      <c r="FL22" s="451" t="str">
        <f t="shared" si="22"/>
        <v/>
      </c>
      <c r="FM22" s="452" t="str">
        <f t="shared" si="22"/>
        <v/>
      </c>
      <c r="FN22" s="452" t="str">
        <f t="shared" si="22"/>
        <v/>
      </c>
      <c r="FO22" s="452" t="str">
        <f t="shared" si="22"/>
        <v/>
      </c>
      <c r="FP22" s="453" t="str">
        <f t="shared" si="22"/>
        <v/>
      </c>
      <c r="FQ22" s="451" t="str">
        <f t="shared" si="22"/>
        <v/>
      </c>
      <c r="FR22" s="452" t="str">
        <f t="shared" si="22"/>
        <v/>
      </c>
      <c r="FS22" s="452" t="str">
        <f t="shared" si="22"/>
        <v/>
      </c>
      <c r="FT22" s="452" t="str">
        <f t="shared" si="22"/>
        <v/>
      </c>
      <c r="FU22" s="453" t="str">
        <f t="shared" si="22"/>
        <v/>
      </c>
      <c r="FV22" s="451" t="str">
        <f t="shared" si="22"/>
        <v/>
      </c>
      <c r="FW22" s="452" t="str">
        <f t="shared" si="22"/>
        <v/>
      </c>
      <c r="FX22" s="452" t="str">
        <f t="shared" si="22"/>
        <v/>
      </c>
      <c r="FY22" s="452" t="str">
        <f t="shared" si="22"/>
        <v/>
      </c>
      <c r="FZ22" s="453" t="str">
        <f t="shared" si="18"/>
        <v/>
      </c>
      <c r="GA22" s="451" t="str">
        <f t="shared" si="18"/>
        <v/>
      </c>
      <c r="GB22" s="452" t="str">
        <f t="shared" si="18"/>
        <v/>
      </c>
      <c r="GC22" s="452" t="str">
        <f t="shared" si="18"/>
        <v/>
      </c>
      <c r="GD22" s="452" t="str">
        <f t="shared" si="18"/>
        <v/>
      </c>
      <c r="GE22" s="453" t="str">
        <f t="shared" si="18"/>
        <v/>
      </c>
      <c r="GF22" s="451" t="str">
        <f t="shared" si="18"/>
        <v/>
      </c>
      <c r="GG22" s="452" t="str">
        <f t="shared" si="18"/>
        <v/>
      </c>
      <c r="GH22" s="452" t="str">
        <f t="shared" si="18"/>
        <v/>
      </c>
      <c r="GI22" s="452" t="str">
        <f t="shared" si="18"/>
        <v/>
      </c>
      <c r="GJ22" s="453" t="str">
        <f t="shared" si="18"/>
        <v/>
      </c>
      <c r="GK22" s="451" t="str">
        <f t="shared" si="18"/>
        <v/>
      </c>
      <c r="GL22" s="452" t="str">
        <f t="shared" si="18"/>
        <v/>
      </c>
      <c r="GM22" s="452" t="str">
        <f t="shared" si="18"/>
        <v/>
      </c>
      <c r="GN22" s="452" t="str">
        <f t="shared" si="18"/>
        <v/>
      </c>
      <c r="GO22" s="453" t="str">
        <f t="shared" si="18"/>
        <v/>
      </c>
      <c r="GP22" s="451" t="str">
        <f t="shared" si="28"/>
        <v/>
      </c>
      <c r="GQ22" s="452" t="str">
        <f t="shared" si="28"/>
        <v/>
      </c>
      <c r="GR22" s="452" t="str">
        <f t="shared" si="28"/>
        <v/>
      </c>
      <c r="GS22" s="452" t="str">
        <f t="shared" si="28"/>
        <v/>
      </c>
      <c r="GT22" s="453" t="str">
        <f t="shared" si="28"/>
        <v/>
      </c>
      <c r="GU22" s="451" t="str">
        <f t="shared" si="28"/>
        <v/>
      </c>
      <c r="GV22" s="452" t="str">
        <f t="shared" si="28"/>
        <v/>
      </c>
      <c r="GW22" s="452" t="str">
        <f t="shared" si="28"/>
        <v/>
      </c>
      <c r="GX22" s="452" t="str">
        <f t="shared" si="28"/>
        <v/>
      </c>
      <c r="GY22" s="453" t="str">
        <f t="shared" si="28"/>
        <v/>
      </c>
      <c r="GZ22" s="451" t="str">
        <f t="shared" si="28"/>
        <v/>
      </c>
      <c r="HA22" s="452" t="str">
        <f t="shared" si="28"/>
        <v/>
      </c>
      <c r="HB22" s="452" t="str">
        <f t="shared" si="28"/>
        <v/>
      </c>
      <c r="HC22" s="452" t="str">
        <f t="shared" si="28"/>
        <v/>
      </c>
      <c r="HD22" s="453" t="str">
        <f t="shared" si="28"/>
        <v/>
      </c>
      <c r="HE22" s="451" t="str">
        <f t="shared" si="28"/>
        <v/>
      </c>
      <c r="HF22" s="452" t="str">
        <f t="shared" si="15"/>
        <v/>
      </c>
      <c r="HG22" s="452" t="str">
        <f t="shared" si="15"/>
        <v/>
      </c>
      <c r="HH22" s="452" t="str">
        <f t="shared" si="15"/>
        <v/>
      </c>
      <c r="HI22" s="453" t="str">
        <f t="shared" si="15"/>
        <v/>
      </c>
      <c r="HJ22" s="451" t="str">
        <f t="shared" si="15"/>
        <v/>
      </c>
      <c r="HK22" s="452" t="str">
        <f t="shared" si="15"/>
        <v/>
      </c>
      <c r="HL22" s="452" t="str">
        <f t="shared" si="15"/>
        <v/>
      </c>
      <c r="HM22" s="452" t="str">
        <f t="shared" si="15"/>
        <v/>
      </c>
      <c r="HN22" s="453" t="str">
        <f t="shared" si="15"/>
        <v/>
      </c>
      <c r="HO22" s="451" t="str">
        <f t="shared" si="15"/>
        <v/>
      </c>
      <c r="HP22" s="452" t="str">
        <f t="shared" si="15"/>
        <v/>
      </c>
      <c r="HQ22" s="452" t="str">
        <f t="shared" si="15"/>
        <v/>
      </c>
      <c r="HR22" s="452" t="str">
        <f t="shared" si="15"/>
        <v/>
      </c>
      <c r="HS22" s="453" t="str">
        <f t="shared" si="15"/>
        <v/>
      </c>
      <c r="HT22" s="451" t="str">
        <f t="shared" si="15"/>
        <v/>
      </c>
      <c r="HU22" s="452" t="str">
        <f t="shared" si="16"/>
        <v/>
      </c>
      <c r="HV22" s="452" t="str">
        <f t="shared" si="16"/>
        <v/>
      </c>
      <c r="HW22" s="452" t="str">
        <f t="shared" si="16"/>
        <v/>
      </c>
      <c r="HX22" s="453" t="str">
        <f t="shared" si="16"/>
        <v/>
      </c>
      <c r="HY22" s="451" t="str">
        <f t="shared" si="16"/>
        <v/>
      </c>
      <c r="HZ22" s="452" t="str">
        <f t="shared" si="16"/>
        <v/>
      </c>
      <c r="IA22" s="452" t="str">
        <f t="shared" si="16"/>
        <v/>
      </c>
      <c r="IB22" s="452" t="str">
        <f t="shared" si="16"/>
        <v/>
      </c>
      <c r="IC22" s="453" t="str">
        <f t="shared" si="16"/>
        <v/>
      </c>
      <c r="ID22" s="451" t="str">
        <f t="shared" si="16"/>
        <v/>
      </c>
      <c r="IE22" s="452" t="str">
        <f t="shared" si="16"/>
        <v/>
      </c>
      <c r="IF22" s="452" t="str">
        <f t="shared" si="16"/>
        <v/>
      </c>
      <c r="IG22" s="452" t="str">
        <f t="shared" si="16"/>
        <v/>
      </c>
      <c r="IH22" s="453" t="str">
        <f t="shared" si="16"/>
        <v/>
      </c>
      <c r="II22" s="451" t="str">
        <f t="shared" si="16"/>
        <v/>
      </c>
      <c r="IJ22" s="452" t="str">
        <f t="shared" si="16"/>
        <v/>
      </c>
      <c r="IK22" s="452" t="str">
        <f t="shared" si="17"/>
        <v/>
      </c>
      <c r="IL22" s="452" t="str">
        <f t="shared" si="17"/>
        <v/>
      </c>
      <c r="IM22" s="453" t="str">
        <f t="shared" si="17"/>
        <v/>
      </c>
      <c r="IN22" s="451" t="str">
        <f t="shared" si="17"/>
        <v/>
      </c>
      <c r="IO22" s="452" t="str">
        <f t="shared" si="17"/>
        <v/>
      </c>
      <c r="IP22" s="452" t="str">
        <f t="shared" si="17"/>
        <v/>
      </c>
      <c r="IQ22" s="452" t="str">
        <f t="shared" si="17"/>
        <v/>
      </c>
      <c r="IR22" s="453" t="str">
        <f t="shared" si="17"/>
        <v/>
      </c>
    </row>
    <row r="23" spans="1:252" x14ac:dyDescent="0.2">
      <c r="A23" s="461">
        <v>2.8</v>
      </c>
      <c r="C23" s="447" t="s">
        <v>1358</v>
      </c>
      <c r="D23" s="447"/>
      <c r="E23" s="448"/>
      <c r="F23" s="448"/>
      <c r="G23" s="448"/>
      <c r="H23" s="448"/>
      <c r="I23" s="448"/>
      <c r="J23" s="449" t="str">
        <f t="shared" si="25"/>
        <v/>
      </c>
      <c r="K23" s="449" t="str">
        <f t="shared" si="26"/>
        <v/>
      </c>
      <c r="L23" s="450">
        <f t="shared" si="0"/>
        <v>0</v>
      </c>
      <c r="M23" s="451" t="str">
        <f t="shared" si="24"/>
        <v/>
      </c>
      <c r="N23" s="452" t="str">
        <f t="shared" si="24"/>
        <v/>
      </c>
      <c r="O23" s="452" t="str">
        <f t="shared" si="24"/>
        <v/>
      </c>
      <c r="P23" s="452" t="str">
        <f t="shared" si="24"/>
        <v/>
      </c>
      <c r="Q23" s="453" t="str">
        <f t="shared" si="24"/>
        <v/>
      </c>
      <c r="R23" s="451" t="str">
        <f t="shared" si="24"/>
        <v/>
      </c>
      <c r="S23" s="452" t="str">
        <f t="shared" si="24"/>
        <v/>
      </c>
      <c r="T23" s="452" t="str">
        <f t="shared" si="24"/>
        <v/>
      </c>
      <c r="U23" s="452" t="str">
        <f t="shared" si="24"/>
        <v/>
      </c>
      <c r="V23" s="453" t="str">
        <f t="shared" si="24"/>
        <v/>
      </c>
      <c r="W23" s="451" t="str">
        <f t="shared" si="24"/>
        <v/>
      </c>
      <c r="X23" s="452" t="str">
        <f t="shared" si="24"/>
        <v/>
      </c>
      <c r="Y23" s="452" t="str">
        <f t="shared" si="24"/>
        <v/>
      </c>
      <c r="Z23" s="452" t="str">
        <f t="shared" si="24"/>
        <v/>
      </c>
      <c r="AA23" s="453" t="str">
        <f t="shared" si="24"/>
        <v/>
      </c>
      <c r="AB23" s="451" t="str">
        <f t="shared" si="23"/>
        <v/>
      </c>
      <c r="AC23" s="452" t="str">
        <f t="shared" si="23"/>
        <v/>
      </c>
      <c r="AD23" s="452" t="str">
        <f t="shared" si="23"/>
        <v/>
      </c>
      <c r="AE23" s="452" t="str">
        <f t="shared" si="23"/>
        <v/>
      </c>
      <c r="AF23" s="453" t="str">
        <f t="shared" si="23"/>
        <v/>
      </c>
      <c r="AG23" s="451" t="str">
        <f t="shared" si="23"/>
        <v/>
      </c>
      <c r="AH23" s="452" t="str">
        <f t="shared" si="23"/>
        <v/>
      </c>
      <c r="AI23" s="452" t="str">
        <f t="shared" si="23"/>
        <v/>
      </c>
      <c r="AJ23" s="452" t="str">
        <f t="shared" si="23"/>
        <v/>
      </c>
      <c r="AK23" s="453" t="str">
        <f t="shared" si="23"/>
        <v/>
      </c>
      <c r="AL23" s="451" t="str">
        <f t="shared" si="23"/>
        <v/>
      </c>
      <c r="AM23" s="452" t="str">
        <f t="shared" si="23"/>
        <v/>
      </c>
      <c r="AN23" s="452" t="str">
        <f t="shared" si="23"/>
        <v/>
      </c>
      <c r="AO23" s="452" t="str">
        <f t="shared" si="23"/>
        <v/>
      </c>
      <c r="AP23" s="453" t="str">
        <f t="shared" si="23"/>
        <v/>
      </c>
      <c r="AQ23" s="451" t="str">
        <f t="shared" si="29"/>
        <v/>
      </c>
      <c r="AR23" s="452" t="str">
        <f t="shared" si="29"/>
        <v/>
      </c>
      <c r="AS23" s="452" t="str">
        <f t="shared" si="29"/>
        <v/>
      </c>
      <c r="AT23" s="452" t="str">
        <f t="shared" si="29"/>
        <v/>
      </c>
      <c r="AU23" s="453" t="str">
        <f t="shared" si="29"/>
        <v/>
      </c>
      <c r="AV23" s="451" t="str">
        <f t="shared" si="29"/>
        <v/>
      </c>
      <c r="AW23" s="452" t="str">
        <f t="shared" si="29"/>
        <v/>
      </c>
      <c r="AX23" s="452" t="str">
        <f t="shared" si="29"/>
        <v/>
      </c>
      <c r="AY23" s="452" t="str">
        <f t="shared" si="29"/>
        <v/>
      </c>
      <c r="AZ23" s="453" t="str">
        <f t="shared" si="29"/>
        <v/>
      </c>
      <c r="BA23" s="451" t="str">
        <f t="shared" si="29"/>
        <v/>
      </c>
      <c r="BB23" s="452" t="str">
        <f t="shared" si="29"/>
        <v/>
      </c>
      <c r="BC23" s="452" t="str">
        <f t="shared" si="29"/>
        <v/>
      </c>
      <c r="BD23" s="452" t="str">
        <f t="shared" si="29"/>
        <v/>
      </c>
      <c r="BE23" s="453" t="str">
        <f t="shared" si="29"/>
        <v/>
      </c>
      <c r="BF23" s="451" t="str">
        <f t="shared" si="29"/>
        <v/>
      </c>
      <c r="BG23" s="452" t="str">
        <f t="shared" si="30"/>
        <v/>
      </c>
      <c r="BH23" s="452" t="str">
        <f t="shared" si="30"/>
        <v/>
      </c>
      <c r="BI23" s="452" t="str">
        <f t="shared" si="30"/>
        <v/>
      </c>
      <c r="BJ23" s="453" t="str">
        <f t="shared" si="30"/>
        <v/>
      </c>
      <c r="BK23" s="451" t="str">
        <f t="shared" si="30"/>
        <v/>
      </c>
      <c r="BL23" s="452" t="str">
        <f t="shared" si="30"/>
        <v/>
      </c>
      <c r="BM23" s="452" t="str">
        <f t="shared" si="30"/>
        <v/>
      </c>
      <c r="BN23" s="452" t="str">
        <f t="shared" si="30"/>
        <v/>
      </c>
      <c r="BO23" s="453" t="str">
        <f t="shared" si="30"/>
        <v/>
      </c>
      <c r="BP23" s="451" t="str">
        <f t="shared" si="30"/>
        <v/>
      </c>
      <c r="BQ23" s="452" t="str">
        <f t="shared" si="30"/>
        <v/>
      </c>
      <c r="BR23" s="452" t="str">
        <f t="shared" si="30"/>
        <v/>
      </c>
      <c r="BS23" s="452" t="str">
        <f t="shared" si="30"/>
        <v/>
      </c>
      <c r="BT23" s="453" t="str">
        <f t="shared" si="30"/>
        <v/>
      </c>
      <c r="BU23" s="451" t="str">
        <f t="shared" si="30"/>
        <v/>
      </c>
      <c r="BV23" s="452" t="str">
        <f t="shared" si="30"/>
        <v/>
      </c>
      <c r="BW23" s="452" t="str">
        <f t="shared" si="31"/>
        <v/>
      </c>
      <c r="BX23" s="452" t="str">
        <f t="shared" si="31"/>
        <v/>
      </c>
      <c r="BY23" s="453" t="str">
        <f t="shared" si="31"/>
        <v/>
      </c>
      <c r="BZ23" s="451" t="str">
        <f t="shared" si="31"/>
        <v/>
      </c>
      <c r="CA23" s="452" t="str">
        <f t="shared" si="31"/>
        <v/>
      </c>
      <c r="CB23" s="452" t="str">
        <f t="shared" si="31"/>
        <v/>
      </c>
      <c r="CC23" s="452" t="str">
        <f t="shared" si="31"/>
        <v/>
      </c>
      <c r="CD23" s="453" t="str">
        <f t="shared" si="31"/>
        <v/>
      </c>
      <c r="CE23" s="451" t="str">
        <f t="shared" si="31"/>
        <v/>
      </c>
      <c r="CF23" s="452" t="str">
        <f t="shared" si="31"/>
        <v/>
      </c>
      <c r="CG23" s="452" t="str">
        <f t="shared" si="31"/>
        <v/>
      </c>
      <c r="CH23" s="452" t="str">
        <f t="shared" si="31"/>
        <v/>
      </c>
      <c r="CI23" s="453" t="str">
        <f t="shared" si="31"/>
        <v/>
      </c>
      <c r="CJ23" s="451" t="str">
        <f t="shared" si="31"/>
        <v/>
      </c>
      <c r="CK23" s="452" t="str">
        <f t="shared" si="31"/>
        <v/>
      </c>
      <c r="CL23" s="452" t="str">
        <f t="shared" si="31"/>
        <v/>
      </c>
      <c r="CM23" s="452" t="str">
        <f t="shared" si="32"/>
        <v/>
      </c>
      <c r="CN23" s="453" t="str">
        <f t="shared" si="32"/>
        <v/>
      </c>
      <c r="CO23" s="451" t="str">
        <f t="shared" si="32"/>
        <v/>
      </c>
      <c r="CP23" s="452" t="str">
        <f t="shared" si="32"/>
        <v/>
      </c>
      <c r="CQ23" s="452" t="str">
        <f t="shared" si="32"/>
        <v/>
      </c>
      <c r="CR23" s="452" t="str">
        <f t="shared" si="32"/>
        <v/>
      </c>
      <c r="CS23" s="453" t="str">
        <f t="shared" si="32"/>
        <v/>
      </c>
      <c r="CT23" s="451" t="str">
        <f t="shared" si="32"/>
        <v/>
      </c>
      <c r="CU23" s="452" t="str">
        <f t="shared" si="32"/>
        <v/>
      </c>
      <c r="CV23" s="452" t="str">
        <f t="shared" si="32"/>
        <v/>
      </c>
      <c r="CW23" s="452" t="str">
        <f t="shared" si="32"/>
        <v/>
      </c>
      <c r="CX23" s="453" t="str">
        <f t="shared" si="32"/>
        <v/>
      </c>
      <c r="CY23" s="451" t="str">
        <f t="shared" si="32"/>
        <v/>
      </c>
      <c r="CZ23" s="452" t="str">
        <f t="shared" si="32"/>
        <v/>
      </c>
      <c r="DA23" s="452" t="str">
        <f t="shared" si="32"/>
        <v/>
      </c>
      <c r="DB23" s="452" t="str">
        <f t="shared" si="32"/>
        <v/>
      </c>
      <c r="DC23" s="453" t="str">
        <f t="shared" si="33"/>
        <v/>
      </c>
      <c r="DD23" s="451" t="str">
        <f t="shared" si="33"/>
        <v/>
      </c>
      <c r="DE23" s="452" t="str">
        <f t="shared" si="33"/>
        <v/>
      </c>
      <c r="DF23" s="452" t="str">
        <f t="shared" si="33"/>
        <v/>
      </c>
      <c r="DG23" s="452" t="str">
        <f t="shared" si="33"/>
        <v/>
      </c>
      <c r="DH23" s="453" t="str">
        <f t="shared" si="33"/>
        <v/>
      </c>
      <c r="DI23" s="451" t="str">
        <f t="shared" si="33"/>
        <v/>
      </c>
      <c r="DJ23" s="452" t="str">
        <f t="shared" si="33"/>
        <v/>
      </c>
      <c r="DK23" s="452" t="str">
        <f t="shared" si="33"/>
        <v/>
      </c>
      <c r="DL23" s="452" t="str">
        <f t="shared" si="33"/>
        <v/>
      </c>
      <c r="DM23" s="453" t="str">
        <f t="shared" si="33"/>
        <v/>
      </c>
      <c r="DN23" s="451" t="str">
        <f t="shared" si="27"/>
        <v/>
      </c>
      <c r="DO23" s="452" t="str">
        <f t="shared" si="27"/>
        <v/>
      </c>
      <c r="DP23" s="452" t="str">
        <f t="shared" si="27"/>
        <v/>
      </c>
      <c r="DQ23" s="452" t="str">
        <f t="shared" si="27"/>
        <v/>
      </c>
      <c r="DR23" s="453" t="str">
        <f t="shared" si="27"/>
        <v/>
      </c>
      <c r="DS23" s="451" t="str">
        <f t="shared" si="27"/>
        <v/>
      </c>
      <c r="DT23" s="452" t="str">
        <f t="shared" si="27"/>
        <v/>
      </c>
      <c r="DU23" s="452" t="str">
        <f t="shared" si="27"/>
        <v/>
      </c>
      <c r="DV23" s="452" t="str">
        <f t="shared" si="27"/>
        <v/>
      </c>
      <c r="DW23" s="453" t="str">
        <f t="shared" si="27"/>
        <v/>
      </c>
      <c r="DX23" s="451" t="str">
        <f t="shared" si="27"/>
        <v/>
      </c>
      <c r="DY23" s="452" t="str">
        <f t="shared" si="27"/>
        <v/>
      </c>
      <c r="DZ23" s="452" t="str">
        <f>IF(AND(DZ$2&gt;=$J23,DZ$2&lt;=$K23),1,"")</f>
        <v/>
      </c>
      <c r="EA23" s="452" t="str">
        <f>IF(AND(EA$2&gt;=$J23,EA$2&lt;=$K23),1,"")</f>
        <v/>
      </c>
      <c r="EB23" s="453" t="str">
        <f>IF(AND(EB$2&gt;=$J23,EB$2&lt;=$K23),1,"")</f>
        <v/>
      </c>
      <c r="EC23" s="451" t="str">
        <f>IF(AND(EC$2&gt;=$J23,EC$2&lt;=$K23),1,"")</f>
        <v/>
      </c>
      <c r="ED23" s="452" t="str">
        <f>IF(AND(ED$2&gt;=$J23,ED$2&lt;=$K23),1,"")</f>
        <v/>
      </c>
      <c r="EE23" s="452" t="str">
        <f t="shared" si="20"/>
        <v/>
      </c>
      <c r="EF23" s="452" t="str">
        <f t="shared" si="20"/>
        <v/>
      </c>
      <c r="EG23" s="453" t="str">
        <f t="shared" si="20"/>
        <v/>
      </c>
      <c r="EH23" s="451" t="str">
        <f t="shared" si="20"/>
        <v/>
      </c>
      <c r="EI23" s="452" t="str">
        <f t="shared" si="20"/>
        <v/>
      </c>
      <c r="EJ23" s="452" t="str">
        <f t="shared" si="20"/>
        <v/>
      </c>
      <c r="EK23" s="452" t="str">
        <f t="shared" si="20"/>
        <v/>
      </c>
      <c r="EL23" s="453" t="str">
        <f t="shared" si="20"/>
        <v/>
      </c>
      <c r="EM23" s="451" t="str">
        <f t="shared" si="20"/>
        <v/>
      </c>
      <c r="EN23" s="452" t="str">
        <f t="shared" si="20"/>
        <v/>
      </c>
      <c r="EO23" s="452" t="str">
        <f t="shared" si="20"/>
        <v/>
      </c>
      <c r="EP23" s="452" t="str">
        <f t="shared" si="20"/>
        <v/>
      </c>
      <c r="EQ23" s="453" t="str">
        <f t="shared" si="20"/>
        <v/>
      </c>
      <c r="ER23" s="451" t="str">
        <f t="shared" si="20"/>
        <v/>
      </c>
      <c r="ES23" s="452" t="str">
        <f t="shared" si="20"/>
        <v/>
      </c>
      <c r="ET23" s="452" t="str">
        <f t="shared" si="21"/>
        <v/>
      </c>
      <c r="EU23" s="452" t="str">
        <f t="shared" si="21"/>
        <v/>
      </c>
      <c r="EV23" s="453" t="str">
        <f t="shared" si="21"/>
        <v/>
      </c>
      <c r="EW23" s="451" t="str">
        <f t="shared" si="21"/>
        <v/>
      </c>
      <c r="EX23" s="452" t="str">
        <f t="shared" si="21"/>
        <v/>
      </c>
      <c r="EY23" s="452" t="str">
        <f t="shared" si="21"/>
        <v/>
      </c>
      <c r="EZ23" s="452" t="str">
        <f t="shared" si="21"/>
        <v/>
      </c>
      <c r="FA23" s="453" t="str">
        <f t="shared" si="21"/>
        <v/>
      </c>
      <c r="FB23" s="451" t="str">
        <f t="shared" si="21"/>
        <v/>
      </c>
      <c r="FC23" s="452" t="str">
        <f t="shared" si="21"/>
        <v/>
      </c>
      <c r="FD23" s="452" t="str">
        <f t="shared" si="21"/>
        <v/>
      </c>
      <c r="FE23" s="452" t="str">
        <f t="shared" si="21"/>
        <v/>
      </c>
      <c r="FF23" s="453" t="str">
        <f t="shared" si="21"/>
        <v/>
      </c>
      <c r="FG23" s="451" t="str">
        <f t="shared" si="21"/>
        <v/>
      </c>
      <c r="FH23" s="452" t="str">
        <f t="shared" si="21"/>
        <v/>
      </c>
      <c r="FI23" s="452" t="str">
        <f t="shared" si="21"/>
        <v/>
      </c>
      <c r="FJ23" s="452" t="str">
        <f t="shared" si="22"/>
        <v/>
      </c>
      <c r="FK23" s="453" t="str">
        <f t="shared" si="22"/>
        <v/>
      </c>
      <c r="FL23" s="451" t="str">
        <f t="shared" si="22"/>
        <v/>
      </c>
      <c r="FM23" s="452" t="str">
        <f t="shared" si="22"/>
        <v/>
      </c>
      <c r="FN23" s="452" t="str">
        <f t="shared" si="22"/>
        <v/>
      </c>
      <c r="FO23" s="452" t="str">
        <f t="shared" si="22"/>
        <v/>
      </c>
      <c r="FP23" s="453" t="str">
        <f t="shared" si="22"/>
        <v/>
      </c>
      <c r="FQ23" s="451" t="str">
        <f t="shared" si="22"/>
        <v/>
      </c>
      <c r="FR23" s="452" t="str">
        <f t="shared" si="22"/>
        <v/>
      </c>
      <c r="FS23" s="452" t="str">
        <f t="shared" si="22"/>
        <v/>
      </c>
      <c r="FT23" s="452" t="str">
        <f t="shared" si="22"/>
        <v/>
      </c>
      <c r="FU23" s="453" t="str">
        <f t="shared" si="22"/>
        <v/>
      </c>
      <c r="FV23" s="451" t="str">
        <f t="shared" si="22"/>
        <v/>
      </c>
      <c r="FW23" s="452" t="str">
        <f t="shared" si="22"/>
        <v/>
      </c>
      <c r="FX23" s="452" t="str">
        <f t="shared" si="22"/>
        <v/>
      </c>
      <c r="FY23" s="452" t="str">
        <f t="shared" si="22"/>
        <v/>
      </c>
      <c r="FZ23" s="453" t="str">
        <f t="shared" si="18"/>
        <v/>
      </c>
      <c r="GA23" s="451" t="str">
        <f t="shared" si="18"/>
        <v/>
      </c>
      <c r="GB23" s="452" t="str">
        <f t="shared" si="18"/>
        <v/>
      </c>
      <c r="GC23" s="452" t="str">
        <f t="shared" si="18"/>
        <v/>
      </c>
      <c r="GD23" s="452" t="str">
        <f t="shared" si="18"/>
        <v/>
      </c>
      <c r="GE23" s="453" t="str">
        <f t="shared" si="18"/>
        <v/>
      </c>
      <c r="GF23" s="451" t="str">
        <f t="shared" si="18"/>
        <v/>
      </c>
      <c r="GG23" s="452" t="str">
        <f t="shared" si="18"/>
        <v/>
      </c>
      <c r="GH23" s="452" t="str">
        <f t="shared" si="18"/>
        <v/>
      </c>
      <c r="GI23" s="452" t="str">
        <f t="shared" si="18"/>
        <v/>
      </c>
      <c r="GJ23" s="453" t="str">
        <f t="shared" si="18"/>
        <v/>
      </c>
      <c r="GK23" s="451" t="str">
        <f t="shared" si="18"/>
        <v/>
      </c>
      <c r="GL23" s="452" t="str">
        <f t="shared" si="18"/>
        <v/>
      </c>
      <c r="GM23" s="452" t="str">
        <f t="shared" si="18"/>
        <v/>
      </c>
      <c r="GN23" s="452" t="str">
        <f t="shared" si="18"/>
        <v/>
      </c>
      <c r="GO23" s="453" t="str">
        <f t="shared" si="18"/>
        <v/>
      </c>
      <c r="GP23" s="451" t="str">
        <f t="shared" si="28"/>
        <v/>
      </c>
      <c r="GQ23" s="452" t="str">
        <f t="shared" si="28"/>
        <v/>
      </c>
      <c r="GR23" s="452" t="str">
        <f t="shared" si="28"/>
        <v/>
      </c>
      <c r="GS23" s="452" t="str">
        <f t="shared" si="28"/>
        <v/>
      </c>
      <c r="GT23" s="453" t="str">
        <f t="shared" si="28"/>
        <v/>
      </c>
      <c r="GU23" s="451" t="str">
        <f t="shared" si="28"/>
        <v/>
      </c>
      <c r="GV23" s="452" t="str">
        <f t="shared" si="28"/>
        <v/>
      </c>
      <c r="GW23" s="452" t="str">
        <f t="shared" si="28"/>
        <v/>
      </c>
      <c r="GX23" s="452" t="str">
        <f t="shared" si="28"/>
        <v/>
      </c>
      <c r="GY23" s="453" t="str">
        <f t="shared" si="28"/>
        <v/>
      </c>
      <c r="GZ23" s="451" t="str">
        <f t="shared" si="28"/>
        <v/>
      </c>
      <c r="HA23" s="452" t="str">
        <f t="shared" si="28"/>
        <v/>
      </c>
      <c r="HB23" s="452" t="str">
        <f t="shared" si="28"/>
        <v/>
      </c>
      <c r="HC23" s="452" t="str">
        <f t="shared" si="28"/>
        <v/>
      </c>
      <c r="HD23" s="453" t="str">
        <f t="shared" si="28"/>
        <v/>
      </c>
      <c r="HE23" s="451" t="str">
        <f t="shared" si="28"/>
        <v/>
      </c>
      <c r="HF23" s="452" t="str">
        <f t="shared" si="15"/>
        <v/>
      </c>
      <c r="HG23" s="452" t="str">
        <f t="shared" si="15"/>
        <v/>
      </c>
      <c r="HH23" s="452" t="str">
        <f t="shared" si="15"/>
        <v/>
      </c>
      <c r="HI23" s="453" t="str">
        <f t="shared" si="15"/>
        <v/>
      </c>
      <c r="HJ23" s="451" t="str">
        <f t="shared" si="15"/>
        <v/>
      </c>
      <c r="HK23" s="452" t="str">
        <f t="shared" si="15"/>
        <v/>
      </c>
      <c r="HL23" s="452" t="str">
        <f t="shared" si="15"/>
        <v/>
      </c>
      <c r="HM23" s="452" t="str">
        <f t="shared" si="15"/>
        <v/>
      </c>
      <c r="HN23" s="453" t="str">
        <f t="shared" si="15"/>
        <v/>
      </c>
      <c r="HO23" s="451" t="str">
        <f t="shared" si="15"/>
        <v/>
      </c>
      <c r="HP23" s="452" t="str">
        <f t="shared" si="15"/>
        <v/>
      </c>
      <c r="HQ23" s="452" t="str">
        <f t="shared" si="15"/>
        <v/>
      </c>
      <c r="HR23" s="452" t="str">
        <f t="shared" si="15"/>
        <v/>
      </c>
      <c r="HS23" s="453" t="str">
        <f t="shared" si="15"/>
        <v/>
      </c>
      <c r="HT23" s="451" t="str">
        <f t="shared" si="15"/>
        <v/>
      </c>
      <c r="HU23" s="452" t="str">
        <f t="shared" si="16"/>
        <v/>
      </c>
      <c r="HV23" s="452" t="str">
        <f t="shared" si="16"/>
        <v/>
      </c>
      <c r="HW23" s="452" t="str">
        <f t="shared" si="16"/>
        <v/>
      </c>
      <c r="HX23" s="453" t="str">
        <f t="shared" si="16"/>
        <v/>
      </c>
      <c r="HY23" s="451" t="str">
        <f t="shared" si="16"/>
        <v/>
      </c>
      <c r="HZ23" s="452" t="str">
        <f t="shared" si="16"/>
        <v/>
      </c>
      <c r="IA23" s="452" t="str">
        <f t="shared" si="16"/>
        <v/>
      </c>
      <c r="IB23" s="452" t="str">
        <f t="shared" si="16"/>
        <v/>
      </c>
      <c r="IC23" s="453" t="str">
        <f t="shared" si="16"/>
        <v/>
      </c>
      <c r="ID23" s="451" t="str">
        <f t="shared" si="16"/>
        <v/>
      </c>
      <c r="IE23" s="452" t="str">
        <f t="shared" si="16"/>
        <v/>
      </c>
      <c r="IF23" s="452" t="str">
        <f t="shared" si="16"/>
        <v/>
      </c>
      <c r="IG23" s="452" t="str">
        <f t="shared" si="16"/>
        <v/>
      </c>
      <c r="IH23" s="453" t="str">
        <f t="shared" si="16"/>
        <v/>
      </c>
      <c r="II23" s="451" t="str">
        <f t="shared" si="16"/>
        <v/>
      </c>
      <c r="IJ23" s="452" t="str">
        <f t="shared" si="16"/>
        <v/>
      </c>
      <c r="IK23" s="452" t="str">
        <f t="shared" si="17"/>
        <v/>
      </c>
      <c r="IL23" s="452" t="str">
        <f t="shared" si="17"/>
        <v/>
      </c>
      <c r="IM23" s="453" t="str">
        <f t="shared" si="17"/>
        <v/>
      </c>
      <c r="IN23" s="451" t="str">
        <f t="shared" si="17"/>
        <v/>
      </c>
      <c r="IO23" s="452" t="str">
        <f t="shared" si="17"/>
        <v/>
      </c>
      <c r="IP23" s="452" t="str">
        <f t="shared" si="17"/>
        <v/>
      </c>
      <c r="IQ23" s="452" t="str">
        <f t="shared" si="17"/>
        <v/>
      </c>
      <c r="IR23" s="453" t="str">
        <f t="shared" si="17"/>
        <v/>
      </c>
    </row>
    <row r="24" spans="1:252" x14ac:dyDescent="0.2">
      <c r="A24" s="461">
        <v>2.9</v>
      </c>
      <c r="C24" s="447" t="s">
        <v>1359</v>
      </c>
      <c r="D24" s="447"/>
      <c r="E24" s="448"/>
      <c r="F24" s="448"/>
      <c r="G24" s="448"/>
      <c r="H24" s="448"/>
      <c r="I24" s="448"/>
      <c r="J24" s="449" t="str">
        <f t="shared" si="25"/>
        <v/>
      </c>
      <c r="K24" s="449" t="str">
        <f t="shared" si="26"/>
        <v/>
      </c>
      <c r="L24" s="450">
        <f t="shared" si="0"/>
        <v>0</v>
      </c>
      <c r="M24" s="451" t="str">
        <f t="shared" si="24"/>
        <v/>
      </c>
      <c r="N24" s="452" t="str">
        <f t="shared" si="24"/>
        <v/>
      </c>
      <c r="O24" s="452" t="str">
        <f t="shared" si="24"/>
        <v/>
      </c>
      <c r="P24" s="452" t="str">
        <f t="shared" si="24"/>
        <v/>
      </c>
      <c r="Q24" s="453" t="str">
        <f t="shared" si="24"/>
        <v/>
      </c>
      <c r="R24" s="451" t="str">
        <f t="shared" si="24"/>
        <v/>
      </c>
      <c r="S24" s="452" t="str">
        <f t="shared" si="24"/>
        <v/>
      </c>
      <c r="T24" s="452" t="str">
        <f t="shared" si="24"/>
        <v/>
      </c>
      <c r="U24" s="452" t="str">
        <f t="shared" si="24"/>
        <v/>
      </c>
      <c r="V24" s="453" t="str">
        <f t="shared" si="24"/>
        <v/>
      </c>
      <c r="W24" s="451" t="str">
        <f t="shared" si="24"/>
        <v/>
      </c>
      <c r="X24" s="452" t="str">
        <f t="shared" si="24"/>
        <v/>
      </c>
      <c r="Y24" s="452" t="str">
        <f t="shared" si="24"/>
        <v/>
      </c>
      <c r="Z24" s="452" t="str">
        <f t="shared" si="24"/>
        <v/>
      </c>
      <c r="AA24" s="453" t="str">
        <f t="shared" si="24"/>
        <v/>
      </c>
      <c r="AB24" s="451" t="str">
        <f t="shared" si="23"/>
        <v/>
      </c>
      <c r="AC24" s="452" t="str">
        <f t="shared" si="23"/>
        <v/>
      </c>
      <c r="AD24" s="452" t="str">
        <f t="shared" si="23"/>
        <v/>
      </c>
      <c r="AE24" s="452" t="str">
        <f t="shared" si="23"/>
        <v/>
      </c>
      <c r="AF24" s="453" t="str">
        <f t="shared" si="23"/>
        <v/>
      </c>
      <c r="AG24" s="451" t="str">
        <f t="shared" si="23"/>
        <v/>
      </c>
      <c r="AH24" s="452" t="str">
        <f t="shared" si="23"/>
        <v/>
      </c>
      <c r="AI24" s="452" t="str">
        <f t="shared" si="23"/>
        <v/>
      </c>
      <c r="AJ24" s="452" t="str">
        <f t="shared" si="23"/>
        <v/>
      </c>
      <c r="AK24" s="453" t="str">
        <f t="shared" si="23"/>
        <v/>
      </c>
      <c r="AL24" s="451" t="str">
        <f t="shared" si="23"/>
        <v/>
      </c>
      <c r="AM24" s="452" t="str">
        <f t="shared" si="23"/>
        <v/>
      </c>
      <c r="AN24" s="452" t="str">
        <f t="shared" si="23"/>
        <v/>
      </c>
      <c r="AO24" s="452" t="str">
        <f t="shared" si="23"/>
        <v/>
      </c>
      <c r="AP24" s="453" t="str">
        <f t="shared" si="23"/>
        <v/>
      </c>
      <c r="AQ24" s="451" t="str">
        <f t="shared" si="29"/>
        <v/>
      </c>
      <c r="AR24" s="452" t="str">
        <f t="shared" si="29"/>
        <v/>
      </c>
      <c r="AS24" s="452" t="str">
        <f t="shared" si="29"/>
        <v/>
      </c>
      <c r="AT24" s="452" t="str">
        <f t="shared" si="29"/>
        <v/>
      </c>
      <c r="AU24" s="453" t="str">
        <f t="shared" si="29"/>
        <v/>
      </c>
      <c r="AV24" s="451" t="str">
        <f t="shared" si="29"/>
        <v/>
      </c>
      <c r="AW24" s="452" t="str">
        <f t="shared" si="29"/>
        <v/>
      </c>
      <c r="AX24" s="452" t="str">
        <f t="shared" si="29"/>
        <v/>
      </c>
      <c r="AY24" s="452" t="str">
        <f t="shared" si="29"/>
        <v/>
      </c>
      <c r="AZ24" s="453" t="str">
        <f t="shared" si="29"/>
        <v/>
      </c>
      <c r="BA24" s="451" t="str">
        <f t="shared" si="29"/>
        <v/>
      </c>
      <c r="BB24" s="452" t="str">
        <f t="shared" si="29"/>
        <v/>
      </c>
      <c r="BC24" s="452" t="str">
        <f t="shared" si="29"/>
        <v/>
      </c>
      <c r="BD24" s="452" t="str">
        <f t="shared" si="29"/>
        <v/>
      </c>
      <c r="BE24" s="453" t="str">
        <f t="shared" si="29"/>
        <v/>
      </c>
      <c r="BF24" s="451" t="str">
        <f t="shared" si="29"/>
        <v/>
      </c>
      <c r="BG24" s="452" t="str">
        <f t="shared" si="30"/>
        <v/>
      </c>
      <c r="BH24" s="452" t="str">
        <f t="shared" si="30"/>
        <v/>
      </c>
      <c r="BI24" s="452" t="str">
        <f t="shared" si="30"/>
        <v/>
      </c>
      <c r="BJ24" s="453" t="str">
        <f t="shared" si="30"/>
        <v/>
      </c>
      <c r="BK24" s="451" t="str">
        <f t="shared" si="30"/>
        <v/>
      </c>
      <c r="BL24" s="452" t="str">
        <f t="shared" si="30"/>
        <v/>
      </c>
      <c r="BM24" s="452" t="str">
        <f t="shared" si="30"/>
        <v/>
      </c>
      <c r="BN24" s="452" t="str">
        <f t="shared" si="30"/>
        <v/>
      </c>
      <c r="BO24" s="453" t="str">
        <f t="shared" si="30"/>
        <v/>
      </c>
      <c r="BP24" s="451" t="str">
        <f t="shared" si="30"/>
        <v/>
      </c>
      <c r="BQ24" s="452" t="str">
        <f t="shared" si="30"/>
        <v/>
      </c>
      <c r="BR24" s="452" t="str">
        <f t="shared" si="30"/>
        <v/>
      </c>
      <c r="BS24" s="452" t="str">
        <f t="shared" si="30"/>
        <v/>
      </c>
      <c r="BT24" s="453" t="str">
        <f t="shared" si="30"/>
        <v/>
      </c>
      <c r="BU24" s="451" t="str">
        <f t="shared" si="30"/>
        <v/>
      </c>
      <c r="BV24" s="452" t="str">
        <f t="shared" si="30"/>
        <v/>
      </c>
      <c r="BW24" s="452" t="str">
        <f t="shared" si="31"/>
        <v/>
      </c>
      <c r="BX24" s="452" t="str">
        <f t="shared" si="31"/>
        <v/>
      </c>
      <c r="BY24" s="453" t="str">
        <f t="shared" si="31"/>
        <v/>
      </c>
      <c r="BZ24" s="451" t="str">
        <f t="shared" si="31"/>
        <v/>
      </c>
      <c r="CA24" s="452" t="str">
        <f t="shared" si="31"/>
        <v/>
      </c>
      <c r="CB24" s="452" t="str">
        <f t="shared" si="31"/>
        <v/>
      </c>
      <c r="CC24" s="452" t="str">
        <f t="shared" si="31"/>
        <v/>
      </c>
      <c r="CD24" s="453" t="str">
        <f t="shared" si="31"/>
        <v/>
      </c>
      <c r="CE24" s="451" t="str">
        <f t="shared" si="31"/>
        <v/>
      </c>
      <c r="CF24" s="452" t="str">
        <f t="shared" si="31"/>
        <v/>
      </c>
      <c r="CG24" s="452" t="str">
        <f t="shared" si="31"/>
        <v/>
      </c>
      <c r="CH24" s="452" t="str">
        <f t="shared" si="31"/>
        <v/>
      </c>
      <c r="CI24" s="453" t="str">
        <f t="shared" si="31"/>
        <v/>
      </c>
      <c r="CJ24" s="451" t="str">
        <f t="shared" si="31"/>
        <v/>
      </c>
      <c r="CK24" s="452" t="str">
        <f t="shared" si="31"/>
        <v/>
      </c>
      <c r="CL24" s="452" t="str">
        <f t="shared" si="31"/>
        <v/>
      </c>
      <c r="CM24" s="452" t="str">
        <f t="shared" si="32"/>
        <v/>
      </c>
      <c r="CN24" s="453" t="str">
        <f t="shared" si="32"/>
        <v/>
      </c>
      <c r="CO24" s="451" t="str">
        <f t="shared" si="32"/>
        <v/>
      </c>
      <c r="CP24" s="452" t="str">
        <f t="shared" si="32"/>
        <v/>
      </c>
      <c r="CQ24" s="452" t="str">
        <f t="shared" si="32"/>
        <v/>
      </c>
      <c r="CR24" s="452" t="str">
        <f t="shared" si="32"/>
        <v/>
      </c>
      <c r="CS24" s="453" t="str">
        <f t="shared" si="32"/>
        <v/>
      </c>
      <c r="CT24" s="451" t="str">
        <f t="shared" si="32"/>
        <v/>
      </c>
      <c r="CU24" s="452" t="str">
        <f t="shared" si="32"/>
        <v/>
      </c>
      <c r="CV24" s="452" t="str">
        <f t="shared" si="32"/>
        <v/>
      </c>
      <c r="CW24" s="452" t="str">
        <f t="shared" si="32"/>
        <v/>
      </c>
      <c r="CX24" s="453" t="str">
        <f t="shared" si="32"/>
        <v/>
      </c>
      <c r="CY24" s="451" t="str">
        <f t="shared" si="32"/>
        <v/>
      </c>
      <c r="CZ24" s="452" t="str">
        <f t="shared" si="32"/>
        <v/>
      </c>
      <c r="DA24" s="452" t="str">
        <f t="shared" si="32"/>
        <v/>
      </c>
      <c r="DB24" s="452" t="str">
        <f t="shared" si="32"/>
        <v/>
      </c>
      <c r="DC24" s="453" t="str">
        <f t="shared" si="33"/>
        <v/>
      </c>
      <c r="DD24" s="451" t="str">
        <f t="shared" si="33"/>
        <v/>
      </c>
      <c r="DE24" s="452" t="str">
        <f t="shared" si="33"/>
        <v/>
      </c>
      <c r="DF24" s="452" t="str">
        <f t="shared" si="33"/>
        <v/>
      </c>
      <c r="DG24" s="452" t="str">
        <f t="shared" si="33"/>
        <v/>
      </c>
      <c r="DH24" s="453" t="str">
        <f t="shared" si="33"/>
        <v/>
      </c>
      <c r="DI24" s="451" t="str">
        <f t="shared" si="33"/>
        <v/>
      </c>
      <c r="DJ24" s="452" t="str">
        <f t="shared" si="33"/>
        <v/>
      </c>
      <c r="DK24" s="452" t="str">
        <f t="shared" si="33"/>
        <v/>
      </c>
      <c r="DL24" s="452" t="str">
        <f t="shared" si="33"/>
        <v/>
      </c>
      <c r="DM24" s="453" t="str">
        <f t="shared" si="33"/>
        <v/>
      </c>
      <c r="DN24" s="451" t="str">
        <f t="shared" si="27"/>
        <v/>
      </c>
      <c r="DO24" s="452" t="str">
        <f t="shared" si="27"/>
        <v/>
      </c>
      <c r="DP24" s="452" t="str">
        <f t="shared" si="27"/>
        <v/>
      </c>
      <c r="DQ24" s="452" t="str">
        <f t="shared" si="27"/>
        <v/>
      </c>
      <c r="DR24" s="453" t="str">
        <f t="shared" si="27"/>
        <v/>
      </c>
      <c r="DS24" s="451" t="str">
        <f t="shared" si="27"/>
        <v/>
      </c>
      <c r="DT24" s="452" t="str">
        <f t="shared" si="27"/>
        <v/>
      </c>
      <c r="DU24" s="452" t="str">
        <f t="shared" si="27"/>
        <v/>
      </c>
      <c r="DV24" s="452" t="str">
        <f t="shared" si="27"/>
        <v/>
      </c>
      <c r="DW24" s="453" t="str">
        <f t="shared" si="27"/>
        <v/>
      </c>
      <c r="DX24" s="451" t="str">
        <f t="shared" si="27"/>
        <v/>
      </c>
      <c r="DY24" s="452" t="str">
        <f t="shared" si="27"/>
        <v/>
      </c>
      <c r="DZ24" s="452" t="str">
        <f t="shared" si="27"/>
        <v/>
      </c>
      <c r="EA24" s="452" t="str">
        <f t="shared" si="27"/>
        <v/>
      </c>
      <c r="EB24" s="453" t="str">
        <f t="shared" si="27"/>
        <v/>
      </c>
      <c r="EC24" s="451" t="str">
        <f t="shared" si="27"/>
        <v/>
      </c>
      <c r="ED24" s="452" t="str">
        <f t="shared" ref="ED24:ES41" si="34">IF(AND(ED$2&gt;=$J24,ED$2&lt;=$K24),1,"")</f>
        <v/>
      </c>
      <c r="EE24" s="452" t="str">
        <f t="shared" si="34"/>
        <v/>
      </c>
      <c r="EF24" s="452" t="str">
        <f t="shared" si="34"/>
        <v/>
      </c>
      <c r="EG24" s="453" t="str">
        <f t="shared" si="34"/>
        <v/>
      </c>
      <c r="EH24" s="451" t="str">
        <f t="shared" si="34"/>
        <v/>
      </c>
      <c r="EI24" s="452" t="str">
        <f t="shared" si="34"/>
        <v/>
      </c>
      <c r="EJ24" s="452" t="str">
        <f t="shared" si="34"/>
        <v/>
      </c>
      <c r="EK24" s="452" t="str">
        <f t="shared" si="34"/>
        <v/>
      </c>
      <c r="EL24" s="453" t="str">
        <f t="shared" si="34"/>
        <v/>
      </c>
      <c r="EM24" s="451" t="str">
        <f t="shared" si="34"/>
        <v/>
      </c>
      <c r="EN24" s="452" t="str">
        <f t="shared" si="34"/>
        <v/>
      </c>
      <c r="EO24" s="452" t="str">
        <f t="shared" si="34"/>
        <v/>
      </c>
      <c r="EP24" s="452" t="str">
        <f t="shared" si="20"/>
        <v/>
      </c>
      <c r="EQ24" s="453" t="str">
        <f t="shared" si="20"/>
        <v/>
      </c>
      <c r="ER24" s="451" t="str">
        <f t="shared" si="20"/>
        <v/>
      </c>
      <c r="ES24" s="452" t="str">
        <f t="shared" si="20"/>
        <v/>
      </c>
      <c r="ET24" s="452" t="str">
        <f t="shared" si="21"/>
        <v/>
      </c>
      <c r="EU24" s="452" t="str">
        <f t="shared" si="21"/>
        <v/>
      </c>
      <c r="EV24" s="453" t="str">
        <f t="shared" si="21"/>
        <v/>
      </c>
      <c r="EW24" s="451" t="str">
        <f t="shared" si="21"/>
        <v/>
      </c>
      <c r="EX24" s="452" t="str">
        <f t="shared" si="21"/>
        <v/>
      </c>
      <c r="EY24" s="452" t="str">
        <f t="shared" si="21"/>
        <v/>
      </c>
      <c r="EZ24" s="452" t="str">
        <f t="shared" si="21"/>
        <v/>
      </c>
      <c r="FA24" s="453" t="str">
        <f t="shared" si="21"/>
        <v/>
      </c>
      <c r="FB24" s="451" t="str">
        <f t="shared" si="21"/>
        <v/>
      </c>
      <c r="FC24" s="452" t="str">
        <f t="shared" si="21"/>
        <v/>
      </c>
      <c r="FD24" s="452" t="str">
        <f t="shared" si="21"/>
        <v/>
      </c>
      <c r="FE24" s="452" t="str">
        <f t="shared" si="21"/>
        <v/>
      </c>
      <c r="FF24" s="453" t="str">
        <f t="shared" si="21"/>
        <v/>
      </c>
      <c r="FG24" s="451" t="str">
        <f t="shared" si="21"/>
        <v/>
      </c>
      <c r="FH24" s="452" t="str">
        <f t="shared" si="21"/>
        <v/>
      </c>
      <c r="FI24" s="452" t="str">
        <f t="shared" si="21"/>
        <v/>
      </c>
      <c r="FJ24" s="452" t="str">
        <f t="shared" si="22"/>
        <v/>
      </c>
      <c r="FK24" s="453" t="str">
        <f t="shared" si="22"/>
        <v/>
      </c>
      <c r="FL24" s="451" t="str">
        <f t="shared" si="22"/>
        <v/>
      </c>
      <c r="FM24" s="452" t="str">
        <f t="shared" si="22"/>
        <v/>
      </c>
      <c r="FN24" s="452" t="str">
        <f t="shared" si="22"/>
        <v/>
      </c>
      <c r="FO24" s="452" t="str">
        <f t="shared" si="22"/>
        <v/>
      </c>
      <c r="FP24" s="453" t="str">
        <f t="shared" si="22"/>
        <v/>
      </c>
      <c r="FQ24" s="451" t="str">
        <f t="shared" si="22"/>
        <v/>
      </c>
      <c r="FR24" s="452" t="str">
        <f t="shared" si="22"/>
        <v/>
      </c>
      <c r="FS24" s="452" t="str">
        <f t="shared" si="22"/>
        <v/>
      </c>
      <c r="FT24" s="452" t="str">
        <f t="shared" si="22"/>
        <v/>
      </c>
      <c r="FU24" s="453" t="str">
        <f t="shared" si="22"/>
        <v/>
      </c>
      <c r="FV24" s="451" t="str">
        <f t="shared" si="22"/>
        <v/>
      </c>
      <c r="FW24" s="452" t="str">
        <f t="shared" si="22"/>
        <v/>
      </c>
      <c r="FX24" s="452" t="str">
        <f t="shared" si="22"/>
        <v/>
      </c>
      <c r="FY24" s="452" t="str">
        <f t="shared" si="22"/>
        <v/>
      </c>
      <c r="FZ24" s="453" t="str">
        <f t="shared" si="18"/>
        <v/>
      </c>
      <c r="GA24" s="451" t="str">
        <f t="shared" si="18"/>
        <v/>
      </c>
      <c r="GB24" s="452" t="str">
        <f t="shared" si="18"/>
        <v/>
      </c>
      <c r="GC24" s="452" t="str">
        <f t="shared" si="18"/>
        <v/>
      </c>
      <c r="GD24" s="452" t="str">
        <f t="shared" si="18"/>
        <v/>
      </c>
      <c r="GE24" s="453" t="str">
        <f t="shared" si="18"/>
        <v/>
      </c>
      <c r="GF24" s="451" t="str">
        <f t="shared" si="18"/>
        <v/>
      </c>
      <c r="GG24" s="452" t="str">
        <f t="shared" si="18"/>
        <v/>
      </c>
      <c r="GH24" s="452" t="str">
        <f t="shared" si="18"/>
        <v/>
      </c>
      <c r="GI24" s="452" t="str">
        <f t="shared" si="18"/>
        <v/>
      </c>
      <c r="GJ24" s="453" t="str">
        <f t="shared" si="18"/>
        <v/>
      </c>
      <c r="GK24" s="451" t="str">
        <f t="shared" si="18"/>
        <v/>
      </c>
      <c r="GL24" s="452" t="str">
        <f t="shared" si="18"/>
        <v/>
      </c>
      <c r="GM24" s="452" t="str">
        <f t="shared" si="18"/>
        <v/>
      </c>
      <c r="GN24" s="452" t="str">
        <f t="shared" si="18"/>
        <v/>
      </c>
      <c r="GO24" s="453" t="str">
        <f t="shared" si="18"/>
        <v/>
      </c>
      <c r="GP24" s="451" t="str">
        <f t="shared" si="28"/>
        <v/>
      </c>
      <c r="GQ24" s="452" t="str">
        <f t="shared" si="28"/>
        <v/>
      </c>
      <c r="GR24" s="452" t="str">
        <f t="shared" si="28"/>
        <v/>
      </c>
      <c r="GS24" s="452" t="str">
        <f t="shared" si="28"/>
        <v/>
      </c>
      <c r="GT24" s="453" t="str">
        <f t="shared" si="28"/>
        <v/>
      </c>
      <c r="GU24" s="451" t="str">
        <f t="shared" si="28"/>
        <v/>
      </c>
      <c r="GV24" s="452" t="str">
        <f t="shared" si="28"/>
        <v/>
      </c>
      <c r="GW24" s="452" t="str">
        <f t="shared" si="28"/>
        <v/>
      </c>
      <c r="GX24" s="452" t="str">
        <f t="shared" si="28"/>
        <v/>
      </c>
      <c r="GY24" s="453" t="str">
        <f t="shared" si="28"/>
        <v/>
      </c>
      <c r="GZ24" s="451" t="str">
        <f t="shared" si="28"/>
        <v/>
      </c>
      <c r="HA24" s="452" t="str">
        <f t="shared" si="28"/>
        <v/>
      </c>
      <c r="HB24" s="452" t="str">
        <f t="shared" si="28"/>
        <v/>
      </c>
      <c r="HC24" s="452" t="str">
        <f t="shared" si="28"/>
        <v/>
      </c>
      <c r="HD24" s="453" t="str">
        <f t="shared" si="28"/>
        <v/>
      </c>
      <c r="HE24" s="451" t="str">
        <f t="shared" si="28"/>
        <v/>
      </c>
      <c r="HF24" s="452" t="str">
        <f t="shared" ref="HF24:HU40" si="35">IF(AND(HF$2&gt;=$J24,HF$2&lt;=$K24),1,"")</f>
        <v/>
      </c>
      <c r="HG24" s="452" t="str">
        <f t="shared" si="35"/>
        <v/>
      </c>
      <c r="HH24" s="452" t="str">
        <f t="shared" si="35"/>
        <v/>
      </c>
      <c r="HI24" s="453" t="str">
        <f t="shared" si="35"/>
        <v/>
      </c>
      <c r="HJ24" s="451" t="str">
        <f t="shared" si="35"/>
        <v/>
      </c>
      <c r="HK24" s="452" t="str">
        <f t="shared" si="35"/>
        <v/>
      </c>
      <c r="HL24" s="452" t="str">
        <f t="shared" si="35"/>
        <v/>
      </c>
      <c r="HM24" s="452" t="str">
        <f t="shared" si="35"/>
        <v/>
      </c>
      <c r="HN24" s="453" t="str">
        <f t="shared" si="35"/>
        <v/>
      </c>
      <c r="HO24" s="451" t="str">
        <f t="shared" si="35"/>
        <v/>
      </c>
      <c r="HP24" s="452" t="str">
        <f t="shared" si="35"/>
        <v/>
      </c>
      <c r="HQ24" s="452" t="str">
        <f t="shared" si="35"/>
        <v/>
      </c>
      <c r="HR24" s="452" t="str">
        <f t="shared" si="35"/>
        <v/>
      </c>
      <c r="HS24" s="453" t="str">
        <f t="shared" si="35"/>
        <v/>
      </c>
      <c r="HT24" s="451" t="str">
        <f t="shared" si="35"/>
        <v/>
      </c>
      <c r="HU24" s="452" t="str">
        <f t="shared" si="35"/>
        <v/>
      </c>
      <c r="HV24" s="452" t="str">
        <f t="shared" ref="HV24:IK40" si="36">IF(AND(HV$2&gt;=$J24,HV$2&lt;=$K24),1,"")</f>
        <v/>
      </c>
      <c r="HW24" s="452" t="str">
        <f t="shared" si="36"/>
        <v/>
      </c>
      <c r="HX24" s="453" t="str">
        <f t="shared" si="36"/>
        <v/>
      </c>
      <c r="HY24" s="451" t="str">
        <f t="shared" si="36"/>
        <v/>
      </c>
      <c r="HZ24" s="452" t="str">
        <f t="shared" si="36"/>
        <v/>
      </c>
      <c r="IA24" s="452" t="str">
        <f t="shared" si="36"/>
        <v/>
      </c>
      <c r="IB24" s="452" t="str">
        <f t="shared" si="36"/>
        <v/>
      </c>
      <c r="IC24" s="453" t="str">
        <f t="shared" si="36"/>
        <v/>
      </c>
      <c r="ID24" s="451" t="str">
        <f t="shared" si="36"/>
        <v/>
      </c>
      <c r="IE24" s="452" t="str">
        <f t="shared" si="36"/>
        <v/>
      </c>
      <c r="IF24" s="452" t="str">
        <f t="shared" si="36"/>
        <v/>
      </c>
      <c r="IG24" s="452" t="str">
        <f t="shared" si="36"/>
        <v/>
      </c>
      <c r="IH24" s="453" t="str">
        <f t="shared" si="36"/>
        <v/>
      </c>
      <c r="II24" s="451" t="str">
        <f t="shared" si="36"/>
        <v/>
      </c>
      <c r="IJ24" s="452" t="str">
        <f t="shared" si="36"/>
        <v/>
      </c>
      <c r="IK24" s="452" t="str">
        <f t="shared" si="36"/>
        <v/>
      </c>
      <c r="IL24" s="452" t="str">
        <f t="shared" ref="IL24:IR39" si="37">IF(AND(IL$2&gt;=$J24,IL$2&lt;=$K24),1,"")</f>
        <v/>
      </c>
      <c r="IM24" s="453" t="str">
        <f t="shared" si="37"/>
        <v/>
      </c>
      <c r="IN24" s="451" t="str">
        <f t="shared" si="37"/>
        <v/>
      </c>
      <c r="IO24" s="452" t="str">
        <f t="shared" si="37"/>
        <v/>
      </c>
      <c r="IP24" s="452" t="str">
        <f t="shared" si="37"/>
        <v/>
      </c>
      <c r="IQ24" s="452" t="str">
        <f t="shared" si="37"/>
        <v/>
      </c>
      <c r="IR24" s="453" t="str">
        <f t="shared" si="37"/>
        <v/>
      </c>
    </row>
    <row r="25" spans="1:252" x14ac:dyDescent="0.2">
      <c r="A25" s="454">
        <v>2.1</v>
      </c>
      <c r="C25" s="447" t="s">
        <v>1360</v>
      </c>
      <c r="D25" s="447"/>
      <c r="E25" s="448"/>
      <c r="F25" s="448"/>
      <c r="G25" s="448"/>
      <c r="H25" s="448"/>
      <c r="I25" s="448"/>
      <c r="J25" s="449" t="str">
        <f t="shared" si="25"/>
        <v/>
      </c>
      <c r="K25" s="449" t="str">
        <f t="shared" si="26"/>
        <v/>
      </c>
      <c r="L25" s="450">
        <f t="shared" si="0"/>
        <v>0</v>
      </c>
      <c r="M25" s="451" t="str">
        <f t="shared" si="24"/>
        <v/>
      </c>
      <c r="N25" s="452" t="str">
        <f t="shared" si="24"/>
        <v/>
      </c>
      <c r="O25" s="452" t="str">
        <f t="shared" si="24"/>
        <v/>
      </c>
      <c r="P25" s="452" t="str">
        <f t="shared" si="24"/>
        <v/>
      </c>
      <c r="Q25" s="453" t="str">
        <f t="shared" si="24"/>
        <v/>
      </c>
      <c r="R25" s="451" t="str">
        <f t="shared" si="24"/>
        <v/>
      </c>
      <c r="S25" s="452" t="str">
        <f t="shared" si="24"/>
        <v/>
      </c>
      <c r="T25" s="452" t="str">
        <f t="shared" si="24"/>
        <v/>
      </c>
      <c r="U25" s="452" t="str">
        <f t="shared" si="24"/>
        <v/>
      </c>
      <c r="V25" s="453" t="str">
        <f t="shared" si="24"/>
        <v/>
      </c>
      <c r="W25" s="451" t="str">
        <f t="shared" si="24"/>
        <v/>
      </c>
      <c r="X25" s="452" t="str">
        <f t="shared" si="24"/>
        <v/>
      </c>
      <c r="Y25" s="452" t="str">
        <f t="shared" si="24"/>
        <v/>
      </c>
      <c r="Z25" s="452" t="str">
        <f t="shared" si="24"/>
        <v/>
      </c>
      <c r="AA25" s="453" t="str">
        <f t="shared" si="24"/>
        <v/>
      </c>
      <c r="AB25" s="451" t="str">
        <f t="shared" si="23"/>
        <v/>
      </c>
      <c r="AC25" s="452" t="str">
        <f t="shared" si="23"/>
        <v/>
      </c>
      <c r="AD25" s="452" t="str">
        <f t="shared" si="23"/>
        <v/>
      </c>
      <c r="AE25" s="452" t="str">
        <f t="shared" si="23"/>
        <v/>
      </c>
      <c r="AF25" s="453" t="str">
        <f t="shared" si="23"/>
        <v/>
      </c>
      <c r="AG25" s="451" t="str">
        <f t="shared" si="23"/>
        <v/>
      </c>
      <c r="AH25" s="452" t="str">
        <f t="shared" si="23"/>
        <v/>
      </c>
      <c r="AI25" s="452" t="str">
        <f t="shared" si="23"/>
        <v/>
      </c>
      <c r="AJ25" s="452" t="str">
        <f t="shared" si="23"/>
        <v/>
      </c>
      <c r="AK25" s="453" t="str">
        <f t="shared" si="23"/>
        <v/>
      </c>
      <c r="AL25" s="451" t="str">
        <f t="shared" si="23"/>
        <v/>
      </c>
      <c r="AM25" s="452" t="str">
        <f t="shared" si="23"/>
        <v/>
      </c>
      <c r="AN25" s="452" t="str">
        <f t="shared" si="23"/>
        <v/>
      </c>
      <c r="AO25" s="452" t="str">
        <f t="shared" si="23"/>
        <v/>
      </c>
      <c r="AP25" s="453" t="str">
        <f t="shared" si="23"/>
        <v/>
      </c>
      <c r="AQ25" s="451" t="str">
        <f t="shared" si="29"/>
        <v/>
      </c>
      <c r="AR25" s="452" t="str">
        <f t="shared" si="29"/>
        <v/>
      </c>
      <c r="AS25" s="452" t="str">
        <f t="shared" si="29"/>
        <v/>
      </c>
      <c r="AT25" s="452" t="str">
        <f t="shared" si="29"/>
        <v/>
      </c>
      <c r="AU25" s="453" t="str">
        <f t="shared" si="29"/>
        <v/>
      </c>
      <c r="AV25" s="451" t="str">
        <f t="shared" si="29"/>
        <v/>
      </c>
      <c r="AW25" s="452" t="str">
        <f t="shared" si="29"/>
        <v/>
      </c>
      <c r="AX25" s="452" t="str">
        <f t="shared" si="29"/>
        <v/>
      </c>
      <c r="AY25" s="452" t="str">
        <f t="shared" si="29"/>
        <v/>
      </c>
      <c r="AZ25" s="453" t="str">
        <f t="shared" si="29"/>
        <v/>
      </c>
      <c r="BA25" s="451" t="str">
        <f t="shared" si="29"/>
        <v/>
      </c>
      <c r="BB25" s="452" t="str">
        <f t="shared" si="29"/>
        <v/>
      </c>
      <c r="BC25" s="452" t="str">
        <f t="shared" si="29"/>
        <v/>
      </c>
      <c r="BD25" s="452" t="str">
        <f t="shared" si="29"/>
        <v/>
      </c>
      <c r="BE25" s="453" t="str">
        <f t="shared" si="29"/>
        <v/>
      </c>
      <c r="BF25" s="451" t="str">
        <f t="shared" si="29"/>
        <v/>
      </c>
      <c r="BG25" s="452" t="str">
        <f t="shared" si="30"/>
        <v/>
      </c>
      <c r="BH25" s="452" t="str">
        <f t="shared" si="30"/>
        <v/>
      </c>
      <c r="BI25" s="452" t="str">
        <f t="shared" si="30"/>
        <v/>
      </c>
      <c r="BJ25" s="453" t="str">
        <f t="shared" si="30"/>
        <v/>
      </c>
      <c r="BK25" s="451" t="str">
        <f t="shared" si="30"/>
        <v/>
      </c>
      <c r="BL25" s="452" t="str">
        <f t="shared" si="30"/>
        <v/>
      </c>
      <c r="BM25" s="452" t="str">
        <f t="shared" si="30"/>
        <v/>
      </c>
      <c r="BN25" s="452" t="str">
        <f t="shared" si="30"/>
        <v/>
      </c>
      <c r="BO25" s="453" t="str">
        <f t="shared" si="30"/>
        <v/>
      </c>
      <c r="BP25" s="451" t="str">
        <f t="shared" si="30"/>
        <v/>
      </c>
      <c r="BQ25" s="452" t="str">
        <f t="shared" si="30"/>
        <v/>
      </c>
      <c r="BR25" s="452" t="str">
        <f t="shared" si="30"/>
        <v/>
      </c>
      <c r="BS25" s="452" t="str">
        <f t="shared" si="30"/>
        <v/>
      </c>
      <c r="BT25" s="453" t="str">
        <f t="shared" si="30"/>
        <v/>
      </c>
      <c r="BU25" s="451" t="str">
        <f t="shared" si="30"/>
        <v/>
      </c>
      <c r="BV25" s="452" t="str">
        <f t="shared" si="30"/>
        <v/>
      </c>
      <c r="BW25" s="452" t="str">
        <f t="shared" si="31"/>
        <v/>
      </c>
      <c r="BX25" s="452" t="str">
        <f t="shared" si="31"/>
        <v/>
      </c>
      <c r="BY25" s="453" t="str">
        <f t="shared" si="31"/>
        <v/>
      </c>
      <c r="BZ25" s="451" t="str">
        <f t="shared" si="31"/>
        <v/>
      </c>
      <c r="CA25" s="452" t="str">
        <f t="shared" si="31"/>
        <v/>
      </c>
      <c r="CB25" s="452" t="str">
        <f t="shared" si="31"/>
        <v/>
      </c>
      <c r="CC25" s="452" t="str">
        <f t="shared" si="31"/>
        <v/>
      </c>
      <c r="CD25" s="453" t="str">
        <f t="shared" si="31"/>
        <v/>
      </c>
      <c r="CE25" s="451" t="str">
        <f t="shared" si="31"/>
        <v/>
      </c>
      <c r="CF25" s="452" t="str">
        <f t="shared" si="31"/>
        <v/>
      </c>
      <c r="CG25" s="452" t="str">
        <f t="shared" si="31"/>
        <v/>
      </c>
      <c r="CH25" s="452" t="str">
        <f t="shared" si="31"/>
        <v/>
      </c>
      <c r="CI25" s="453" t="str">
        <f t="shared" si="31"/>
        <v/>
      </c>
      <c r="CJ25" s="451" t="str">
        <f t="shared" si="31"/>
        <v/>
      </c>
      <c r="CK25" s="452" t="str">
        <f t="shared" si="31"/>
        <v/>
      </c>
      <c r="CL25" s="452" t="str">
        <f t="shared" si="31"/>
        <v/>
      </c>
      <c r="CM25" s="452" t="str">
        <f t="shared" si="32"/>
        <v/>
      </c>
      <c r="CN25" s="453" t="str">
        <f t="shared" si="32"/>
        <v/>
      </c>
      <c r="CO25" s="451" t="str">
        <f t="shared" si="32"/>
        <v/>
      </c>
      <c r="CP25" s="452" t="str">
        <f t="shared" si="32"/>
        <v/>
      </c>
      <c r="CQ25" s="452" t="str">
        <f t="shared" si="32"/>
        <v/>
      </c>
      <c r="CR25" s="452" t="str">
        <f t="shared" si="32"/>
        <v/>
      </c>
      <c r="CS25" s="453" t="str">
        <f t="shared" si="32"/>
        <v/>
      </c>
      <c r="CT25" s="451" t="str">
        <f t="shared" si="32"/>
        <v/>
      </c>
      <c r="CU25" s="452" t="str">
        <f t="shared" si="32"/>
        <v/>
      </c>
      <c r="CV25" s="452" t="str">
        <f t="shared" si="32"/>
        <v/>
      </c>
      <c r="CW25" s="452" t="str">
        <f t="shared" si="32"/>
        <v/>
      </c>
      <c r="CX25" s="453" t="str">
        <f t="shared" si="32"/>
        <v/>
      </c>
      <c r="CY25" s="451" t="str">
        <f t="shared" si="32"/>
        <v/>
      </c>
      <c r="CZ25" s="452" t="str">
        <f t="shared" si="32"/>
        <v/>
      </c>
      <c r="DA25" s="452" t="str">
        <f t="shared" si="32"/>
        <v/>
      </c>
      <c r="DB25" s="452" t="str">
        <f t="shared" si="32"/>
        <v/>
      </c>
      <c r="DC25" s="453" t="str">
        <f t="shared" si="33"/>
        <v/>
      </c>
      <c r="DD25" s="451" t="str">
        <f t="shared" si="33"/>
        <v/>
      </c>
      <c r="DE25" s="452" t="str">
        <f t="shared" si="33"/>
        <v/>
      </c>
      <c r="DF25" s="452" t="str">
        <f t="shared" si="33"/>
        <v/>
      </c>
      <c r="DG25" s="452" t="str">
        <f t="shared" si="33"/>
        <v/>
      </c>
      <c r="DH25" s="453" t="str">
        <f t="shared" si="33"/>
        <v/>
      </c>
      <c r="DI25" s="451" t="str">
        <f t="shared" si="33"/>
        <v/>
      </c>
      <c r="DJ25" s="452" t="str">
        <f t="shared" si="33"/>
        <v/>
      </c>
      <c r="DK25" s="452" t="str">
        <f t="shared" si="33"/>
        <v/>
      </c>
      <c r="DL25" s="452" t="str">
        <f t="shared" si="33"/>
        <v/>
      </c>
      <c r="DM25" s="453" t="str">
        <f t="shared" si="33"/>
        <v/>
      </c>
      <c r="DN25" s="451" t="str">
        <f t="shared" si="27"/>
        <v/>
      </c>
      <c r="DO25" s="452" t="str">
        <f t="shared" si="27"/>
        <v/>
      </c>
      <c r="DP25" s="452" t="str">
        <f t="shared" si="27"/>
        <v/>
      </c>
      <c r="DQ25" s="452" t="str">
        <f t="shared" si="27"/>
        <v/>
      </c>
      <c r="DR25" s="453" t="str">
        <f t="shared" si="27"/>
        <v/>
      </c>
      <c r="DS25" s="451" t="str">
        <f t="shared" si="27"/>
        <v/>
      </c>
      <c r="DT25" s="452" t="str">
        <f t="shared" si="27"/>
        <v/>
      </c>
      <c r="DU25" s="452" t="str">
        <f t="shared" si="27"/>
        <v/>
      </c>
      <c r="DV25" s="452" t="str">
        <f t="shared" si="27"/>
        <v/>
      </c>
      <c r="DW25" s="453" t="str">
        <f t="shared" si="27"/>
        <v/>
      </c>
      <c r="DX25" s="451" t="str">
        <f t="shared" si="27"/>
        <v/>
      </c>
      <c r="DY25" s="452" t="str">
        <f t="shared" si="27"/>
        <v/>
      </c>
      <c r="DZ25" s="452" t="str">
        <f t="shared" si="27"/>
        <v/>
      </c>
      <c r="EA25" s="452" t="str">
        <f t="shared" si="27"/>
        <v/>
      </c>
      <c r="EB25" s="453" t="str">
        <f t="shared" si="27"/>
        <v/>
      </c>
      <c r="EC25" s="451" t="str">
        <f t="shared" si="27"/>
        <v/>
      </c>
      <c r="ED25" s="452" t="str">
        <f t="shared" si="34"/>
        <v/>
      </c>
      <c r="EE25" s="452" t="str">
        <f t="shared" si="34"/>
        <v/>
      </c>
      <c r="EF25" s="452" t="str">
        <f t="shared" si="34"/>
        <v/>
      </c>
      <c r="EG25" s="453" t="str">
        <f t="shared" si="34"/>
        <v/>
      </c>
      <c r="EH25" s="451" t="str">
        <f t="shared" si="34"/>
        <v/>
      </c>
      <c r="EI25" s="452" t="str">
        <f t="shared" si="34"/>
        <v/>
      </c>
      <c r="EJ25" s="452" t="str">
        <f t="shared" si="34"/>
        <v/>
      </c>
      <c r="EK25" s="452" t="str">
        <f t="shared" si="34"/>
        <v/>
      </c>
      <c r="EL25" s="453" t="str">
        <f t="shared" si="34"/>
        <v/>
      </c>
      <c r="EM25" s="451" t="str">
        <f t="shared" si="34"/>
        <v/>
      </c>
      <c r="EN25" s="452" t="str">
        <f t="shared" si="34"/>
        <v/>
      </c>
      <c r="EO25" s="452" t="str">
        <f t="shared" si="34"/>
        <v/>
      </c>
      <c r="EP25" s="452" t="str">
        <f t="shared" si="20"/>
        <v/>
      </c>
      <c r="EQ25" s="453" t="str">
        <f t="shared" si="20"/>
        <v/>
      </c>
      <c r="ER25" s="451" t="str">
        <f t="shared" si="20"/>
        <v/>
      </c>
      <c r="ES25" s="452" t="str">
        <f t="shared" si="20"/>
        <v/>
      </c>
      <c r="ET25" s="452" t="str">
        <f t="shared" si="21"/>
        <v/>
      </c>
      <c r="EU25" s="452" t="str">
        <f t="shared" si="21"/>
        <v/>
      </c>
      <c r="EV25" s="453" t="str">
        <f t="shared" si="21"/>
        <v/>
      </c>
      <c r="EW25" s="451" t="str">
        <f t="shared" si="21"/>
        <v/>
      </c>
      <c r="EX25" s="452" t="str">
        <f t="shared" si="21"/>
        <v/>
      </c>
      <c r="EY25" s="452" t="str">
        <f t="shared" si="21"/>
        <v/>
      </c>
      <c r="EZ25" s="452" t="str">
        <f t="shared" si="21"/>
        <v/>
      </c>
      <c r="FA25" s="453" t="str">
        <f t="shared" si="21"/>
        <v/>
      </c>
      <c r="FB25" s="451" t="str">
        <f t="shared" si="21"/>
        <v/>
      </c>
      <c r="FC25" s="452" t="str">
        <f t="shared" si="21"/>
        <v/>
      </c>
      <c r="FD25" s="452" t="str">
        <f t="shared" si="21"/>
        <v/>
      </c>
      <c r="FE25" s="452" t="str">
        <f t="shared" si="21"/>
        <v/>
      </c>
      <c r="FF25" s="453" t="str">
        <f t="shared" si="21"/>
        <v/>
      </c>
      <c r="FG25" s="451" t="str">
        <f t="shared" si="21"/>
        <v/>
      </c>
      <c r="FH25" s="452" t="str">
        <f t="shared" si="21"/>
        <v/>
      </c>
      <c r="FI25" s="452" t="str">
        <f t="shared" si="21"/>
        <v/>
      </c>
      <c r="FJ25" s="452" t="str">
        <f t="shared" si="22"/>
        <v/>
      </c>
      <c r="FK25" s="453" t="str">
        <f t="shared" si="22"/>
        <v/>
      </c>
      <c r="FL25" s="451" t="str">
        <f t="shared" si="22"/>
        <v/>
      </c>
      <c r="FM25" s="452" t="str">
        <f t="shared" si="22"/>
        <v/>
      </c>
      <c r="FN25" s="452" t="str">
        <f t="shared" si="22"/>
        <v/>
      </c>
      <c r="FO25" s="452" t="str">
        <f t="shared" si="22"/>
        <v/>
      </c>
      <c r="FP25" s="453" t="str">
        <f t="shared" si="22"/>
        <v/>
      </c>
      <c r="FQ25" s="451" t="str">
        <f t="shared" si="22"/>
        <v/>
      </c>
      <c r="FR25" s="452" t="str">
        <f t="shared" si="22"/>
        <v/>
      </c>
      <c r="FS25" s="452" t="str">
        <f t="shared" si="22"/>
        <v/>
      </c>
      <c r="FT25" s="452" t="str">
        <f t="shared" si="22"/>
        <v/>
      </c>
      <c r="FU25" s="453" t="str">
        <f t="shared" si="22"/>
        <v/>
      </c>
      <c r="FV25" s="451" t="str">
        <f t="shared" si="22"/>
        <v/>
      </c>
      <c r="FW25" s="452" t="str">
        <f t="shared" si="22"/>
        <v/>
      </c>
      <c r="FX25" s="452" t="str">
        <f t="shared" si="22"/>
        <v/>
      </c>
      <c r="FY25" s="452" t="str">
        <f t="shared" si="22"/>
        <v/>
      </c>
      <c r="FZ25" s="453" t="str">
        <f t="shared" si="18"/>
        <v/>
      </c>
      <c r="GA25" s="451" t="str">
        <f t="shared" si="18"/>
        <v/>
      </c>
      <c r="GB25" s="452" t="str">
        <f t="shared" si="18"/>
        <v/>
      </c>
      <c r="GC25" s="452" t="str">
        <f t="shared" si="18"/>
        <v/>
      </c>
      <c r="GD25" s="452" t="str">
        <f t="shared" si="18"/>
        <v/>
      </c>
      <c r="GE25" s="453" t="str">
        <f t="shared" si="18"/>
        <v/>
      </c>
      <c r="GF25" s="451" t="str">
        <f t="shared" si="18"/>
        <v/>
      </c>
      <c r="GG25" s="452" t="str">
        <f t="shared" si="18"/>
        <v/>
      </c>
      <c r="GH25" s="452" t="str">
        <f t="shared" si="18"/>
        <v/>
      </c>
      <c r="GI25" s="452" t="str">
        <f t="shared" si="18"/>
        <v/>
      </c>
      <c r="GJ25" s="453" t="str">
        <f t="shared" si="18"/>
        <v/>
      </c>
      <c r="GK25" s="451" t="str">
        <f t="shared" si="18"/>
        <v/>
      </c>
      <c r="GL25" s="452" t="str">
        <f t="shared" si="18"/>
        <v/>
      </c>
      <c r="GM25" s="452" t="str">
        <f t="shared" si="18"/>
        <v/>
      </c>
      <c r="GN25" s="452" t="str">
        <f t="shared" si="18"/>
        <v/>
      </c>
      <c r="GO25" s="453" t="str">
        <f t="shared" si="18"/>
        <v/>
      </c>
      <c r="GP25" s="451" t="str">
        <f t="shared" si="28"/>
        <v/>
      </c>
      <c r="GQ25" s="452" t="str">
        <f t="shared" si="28"/>
        <v/>
      </c>
      <c r="GR25" s="452" t="str">
        <f t="shared" si="28"/>
        <v/>
      </c>
      <c r="GS25" s="452" t="str">
        <f t="shared" si="28"/>
        <v/>
      </c>
      <c r="GT25" s="453" t="str">
        <f t="shared" si="28"/>
        <v/>
      </c>
      <c r="GU25" s="451" t="str">
        <f t="shared" si="28"/>
        <v/>
      </c>
      <c r="GV25" s="452" t="str">
        <f t="shared" si="28"/>
        <v/>
      </c>
      <c r="GW25" s="452" t="str">
        <f t="shared" si="28"/>
        <v/>
      </c>
      <c r="GX25" s="452" t="str">
        <f t="shared" si="28"/>
        <v/>
      </c>
      <c r="GY25" s="453" t="str">
        <f t="shared" si="28"/>
        <v/>
      </c>
      <c r="GZ25" s="451" t="str">
        <f t="shared" si="28"/>
        <v/>
      </c>
      <c r="HA25" s="452" t="str">
        <f t="shared" si="28"/>
        <v/>
      </c>
      <c r="HB25" s="452" t="str">
        <f t="shared" si="28"/>
        <v/>
      </c>
      <c r="HC25" s="452" t="str">
        <f t="shared" si="28"/>
        <v/>
      </c>
      <c r="HD25" s="453" t="str">
        <f t="shared" si="28"/>
        <v/>
      </c>
      <c r="HE25" s="451" t="str">
        <f t="shared" si="28"/>
        <v/>
      </c>
      <c r="HF25" s="452" t="str">
        <f t="shared" si="35"/>
        <v/>
      </c>
      <c r="HG25" s="452" t="str">
        <f t="shared" si="35"/>
        <v/>
      </c>
      <c r="HH25" s="452" t="str">
        <f t="shared" si="35"/>
        <v/>
      </c>
      <c r="HI25" s="453" t="str">
        <f t="shared" si="35"/>
        <v/>
      </c>
      <c r="HJ25" s="451" t="str">
        <f t="shared" si="35"/>
        <v/>
      </c>
      <c r="HK25" s="452" t="str">
        <f t="shared" si="35"/>
        <v/>
      </c>
      <c r="HL25" s="452" t="str">
        <f t="shared" si="35"/>
        <v/>
      </c>
      <c r="HM25" s="452" t="str">
        <f t="shared" si="35"/>
        <v/>
      </c>
      <c r="HN25" s="453" t="str">
        <f t="shared" si="35"/>
        <v/>
      </c>
      <c r="HO25" s="451" t="str">
        <f t="shared" si="35"/>
        <v/>
      </c>
      <c r="HP25" s="452" t="str">
        <f t="shared" si="35"/>
        <v/>
      </c>
      <c r="HQ25" s="452" t="str">
        <f t="shared" si="35"/>
        <v/>
      </c>
      <c r="HR25" s="452" t="str">
        <f t="shared" si="35"/>
        <v/>
      </c>
      <c r="HS25" s="453" t="str">
        <f t="shared" si="35"/>
        <v/>
      </c>
      <c r="HT25" s="451" t="str">
        <f t="shared" si="35"/>
        <v/>
      </c>
      <c r="HU25" s="452" t="str">
        <f t="shared" si="35"/>
        <v/>
      </c>
      <c r="HV25" s="452" t="str">
        <f t="shared" si="36"/>
        <v/>
      </c>
      <c r="HW25" s="452" t="str">
        <f t="shared" si="36"/>
        <v/>
      </c>
      <c r="HX25" s="453" t="str">
        <f t="shared" si="36"/>
        <v/>
      </c>
      <c r="HY25" s="451" t="str">
        <f t="shared" si="36"/>
        <v/>
      </c>
      <c r="HZ25" s="452" t="str">
        <f t="shared" si="36"/>
        <v/>
      </c>
      <c r="IA25" s="452" t="str">
        <f t="shared" si="36"/>
        <v/>
      </c>
      <c r="IB25" s="452" t="str">
        <f t="shared" si="36"/>
        <v/>
      </c>
      <c r="IC25" s="453" t="str">
        <f t="shared" si="36"/>
        <v/>
      </c>
      <c r="ID25" s="451" t="str">
        <f t="shared" si="36"/>
        <v/>
      </c>
      <c r="IE25" s="452" t="str">
        <f t="shared" si="36"/>
        <v/>
      </c>
      <c r="IF25" s="452" t="str">
        <f t="shared" si="36"/>
        <v/>
      </c>
      <c r="IG25" s="452" t="str">
        <f t="shared" si="36"/>
        <v/>
      </c>
      <c r="IH25" s="453" t="str">
        <f t="shared" si="36"/>
        <v/>
      </c>
      <c r="II25" s="451" t="str">
        <f t="shared" si="36"/>
        <v/>
      </c>
      <c r="IJ25" s="452" t="str">
        <f t="shared" si="36"/>
        <v/>
      </c>
      <c r="IK25" s="452" t="str">
        <f t="shared" si="36"/>
        <v/>
      </c>
      <c r="IL25" s="452" t="str">
        <f t="shared" si="37"/>
        <v/>
      </c>
      <c r="IM25" s="453" t="str">
        <f t="shared" si="37"/>
        <v/>
      </c>
      <c r="IN25" s="451" t="str">
        <f t="shared" si="37"/>
        <v/>
      </c>
      <c r="IO25" s="452" t="str">
        <f t="shared" si="37"/>
        <v/>
      </c>
      <c r="IP25" s="452" t="str">
        <f t="shared" si="37"/>
        <v/>
      </c>
      <c r="IQ25" s="452" t="str">
        <f t="shared" si="37"/>
        <v/>
      </c>
      <c r="IR25" s="453" t="str">
        <f t="shared" si="37"/>
        <v/>
      </c>
    </row>
    <row r="26" spans="1:252" x14ac:dyDescent="0.2">
      <c r="A26" s="455">
        <v>3</v>
      </c>
      <c r="B26" s="456"/>
      <c r="C26" s="456" t="str">
        <f>Breakdown!$A11</f>
        <v xml:space="preserve">Package 1 ED Penthouse </v>
      </c>
      <c r="D26" s="457"/>
      <c r="E26" s="437" t="str">
        <f>IF(E27="","",MIN(E27:E36))</f>
        <v/>
      </c>
      <c r="F26" s="437" t="str">
        <f>IF(F27="","",MAX(F27:F36))</f>
        <v/>
      </c>
      <c r="G26" s="437"/>
      <c r="H26" s="437"/>
      <c r="I26" s="458"/>
      <c r="J26" s="459">
        <f>MIN(J27:J36)</f>
        <v>0</v>
      </c>
      <c r="K26" s="459">
        <f>MAX(K27:K36)</f>
        <v>0</v>
      </c>
      <c r="L26" s="460">
        <f t="shared" si="0"/>
        <v>0</v>
      </c>
      <c r="M26" s="451" t="str">
        <f t="shared" si="24"/>
        <v/>
      </c>
      <c r="N26" s="452" t="str">
        <f t="shared" si="24"/>
        <v/>
      </c>
      <c r="O26" s="452" t="str">
        <f t="shared" si="24"/>
        <v/>
      </c>
      <c r="P26" s="452" t="str">
        <f t="shared" si="24"/>
        <v/>
      </c>
      <c r="Q26" s="453" t="str">
        <f t="shared" si="24"/>
        <v/>
      </c>
      <c r="R26" s="451" t="str">
        <f t="shared" si="24"/>
        <v/>
      </c>
      <c r="S26" s="452" t="str">
        <f t="shared" si="24"/>
        <v/>
      </c>
      <c r="T26" s="452" t="str">
        <f t="shared" si="24"/>
        <v/>
      </c>
      <c r="U26" s="452" t="str">
        <f t="shared" si="24"/>
        <v/>
      </c>
      <c r="V26" s="453" t="str">
        <f t="shared" si="24"/>
        <v/>
      </c>
      <c r="W26" s="451" t="str">
        <f t="shared" si="24"/>
        <v/>
      </c>
      <c r="X26" s="452" t="str">
        <f t="shared" si="24"/>
        <v/>
      </c>
      <c r="Y26" s="452" t="str">
        <f t="shared" si="24"/>
        <v/>
      </c>
      <c r="Z26" s="452" t="str">
        <f t="shared" si="24"/>
        <v/>
      </c>
      <c r="AA26" s="453" t="str">
        <f t="shared" si="24"/>
        <v/>
      </c>
      <c r="AB26" s="451" t="str">
        <f t="shared" si="23"/>
        <v/>
      </c>
      <c r="AC26" s="452" t="str">
        <f t="shared" si="23"/>
        <v/>
      </c>
      <c r="AD26" s="452" t="str">
        <f t="shared" si="23"/>
        <v/>
      </c>
      <c r="AE26" s="452" t="str">
        <f t="shared" si="23"/>
        <v/>
      </c>
      <c r="AF26" s="453" t="str">
        <f t="shared" si="23"/>
        <v/>
      </c>
      <c r="AG26" s="451" t="str">
        <f t="shared" si="23"/>
        <v/>
      </c>
      <c r="AH26" s="452" t="str">
        <f t="shared" si="23"/>
        <v/>
      </c>
      <c r="AI26" s="452" t="str">
        <f t="shared" si="23"/>
        <v/>
      </c>
      <c r="AJ26" s="452" t="str">
        <f t="shared" si="23"/>
        <v/>
      </c>
      <c r="AK26" s="453" t="str">
        <f t="shared" si="23"/>
        <v/>
      </c>
      <c r="AL26" s="451" t="str">
        <f t="shared" si="23"/>
        <v/>
      </c>
      <c r="AM26" s="452" t="str">
        <f t="shared" si="23"/>
        <v/>
      </c>
      <c r="AN26" s="452" t="str">
        <f t="shared" si="23"/>
        <v/>
      </c>
      <c r="AO26" s="452" t="str">
        <f t="shared" si="23"/>
        <v/>
      </c>
      <c r="AP26" s="453" t="str">
        <f t="shared" si="23"/>
        <v/>
      </c>
      <c r="AQ26" s="451" t="str">
        <f t="shared" si="29"/>
        <v/>
      </c>
      <c r="AR26" s="452" t="str">
        <f t="shared" si="29"/>
        <v/>
      </c>
      <c r="AS26" s="452" t="str">
        <f t="shared" si="29"/>
        <v/>
      </c>
      <c r="AT26" s="452" t="str">
        <f t="shared" si="29"/>
        <v/>
      </c>
      <c r="AU26" s="453" t="str">
        <f t="shared" si="29"/>
        <v/>
      </c>
      <c r="AV26" s="451" t="str">
        <f t="shared" si="29"/>
        <v/>
      </c>
      <c r="AW26" s="452" t="str">
        <f t="shared" si="29"/>
        <v/>
      </c>
      <c r="AX26" s="452" t="str">
        <f t="shared" si="29"/>
        <v/>
      </c>
      <c r="AY26" s="452" t="str">
        <f t="shared" si="29"/>
        <v/>
      </c>
      <c r="AZ26" s="453" t="str">
        <f t="shared" si="29"/>
        <v/>
      </c>
      <c r="BA26" s="451" t="str">
        <f t="shared" si="29"/>
        <v/>
      </c>
      <c r="BB26" s="452" t="str">
        <f t="shared" si="29"/>
        <v/>
      </c>
      <c r="BC26" s="452" t="str">
        <f t="shared" si="29"/>
        <v/>
      </c>
      <c r="BD26" s="452" t="str">
        <f t="shared" si="29"/>
        <v/>
      </c>
      <c r="BE26" s="453" t="str">
        <f t="shared" si="29"/>
        <v/>
      </c>
      <c r="BF26" s="451" t="str">
        <f t="shared" si="29"/>
        <v/>
      </c>
      <c r="BG26" s="452" t="str">
        <f t="shared" si="30"/>
        <v/>
      </c>
      <c r="BH26" s="452" t="str">
        <f t="shared" si="30"/>
        <v/>
      </c>
      <c r="BI26" s="452" t="str">
        <f t="shared" si="30"/>
        <v/>
      </c>
      <c r="BJ26" s="453" t="str">
        <f t="shared" si="30"/>
        <v/>
      </c>
      <c r="BK26" s="451" t="str">
        <f t="shared" si="30"/>
        <v/>
      </c>
      <c r="BL26" s="452" t="str">
        <f t="shared" si="30"/>
        <v/>
      </c>
      <c r="BM26" s="452" t="str">
        <f t="shared" si="30"/>
        <v/>
      </c>
      <c r="BN26" s="452" t="str">
        <f t="shared" si="30"/>
        <v/>
      </c>
      <c r="BO26" s="453" t="str">
        <f t="shared" si="30"/>
        <v/>
      </c>
      <c r="BP26" s="451" t="str">
        <f t="shared" si="30"/>
        <v/>
      </c>
      <c r="BQ26" s="452" t="str">
        <f t="shared" si="30"/>
        <v/>
      </c>
      <c r="BR26" s="452" t="str">
        <f t="shared" si="30"/>
        <v/>
      </c>
      <c r="BS26" s="452" t="str">
        <f t="shared" si="30"/>
        <v/>
      </c>
      <c r="BT26" s="453" t="str">
        <f t="shared" si="30"/>
        <v/>
      </c>
      <c r="BU26" s="451" t="str">
        <f t="shared" si="30"/>
        <v/>
      </c>
      <c r="BV26" s="452" t="str">
        <f t="shared" si="30"/>
        <v/>
      </c>
      <c r="BW26" s="452" t="str">
        <f t="shared" si="31"/>
        <v/>
      </c>
      <c r="BX26" s="452" t="str">
        <f t="shared" si="31"/>
        <v/>
      </c>
      <c r="BY26" s="453" t="str">
        <f t="shared" si="31"/>
        <v/>
      </c>
      <c r="BZ26" s="451" t="str">
        <f t="shared" si="31"/>
        <v/>
      </c>
      <c r="CA26" s="452" t="str">
        <f t="shared" si="31"/>
        <v/>
      </c>
      <c r="CB26" s="452" t="str">
        <f t="shared" si="31"/>
        <v/>
      </c>
      <c r="CC26" s="452" t="str">
        <f t="shared" si="31"/>
        <v/>
      </c>
      <c r="CD26" s="453" t="str">
        <f t="shared" si="31"/>
        <v/>
      </c>
      <c r="CE26" s="451" t="str">
        <f t="shared" si="31"/>
        <v/>
      </c>
      <c r="CF26" s="452" t="str">
        <f t="shared" si="31"/>
        <v/>
      </c>
      <c r="CG26" s="452" t="str">
        <f t="shared" si="31"/>
        <v/>
      </c>
      <c r="CH26" s="452" t="str">
        <f t="shared" si="31"/>
        <v/>
      </c>
      <c r="CI26" s="453" t="str">
        <f t="shared" si="31"/>
        <v/>
      </c>
      <c r="CJ26" s="451" t="str">
        <f t="shared" si="31"/>
        <v/>
      </c>
      <c r="CK26" s="452" t="str">
        <f t="shared" si="31"/>
        <v/>
      </c>
      <c r="CL26" s="452" t="str">
        <f t="shared" si="31"/>
        <v/>
      </c>
      <c r="CM26" s="452" t="str">
        <f t="shared" si="32"/>
        <v/>
      </c>
      <c r="CN26" s="453" t="str">
        <f t="shared" si="32"/>
        <v/>
      </c>
      <c r="CO26" s="451" t="str">
        <f t="shared" si="32"/>
        <v/>
      </c>
      <c r="CP26" s="452" t="str">
        <f t="shared" si="32"/>
        <v/>
      </c>
      <c r="CQ26" s="452" t="str">
        <f t="shared" si="32"/>
        <v/>
      </c>
      <c r="CR26" s="452" t="str">
        <f t="shared" si="32"/>
        <v/>
      </c>
      <c r="CS26" s="453" t="str">
        <f t="shared" si="32"/>
        <v/>
      </c>
      <c r="CT26" s="451" t="str">
        <f t="shared" si="32"/>
        <v/>
      </c>
      <c r="CU26" s="452" t="str">
        <f t="shared" si="32"/>
        <v/>
      </c>
      <c r="CV26" s="452" t="str">
        <f t="shared" si="32"/>
        <v/>
      </c>
      <c r="CW26" s="452" t="str">
        <f t="shared" si="32"/>
        <v/>
      </c>
      <c r="CX26" s="453" t="str">
        <f t="shared" si="32"/>
        <v/>
      </c>
      <c r="CY26" s="451" t="str">
        <f t="shared" si="32"/>
        <v/>
      </c>
      <c r="CZ26" s="452" t="str">
        <f t="shared" si="32"/>
        <v/>
      </c>
      <c r="DA26" s="452" t="str">
        <f t="shared" si="32"/>
        <v/>
      </c>
      <c r="DB26" s="452" t="str">
        <f t="shared" si="32"/>
        <v/>
      </c>
      <c r="DC26" s="453" t="str">
        <f t="shared" si="33"/>
        <v/>
      </c>
      <c r="DD26" s="451" t="str">
        <f t="shared" si="33"/>
        <v/>
      </c>
      <c r="DE26" s="452" t="str">
        <f t="shared" si="33"/>
        <v/>
      </c>
      <c r="DF26" s="452" t="str">
        <f t="shared" si="33"/>
        <v/>
      </c>
      <c r="DG26" s="452" t="str">
        <f t="shared" si="33"/>
        <v/>
      </c>
      <c r="DH26" s="453" t="str">
        <f t="shared" si="33"/>
        <v/>
      </c>
      <c r="DI26" s="451" t="str">
        <f t="shared" si="33"/>
        <v/>
      </c>
      <c r="DJ26" s="452" t="str">
        <f t="shared" si="33"/>
        <v/>
      </c>
      <c r="DK26" s="452" t="str">
        <f t="shared" si="33"/>
        <v/>
      </c>
      <c r="DL26" s="452" t="str">
        <f t="shared" si="33"/>
        <v/>
      </c>
      <c r="DM26" s="453" t="str">
        <f t="shared" si="33"/>
        <v/>
      </c>
      <c r="DN26" s="451" t="str">
        <f t="shared" si="27"/>
        <v/>
      </c>
      <c r="DO26" s="452" t="str">
        <f t="shared" si="27"/>
        <v/>
      </c>
      <c r="DP26" s="452" t="str">
        <f t="shared" si="27"/>
        <v/>
      </c>
      <c r="DQ26" s="452" t="str">
        <f t="shared" si="27"/>
        <v/>
      </c>
      <c r="DR26" s="453" t="str">
        <f t="shared" si="27"/>
        <v/>
      </c>
      <c r="DS26" s="451" t="str">
        <f t="shared" si="27"/>
        <v/>
      </c>
      <c r="DT26" s="452" t="str">
        <f t="shared" si="27"/>
        <v/>
      </c>
      <c r="DU26" s="452" t="str">
        <f t="shared" si="27"/>
        <v/>
      </c>
      <c r="DV26" s="452" t="str">
        <f t="shared" si="27"/>
        <v/>
      </c>
      <c r="DW26" s="453" t="str">
        <f t="shared" si="27"/>
        <v/>
      </c>
      <c r="DX26" s="451" t="str">
        <f t="shared" si="27"/>
        <v/>
      </c>
      <c r="DY26" s="452" t="str">
        <f t="shared" si="27"/>
        <v/>
      </c>
      <c r="DZ26" s="452" t="str">
        <f t="shared" si="27"/>
        <v/>
      </c>
      <c r="EA26" s="452" t="str">
        <f t="shared" si="27"/>
        <v/>
      </c>
      <c r="EB26" s="453" t="str">
        <f t="shared" si="27"/>
        <v/>
      </c>
      <c r="EC26" s="451" t="str">
        <f t="shared" si="27"/>
        <v/>
      </c>
      <c r="ED26" s="452" t="str">
        <f t="shared" si="34"/>
        <v/>
      </c>
      <c r="EE26" s="452" t="str">
        <f t="shared" si="34"/>
        <v/>
      </c>
      <c r="EF26" s="452" t="str">
        <f t="shared" si="34"/>
        <v/>
      </c>
      <c r="EG26" s="453" t="str">
        <f t="shared" si="34"/>
        <v/>
      </c>
      <c r="EH26" s="451" t="str">
        <f t="shared" si="34"/>
        <v/>
      </c>
      <c r="EI26" s="452" t="str">
        <f t="shared" si="34"/>
        <v/>
      </c>
      <c r="EJ26" s="452" t="str">
        <f t="shared" si="34"/>
        <v/>
      </c>
      <c r="EK26" s="452" t="str">
        <f t="shared" si="34"/>
        <v/>
      </c>
      <c r="EL26" s="453" t="str">
        <f t="shared" si="34"/>
        <v/>
      </c>
      <c r="EM26" s="451" t="str">
        <f t="shared" si="34"/>
        <v/>
      </c>
      <c r="EN26" s="452" t="str">
        <f t="shared" si="34"/>
        <v/>
      </c>
      <c r="EO26" s="452" t="str">
        <f t="shared" si="34"/>
        <v/>
      </c>
      <c r="EP26" s="452" t="str">
        <f t="shared" si="20"/>
        <v/>
      </c>
      <c r="EQ26" s="453" t="str">
        <f t="shared" si="20"/>
        <v/>
      </c>
      <c r="ER26" s="451" t="str">
        <f t="shared" si="20"/>
        <v/>
      </c>
      <c r="ES26" s="452" t="str">
        <f t="shared" si="20"/>
        <v/>
      </c>
      <c r="ET26" s="452" t="str">
        <f t="shared" si="21"/>
        <v/>
      </c>
      <c r="EU26" s="452" t="str">
        <f t="shared" si="21"/>
        <v/>
      </c>
      <c r="EV26" s="453" t="str">
        <f t="shared" si="21"/>
        <v/>
      </c>
      <c r="EW26" s="451" t="str">
        <f t="shared" si="21"/>
        <v/>
      </c>
      <c r="EX26" s="452" t="str">
        <f t="shared" si="21"/>
        <v/>
      </c>
      <c r="EY26" s="452" t="str">
        <f t="shared" si="21"/>
        <v/>
      </c>
      <c r="EZ26" s="452" t="str">
        <f t="shared" si="21"/>
        <v/>
      </c>
      <c r="FA26" s="453" t="str">
        <f t="shared" si="21"/>
        <v/>
      </c>
      <c r="FB26" s="451" t="str">
        <f t="shared" si="21"/>
        <v/>
      </c>
      <c r="FC26" s="452" t="str">
        <f t="shared" si="21"/>
        <v/>
      </c>
      <c r="FD26" s="452" t="str">
        <f t="shared" si="21"/>
        <v/>
      </c>
      <c r="FE26" s="452" t="str">
        <f t="shared" si="21"/>
        <v/>
      </c>
      <c r="FF26" s="453" t="str">
        <f t="shared" si="21"/>
        <v/>
      </c>
      <c r="FG26" s="451" t="str">
        <f t="shared" si="21"/>
        <v/>
      </c>
      <c r="FH26" s="452" t="str">
        <f t="shared" si="21"/>
        <v/>
      </c>
      <c r="FI26" s="452" t="str">
        <f t="shared" si="21"/>
        <v/>
      </c>
      <c r="FJ26" s="452" t="str">
        <f t="shared" si="22"/>
        <v/>
      </c>
      <c r="FK26" s="453" t="str">
        <f t="shared" si="22"/>
        <v/>
      </c>
      <c r="FL26" s="451" t="str">
        <f t="shared" si="22"/>
        <v/>
      </c>
      <c r="FM26" s="452" t="str">
        <f t="shared" si="22"/>
        <v/>
      </c>
      <c r="FN26" s="452" t="str">
        <f t="shared" si="22"/>
        <v/>
      </c>
      <c r="FO26" s="452" t="str">
        <f t="shared" si="22"/>
        <v/>
      </c>
      <c r="FP26" s="453" t="str">
        <f t="shared" si="22"/>
        <v/>
      </c>
      <c r="FQ26" s="451" t="str">
        <f t="shared" si="22"/>
        <v/>
      </c>
      <c r="FR26" s="452" t="str">
        <f t="shared" si="22"/>
        <v/>
      </c>
      <c r="FS26" s="452" t="str">
        <f t="shared" si="22"/>
        <v/>
      </c>
      <c r="FT26" s="452" t="str">
        <f t="shared" si="22"/>
        <v/>
      </c>
      <c r="FU26" s="453" t="str">
        <f t="shared" si="22"/>
        <v/>
      </c>
      <c r="FV26" s="451" t="str">
        <f t="shared" si="22"/>
        <v/>
      </c>
      <c r="FW26" s="452" t="str">
        <f t="shared" si="22"/>
        <v/>
      </c>
      <c r="FX26" s="452" t="str">
        <f t="shared" si="22"/>
        <v/>
      </c>
      <c r="FY26" s="452" t="str">
        <f t="shared" si="22"/>
        <v/>
      </c>
      <c r="FZ26" s="453" t="str">
        <f t="shared" si="18"/>
        <v/>
      </c>
      <c r="GA26" s="451" t="str">
        <f t="shared" si="18"/>
        <v/>
      </c>
      <c r="GB26" s="452" t="str">
        <f t="shared" si="18"/>
        <v/>
      </c>
      <c r="GC26" s="452" t="str">
        <f t="shared" si="18"/>
        <v/>
      </c>
      <c r="GD26" s="452" t="str">
        <f t="shared" si="18"/>
        <v/>
      </c>
      <c r="GE26" s="453" t="str">
        <f t="shared" si="18"/>
        <v/>
      </c>
      <c r="GF26" s="451" t="str">
        <f t="shared" si="18"/>
        <v/>
      </c>
      <c r="GG26" s="452" t="str">
        <f t="shared" si="18"/>
        <v/>
      </c>
      <c r="GH26" s="452" t="str">
        <f t="shared" si="18"/>
        <v/>
      </c>
      <c r="GI26" s="452" t="str">
        <f t="shared" si="18"/>
        <v/>
      </c>
      <c r="GJ26" s="453" t="str">
        <f t="shared" si="18"/>
        <v/>
      </c>
      <c r="GK26" s="451" t="str">
        <f t="shared" si="18"/>
        <v/>
      </c>
      <c r="GL26" s="452" t="str">
        <f t="shared" si="18"/>
        <v/>
      </c>
      <c r="GM26" s="452" t="str">
        <f t="shared" si="18"/>
        <v/>
      </c>
      <c r="GN26" s="452" t="str">
        <f t="shared" si="18"/>
        <v/>
      </c>
      <c r="GO26" s="453" t="str">
        <f t="shared" si="18"/>
        <v/>
      </c>
      <c r="GP26" s="451" t="str">
        <f t="shared" si="28"/>
        <v/>
      </c>
      <c r="GQ26" s="452" t="str">
        <f t="shared" si="28"/>
        <v/>
      </c>
      <c r="GR26" s="452" t="str">
        <f t="shared" si="28"/>
        <v/>
      </c>
      <c r="GS26" s="452" t="str">
        <f t="shared" si="28"/>
        <v/>
      </c>
      <c r="GT26" s="453" t="str">
        <f t="shared" si="28"/>
        <v/>
      </c>
      <c r="GU26" s="451" t="str">
        <f t="shared" si="28"/>
        <v/>
      </c>
      <c r="GV26" s="452" t="str">
        <f t="shared" si="28"/>
        <v/>
      </c>
      <c r="GW26" s="452" t="str">
        <f t="shared" si="28"/>
        <v/>
      </c>
      <c r="GX26" s="452" t="str">
        <f t="shared" si="28"/>
        <v/>
      </c>
      <c r="GY26" s="453" t="str">
        <f t="shared" si="28"/>
        <v/>
      </c>
      <c r="GZ26" s="451" t="str">
        <f t="shared" si="28"/>
        <v/>
      </c>
      <c r="HA26" s="452" t="str">
        <f t="shared" si="28"/>
        <v/>
      </c>
      <c r="HB26" s="452" t="str">
        <f t="shared" si="28"/>
        <v/>
      </c>
      <c r="HC26" s="452" t="str">
        <f t="shared" si="28"/>
        <v/>
      </c>
      <c r="HD26" s="453" t="str">
        <f t="shared" si="28"/>
        <v/>
      </c>
      <c r="HE26" s="451" t="str">
        <f t="shared" si="28"/>
        <v/>
      </c>
      <c r="HF26" s="452" t="str">
        <f t="shared" si="35"/>
        <v/>
      </c>
      <c r="HG26" s="452" t="str">
        <f t="shared" si="35"/>
        <v/>
      </c>
      <c r="HH26" s="452" t="str">
        <f t="shared" si="35"/>
        <v/>
      </c>
      <c r="HI26" s="453" t="str">
        <f t="shared" si="35"/>
        <v/>
      </c>
      <c r="HJ26" s="451" t="str">
        <f t="shared" si="35"/>
        <v/>
      </c>
      <c r="HK26" s="452" t="str">
        <f t="shared" si="35"/>
        <v/>
      </c>
      <c r="HL26" s="452" t="str">
        <f t="shared" si="35"/>
        <v/>
      </c>
      <c r="HM26" s="452" t="str">
        <f t="shared" si="35"/>
        <v/>
      </c>
      <c r="HN26" s="453" t="str">
        <f t="shared" si="35"/>
        <v/>
      </c>
      <c r="HO26" s="451" t="str">
        <f t="shared" si="35"/>
        <v/>
      </c>
      <c r="HP26" s="452" t="str">
        <f t="shared" si="35"/>
        <v/>
      </c>
      <c r="HQ26" s="452" t="str">
        <f t="shared" si="35"/>
        <v/>
      </c>
      <c r="HR26" s="452" t="str">
        <f t="shared" si="35"/>
        <v/>
      </c>
      <c r="HS26" s="453" t="str">
        <f t="shared" si="35"/>
        <v/>
      </c>
      <c r="HT26" s="451" t="str">
        <f t="shared" si="35"/>
        <v/>
      </c>
      <c r="HU26" s="452" t="str">
        <f t="shared" si="35"/>
        <v/>
      </c>
      <c r="HV26" s="452" t="str">
        <f t="shared" si="36"/>
        <v/>
      </c>
      <c r="HW26" s="452" t="str">
        <f t="shared" si="36"/>
        <v/>
      </c>
      <c r="HX26" s="453" t="str">
        <f t="shared" si="36"/>
        <v/>
      </c>
      <c r="HY26" s="451" t="str">
        <f t="shared" si="36"/>
        <v/>
      </c>
      <c r="HZ26" s="452" t="str">
        <f t="shared" si="36"/>
        <v/>
      </c>
      <c r="IA26" s="452" t="str">
        <f t="shared" si="36"/>
        <v/>
      </c>
      <c r="IB26" s="452" t="str">
        <f t="shared" si="36"/>
        <v/>
      </c>
      <c r="IC26" s="453" t="str">
        <f t="shared" si="36"/>
        <v/>
      </c>
      <c r="ID26" s="451" t="str">
        <f t="shared" si="36"/>
        <v/>
      </c>
      <c r="IE26" s="452" t="str">
        <f t="shared" si="36"/>
        <v/>
      </c>
      <c r="IF26" s="452" t="str">
        <f t="shared" si="36"/>
        <v/>
      </c>
      <c r="IG26" s="452" t="str">
        <f t="shared" si="36"/>
        <v/>
      </c>
      <c r="IH26" s="453" t="str">
        <f t="shared" si="36"/>
        <v/>
      </c>
      <c r="II26" s="451" t="str">
        <f t="shared" si="36"/>
        <v/>
      </c>
      <c r="IJ26" s="452" t="str">
        <f t="shared" si="36"/>
        <v/>
      </c>
      <c r="IK26" s="452" t="str">
        <f t="shared" si="36"/>
        <v/>
      </c>
      <c r="IL26" s="452" t="str">
        <f t="shared" si="37"/>
        <v/>
      </c>
      <c r="IM26" s="453" t="str">
        <f t="shared" si="37"/>
        <v/>
      </c>
      <c r="IN26" s="451" t="str">
        <f t="shared" si="37"/>
        <v/>
      </c>
      <c r="IO26" s="452" t="str">
        <f t="shared" si="37"/>
        <v/>
      </c>
      <c r="IP26" s="452" t="str">
        <f t="shared" si="37"/>
        <v/>
      </c>
      <c r="IQ26" s="452" t="str">
        <f t="shared" si="37"/>
        <v/>
      </c>
      <c r="IR26" s="453" t="str">
        <f t="shared" si="37"/>
        <v/>
      </c>
    </row>
    <row r="27" spans="1:252" x14ac:dyDescent="0.2">
      <c r="A27" s="461">
        <v>3.1</v>
      </c>
      <c r="C27" s="447" t="s">
        <v>1351</v>
      </c>
      <c r="D27" s="447"/>
      <c r="E27" s="448"/>
      <c r="F27" s="448"/>
      <c r="G27" s="448"/>
      <c r="H27" s="448"/>
      <c r="I27" s="448"/>
      <c r="J27" s="449" t="str">
        <f t="shared" ref="J27:J36" si="38">IF(E27="","",E27-$M$3+1)</f>
        <v/>
      </c>
      <c r="K27" s="449" t="str">
        <f t="shared" ref="K27:K36" si="39">IF(F27="","",F27-$M$3+1)</f>
        <v/>
      </c>
      <c r="L27" s="450">
        <f t="shared" si="0"/>
        <v>0</v>
      </c>
      <c r="M27" s="451" t="str">
        <f>IF(AND(M$2&gt;=$J27,M$2&lt;=$K27),1,"")</f>
        <v/>
      </c>
      <c r="N27" s="452" t="str">
        <f t="shared" si="24"/>
        <v/>
      </c>
      <c r="O27" s="452" t="str">
        <f t="shared" si="24"/>
        <v/>
      </c>
      <c r="P27" s="452" t="str">
        <f t="shared" si="24"/>
        <v/>
      </c>
      <c r="Q27" s="453" t="str">
        <f t="shared" si="24"/>
        <v/>
      </c>
      <c r="R27" s="451" t="str">
        <f>IF(AND(R$2&gt;=$J27,R$2&lt;=$K27),1,"")</f>
        <v/>
      </c>
      <c r="S27" s="452" t="str">
        <f t="shared" si="24"/>
        <v/>
      </c>
      <c r="T27" s="452" t="str">
        <f t="shared" si="24"/>
        <v/>
      </c>
      <c r="U27" s="452" t="str">
        <f t="shared" si="24"/>
        <v/>
      </c>
      <c r="V27" s="453" t="str">
        <f t="shared" si="24"/>
        <v/>
      </c>
      <c r="W27" s="451" t="str">
        <f>IF(AND(W$2&gt;=$J27,W$2&lt;=$K27),1,"")</f>
        <v/>
      </c>
      <c r="X27" s="452" t="str">
        <f t="shared" si="24"/>
        <v/>
      </c>
      <c r="Y27" s="452" t="str">
        <f t="shared" si="24"/>
        <v/>
      </c>
      <c r="Z27" s="452" t="str">
        <f t="shared" si="24"/>
        <v/>
      </c>
      <c r="AA27" s="453" t="str">
        <f t="shared" si="24"/>
        <v/>
      </c>
      <c r="AB27" s="451" t="str">
        <f>IF(AND(AB$2&gt;=$J27,AB$2&lt;=$K27),1,"")</f>
        <v/>
      </c>
      <c r="AC27" s="452" t="str">
        <f t="shared" si="23"/>
        <v/>
      </c>
      <c r="AD27" s="452" t="str">
        <f t="shared" si="23"/>
        <v/>
      </c>
      <c r="AE27" s="452" t="str">
        <f t="shared" si="23"/>
        <v/>
      </c>
      <c r="AF27" s="453" t="str">
        <f t="shared" si="23"/>
        <v/>
      </c>
      <c r="AG27" s="451" t="str">
        <f>IF(AND(AG$2&gt;=$J27,AG$2&lt;=$K27),1,"")</f>
        <v/>
      </c>
      <c r="AH27" s="452" t="str">
        <f t="shared" si="23"/>
        <v/>
      </c>
      <c r="AI27" s="452" t="str">
        <f t="shared" si="23"/>
        <v/>
      </c>
      <c r="AJ27" s="452" t="str">
        <f t="shared" si="23"/>
        <v/>
      </c>
      <c r="AK27" s="453" t="str">
        <f t="shared" si="23"/>
        <v/>
      </c>
      <c r="AL27" s="451" t="str">
        <f>IF(AND(AL$2&gt;=$J27,AL$2&lt;=$K27),1,"")</f>
        <v/>
      </c>
      <c r="AM27" s="452" t="str">
        <f t="shared" si="23"/>
        <v/>
      </c>
      <c r="AN27" s="452" t="str">
        <f t="shared" si="23"/>
        <v/>
      </c>
      <c r="AO27" s="452" t="str">
        <f t="shared" si="23"/>
        <v/>
      </c>
      <c r="AP27" s="453" t="str">
        <f t="shared" si="23"/>
        <v/>
      </c>
      <c r="AQ27" s="451" t="str">
        <f>IF(AND(AQ$2&gt;=$J27,AQ$2&lt;=$K27),1,"")</f>
        <v/>
      </c>
      <c r="AR27" s="452" t="str">
        <f t="shared" si="29"/>
        <v/>
      </c>
      <c r="AS27" s="452" t="str">
        <f t="shared" si="29"/>
        <v/>
      </c>
      <c r="AT27" s="452" t="str">
        <f t="shared" si="29"/>
        <v/>
      </c>
      <c r="AU27" s="453" t="str">
        <f t="shared" si="29"/>
        <v/>
      </c>
      <c r="AV27" s="451" t="str">
        <f>IF(AND(AV$2&gt;=$J27,AV$2&lt;=$K27),1,"")</f>
        <v/>
      </c>
      <c r="AW27" s="452" t="str">
        <f t="shared" si="29"/>
        <v/>
      </c>
      <c r="AX27" s="452" t="str">
        <f t="shared" si="29"/>
        <v/>
      </c>
      <c r="AY27" s="452" t="str">
        <f t="shared" si="29"/>
        <v/>
      </c>
      <c r="AZ27" s="453" t="str">
        <f t="shared" si="29"/>
        <v/>
      </c>
      <c r="BA27" s="451" t="str">
        <f>IF(AND(BA$2&gt;=$J27,BA$2&lt;=$K27),1,"")</f>
        <v/>
      </c>
      <c r="BB27" s="452" t="str">
        <f t="shared" si="29"/>
        <v/>
      </c>
      <c r="BC27" s="452" t="str">
        <f t="shared" si="29"/>
        <v/>
      </c>
      <c r="BD27" s="452" t="str">
        <f t="shared" si="29"/>
        <v/>
      </c>
      <c r="BE27" s="453" t="str">
        <f t="shared" si="29"/>
        <v/>
      </c>
      <c r="BF27" s="451" t="str">
        <f>IF(AND(BF$2&gt;=$J27,BF$2&lt;=$K27),1,"")</f>
        <v/>
      </c>
      <c r="BG27" s="452" t="str">
        <f t="shared" si="30"/>
        <v/>
      </c>
      <c r="BH27" s="452" t="str">
        <f t="shared" si="30"/>
        <v/>
      </c>
      <c r="BI27" s="452" t="str">
        <f t="shared" si="30"/>
        <v/>
      </c>
      <c r="BJ27" s="453" t="str">
        <f t="shared" si="30"/>
        <v/>
      </c>
      <c r="BK27" s="451" t="str">
        <f>IF(AND(BK$2&gt;=$J27,BK$2&lt;=$K27),1,"")</f>
        <v/>
      </c>
      <c r="BL27" s="452" t="str">
        <f t="shared" si="30"/>
        <v/>
      </c>
      <c r="BM27" s="452" t="str">
        <f t="shared" si="30"/>
        <v/>
      </c>
      <c r="BN27" s="452" t="str">
        <f t="shared" si="30"/>
        <v/>
      </c>
      <c r="BO27" s="453" t="str">
        <f t="shared" si="30"/>
        <v/>
      </c>
      <c r="BP27" s="451" t="str">
        <f>IF(AND(BP$2&gt;=$J27,BP$2&lt;=$K27),1,"")</f>
        <v/>
      </c>
      <c r="BQ27" s="452" t="str">
        <f t="shared" si="30"/>
        <v/>
      </c>
      <c r="BR27" s="452" t="str">
        <f t="shared" si="30"/>
        <v/>
      </c>
      <c r="BS27" s="452" t="str">
        <f t="shared" si="30"/>
        <v/>
      </c>
      <c r="BT27" s="453" t="str">
        <f t="shared" si="30"/>
        <v/>
      </c>
      <c r="BU27" s="451" t="str">
        <f>IF(AND(BU$2&gt;=$J27,BU$2&lt;=$K27),1,"")</f>
        <v/>
      </c>
      <c r="BV27" s="452" t="str">
        <f t="shared" si="30"/>
        <v/>
      </c>
      <c r="BW27" s="452" t="str">
        <f t="shared" si="31"/>
        <v/>
      </c>
      <c r="BX27" s="452" t="str">
        <f t="shared" si="31"/>
        <v/>
      </c>
      <c r="BY27" s="453" t="str">
        <f t="shared" si="31"/>
        <v/>
      </c>
      <c r="BZ27" s="451" t="str">
        <f>IF(AND(BZ$2&gt;=$J27,BZ$2&lt;=$K27),1,"")</f>
        <v/>
      </c>
      <c r="CA27" s="452" t="str">
        <f t="shared" si="31"/>
        <v/>
      </c>
      <c r="CB27" s="452" t="str">
        <f t="shared" si="31"/>
        <v/>
      </c>
      <c r="CC27" s="452" t="str">
        <f t="shared" si="31"/>
        <v/>
      </c>
      <c r="CD27" s="453" t="str">
        <f t="shared" si="31"/>
        <v/>
      </c>
      <c r="CE27" s="451" t="str">
        <f>IF(AND(CE$2&gt;=$J27,CE$2&lt;=$K27),1,"")</f>
        <v/>
      </c>
      <c r="CF27" s="452" t="str">
        <f t="shared" si="31"/>
        <v/>
      </c>
      <c r="CG27" s="452" t="str">
        <f t="shared" si="31"/>
        <v/>
      </c>
      <c r="CH27" s="452" t="str">
        <f t="shared" si="31"/>
        <v/>
      </c>
      <c r="CI27" s="453" t="str">
        <f t="shared" si="31"/>
        <v/>
      </c>
      <c r="CJ27" s="451" t="str">
        <f>IF(AND(CJ$2&gt;=$J27,CJ$2&lt;=$K27),1,"")</f>
        <v/>
      </c>
      <c r="CK27" s="452" t="str">
        <f t="shared" si="31"/>
        <v/>
      </c>
      <c r="CL27" s="452" t="str">
        <f t="shared" si="31"/>
        <v/>
      </c>
      <c r="CM27" s="452" t="str">
        <f t="shared" si="32"/>
        <v/>
      </c>
      <c r="CN27" s="453" t="str">
        <f t="shared" si="32"/>
        <v/>
      </c>
      <c r="CO27" s="451" t="str">
        <f>IF(AND(CO$2&gt;=$J27,CO$2&lt;=$K27),1,"")</f>
        <v/>
      </c>
      <c r="CP27" s="452" t="str">
        <f t="shared" si="32"/>
        <v/>
      </c>
      <c r="CQ27" s="452" t="str">
        <f t="shared" si="32"/>
        <v/>
      </c>
      <c r="CR27" s="452" t="str">
        <f t="shared" si="32"/>
        <v/>
      </c>
      <c r="CS27" s="453" t="str">
        <f t="shared" si="32"/>
        <v/>
      </c>
      <c r="CT27" s="451" t="str">
        <f>IF(AND(CT$2&gt;=$J27,CT$2&lt;=$K27),1,"")</f>
        <v/>
      </c>
      <c r="CU27" s="452" t="str">
        <f t="shared" si="32"/>
        <v/>
      </c>
      <c r="CV27" s="452" t="str">
        <f t="shared" si="32"/>
        <v/>
      </c>
      <c r="CW27" s="452" t="str">
        <f t="shared" si="32"/>
        <v/>
      </c>
      <c r="CX27" s="453" t="str">
        <f t="shared" si="32"/>
        <v/>
      </c>
      <c r="CY27" s="451" t="str">
        <f>IF(AND(CY$2&gt;=$J27,CY$2&lt;=$K27),1,"")</f>
        <v/>
      </c>
      <c r="CZ27" s="452" t="str">
        <f t="shared" si="32"/>
        <v/>
      </c>
      <c r="DA27" s="452" t="str">
        <f t="shared" si="32"/>
        <v/>
      </c>
      <c r="DB27" s="452" t="str">
        <f t="shared" si="32"/>
        <v/>
      </c>
      <c r="DC27" s="453" t="str">
        <f t="shared" si="33"/>
        <v/>
      </c>
      <c r="DD27" s="451" t="str">
        <f>IF(AND(DD$2&gt;=$J27,DD$2&lt;=$K27),1,"")</f>
        <v/>
      </c>
      <c r="DE27" s="452" t="str">
        <f t="shared" si="33"/>
        <v/>
      </c>
      <c r="DF27" s="452" t="str">
        <f t="shared" si="33"/>
        <v/>
      </c>
      <c r="DG27" s="452" t="str">
        <f t="shared" si="33"/>
        <v/>
      </c>
      <c r="DH27" s="453" t="str">
        <f t="shared" si="33"/>
        <v/>
      </c>
      <c r="DI27" s="451" t="str">
        <f>IF(AND(DI$2&gt;=$J27,DI$2&lt;=$K27),1,"")</f>
        <v/>
      </c>
      <c r="DJ27" s="452" t="str">
        <f t="shared" si="33"/>
        <v/>
      </c>
      <c r="DK27" s="452" t="str">
        <f t="shared" si="33"/>
        <v/>
      </c>
      <c r="DL27" s="452" t="str">
        <f t="shared" si="33"/>
        <v/>
      </c>
      <c r="DM27" s="453" t="str">
        <f t="shared" si="33"/>
        <v/>
      </c>
      <c r="DN27" s="451" t="str">
        <f>IF(AND(DN$2&gt;=$J27,DN$2&lt;=$K27),1,"")</f>
        <v/>
      </c>
      <c r="DO27" s="452" t="str">
        <f t="shared" si="27"/>
        <v/>
      </c>
      <c r="DP27" s="452" t="str">
        <f t="shared" si="27"/>
        <v/>
      </c>
      <c r="DQ27" s="452" t="str">
        <f t="shared" si="27"/>
        <v/>
      </c>
      <c r="DR27" s="453" t="str">
        <f t="shared" si="27"/>
        <v/>
      </c>
      <c r="DS27" s="451" t="str">
        <f>IF(AND(DS$2&gt;=$J27,DS$2&lt;=$K27),1,"")</f>
        <v/>
      </c>
      <c r="DT27" s="452" t="str">
        <f t="shared" si="27"/>
        <v/>
      </c>
      <c r="DU27" s="452" t="str">
        <f t="shared" si="27"/>
        <v/>
      </c>
      <c r="DV27" s="452" t="str">
        <f t="shared" si="27"/>
        <v/>
      </c>
      <c r="DW27" s="453" t="str">
        <f t="shared" si="27"/>
        <v/>
      </c>
      <c r="DX27" s="451" t="str">
        <f>IF(AND(DX$2&gt;=$J27,DX$2&lt;=$K27),1,"")</f>
        <v/>
      </c>
      <c r="DY27" s="452" t="str">
        <f t="shared" si="27"/>
        <v/>
      </c>
      <c r="DZ27" s="452" t="str">
        <f t="shared" si="27"/>
        <v/>
      </c>
      <c r="EA27" s="452" t="str">
        <f t="shared" si="27"/>
        <v/>
      </c>
      <c r="EB27" s="453" t="str">
        <f t="shared" si="27"/>
        <v/>
      </c>
      <c r="EC27" s="451" t="str">
        <f>IF(AND(EC$2&gt;=$J27,EC$2&lt;=$K27),1,"")</f>
        <v/>
      </c>
      <c r="ED27" s="452" t="str">
        <f t="shared" si="34"/>
        <v/>
      </c>
      <c r="EE27" s="452" t="str">
        <f t="shared" si="34"/>
        <v/>
      </c>
      <c r="EF27" s="452" t="str">
        <f t="shared" si="34"/>
        <v/>
      </c>
      <c r="EG27" s="453" t="str">
        <f t="shared" si="34"/>
        <v/>
      </c>
      <c r="EH27" s="451" t="str">
        <f>IF(AND(EH$2&gt;=$J27,EH$2&lt;=$K27),1,"")</f>
        <v/>
      </c>
      <c r="EI27" s="452" t="str">
        <f t="shared" si="34"/>
        <v/>
      </c>
      <c r="EJ27" s="452" t="str">
        <f t="shared" si="34"/>
        <v/>
      </c>
      <c r="EK27" s="452" t="str">
        <f t="shared" si="34"/>
        <v/>
      </c>
      <c r="EL27" s="453" t="str">
        <f t="shared" si="34"/>
        <v/>
      </c>
      <c r="EM27" s="451" t="str">
        <f>IF(AND(EM$2&gt;=$J27,EM$2&lt;=$K27),1,"")</f>
        <v/>
      </c>
      <c r="EN27" s="452" t="str">
        <f t="shared" si="34"/>
        <v/>
      </c>
      <c r="EO27" s="452" t="str">
        <f t="shared" si="34"/>
        <v/>
      </c>
      <c r="EP27" s="452" t="str">
        <f t="shared" si="20"/>
        <v/>
      </c>
      <c r="EQ27" s="453" t="str">
        <f t="shared" si="20"/>
        <v/>
      </c>
      <c r="ER27" s="451" t="str">
        <f>IF(AND(ER$2&gt;=$J27,ER$2&lt;=$K27),1,"")</f>
        <v/>
      </c>
      <c r="ES27" s="452" t="str">
        <f t="shared" si="20"/>
        <v/>
      </c>
      <c r="ET27" s="452" t="str">
        <f t="shared" si="21"/>
        <v/>
      </c>
      <c r="EU27" s="452" t="str">
        <f t="shared" si="21"/>
        <v/>
      </c>
      <c r="EV27" s="453" t="str">
        <f t="shared" si="21"/>
        <v/>
      </c>
      <c r="EW27" s="451" t="str">
        <f>IF(AND(EW$2&gt;=$J27,EW$2&lt;=$K27),1,"")</f>
        <v/>
      </c>
      <c r="EX27" s="452" t="str">
        <f t="shared" si="21"/>
        <v/>
      </c>
      <c r="EY27" s="452" t="str">
        <f t="shared" si="21"/>
        <v/>
      </c>
      <c r="EZ27" s="452" t="str">
        <f t="shared" si="21"/>
        <v/>
      </c>
      <c r="FA27" s="453" t="str">
        <f t="shared" si="21"/>
        <v/>
      </c>
      <c r="FB27" s="451" t="str">
        <f>IF(AND(FB$2&gt;=$J27,FB$2&lt;=$K27),1,"")</f>
        <v/>
      </c>
      <c r="FC27" s="452" t="str">
        <f t="shared" si="21"/>
        <v/>
      </c>
      <c r="FD27" s="452" t="str">
        <f t="shared" si="21"/>
        <v/>
      </c>
      <c r="FE27" s="452" t="str">
        <f t="shared" si="21"/>
        <v/>
      </c>
      <c r="FF27" s="453" t="str">
        <f t="shared" si="21"/>
        <v/>
      </c>
      <c r="FG27" s="451" t="str">
        <f>IF(AND(FG$2&gt;=$J27,FG$2&lt;=$K27),1,"")</f>
        <v/>
      </c>
      <c r="FH27" s="452" t="str">
        <f t="shared" si="21"/>
        <v/>
      </c>
      <c r="FI27" s="452" t="str">
        <f t="shared" si="21"/>
        <v/>
      </c>
      <c r="FJ27" s="452" t="str">
        <f t="shared" si="22"/>
        <v/>
      </c>
      <c r="FK27" s="453" t="str">
        <f t="shared" si="22"/>
        <v/>
      </c>
      <c r="FL27" s="451" t="str">
        <f>IF(AND(FL$2&gt;=$J27,FL$2&lt;=$K27),1,"")</f>
        <v/>
      </c>
      <c r="FM27" s="452" t="str">
        <f t="shared" si="22"/>
        <v/>
      </c>
      <c r="FN27" s="452" t="str">
        <f t="shared" si="22"/>
        <v/>
      </c>
      <c r="FO27" s="452" t="str">
        <f t="shared" si="22"/>
        <v/>
      </c>
      <c r="FP27" s="453" t="str">
        <f t="shared" si="22"/>
        <v/>
      </c>
      <c r="FQ27" s="451" t="str">
        <f>IF(AND(FQ$2&gt;=$J27,FQ$2&lt;=$K27),1,"")</f>
        <v/>
      </c>
      <c r="FR27" s="452" t="str">
        <f t="shared" si="22"/>
        <v/>
      </c>
      <c r="FS27" s="452" t="str">
        <f t="shared" si="22"/>
        <v/>
      </c>
      <c r="FT27" s="452" t="str">
        <f t="shared" si="22"/>
        <v/>
      </c>
      <c r="FU27" s="453" t="str">
        <f t="shared" si="22"/>
        <v/>
      </c>
      <c r="FV27" s="451" t="str">
        <f>IF(AND(FV$2&gt;=$J27,FV$2&lt;=$K27),1,"")</f>
        <v/>
      </c>
      <c r="FW27" s="452" t="str">
        <f t="shared" si="22"/>
        <v/>
      </c>
      <c r="FX27" s="452" t="str">
        <f t="shared" si="22"/>
        <v/>
      </c>
      <c r="FY27" s="452" t="str">
        <f t="shared" si="22"/>
        <v/>
      </c>
      <c r="FZ27" s="453" t="str">
        <f t="shared" ref="FZ27:GO49" si="40">IF(AND(FZ$2&gt;=$J27,FZ$2&lt;=$K27),1,"")</f>
        <v/>
      </c>
      <c r="GA27" s="451" t="str">
        <f>IF(AND(GA$2&gt;=$J27,GA$2&lt;=$K27),1,"")</f>
        <v/>
      </c>
      <c r="GB27" s="452" t="str">
        <f t="shared" si="40"/>
        <v/>
      </c>
      <c r="GC27" s="452" t="str">
        <f t="shared" si="40"/>
        <v/>
      </c>
      <c r="GD27" s="452" t="str">
        <f t="shared" si="40"/>
        <v/>
      </c>
      <c r="GE27" s="453" t="str">
        <f t="shared" si="40"/>
        <v/>
      </c>
      <c r="GF27" s="451" t="str">
        <f>IF(AND(GF$2&gt;=$J27,GF$2&lt;=$K27),1,"")</f>
        <v/>
      </c>
      <c r="GG27" s="452" t="str">
        <f t="shared" si="40"/>
        <v/>
      </c>
      <c r="GH27" s="452" t="str">
        <f t="shared" si="40"/>
        <v/>
      </c>
      <c r="GI27" s="452" t="str">
        <f t="shared" si="40"/>
        <v/>
      </c>
      <c r="GJ27" s="453" t="str">
        <f t="shared" si="40"/>
        <v/>
      </c>
      <c r="GK27" s="451" t="str">
        <f>IF(AND(GK$2&gt;=$J27,GK$2&lt;=$K27),1,"")</f>
        <v/>
      </c>
      <c r="GL27" s="452" t="str">
        <f t="shared" ref="GL27:GY27" si="41">IF(AND(GL$2&gt;=$J27,GL$2&lt;=$K27),1,"")</f>
        <v/>
      </c>
      <c r="GM27" s="452" t="str">
        <f t="shared" si="41"/>
        <v/>
      </c>
      <c r="GN27" s="452" t="str">
        <f t="shared" si="41"/>
        <v/>
      </c>
      <c r="GO27" s="453" t="str">
        <f t="shared" si="41"/>
        <v/>
      </c>
      <c r="GP27" s="451" t="str">
        <f>IF(AND(GP$2&gt;=$J27,GP$2&lt;=$K27),1,"")</f>
        <v/>
      </c>
      <c r="GQ27" s="452" t="str">
        <f t="shared" si="41"/>
        <v/>
      </c>
      <c r="GR27" s="452" t="str">
        <f t="shared" si="41"/>
        <v/>
      </c>
      <c r="GS27" s="452" t="str">
        <f t="shared" si="41"/>
        <v/>
      </c>
      <c r="GT27" s="453" t="str">
        <f t="shared" si="41"/>
        <v/>
      </c>
      <c r="GU27" s="451" t="str">
        <f>IF(AND(GU$2&gt;=$J27,GU$2&lt;=$K27),1,"")</f>
        <v/>
      </c>
      <c r="GV27" s="452" t="str">
        <f t="shared" si="41"/>
        <v/>
      </c>
      <c r="GW27" s="452" t="str">
        <f t="shared" si="41"/>
        <v/>
      </c>
      <c r="GX27" s="452" t="str">
        <f t="shared" si="41"/>
        <v/>
      </c>
      <c r="GY27" s="453" t="str">
        <f t="shared" si="41"/>
        <v/>
      </c>
      <c r="GZ27" s="451" t="str">
        <f>IF(AND(GZ$2&gt;=$J27,GZ$2&lt;=$K27),1,"")</f>
        <v/>
      </c>
      <c r="HA27" s="452" t="str">
        <f t="shared" si="28"/>
        <v/>
      </c>
      <c r="HB27" s="452" t="str">
        <f t="shared" si="28"/>
        <v/>
      </c>
      <c r="HC27" s="452" t="str">
        <f t="shared" si="28"/>
        <v/>
      </c>
      <c r="HD27" s="453" t="str">
        <f t="shared" si="28"/>
        <v/>
      </c>
      <c r="HE27" s="451" t="str">
        <f>IF(AND(HE$2&gt;=$J27,HE$2&lt;=$K27),1,"")</f>
        <v/>
      </c>
      <c r="HF27" s="452" t="str">
        <f t="shared" si="35"/>
        <v/>
      </c>
      <c r="HG27" s="452" t="str">
        <f t="shared" si="35"/>
        <v/>
      </c>
      <c r="HH27" s="452" t="str">
        <f t="shared" si="35"/>
        <v/>
      </c>
      <c r="HI27" s="453" t="str">
        <f t="shared" si="35"/>
        <v/>
      </c>
      <c r="HJ27" s="451" t="str">
        <f>IF(AND(HJ$2&gt;=$J27,HJ$2&lt;=$K27),1,"")</f>
        <v/>
      </c>
      <c r="HK27" s="452" t="str">
        <f t="shared" si="35"/>
        <v/>
      </c>
      <c r="HL27" s="452" t="str">
        <f t="shared" si="35"/>
        <v/>
      </c>
      <c r="HM27" s="452" t="str">
        <f t="shared" si="35"/>
        <v/>
      </c>
      <c r="HN27" s="453" t="str">
        <f t="shared" si="35"/>
        <v/>
      </c>
      <c r="HO27" s="451" t="str">
        <f>IF(AND(HO$2&gt;=$J27,HO$2&lt;=$K27),1,"")</f>
        <v/>
      </c>
      <c r="HP27" s="452" t="str">
        <f t="shared" si="35"/>
        <v/>
      </c>
      <c r="HQ27" s="452" t="str">
        <f t="shared" si="35"/>
        <v/>
      </c>
      <c r="HR27" s="452" t="str">
        <f t="shared" si="35"/>
        <v/>
      </c>
      <c r="HS27" s="453" t="str">
        <f t="shared" si="35"/>
        <v/>
      </c>
      <c r="HT27" s="451" t="str">
        <f>IF(AND(HT$2&gt;=$J27,HT$2&lt;=$K27),1,"")</f>
        <v/>
      </c>
      <c r="HU27" s="452" t="str">
        <f t="shared" si="35"/>
        <v/>
      </c>
      <c r="HV27" s="452" t="str">
        <f t="shared" si="36"/>
        <v/>
      </c>
      <c r="HW27" s="452" t="str">
        <f t="shared" si="36"/>
        <v/>
      </c>
      <c r="HX27" s="453" t="str">
        <f t="shared" si="36"/>
        <v/>
      </c>
      <c r="HY27" s="451" t="str">
        <f>IF(AND(HY$2&gt;=$J27,HY$2&lt;=$K27),1,"")</f>
        <v/>
      </c>
      <c r="HZ27" s="452" t="str">
        <f t="shared" si="36"/>
        <v/>
      </c>
      <c r="IA27" s="452" t="str">
        <f t="shared" si="36"/>
        <v/>
      </c>
      <c r="IB27" s="452" t="str">
        <f t="shared" si="36"/>
        <v/>
      </c>
      <c r="IC27" s="453" t="str">
        <f t="shared" si="36"/>
        <v/>
      </c>
      <c r="ID27" s="451" t="str">
        <f>IF(AND(ID$2&gt;=$J27,ID$2&lt;=$K27),1,"")</f>
        <v/>
      </c>
      <c r="IE27" s="452" t="str">
        <f t="shared" si="36"/>
        <v/>
      </c>
      <c r="IF27" s="452" t="str">
        <f t="shared" si="36"/>
        <v/>
      </c>
      <c r="IG27" s="452" t="str">
        <f t="shared" si="36"/>
        <v/>
      </c>
      <c r="IH27" s="453" t="str">
        <f t="shared" si="36"/>
        <v/>
      </c>
      <c r="II27" s="451" t="str">
        <f>IF(AND(II$2&gt;=$J27,II$2&lt;=$K27),1,"")</f>
        <v/>
      </c>
      <c r="IJ27" s="452" t="str">
        <f t="shared" si="36"/>
        <v/>
      </c>
      <c r="IK27" s="452" t="str">
        <f t="shared" si="36"/>
        <v/>
      </c>
      <c r="IL27" s="452" t="str">
        <f t="shared" si="37"/>
        <v/>
      </c>
      <c r="IM27" s="453" t="str">
        <f t="shared" si="37"/>
        <v/>
      </c>
      <c r="IN27" s="451" t="str">
        <f>IF(AND(IN$2&gt;=$J27,IN$2&lt;=$K27),1,"")</f>
        <v/>
      </c>
      <c r="IO27" s="452" t="str">
        <f t="shared" si="37"/>
        <v/>
      </c>
      <c r="IP27" s="452" t="str">
        <f t="shared" si="37"/>
        <v/>
      </c>
      <c r="IQ27" s="452" t="str">
        <f t="shared" si="37"/>
        <v/>
      </c>
      <c r="IR27" s="453" t="str">
        <f t="shared" si="37"/>
        <v/>
      </c>
    </row>
    <row r="28" spans="1:252" x14ac:dyDescent="0.2">
      <c r="A28" s="461">
        <v>3.2</v>
      </c>
      <c r="C28" s="447" t="s">
        <v>1352</v>
      </c>
      <c r="D28" s="447"/>
      <c r="E28" s="448"/>
      <c r="F28" s="448"/>
      <c r="G28" s="448"/>
      <c r="H28" s="448"/>
      <c r="I28" s="448"/>
      <c r="J28" s="449" t="str">
        <f t="shared" si="38"/>
        <v/>
      </c>
      <c r="K28" s="449" t="str">
        <f t="shared" si="39"/>
        <v/>
      </c>
      <c r="L28" s="450">
        <f t="shared" si="0"/>
        <v>0</v>
      </c>
      <c r="M28" s="451" t="str">
        <f t="shared" ref="M28:AB43" si="42">IF(AND(M$2&gt;=$J28,M$2&lt;=$K28),1,"")</f>
        <v/>
      </c>
      <c r="N28" s="452" t="str">
        <f t="shared" si="24"/>
        <v/>
      </c>
      <c r="O28" s="452" t="str">
        <f t="shared" si="24"/>
        <v/>
      </c>
      <c r="P28" s="452" t="str">
        <f t="shared" si="24"/>
        <v/>
      </c>
      <c r="Q28" s="453" t="str">
        <f t="shared" si="24"/>
        <v/>
      </c>
      <c r="R28" s="451" t="str">
        <f t="shared" si="42"/>
        <v/>
      </c>
      <c r="S28" s="452" t="str">
        <f t="shared" si="24"/>
        <v/>
      </c>
      <c r="T28" s="452" t="str">
        <f t="shared" si="24"/>
        <v/>
      </c>
      <c r="U28" s="452" t="str">
        <f t="shared" si="24"/>
        <v/>
      </c>
      <c r="V28" s="453" t="str">
        <f t="shared" si="24"/>
        <v/>
      </c>
      <c r="W28" s="451" t="str">
        <f t="shared" si="42"/>
        <v/>
      </c>
      <c r="X28" s="452" t="str">
        <f t="shared" si="24"/>
        <v/>
      </c>
      <c r="Y28" s="452" t="str">
        <f t="shared" si="24"/>
        <v/>
      </c>
      <c r="Z28" s="452" t="str">
        <f t="shared" si="24"/>
        <v/>
      </c>
      <c r="AA28" s="453" t="str">
        <f t="shared" si="24"/>
        <v/>
      </c>
      <c r="AB28" s="451" t="str">
        <f t="shared" si="42"/>
        <v/>
      </c>
      <c r="AC28" s="452" t="str">
        <f t="shared" si="23"/>
        <v/>
      </c>
      <c r="AD28" s="452" t="str">
        <f t="shared" si="23"/>
        <v/>
      </c>
      <c r="AE28" s="452" t="str">
        <f t="shared" si="23"/>
        <v/>
      </c>
      <c r="AF28" s="453" t="str">
        <f t="shared" si="23"/>
        <v/>
      </c>
      <c r="AG28" s="451" t="str">
        <f t="shared" si="23"/>
        <v/>
      </c>
      <c r="AH28" s="452" t="str">
        <f t="shared" si="23"/>
        <v/>
      </c>
      <c r="AI28" s="452" t="str">
        <f t="shared" si="23"/>
        <v/>
      </c>
      <c r="AJ28" s="452" t="str">
        <f t="shared" si="23"/>
        <v/>
      </c>
      <c r="AK28" s="453" t="str">
        <f t="shared" si="23"/>
        <v/>
      </c>
      <c r="AL28" s="451" t="str">
        <f t="shared" si="23"/>
        <v/>
      </c>
      <c r="AM28" s="452" t="str">
        <f t="shared" si="23"/>
        <v/>
      </c>
      <c r="AN28" s="452" t="str">
        <f t="shared" si="23"/>
        <v/>
      </c>
      <c r="AO28" s="452" t="str">
        <f t="shared" si="23"/>
        <v/>
      </c>
      <c r="AP28" s="453" t="str">
        <f t="shared" si="23"/>
        <v/>
      </c>
      <c r="AQ28" s="451" t="str">
        <f t="shared" ref="AQ28:BF49" si="43">IF(AND(AQ$2&gt;=$J28,AQ$2&lt;=$K28),1,"")</f>
        <v/>
      </c>
      <c r="AR28" s="452" t="str">
        <f t="shared" si="43"/>
        <v/>
      </c>
      <c r="AS28" s="452" t="str">
        <f t="shared" si="43"/>
        <v/>
      </c>
      <c r="AT28" s="452" t="str">
        <f t="shared" si="43"/>
        <v/>
      </c>
      <c r="AU28" s="453" t="str">
        <f t="shared" si="43"/>
        <v/>
      </c>
      <c r="AV28" s="451" t="str">
        <f t="shared" si="43"/>
        <v/>
      </c>
      <c r="AW28" s="452" t="str">
        <f t="shared" si="29"/>
        <v/>
      </c>
      <c r="AX28" s="452" t="str">
        <f t="shared" si="29"/>
        <v/>
      </c>
      <c r="AY28" s="452" t="str">
        <f t="shared" si="29"/>
        <v/>
      </c>
      <c r="AZ28" s="453" t="str">
        <f t="shared" si="29"/>
        <v/>
      </c>
      <c r="BA28" s="451" t="str">
        <f t="shared" si="29"/>
        <v/>
      </c>
      <c r="BB28" s="452" t="str">
        <f t="shared" si="29"/>
        <v/>
      </c>
      <c r="BC28" s="452" t="str">
        <f t="shared" si="29"/>
        <v/>
      </c>
      <c r="BD28" s="452" t="str">
        <f t="shared" si="29"/>
        <v/>
      </c>
      <c r="BE28" s="453" t="str">
        <f t="shared" si="29"/>
        <v/>
      </c>
      <c r="BF28" s="451" t="str">
        <f t="shared" si="29"/>
        <v/>
      </c>
      <c r="BG28" s="452" t="str">
        <f t="shared" si="30"/>
        <v/>
      </c>
      <c r="BH28" s="452" t="str">
        <f t="shared" si="30"/>
        <v/>
      </c>
      <c r="BI28" s="452" t="str">
        <f t="shared" si="30"/>
        <v/>
      </c>
      <c r="BJ28" s="453" t="str">
        <f t="shared" si="30"/>
        <v/>
      </c>
      <c r="BK28" s="451" t="str">
        <f t="shared" si="30"/>
        <v/>
      </c>
      <c r="BL28" s="452" t="str">
        <f t="shared" si="30"/>
        <v/>
      </c>
      <c r="BM28" s="452" t="str">
        <f t="shared" si="30"/>
        <v/>
      </c>
      <c r="BN28" s="452" t="str">
        <f t="shared" si="30"/>
        <v/>
      </c>
      <c r="BO28" s="453" t="str">
        <f t="shared" si="30"/>
        <v/>
      </c>
      <c r="BP28" s="451" t="str">
        <f t="shared" si="30"/>
        <v/>
      </c>
      <c r="BQ28" s="452" t="str">
        <f t="shared" si="30"/>
        <v/>
      </c>
      <c r="BR28" s="452" t="str">
        <f t="shared" si="30"/>
        <v/>
      </c>
      <c r="BS28" s="452" t="str">
        <f t="shared" si="30"/>
        <v/>
      </c>
      <c r="BT28" s="453" t="str">
        <f t="shared" si="30"/>
        <v/>
      </c>
      <c r="BU28" s="451" t="str">
        <f t="shared" si="30"/>
        <v/>
      </c>
      <c r="BV28" s="452" t="str">
        <f t="shared" si="30"/>
        <v/>
      </c>
      <c r="BW28" s="452" t="str">
        <f t="shared" si="31"/>
        <v/>
      </c>
      <c r="BX28" s="452" t="str">
        <f t="shared" si="31"/>
        <v/>
      </c>
      <c r="BY28" s="453" t="str">
        <f t="shared" si="31"/>
        <v/>
      </c>
      <c r="BZ28" s="451" t="str">
        <f t="shared" si="31"/>
        <v/>
      </c>
      <c r="CA28" s="452" t="str">
        <f t="shared" si="31"/>
        <v/>
      </c>
      <c r="CB28" s="452" t="str">
        <f t="shared" si="31"/>
        <v/>
      </c>
      <c r="CC28" s="452" t="str">
        <f t="shared" si="31"/>
        <v/>
      </c>
      <c r="CD28" s="453" t="str">
        <f t="shared" si="31"/>
        <v/>
      </c>
      <c r="CE28" s="451" t="str">
        <f t="shared" si="31"/>
        <v/>
      </c>
      <c r="CF28" s="452" t="str">
        <f t="shared" si="31"/>
        <v/>
      </c>
      <c r="CG28" s="452" t="str">
        <f t="shared" si="31"/>
        <v/>
      </c>
      <c r="CH28" s="452" t="str">
        <f t="shared" si="31"/>
        <v/>
      </c>
      <c r="CI28" s="453" t="str">
        <f t="shared" si="31"/>
        <v/>
      </c>
      <c r="CJ28" s="451" t="str">
        <f t="shared" si="31"/>
        <v/>
      </c>
      <c r="CK28" s="452" t="str">
        <f t="shared" si="31"/>
        <v/>
      </c>
      <c r="CL28" s="452" t="str">
        <f t="shared" si="31"/>
        <v/>
      </c>
      <c r="CM28" s="452" t="str">
        <f t="shared" si="32"/>
        <v/>
      </c>
      <c r="CN28" s="453" t="str">
        <f t="shared" si="32"/>
        <v/>
      </c>
      <c r="CO28" s="451" t="str">
        <f t="shared" si="32"/>
        <v/>
      </c>
      <c r="CP28" s="452" t="str">
        <f t="shared" si="32"/>
        <v/>
      </c>
      <c r="CQ28" s="452" t="str">
        <f t="shared" si="32"/>
        <v/>
      </c>
      <c r="CR28" s="452" t="str">
        <f t="shared" si="32"/>
        <v/>
      </c>
      <c r="CS28" s="453" t="str">
        <f t="shared" si="32"/>
        <v/>
      </c>
      <c r="CT28" s="451" t="str">
        <f t="shared" si="32"/>
        <v/>
      </c>
      <c r="CU28" s="452" t="str">
        <f t="shared" si="32"/>
        <v/>
      </c>
      <c r="CV28" s="452" t="str">
        <f t="shared" si="32"/>
        <v/>
      </c>
      <c r="CW28" s="452" t="str">
        <f t="shared" si="32"/>
        <v/>
      </c>
      <c r="CX28" s="453" t="str">
        <f t="shared" si="32"/>
        <v/>
      </c>
      <c r="CY28" s="451" t="str">
        <f t="shared" si="32"/>
        <v/>
      </c>
      <c r="CZ28" s="452" t="str">
        <f t="shared" si="32"/>
        <v/>
      </c>
      <c r="DA28" s="452" t="str">
        <f t="shared" si="32"/>
        <v/>
      </c>
      <c r="DB28" s="452" t="str">
        <f t="shared" si="32"/>
        <v/>
      </c>
      <c r="DC28" s="453" t="str">
        <f t="shared" si="33"/>
        <v/>
      </c>
      <c r="DD28" s="451" t="str">
        <f t="shared" si="33"/>
        <v/>
      </c>
      <c r="DE28" s="452" t="str">
        <f t="shared" si="33"/>
        <v/>
      </c>
      <c r="DF28" s="452" t="str">
        <f t="shared" si="33"/>
        <v/>
      </c>
      <c r="DG28" s="452" t="str">
        <f t="shared" si="33"/>
        <v/>
      </c>
      <c r="DH28" s="453" t="str">
        <f t="shared" si="33"/>
        <v/>
      </c>
      <c r="DI28" s="451" t="str">
        <f t="shared" si="33"/>
        <v/>
      </c>
      <c r="DJ28" s="452" t="str">
        <f t="shared" si="33"/>
        <v/>
      </c>
      <c r="DK28" s="452" t="str">
        <f t="shared" si="33"/>
        <v/>
      </c>
      <c r="DL28" s="452" t="str">
        <f t="shared" si="33"/>
        <v/>
      </c>
      <c r="DM28" s="453" t="str">
        <f t="shared" si="33"/>
        <v/>
      </c>
      <c r="DN28" s="451" t="str">
        <f t="shared" si="33"/>
        <v/>
      </c>
      <c r="DO28" s="452" t="str">
        <f t="shared" si="27"/>
        <v/>
      </c>
      <c r="DP28" s="452" t="str">
        <f t="shared" si="27"/>
        <v/>
      </c>
      <c r="DQ28" s="452" t="str">
        <f t="shared" si="27"/>
        <v/>
      </c>
      <c r="DR28" s="453" t="str">
        <f t="shared" si="27"/>
        <v/>
      </c>
      <c r="DS28" s="451" t="str">
        <f t="shared" si="27"/>
        <v/>
      </c>
      <c r="DT28" s="452" t="str">
        <f t="shared" si="27"/>
        <v/>
      </c>
      <c r="DU28" s="452" t="str">
        <f t="shared" si="27"/>
        <v/>
      </c>
      <c r="DV28" s="452" t="str">
        <f t="shared" si="27"/>
        <v/>
      </c>
      <c r="DW28" s="453" t="str">
        <f t="shared" si="27"/>
        <v/>
      </c>
      <c r="DX28" s="451" t="str">
        <f t="shared" si="27"/>
        <v/>
      </c>
      <c r="DY28" s="452" t="str">
        <f t="shared" si="27"/>
        <v/>
      </c>
      <c r="DZ28" s="452" t="str">
        <f t="shared" si="27"/>
        <v/>
      </c>
      <c r="EA28" s="452" t="str">
        <f t="shared" si="27"/>
        <v/>
      </c>
      <c r="EB28" s="453" t="str">
        <f t="shared" si="27"/>
        <v/>
      </c>
      <c r="EC28" s="451" t="str">
        <f t="shared" si="27"/>
        <v/>
      </c>
      <c r="ED28" s="452" t="str">
        <f t="shared" si="34"/>
        <v/>
      </c>
      <c r="EE28" s="452" t="str">
        <f t="shared" si="34"/>
        <v/>
      </c>
      <c r="EF28" s="452" t="str">
        <f t="shared" si="34"/>
        <v/>
      </c>
      <c r="EG28" s="453" t="str">
        <f t="shared" si="34"/>
        <v/>
      </c>
      <c r="EH28" s="451" t="str">
        <f t="shared" si="34"/>
        <v/>
      </c>
      <c r="EI28" s="452" t="str">
        <f t="shared" si="34"/>
        <v/>
      </c>
      <c r="EJ28" s="452" t="str">
        <f t="shared" si="34"/>
        <v/>
      </c>
      <c r="EK28" s="452" t="str">
        <f t="shared" si="34"/>
        <v/>
      </c>
      <c r="EL28" s="453" t="str">
        <f t="shared" si="34"/>
        <v/>
      </c>
      <c r="EM28" s="451" t="str">
        <f t="shared" si="34"/>
        <v/>
      </c>
      <c r="EN28" s="452" t="str">
        <f t="shared" si="34"/>
        <v/>
      </c>
      <c r="EO28" s="452" t="str">
        <f t="shared" si="34"/>
        <v/>
      </c>
      <c r="EP28" s="452" t="str">
        <f t="shared" si="20"/>
        <v/>
      </c>
      <c r="EQ28" s="453" t="str">
        <f t="shared" si="20"/>
        <v/>
      </c>
      <c r="ER28" s="451" t="str">
        <f t="shared" si="20"/>
        <v/>
      </c>
      <c r="ES28" s="452" t="str">
        <f t="shared" si="20"/>
        <v/>
      </c>
      <c r="ET28" s="452" t="str">
        <f t="shared" si="21"/>
        <v/>
      </c>
      <c r="EU28" s="452" t="str">
        <f t="shared" si="21"/>
        <v/>
      </c>
      <c r="EV28" s="453" t="str">
        <f t="shared" si="21"/>
        <v/>
      </c>
      <c r="EW28" s="451" t="str">
        <f t="shared" si="21"/>
        <v/>
      </c>
      <c r="EX28" s="452" t="str">
        <f t="shared" si="21"/>
        <v/>
      </c>
      <c r="EY28" s="452" t="str">
        <f t="shared" ref="EY28:FN45" si="44">IF(AND(EY$2&gt;=$J28,EY$2&lt;=$K28),1,"")</f>
        <v/>
      </c>
      <c r="EZ28" s="452" t="str">
        <f t="shared" si="44"/>
        <v/>
      </c>
      <c r="FA28" s="453" t="str">
        <f t="shared" si="44"/>
        <v/>
      </c>
      <c r="FB28" s="451" t="str">
        <f t="shared" si="44"/>
        <v/>
      </c>
      <c r="FC28" s="452" t="str">
        <f t="shared" si="44"/>
        <v/>
      </c>
      <c r="FD28" s="452" t="str">
        <f t="shared" si="44"/>
        <v/>
      </c>
      <c r="FE28" s="452" t="str">
        <f t="shared" si="44"/>
        <v/>
      </c>
      <c r="FF28" s="453" t="str">
        <f t="shared" si="44"/>
        <v/>
      </c>
      <c r="FG28" s="451" t="str">
        <f t="shared" si="44"/>
        <v/>
      </c>
      <c r="FH28" s="452" t="str">
        <f t="shared" si="44"/>
        <v/>
      </c>
      <c r="FI28" s="452" t="str">
        <f t="shared" si="44"/>
        <v/>
      </c>
      <c r="FJ28" s="452" t="str">
        <f t="shared" si="44"/>
        <v/>
      </c>
      <c r="FK28" s="453" t="str">
        <f t="shared" si="44"/>
        <v/>
      </c>
      <c r="FL28" s="451" t="str">
        <f t="shared" si="44"/>
        <v/>
      </c>
      <c r="FM28" s="452" t="str">
        <f t="shared" si="44"/>
        <v/>
      </c>
      <c r="FN28" s="452" t="str">
        <f t="shared" si="44"/>
        <v/>
      </c>
      <c r="FO28" s="452" t="str">
        <f t="shared" si="22"/>
        <v/>
      </c>
      <c r="FP28" s="453" t="str">
        <f t="shared" si="22"/>
        <v/>
      </c>
      <c r="FQ28" s="451" t="str">
        <f t="shared" si="22"/>
        <v/>
      </c>
      <c r="FR28" s="452" t="str">
        <f t="shared" si="22"/>
        <v/>
      </c>
      <c r="FS28" s="452" t="str">
        <f t="shared" si="22"/>
        <v/>
      </c>
      <c r="FT28" s="452" t="str">
        <f t="shared" ref="FT28:GI34" si="45">IF(AND(FT$2&gt;=$J28,FT$2&lt;=$K28),1,"")</f>
        <v/>
      </c>
      <c r="FU28" s="453" t="str">
        <f t="shared" si="45"/>
        <v/>
      </c>
      <c r="FV28" s="451" t="str">
        <f t="shared" si="45"/>
        <v/>
      </c>
      <c r="FW28" s="452" t="str">
        <f t="shared" si="45"/>
        <v/>
      </c>
      <c r="FX28" s="452" t="str">
        <f t="shared" si="45"/>
        <v/>
      </c>
      <c r="FY28" s="452" t="str">
        <f t="shared" si="45"/>
        <v/>
      </c>
      <c r="FZ28" s="453" t="str">
        <f t="shared" si="45"/>
        <v/>
      </c>
      <c r="GA28" s="451" t="str">
        <f t="shared" si="45"/>
        <v/>
      </c>
      <c r="GB28" s="452" t="str">
        <f t="shared" si="40"/>
        <v/>
      </c>
      <c r="GC28" s="452" t="str">
        <f t="shared" si="40"/>
        <v/>
      </c>
      <c r="GD28" s="452" t="str">
        <f t="shared" si="40"/>
        <v/>
      </c>
      <c r="GE28" s="453" t="str">
        <f t="shared" si="40"/>
        <v/>
      </c>
      <c r="GF28" s="451" t="str">
        <f t="shared" si="40"/>
        <v/>
      </c>
      <c r="GG28" s="452" t="str">
        <f t="shared" si="40"/>
        <v/>
      </c>
      <c r="GH28" s="452" t="str">
        <f t="shared" si="40"/>
        <v/>
      </c>
      <c r="GI28" s="452" t="str">
        <f t="shared" si="40"/>
        <v/>
      </c>
      <c r="GJ28" s="453" t="str">
        <f t="shared" si="40"/>
        <v/>
      </c>
      <c r="GK28" s="451" t="str">
        <f t="shared" si="40"/>
        <v/>
      </c>
      <c r="GL28" s="452" t="str">
        <f t="shared" si="40"/>
        <v/>
      </c>
      <c r="GM28" s="452" t="str">
        <f t="shared" si="40"/>
        <v/>
      </c>
      <c r="GN28" s="452" t="str">
        <f t="shared" si="40"/>
        <v/>
      </c>
      <c r="GO28" s="453" t="str">
        <f t="shared" si="40"/>
        <v/>
      </c>
      <c r="GP28" s="451" t="str">
        <f t="shared" ref="GP28:HE38" si="46">IF(AND(GP$2&gt;=$J28,GP$2&lt;=$K28),1,"")</f>
        <v/>
      </c>
      <c r="GQ28" s="452" t="str">
        <f t="shared" si="46"/>
        <v/>
      </c>
      <c r="GR28" s="452" t="str">
        <f t="shared" si="46"/>
        <v/>
      </c>
      <c r="GS28" s="452" t="str">
        <f t="shared" si="46"/>
        <v/>
      </c>
      <c r="GT28" s="453" t="str">
        <f t="shared" si="46"/>
        <v/>
      </c>
      <c r="GU28" s="451" t="str">
        <f t="shared" si="46"/>
        <v/>
      </c>
      <c r="GV28" s="452" t="str">
        <f t="shared" si="46"/>
        <v/>
      </c>
      <c r="GW28" s="452" t="str">
        <f t="shared" si="46"/>
        <v/>
      </c>
      <c r="GX28" s="452" t="str">
        <f t="shared" si="46"/>
        <v/>
      </c>
      <c r="GY28" s="453" t="str">
        <f t="shared" si="46"/>
        <v/>
      </c>
      <c r="GZ28" s="451" t="str">
        <f t="shared" si="46"/>
        <v/>
      </c>
      <c r="HA28" s="452" t="str">
        <f t="shared" si="46"/>
        <v/>
      </c>
      <c r="HB28" s="452" t="str">
        <f t="shared" si="46"/>
        <v/>
      </c>
      <c r="HC28" s="452" t="str">
        <f t="shared" si="46"/>
        <v/>
      </c>
      <c r="HD28" s="453" t="str">
        <f t="shared" si="46"/>
        <v/>
      </c>
      <c r="HE28" s="451" t="str">
        <f t="shared" si="46"/>
        <v/>
      </c>
      <c r="HF28" s="452" t="str">
        <f t="shared" si="35"/>
        <v/>
      </c>
      <c r="HG28" s="452" t="str">
        <f t="shared" si="35"/>
        <v/>
      </c>
      <c r="HH28" s="452" t="str">
        <f t="shared" si="35"/>
        <v/>
      </c>
      <c r="HI28" s="453" t="str">
        <f t="shared" si="35"/>
        <v/>
      </c>
      <c r="HJ28" s="451" t="str">
        <f t="shared" si="35"/>
        <v/>
      </c>
      <c r="HK28" s="452" t="str">
        <f t="shared" si="35"/>
        <v/>
      </c>
      <c r="HL28" s="452" t="str">
        <f t="shared" si="35"/>
        <v/>
      </c>
      <c r="HM28" s="452" t="str">
        <f t="shared" si="35"/>
        <v/>
      </c>
      <c r="HN28" s="453" t="str">
        <f t="shared" si="35"/>
        <v/>
      </c>
      <c r="HO28" s="451" t="str">
        <f t="shared" si="35"/>
        <v/>
      </c>
      <c r="HP28" s="452" t="str">
        <f t="shared" si="35"/>
        <v/>
      </c>
      <c r="HQ28" s="452" t="str">
        <f t="shared" si="35"/>
        <v/>
      </c>
      <c r="HR28" s="452" t="str">
        <f t="shared" si="35"/>
        <v/>
      </c>
      <c r="HS28" s="453" t="str">
        <f t="shared" si="35"/>
        <v/>
      </c>
      <c r="HT28" s="451" t="str">
        <f t="shared" si="35"/>
        <v/>
      </c>
      <c r="HU28" s="452" t="str">
        <f t="shared" si="35"/>
        <v/>
      </c>
      <c r="HV28" s="452" t="str">
        <f t="shared" si="36"/>
        <v/>
      </c>
      <c r="HW28" s="452" t="str">
        <f t="shared" si="36"/>
        <v/>
      </c>
      <c r="HX28" s="453" t="str">
        <f t="shared" si="36"/>
        <v/>
      </c>
      <c r="HY28" s="451" t="str">
        <f t="shared" si="36"/>
        <v/>
      </c>
      <c r="HZ28" s="452" t="str">
        <f t="shared" si="36"/>
        <v/>
      </c>
      <c r="IA28" s="452" t="str">
        <f t="shared" si="36"/>
        <v/>
      </c>
      <c r="IB28" s="452" t="str">
        <f t="shared" si="36"/>
        <v/>
      </c>
      <c r="IC28" s="453" t="str">
        <f t="shared" si="36"/>
        <v/>
      </c>
      <c r="ID28" s="451" t="str">
        <f t="shared" si="36"/>
        <v/>
      </c>
      <c r="IE28" s="452" t="str">
        <f t="shared" si="36"/>
        <v/>
      </c>
      <c r="IF28" s="452" t="str">
        <f t="shared" si="36"/>
        <v/>
      </c>
      <c r="IG28" s="452" t="str">
        <f t="shared" si="36"/>
        <v/>
      </c>
      <c r="IH28" s="453" t="str">
        <f t="shared" si="36"/>
        <v/>
      </c>
      <c r="II28" s="451" t="str">
        <f t="shared" si="36"/>
        <v/>
      </c>
      <c r="IJ28" s="452" t="str">
        <f t="shared" si="36"/>
        <v/>
      </c>
      <c r="IK28" s="452" t="str">
        <f t="shared" si="36"/>
        <v/>
      </c>
      <c r="IL28" s="452" t="str">
        <f t="shared" si="37"/>
        <v/>
      </c>
      <c r="IM28" s="453" t="str">
        <f t="shared" si="37"/>
        <v/>
      </c>
      <c r="IN28" s="451" t="str">
        <f t="shared" si="37"/>
        <v/>
      </c>
      <c r="IO28" s="452" t="str">
        <f t="shared" si="37"/>
        <v/>
      </c>
      <c r="IP28" s="452" t="str">
        <f t="shared" si="37"/>
        <v/>
      </c>
      <c r="IQ28" s="452" t="str">
        <f t="shared" si="37"/>
        <v/>
      </c>
      <c r="IR28" s="453" t="str">
        <f t="shared" si="37"/>
        <v/>
      </c>
    </row>
    <row r="29" spans="1:252" x14ac:dyDescent="0.2">
      <c r="A29" s="461">
        <v>3.3</v>
      </c>
      <c r="C29" s="447" t="s">
        <v>1353</v>
      </c>
      <c r="D29" s="447"/>
      <c r="E29" s="448"/>
      <c r="F29" s="448"/>
      <c r="G29" s="448"/>
      <c r="H29" s="448"/>
      <c r="I29" s="448"/>
      <c r="J29" s="449" t="str">
        <f t="shared" si="38"/>
        <v/>
      </c>
      <c r="K29" s="449" t="str">
        <f t="shared" si="39"/>
        <v/>
      </c>
      <c r="L29" s="450">
        <f t="shared" si="0"/>
        <v>0</v>
      </c>
      <c r="M29" s="451" t="str">
        <f t="shared" si="42"/>
        <v/>
      </c>
      <c r="N29" s="452" t="str">
        <f t="shared" si="24"/>
        <v/>
      </c>
      <c r="O29" s="452" t="str">
        <f t="shared" si="24"/>
        <v/>
      </c>
      <c r="P29" s="452" t="str">
        <f t="shared" si="24"/>
        <v/>
      </c>
      <c r="Q29" s="453" t="str">
        <f t="shared" si="24"/>
        <v/>
      </c>
      <c r="R29" s="451" t="str">
        <f t="shared" si="42"/>
        <v/>
      </c>
      <c r="S29" s="452" t="str">
        <f t="shared" si="24"/>
        <v/>
      </c>
      <c r="T29" s="452" t="str">
        <f t="shared" si="24"/>
        <v/>
      </c>
      <c r="U29" s="452" t="str">
        <f t="shared" si="24"/>
        <v/>
      </c>
      <c r="V29" s="453" t="str">
        <f t="shared" si="24"/>
        <v/>
      </c>
      <c r="W29" s="451" t="str">
        <f t="shared" si="42"/>
        <v/>
      </c>
      <c r="X29" s="452" t="str">
        <f t="shared" si="24"/>
        <v/>
      </c>
      <c r="Y29" s="452" t="str">
        <f t="shared" si="24"/>
        <v/>
      </c>
      <c r="Z29" s="452" t="str">
        <f t="shared" si="24"/>
        <v/>
      </c>
      <c r="AA29" s="453" t="str">
        <f t="shared" si="24"/>
        <v/>
      </c>
      <c r="AB29" s="451" t="str">
        <f t="shared" si="42"/>
        <v/>
      </c>
      <c r="AC29" s="452" t="str">
        <f t="shared" si="23"/>
        <v/>
      </c>
      <c r="AD29" s="452" t="str">
        <f t="shared" si="23"/>
        <v/>
      </c>
      <c r="AE29" s="452" t="str">
        <f t="shared" si="23"/>
        <v/>
      </c>
      <c r="AF29" s="453" t="str">
        <f t="shared" si="23"/>
        <v/>
      </c>
      <c r="AG29" s="451" t="str">
        <f t="shared" si="23"/>
        <v/>
      </c>
      <c r="AH29" s="452" t="str">
        <f t="shared" si="23"/>
        <v/>
      </c>
      <c r="AI29" s="452" t="str">
        <f t="shared" si="23"/>
        <v/>
      </c>
      <c r="AJ29" s="452" t="str">
        <f t="shared" si="23"/>
        <v/>
      </c>
      <c r="AK29" s="453" t="str">
        <f t="shared" si="23"/>
        <v/>
      </c>
      <c r="AL29" s="451" t="str">
        <f t="shared" si="23"/>
        <v/>
      </c>
      <c r="AM29" s="452" t="str">
        <f t="shared" si="23"/>
        <v/>
      </c>
      <c r="AN29" s="452" t="str">
        <f t="shared" si="23"/>
        <v/>
      </c>
      <c r="AO29" s="452" t="str">
        <f t="shared" si="23"/>
        <v/>
      </c>
      <c r="AP29" s="453" t="str">
        <f t="shared" si="23"/>
        <v/>
      </c>
      <c r="AQ29" s="451" t="str">
        <f t="shared" si="43"/>
        <v/>
      </c>
      <c r="AR29" s="452" t="str">
        <f t="shared" si="43"/>
        <v/>
      </c>
      <c r="AS29" s="452" t="str">
        <f t="shared" si="43"/>
        <v/>
      </c>
      <c r="AT29" s="452" t="str">
        <f t="shared" si="43"/>
        <v/>
      </c>
      <c r="AU29" s="453" t="str">
        <f t="shared" si="43"/>
        <v/>
      </c>
      <c r="AV29" s="451" t="str">
        <f t="shared" si="43"/>
        <v/>
      </c>
      <c r="AW29" s="452" t="str">
        <f t="shared" si="29"/>
        <v/>
      </c>
      <c r="AX29" s="452" t="str">
        <f t="shared" si="29"/>
        <v/>
      </c>
      <c r="AY29" s="452" t="str">
        <f t="shared" si="29"/>
        <v/>
      </c>
      <c r="AZ29" s="453" t="str">
        <f t="shared" si="29"/>
        <v/>
      </c>
      <c r="BA29" s="451" t="str">
        <f t="shared" si="29"/>
        <v/>
      </c>
      <c r="BB29" s="452" t="str">
        <f t="shared" si="29"/>
        <v/>
      </c>
      <c r="BC29" s="452" t="str">
        <f t="shared" si="29"/>
        <v/>
      </c>
      <c r="BD29" s="452" t="str">
        <f t="shared" si="29"/>
        <v/>
      </c>
      <c r="BE29" s="453" t="str">
        <f t="shared" si="29"/>
        <v/>
      </c>
      <c r="BF29" s="451" t="str">
        <f t="shared" si="29"/>
        <v/>
      </c>
      <c r="BG29" s="452" t="str">
        <f t="shared" si="30"/>
        <v/>
      </c>
      <c r="BH29" s="452" t="str">
        <f t="shared" si="30"/>
        <v/>
      </c>
      <c r="BI29" s="452" t="str">
        <f t="shared" si="30"/>
        <v/>
      </c>
      <c r="BJ29" s="453" t="str">
        <f t="shared" si="30"/>
        <v/>
      </c>
      <c r="BK29" s="451" t="str">
        <f t="shared" si="30"/>
        <v/>
      </c>
      <c r="BL29" s="452" t="str">
        <f t="shared" si="30"/>
        <v/>
      </c>
      <c r="BM29" s="452" t="str">
        <f t="shared" si="30"/>
        <v/>
      </c>
      <c r="BN29" s="452" t="str">
        <f t="shared" si="30"/>
        <v/>
      </c>
      <c r="BO29" s="453" t="str">
        <f t="shared" si="30"/>
        <v/>
      </c>
      <c r="BP29" s="451" t="str">
        <f t="shared" si="30"/>
        <v/>
      </c>
      <c r="BQ29" s="452" t="str">
        <f t="shared" si="30"/>
        <v/>
      </c>
      <c r="BR29" s="452" t="str">
        <f t="shared" si="30"/>
        <v/>
      </c>
      <c r="BS29" s="452" t="str">
        <f t="shared" si="30"/>
        <v/>
      </c>
      <c r="BT29" s="453" t="str">
        <f t="shared" si="30"/>
        <v/>
      </c>
      <c r="BU29" s="451" t="str">
        <f t="shared" si="30"/>
        <v/>
      </c>
      <c r="BV29" s="452" t="str">
        <f t="shared" si="30"/>
        <v/>
      </c>
      <c r="BW29" s="452" t="str">
        <f t="shared" si="31"/>
        <v/>
      </c>
      <c r="BX29" s="452" t="str">
        <f t="shared" si="31"/>
        <v/>
      </c>
      <c r="BY29" s="453" t="str">
        <f t="shared" si="31"/>
        <v/>
      </c>
      <c r="BZ29" s="451" t="str">
        <f t="shared" si="31"/>
        <v/>
      </c>
      <c r="CA29" s="452" t="str">
        <f t="shared" si="31"/>
        <v/>
      </c>
      <c r="CB29" s="452" t="str">
        <f t="shared" si="31"/>
        <v/>
      </c>
      <c r="CC29" s="452" t="str">
        <f t="shared" si="31"/>
        <v/>
      </c>
      <c r="CD29" s="453" t="str">
        <f t="shared" si="31"/>
        <v/>
      </c>
      <c r="CE29" s="451" t="str">
        <f t="shared" si="31"/>
        <v/>
      </c>
      <c r="CF29" s="452" t="str">
        <f t="shared" si="31"/>
        <v/>
      </c>
      <c r="CG29" s="452" t="str">
        <f t="shared" si="31"/>
        <v/>
      </c>
      <c r="CH29" s="452" t="str">
        <f t="shared" si="31"/>
        <v/>
      </c>
      <c r="CI29" s="453" t="str">
        <f t="shared" si="31"/>
        <v/>
      </c>
      <c r="CJ29" s="451" t="str">
        <f t="shared" si="31"/>
        <v/>
      </c>
      <c r="CK29" s="452" t="str">
        <f t="shared" si="31"/>
        <v/>
      </c>
      <c r="CL29" s="452" t="str">
        <f t="shared" si="31"/>
        <v/>
      </c>
      <c r="CM29" s="452" t="str">
        <f t="shared" si="32"/>
        <v/>
      </c>
      <c r="CN29" s="453" t="str">
        <f t="shared" si="32"/>
        <v/>
      </c>
      <c r="CO29" s="451" t="str">
        <f t="shared" si="32"/>
        <v/>
      </c>
      <c r="CP29" s="452" t="str">
        <f t="shared" si="32"/>
        <v/>
      </c>
      <c r="CQ29" s="452" t="str">
        <f t="shared" si="32"/>
        <v/>
      </c>
      <c r="CR29" s="452" t="str">
        <f t="shared" si="32"/>
        <v/>
      </c>
      <c r="CS29" s="453" t="str">
        <f t="shared" si="32"/>
        <v/>
      </c>
      <c r="CT29" s="451" t="str">
        <f t="shared" si="32"/>
        <v/>
      </c>
      <c r="CU29" s="452" t="str">
        <f t="shared" si="32"/>
        <v/>
      </c>
      <c r="CV29" s="452" t="str">
        <f t="shared" si="32"/>
        <v/>
      </c>
      <c r="CW29" s="452" t="str">
        <f t="shared" si="32"/>
        <v/>
      </c>
      <c r="CX29" s="453" t="str">
        <f t="shared" si="32"/>
        <v/>
      </c>
      <c r="CY29" s="451" t="str">
        <f t="shared" si="32"/>
        <v/>
      </c>
      <c r="CZ29" s="452" t="str">
        <f t="shared" si="32"/>
        <v/>
      </c>
      <c r="DA29" s="452" t="str">
        <f t="shared" si="32"/>
        <v/>
      </c>
      <c r="DB29" s="452" t="str">
        <f t="shared" si="32"/>
        <v/>
      </c>
      <c r="DC29" s="453" t="str">
        <f t="shared" si="33"/>
        <v/>
      </c>
      <c r="DD29" s="451" t="str">
        <f t="shared" si="33"/>
        <v/>
      </c>
      <c r="DE29" s="452" t="str">
        <f t="shared" si="33"/>
        <v/>
      </c>
      <c r="DF29" s="452" t="str">
        <f t="shared" si="33"/>
        <v/>
      </c>
      <c r="DG29" s="452" t="str">
        <f t="shared" si="33"/>
        <v/>
      </c>
      <c r="DH29" s="453" t="str">
        <f t="shared" si="33"/>
        <v/>
      </c>
      <c r="DI29" s="451" t="str">
        <f t="shared" si="33"/>
        <v/>
      </c>
      <c r="DJ29" s="452" t="str">
        <f t="shared" si="33"/>
        <v/>
      </c>
      <c r="DK29" s="452" t="str">
        <f t="shared" si="33"/>
        <v/>
      </c>
      <c r="DL29" s="452" t="str">
        <f t="shared" si="33"/>
        <v/>
      </c>
      <c r="DM29" s="453" t="str">
        <f t="shared" si="33"/>
        <v/>
      </c>
      <c r="DN29" s="451" t="str">
        <f t="shared" si="33"/>
        <v/>
      </c>
      <c r="DO29" s="452" t="str">
        <f t="shared" si="27"/>
        <v/>
      </c>
      <c r="DP29" s="452" t="str">
        <f t="shared" si="27"/>
        <v/>
      </c>
      <c r="DQ29" s="452" t="str">
        <f t="shared" si="27"/>
        <v/>
      </c>
      <c r="DR29" s="453" t="str">
        <f t="shared" si="27"/>
        <v/>
      </c>
      <c r="DS29" s="451" t="str">
        <f t="shared" si="27"/>
        <v/>
      </c>
      <c r="DT29" s="452" t="str">
        <f t="shared" si="27"/>
        <v/>
      </c>
      <c r="DU29" s="452" t="str">
        <f t="shared" si="27"/>
        <v/>
      </c>
      <c r="DV29" s="452" t="str">
        <f t="shared" si="27"/>
        <v/>
      </c>
      <c r="DW29" s="453" t="str">
        <f t="shared" si="27"/>
        <v/>
      </c>
      <c r="DX29" s="451" t="str">
        <f t="shared" si="27"/>
        <v/>
      </c>
      <c r="DY29" s="452" t="str">
        <f t="shared" si="27"/>
        <v/>
      </c>
      <c r="DZ29" s="452" t="str">
        <f t="shared" si="27"/>
        <v/>
      </c>
      <c r="EA29" s="452" t="str">
        <f t="shared" si="27"/>
        <v/>
      </c>
      <c r="EB29" s="453" t="str">
        <f t="shared" si="27"/>
        <v/>
      </c>
      <c r="EC29" s="451" t="str">
        <f t="shared" si="27"/>
        <v/>
      </c>
      <c r="ED29" s="452" t="str">
        <f t="shared" si="34"/>
        <v/>
      </c>
      <c r="EE29" s="452" t="str">
        <f t="shared" si="34"/>
        <v/>
      </c>
      <c r="EF29" s="452" t="str">
        <f t="shared" si="34"/>
        <v/>
      </c>
      <c r="EG29" s="453" t="str">
        <f t="shared" si="34"/>
        <v/>
      </c>
      <c r="EH29" s="451" t="str">
        <f t="shared" si="34"/>
        <v/>
      </c>
      <c r="EI29" s="452" t="str">
        <f t="shared" si="34"/>
        <v/>
      </c>
      <c r="EJ29" s="452" t="str">
        <f t="shared" si="34"/>
        <v/>
      </c>
      <c r="EK29" s="452" t="str">
        <f t="shared" si="34"/>
        <v/>
      </c>
      <c r="EL29" s="453" t="str">
        <f t="shared" si="34"/>
        <v/>
      </c>
      <c r="EM29" s="451" t="str">
        <f t="shared" si="34"/>
        <v/>
      </c>
      <c r="EN29" s="452" t="str">
        <f t="shared" si="34"/>
        <v/>
      </c>
      <c r="EO29" s="452" t="str">
        <f t="shared" si="34"/>
        <v/>
      </c>
      <c r="EP29" s="452" t="str">
        <f t="shared" si="20"/>
        <v/>
      </c>
      <c r="EQ29" s="453" t="str">
        <f t="shared" si="20"/>
        <v/>
      </c>
      <c r="ER29" s="451" t="str">
        <f t="shared" si="20"/>
        <v/>
      </c>
      <c r="ES29" s="452" t="str">
        <f t="shared" si="20"/>
        <v/>
      </c>
      <c r="ET29" s="452" t="str">
        <f t="shared" ref="ET29:FI46" si="47">IF(AND(ET$2&gt;=$J29,ET$2&lt;=$K29),1,"")</f>
        <v/>
      </c>
      <c r="EU29" s="452" t="str">
        <f t="shared" si="47"/>
        <v/>
      </c>
      <c r="EV29" s="453" t="str">
        <f t="shared" si="47"/>
        <v/>
      </c>
      <c r="EW29" s="451" t="str">
        <f t="shared" si="47"/>
        <v/>
      </c>
      <c r="EX29" s="452" t="str">
        <f t="shared" si="47"/>
        <v/>
      </c>
      <c r="EY29" s="452" t="str">
        <f t="shared" si="47"/>
        <v/>
      </c>
      <c r="EZ29" s="452" t="str">
        <f t="shared" si="47"/>
        <v/>
      </c>
      <c r="FA29" s="453" t="str">
        <f t="shared" si="47"/>
        <v/>
      </c>
      <c r="FB29" s="451" t="str">
        <f t="shared" si="47"/>
        <v/>
      </c>
      <c r="FC29" s="452" t="str">
        <f t="shared" si="47"/>
        <v/>
      </c>
      <c r="FD29" s="452" t="str">
        <f t="shared" si="47"/>
        <v/>
      </c>
      <c r="FE29" s="452" t="str">
        <f t="shared" si="47"/>
        <v/>
      </c>
      <c r="FF29" s="453" t="str">
        <f t="shared" si="44"/>
        <v/>
      </c>
      <c r="FG29" s="451" t="str">
        <f t="shared" si="44"/>
        <v/>
      </c>
      <c r="FH29" s="452" t="str">
        <f t="shared" si="44"/>
        <v/>
      </c>
      <c r="FI29" s="452" t="str">
        <f t="shared" si="44"/>
        <v/>
      </c>
      <c r="FJ29" s="452" t="str">
        <f t="shared" si="44"/>
        <v/>
      </c>
      <c r="FK29" s="453" t="str">
        <f t="shared" si="44"/>
        <v/>
      </c>
      <c r="FL29" s="451" t="str">
        <f t="shared" si="44"/>
        <v/>
      </c>
      <c r="FM29" s="452" t="str">
        <f t="shared" si="44"/>
        <v/>
      </c>
      <c r="FN29" s="452" t="str">
        <f t="shared" si="44"/>
        <v/>
      </c>
      <c r="FO29" s="452" t="str">
        <f t="shared" ref="FO29:GD46" si="48">IF(AND(FO$2&gt;=$J29,FO$2&lt;=$K29),1,"")</f>
        <v/>
      </c>
      <c r="FP29" s="453" t="str">
        <f t="shared" si="48"/>
        <v/>
      </c>
      <c r="FQ29" s="451" t="str">
        <f t="shared" si="48"/>
        <v/>
      </c>
      <c r="FR29" s="452" t="str">
        <f t="shared" si="48"/>
        <v/>
      </c>
      <c r="FS29" s="452" t="str">
        <f t="shared" si="48"/>
        <v/>
      </c>
      <c r="FT29" s="452" t="str">
        <f t="shared" si="48"/>
        <v/>
      </c>
      <c r="FU29" s="453" t="str">
        <f t="shared" si="48"/>
        <v/>
      </c>
      <c r="FV29" s="451" t="str">
        <f t="shared" si="45"/>
        <v/>
      </c>
      <c r="FW29" s="452" t="str">
        <f t="shared" si="45"/>
        <v/>
      </c>
      <c r="FX29" s="452" t="str">
        <f t="shared" si="45"/>
        <v/>
      </c>
      <c r="FY29" s="452" t="str">
        <f t="shared" si="45"/>
        <v/>
      </c>
      <c r="FZ29" s="453" t="str">
        <f t="shared" si="45"/>
        <v/>
      </c>
      <c r="GA29" s="451" t="str">
        <f t="shared" si="45"/>
        <v/>
      </c>
      <c r="GB29" s="452" t="str">
        <f t="shared" si="40"/>
        <v/>
      </c>
      <c r="GC29" s="452" t="str">
        <f t="shared" si="40"/>
        <v/>
      </c>
      <c r="GD29" s="452" t="str">
        <f t="shared" si="40"/>
        <v/>
      </c>
      <c r="GE29" s="453" t="str">
        <f t="shared" si="40"/>
        <v/>
      </c>
      <c r="GF29" s="451" t="str">
        <f t="shared" si="40"/>
        <v/>
      </c>
      <c r="GG29" s="452" t="str">
        <f t="shared" si="40"/>
        <v/>
      </c>
      <c r="GH29" s="452" t="str">
        <f t="shared" si="40"/>
        <v/>
      </c>
      <c r="GI29" s="452" t="str">
        <f t="shared" si="40"/>
        <v/>
      </c>
      <c r="GJ29" s="453" t="str">
        <f t="shared" si="40"/>
        <v/>
      </c>
      <c r="GK29" s="451" t="str">
        <f t="shared" si="40"/>
        <v/>
      </c>
      <c r="GL29" s="452" t="str">
        <f t="shared" si="40"/>
        <v/>
      </c>
      <c r="GM29" s="452" t="str">
        <f t="shared" si="40"/>
        <v/>
      </c>
      <c r="GN29" s="452" t="str">
        <f t="shared" si="40"/>
        <v/>
      </c>
      <c r="GO29" s="453" t="str">
        <f t="shared" si="40"/>
        <v/>
      </c>
      <c r="GP29" s="451" t="str">
        <f t="shared" si="46"/>
        <v/>
      </c>
      <c r="GQ29" s="452" t="str">
        <f t="shared" si="46"/>
        <v/>
      </c>
      <c r="GR29" s="452" t="str">
        <f t="shared" si="46"/>
        <v/>
      </c>
      <c r="GS29" s="452" t="str">
        <f t="shared" si="46"/>
        <v/>
      </c>
      <c r="GT29" s="453" t="str">
        <f t="shared" si="46"/>
        <v/>
      </c>
      <c r="GU29" s="451" t="str">
        <f t="shared" si="46"/>
        <v/>
      </c>
      <c r="GV29" s="452" t="str">
        <f t="shared" si="46"/>
        <v/>
      </c>
      <c r="GW29" s="452" t="str">
        <f t="shared" si="46"/>
        <v/>
      </c>
      <c r="GX29" s="452" t="str">
        <f t="shared" si="46"/>
        <v/>
      </c>
      <c r="GY29" s="453" t="str">
        <f t="shared" si="46"/>
        <v/>
      </c>
      <c r="GZ29" s="451" t="str">
        <f t="shared" si="46"/>
        <v/>
      </c>
      <c r="HA29" s="452" t="str">
        <f t="shared" si="46"/>
        <v/>
      </c>
      <c r="HB29" s="452" t="str">
        <f t="shared" si="46"/>
        <v/>
      </c>
      <c r="HC29" s="452" t="str">
        <f t="shared" si="46"/>
        <v/>
      </c>
      <c r="HD29" s="453" t="str">
        <f t="shared" si="46"/>
        <v/>
      </c>
      <c r="HE29" s="451" t="str">
        <f t="shared" si="46"/>
        <v/>
      </c>
      <c r="HF29" s="452" t="str">
        <f t="shared" si="35"/>
        <v/>
      </c>
      <c r="HG29" s="452" t="str">
        <f t="shared" si="35"/>
        <v/>
      </c>
      <c r="HH29" s="452" t="str">
        <f t="shared" si="35"/>
        <v/>
      </c>
      <c r="HI29" s="453" t="str">
        <f t="shared" si="35"/>
        <v/>
      </c>
      <c r="HJ29" s="451" t="str">
        <f t="shared" si="35"/>
        <v/>
      </c>
      <c r="HK29" s="452" t="str">
        <f t="shared" si="35"/>
        <v/>
      </c>
      <c r="HL29" s="452" t="str">
        <f t="shared" si="35"/>
        <v/>
      </c>
      <c r="HM29" s="452" t="str">
        <f t="shared" si="35"/>
        <v/>
      </c>
      <c r="HN29" s="453" t="str">
        <f t="shared" si="35"/>
        <v/>
      </c>
      <c r="HO29" s="451" t="str">
        <f t="shared" si="35"/>
        <v/>
      </c>
      <c r="HP29" s="452" t="str">
        <f t="shared" si="35"/>
        <v/>
      </c>
      <c r="HQ29" s="452" t="str">
        <f t="shared" si="35"/>
        <v/>
      </c>
      <c r="HR29" s="452" t="str">
        <f t="shared" si="35"/>
        <v/>
      </c>
      <c r="HS29" s="453" t="str">
        <f t="shared" si="35"/>
        <v/>
      </c>
      <c r="HT29" s="451" t="str">
        <f t="shared" si="35"/>
        <v/>
      </c>
      <c r="HU29" s="452" t="str">
        <f t="shared" si="35"/>
        <v/>
      </c>
      <c r="HV29" s="452" t="str">
        <f t="shared" si="36"/>
        <v/>
      </c>
      <c r="HW29" s="452" t="str">
        <f t="shared" si="36"/>
        <v/>
      </c>
      <c r="HX29" s="453" t="str">
        <f t="shared" si="36"/>
        <v/>
      </c>
      <c r="HY29" s="451" t="str">
        <f t="shared" si="36"/>
        <v/>
      </c>
      <c r="HZ29" s="452" t="str">
        <f t="shared" si="36"/>
        <v/>
      </c>
      <c r="IA29" s="452" t="str">
        <f t="shared" si="36"/>
        <v/>
      </c>
      <c r="IB29" s="452" t="str">
        <f t="shared" si="36"/>
        <v/>
      </c>
      <c r="IC29" s="453" t="str">
        <f t="shared" si="36"/>
        <v/>
      </c>
      <c r="ID29" s="451" t="str">
        <f t="shared" si="36"/>
        <v/>
      </c>
      <c r="IE29" s="452" t="str">
        <f t="shared" si="36"/>
        <v/>
      </c>
      <c r="IF29" s="452" t="str">
        <f t="shared" si="36"/>
        <v/>
      </c>
      <c r="IG29" s="452" t="str">
        <f t="shared" si="36"/>
        <v/>
      </c>
      <c r="IH29" s="453" t="str">
        <f t="shared" si="36"/>
        <v/>
      </c>
      <c r="II29" s="451" t="str">
        <f t="shared" si="36"/>
        <v/>
      </c>
      <c r="IJ29" s="452" t="str">
        <f t="shared" si="36"/>
        <v/>
      </c>
      <c r="IK29" s="452" t="str">
        <f t="shared" si="36"/>
        <v/>
      </c>
      <c r="IL29" s="452" t="str">
        <f t="shared" si="37"/>
        <v/>
      </c>
      <c r="IM29" s="453" t="str">
        <f t="shared" si="37"/>
        <v/>
      </c>
      <c r="IN29" s="451" t="str">
        <f t="shared" si="37"/>
        <v/>
      </c>
      <c r="IO29" s="452" t="str">
        <f t="shared" si="37"/>
        <v/>
      </c>
      <c r="IP29" s="452" t="str">
        <f t="shared" si="37"/>
        <v/>
      </c>
      <c r="IQ29" s="452" t="str">
        <f t="shared" si="37"/>
        <v/>
      </c>
      <c r="IR29" s="453" t="str">
        <f t="shared" si="37"/>
        <v/>
      </c>
    </row>
    <row r="30" spans="1:252" x14ac:dyDescent="0.2">
      <c r="A30" s="461">
        <v>3.4</v>
      </c>
      <c r="C30" s="447" t="s">
        <v>1354</v>
      </c>
      <c r="D30" s="447"/>
      <c r="E30" s="448"/>
      <c r="F30" s="448"/>
      <c r="G30" s="448"/>
      <c r="H30" s="448"/>
      <c r="I30" s="448"/>
      <c r="J30" s="449" t="str">
        <f t="shared" si="38"/>
        <v/>
      </c>
      <c r="K30" s="449" t="str">
        <f t="shared" si="39"/>
        <v/>
      </c>
      <c r="L30" s="450">
        <f t="shared" si="0"/>
        <v>0</v>
      </c>
      <c r="M30" s="451" t="str">
        <f t="shared" si="42"/>
        <v/>
      </c>
      <c r="N30" s="452" t="str">
        <f t="shared" si="24"/>
        <v/>
      </c>
      <c r="O30" s="452" t="str">
        <f t="shared" si="24"/>
        <v/>
      </c>
      <c r="P30" s="452" t="str">
        <f t="shared" si="24"/>
        <v/>
      </c>
      <c r="Q30" s="453" t="str">
        <f t="shared" si="24"/>
        <v/>
      </c>
      <c r="R30" s="451" t="str">
        <f t="shared" si="42"/>
        <v/>
      </c>
      <c r="S30" s="452" t="str">
        <f t="shared" si="24"/>
        <v/>
      </c>
      <c r="T30" s="452" t="str">
        <f t="shared" si="24"/>
        <v/>
      </c>
      <c r="U30" s="452" t="str">
        <f t="shared" si="24"/>
        <v/>
      </c>
      <c r="V30" s="453" t="str">
        <f t="shared" si="24"/>
        <v/>
      </c>
      <c r="W30" s="451" t="str">
        <f t="shared" si="42"/>
        <v/>
      </c>
      <c r="X30" s="452" t="str">
        <f t="shared" si="24"/>
        <v/>
      </c>
      <c r="Y30" s="452" t="str">
        <f t="shared" si="24"/>
        <v/>
      </c>
      <c r="Z30" s="452" t="str">
        <f t="shared" si="24"/>
        <v/>
      </c>
      <c r="AA30" s="453" t="str">
        <f t="shared" si="24"/>
        <v/>
      </c>
      <c r="AB30" s="451" t="str">
        <f t="shared" si="42"/>
        <v/>
      </c>
      <c r="AC30" s="452" t="str">
        <f t="shared" ref="AC30:AR47" si="49">IF(AND(AC$2&gt;=$J30,AC$2&lt;=$K30),1,"")</f>
        <v/>
      </c>
      <c r="AD30" s="452" t="str">
        <f t="shared" si="49"/>
        <v/>
      </c>
      <c r="AE30" s="452" t="str">
        <f t="shared" si="49"/>
        <v/>
      </c>
      <c r="AF30" s="453" t="str">
        <f t="shared" si="49"/>
        <v/>
      </c>
      <c r="AG30" s="451" t="str">
        <f t="shared" si="49"/>
        <v/>
      </c>
      <c r="AH30" s="452" t="str">
        <f t="shared" si="49"/>
        <v/>
      </c>
      <c r="AI30" s="452" t="str">
        <f t="shared" si="49"/>
        <v/>
      </c>
      <c r="AJ30" s="452" t="str">
        <f t="shared" si="49"/>
        <v/>
      </c>
      <c r="AK30" s="453" t="str">
        <f t="shared" si="49"/>
        <v/>
      </c>
      <c r="AL30" s="451" t="str">
        <f t="shared" si="49"/>
        <v/>
      </c>
      <c r="AM30" s="452" t="str">
        <f t="shared" si="49"/>
        <v/>
      </c>
      <c r="AN30" s="452" t="str">
        <f t="shared" si="49"/>
        <v/>
      </c>
      <c r="AO30" s="452" t="str">
        <f t="shared" si="49"/>
        <v/>
      </c>
      <c r="AP30" s="453" t="str">
        <f t="shared" si="49"/>
        <v/>
      </c>
      <c r="AQ30" s="451" t="str">
        <f t="shared" si="49"/>
        <v/>
      </c>
      <c r="AR30" s="452" t="str">
        <f t="shared" si="49"/>
        <v/>
      </c>
      <c r="AS30" s="452" t="str">
        <f t="shared" si="43"/>
        <v/>
      </c>
      <c r="AT30" s="452" t="str">
        <f t="shared" si="43"/>
        <v/>
      </c>
      <c r="AU30" s="453" t="str">
        <f t="shared" si="43"/>
        <v/>
      </c>
      <c r="AV30" s="451" t="str">
        <f t="shared" si="43"/>
        <v/>
      </c>
      <c r="AW30" s="452" t="str">
        <f t="shared" si="29"/>
        <v/>
      </c>
      <c r="AX30" s="452" t="str">
        <f t="shared" si="29"/>
        <v/>
      </c>
      <c r="AY30" s="452" t="str">
        <f t="shared" si="29"/>
        <v/>
      </c>
      <c r="AZ30" s="453" t="str">
        <f t="shared" si="29"/>
        <v/>
      </c>
      <c r="BA30" s="451" t="str">
        <f t="shared" si="29"/>
        <v/>
      </c>
      <c r="BB30" s="452" t="str">
        <f t="shared" si="29"/>
        <v/>
      </c>
      <c r="BC30" s="452" t="str">
        <f t="shared" si="29"/>
        <v/>
      </c>
      <c r="BD30" s="452" t="str">
        <f t="shared" si="29"/>
        <v/>
      </c>
      <c r="BE30" s="453" t="str">
        <f t="shared" si="29"/>
        <v/>
      </c>
      <c r="BF30" s="451" t="str">
        <f t="shared" si="29"/>
        <v/>
      </c>
      <c r="BG30" s="452" t="str">
        <f t="shared" si="30"/>
        <v/>
      </c>
      <c r="BH30" s="452" t="str">
        <f t="shared" si="30"/>
        <v/>
      </c>
      <c r="BI30" s="452" t="str">
        <f t="shared" si="30"/>
        <v/>
      </c>
      <c r="BJ30" s="453" t="str">
        <f t="shared" si="30"/>
        <v/>
      </c>
      <c r="BK30" s="451" t="str">
        <f t="shared" si="30"/>
        <v/>
      </c>
      <c r="BL30" s="452" t="str">
        <f t="shared" si="30"/>
        <v/>
      </c>
      <c r="BM30" s="452" t="str">
        <f t="shared" si="30"/>
        <v/>
      </c>
      <c r="BN30" s="452" t="str">
        <f t="shared" si="30"/>
        <v/>
      </c>
      <c r="BO30" s="453" t="str">
        <f t="shared" si="30"/>
        <v/>
      </c>
      <c r="BP30" s="451" t="str">
        <f t="shared" si="30"/>
        <v/>
      </c>
      <c r="BQ30" s="452" t="str">
        <f t="shared" si="30"/>
        <v/>
      </c>
      <c r="BR30" s="452" t="str">
        <f t="shared" si="30"/>
        <v/>
      </c>
      <c r="BS30" s="452" t="str">
        <f t="shared" si="30"/>
        <v/>
      </c>
      <c r="BT30" s="453" t="str">
        <f t="shared" si="30"/>
        <v/>
      </c>
      <c r="BU30" s="451" t="str">
        <f t="shared" si="30"/>
        <v/>
      </c>
      <c r="BV30" s="452" t="str">
        <f t="shared" si="30"/>
        <v/>
      </c>
      <c r="BW30" s="452" t="str">
        <f t="shared" si="31"/>
        <v/>
      </c>
      <c r="BX30" s="452" t="str">
        <f t="shared" si="31"/>
        <v/>
      </c>
      <c r="BY30" s="453" t="str">
        <f t="shared" si="31"/>
        <v/>
      </c>
      <c r="BZ30" s="451" t="str">
        <f t="shared" si="31"/>
        <v/>
      </c>
      <c r="CA30" s="452" t="str">
        <f t="shared" si="31"/>
        <v/>
      </c>
      <c r="CB30" s="452" t="str">
        <f t="shared" si="31"/>
        <v/>
      </c>
      <c r="CC30" s="452" t="str">
        <f t="shared" si="31"/>
        <v/>
      </c>
      <c r="CD30" s="453" t="str">
        <f t="shared" si="31"/>
        <v/>
      </c>
      <c r="CE30" s="451" t="str">
        <f t="shared" si="31"/>
        <v/>
      </c>
      <c r="CF30" s="452" t="str">
        <f t="shared" si="31"/>
        <v/>
      </c>
      <c r="CG30" s="452" t="str">
        <f t="shared" si="31"/>
        <v/>
      </c>
      <c r="CH30" s="452" t="str">
        <f t="shared" si="31"/>
        <v/>
      </c>
      <c r="CI30" s="453" t="str">
        <f t="shared" si="31"/>
        <v/>
      </c>
      <c r="CJ30" s="451" t="str">
        <f t="shared" si="31"/>
        <v/>
      </c>
      <c r="CK30" s="452" t="str">
        <f t="shared" si="31"/>
        <v/>
      </c>
      <c r="CL30" s="452" t="str">
        <f t="shared" si="31"/>
        <v/>
      </c>
      <c r="CM30" s="452" t="str">
        <f t="shared" si="32"/>
        <v/>
      </c>
      <c r="CN30" s="453" t="str">
        <f t="shared" si="32"/>
        <v/>
      </c>
      <c r="CO30" s="451" t="str">
        <f t="shared" si="32"/>
        <v/>
      </c>
      <c r="CP30" s="452" t="str">
        <f t="shared" si="32"/>
        <v/>
      </c>
      <c r="CQ30" s="452" t="str">
        <f t="shared" si="32"/>
        <v/>
      </c>
      <c r="CR30" s="452" t="str">
        <f t="shared" si="32"/>
        <v/>
      </c>
      <c r="CS30" s="453" t="str">
        <f t="shared" si="32"/>
        <v/>
      </c>
      <c r="CT30" s="451" t="str">
        <f t="shared" si="32"/>
        <v/>
      </c>
      <c r="CU30" s="452" t="str">
        <f t="shared" si="32"/>
        <v/>
      </c>
      <c r="CV30" s="452" t="str">
        <f t="shared" si="32"/>
        <v/>
      </c>
      <c r="CW30" s="452" t="str">
        <f t="shared" si="32"/>
        <v/>
      </c>
      <c r="CX30" s="453" t="str">
        <f t="shared" si="32"/>
        <v/>
      </c>
      <c r="CY30" s="451" t="str">
        <f t="shared" si="32"/>
        <v/>
      </c>
      <c r="CZ30" s="452" t="str">
        <f t="shared" si="32"/>
        <v/>
      </c>
      <c r="DA30" s="452" t="str">
        <f t="shared" si="32"/>
        <v/>
      </c>
      <c r="DB30" s="452" t="str">
        <f t="shared" si="32"/>
        <v/>
      </c>
      <c r="DC30" s="453" t="str">
        <f t="shared" si="33"/>
        <v/>
      </c>
      <c r="DD30" s="451" t="str">
        <f t="shared" si="33"/>
        <v/>
      </c>
      <c r="DE30" s="452" t="str">
        <f t="shared" si="33"/>
        <v/>
      </c>
      <c r="DF30" s="452" t="str">
        <f t="shared" si="33"/>
        <v/>
      </c>
      <c r="DG30" s="452" t="str">
        <f t="shared" si="33"/>
        <v/>
      </c>
      <c r="DH30" s="453" t="str">
        <f t="shared" si="33"/>
        <v/>
      </c>
      <c r="DI30" s="451" t="str">
        <f t="shared" si="33"/>
        <v/>
      </c>
      <c r="DJ30" s="452" t="str">
        <f t="shared" si="33"/>
        <v/>
      </c>
      <c r="DK30" s="452" t="str">
        <f t="shared" si="33"/>
        <v/>
      </c>
      <c r="DL30" s="452" t="str">
        <f t="shared" si="33"/>
        <v/>
      </c>
      <c r="DM30" s="453" t="str">
        <f t="shared" si="33"/>
        <v/>
      </c>
      <c r="DN30" s="451" t="str">
        <f t="shared" si="33"/>
        <v/>
      </c>
      <c r="DO30" s="452" t="str">
        <f t="shared" si="33"/>
        <v/>
      </c>
      <c r="DP30" s="452" t="str">
        <f t="shared" si="33"/>
        <v/>
      </c>
      <c r="DQ30" s="452" t="str">
        <f t="shared" si="33"/>
        <v/>
      </c>
      <c r="DR30" s="453" t="str">
        <f t="shared" si="33"/>
        <v/>
      </c>
      <c r="DS30" s="451" t="str">
        <f t="shared" si="27"/>
        <v/>
      </c>
      <c r="DT30" s="452" t="str">
        <f t="shared" si="27"/>
        <v/>
      </c>
      <c r="DU30" s="452" t="str">
        <f t="shared" si="27"/>
        <v/>
      </c>
      <c r="DV30" s="452" t="str">
        <f t="shared" si="27"/>
        <v/>
      </c>
      <c r="DW30" s="453" t="str">
        <f t="shared" si="27"/>
        <v/>
      </c>
      <c r="DX30" s="451" t="str">
        <f t="shared" si="27"/>
        <v/>
      </c>
      <c r="DY30" s="452" t="str">
        <f t="shared" si="27"/>
        <v/>
      </c>
      <c r="DZ30" s="452" t="str">
        <f t="shared" si="27"/>
        <v/>
      </c>
      <c r="EA30" s="452" t="str">
        <f t="shared" si="27"/>
        <v/>
      </c>
      <c r="EB30" s="453" t="str">
        <f t="shared" si="27"/>
        <v/>
      </c>
      <c r="EC30" s="451" t="str">
        <f t="shared" si="27"/>
        <v/>
      </c>
      <c r="ED30" s="452" t="str">
        <f t="shared" si="34"/>
        <v/>
      </c>
      <c r="EE30" s="452" t="str">
        <f t="shared" si="34"/>
        <v/>
      </c>
      <c r="EF30" s="452" t="str">
        <f t="shared" si="34"/>
        <v/>
      </c>
      <c r="EG30" s="453" t="str">
        <f t="shared" si="34"/>
        <v/>
      </c>
      <c r="EH30" s="451" t="str">
        <f t="shared" si="34"/>
        <v/>
      </c>
      <c r="EI30" s="452" t="str">
        <f t="shared" si="34"/>
        <v/>
      </c>
      <c r="EJ30" s="452" t="str">
        <f t="shared" si="34"/>
        <v/>
      </c>
      <c r="EK30" s="452" t="str">
        <f t="shared" si="34"/>
        <v/>
      </c>
      <c r="EL30" s="453" t="str">
        <f t="shared" si="34"/>
        <v/>
      </c>
      <c r="EM30" s="451" t="str">
        <f t="shared" si="34"/>
        <v/>
      </c>
      <c r="EN30" s="452" t="str">
        <f t="shared" si="34"/>
        <v/>
      </c>
      <c r="EO30" s="452" t="str">
        <f t="shared" si="34"/>
        <v/>
      </c>
      <c r="EP30" s="452" t="str">
        <f t="shared" si="34"/>
        <v/>
      </c>
      <c r="EQ30" s="453" t="str">
        <f t="shared" si="34"/>
        <v/>
      </c>
      <c r="ER30" s="451" t="str">
        <f t="shared" si="34"/>
        <v/>
      </c>
      <c r="ES30" s="452" t="str">
        <f t="shared" si="34"/>
        <v/>
      </c>
      <c r="ET30" s="452" t="str">
        <f t="shared" si="47"/>
        <v/>
      </c>
      <c r="EU30" s="452" t="str">
        <f t="shared" si="47"/>
        <v/>
      </c>
      <c r="EV30" s="453" t="str">
        <f t="shared" si="47"/>
        <v/>
      </c>
      <c r="EW30" s="451" t="str">
        <f t="shared" si="47"/>
        <v/>
      </c>
      <c r="EX30" s="452" t="str">
        <f t="shared" si="47"/>
        <v/>
      </c>
      <c r="EY30" s="452" t="str">
        <f t="shared" si="47"/>
        <v/>
      </c>
      <c r="EZ30" s="452" t="str">
        <f t="shared" si="47"/>
        <v/>
      </c>
      <c r="FA30" s="453" t="str">
        <f t="shared" si="47"/>
        <v/>
      </c>
      <c r="FB30" s="451" t="str">
        <f t="shared" si="47"/>
        <v/>
      </c>
      <c r="FC30" s="452" t="str">
        <f t="shared" si="47"/>
        <v/>
      </c>
      <c r="FD30" s="452" t="str">
        <f t="shared" si="47"/>
        <v/>
      </c>
      <c r="FE30" s="452" t="str">
        <f t="shared" si="47"/>
        <v/>
      </c>
      <c r="FF30" s="453" t="str">
        <f t="shared" si="47"/>
        <v/>
      </c>
      <c r="FG30" s="451" t="str">
        <f t="shared" si="47"/>
        <v/>
      </c>
      <c r="FH30" s="452" t="str">
        <f t="shared" si="47"/>
        <v/>
      </c>
      <c r="FI30" s="452" t="str">
        <f t="shared" si="47"/>
        <v/>
      </c>
      <c r="FJ30" s="452" t="str">
        <f t="shared" si="44"/>
        <v/>
      </c>
      <c r="FK30" s="453" t="str">
        <f t="shared" si="44"/>
        <v/>
      </c>
      <c r="FL30" s="451" t="str">
        <f t="shared" si="44"/>
        <v/>
      </c>
      <c r="FM30" s="452" t="str">
        <f t="shared" si="44"/>
        <v/>
      </c>
      <c r="FN30" s="452" t="str">
        <f t="shared" si="44"/>
        <v/>
      </c>
      <c r="FO30" s="452" t="str">
        <f t="shared" si="48"/>
        <v/>
      </c>
      <c r="FP30" s="453" t="str">
        <f t="shared" si="48"/>
        <v/>
      </c>
      <c r="FQ30" s="451" t="str">
        <f t="shared" si="48"/>
        <v/>
      </c>
      <c r="FR30" s="452" t="str">
        <f t="shared" si="48"/>
        <v/>
      </c>
      <c r="FS30" s="452" t="str">
        <f t="shared" si="48"/>
        <v/>
      </c>
      <c r="FT30" s="452" t="str">
        <f t="shared" si="48"/>
        <v/>
      </c>
      <c r="FU30" s="453" t="str">
        <f t="shared" si="48"/>
        <v/>
      </c>
      <c r="FV30" s="451" t="str">
        <f t="shared" si="48"/>
        <v/>
      </c>
      <c r="FW30" s="452" t="str">
        <f t="shared" si="48"/>
        <v/>
      </c>
      <c r="FX30" s="452" t="str">
        <f t="shared" si="48"/>
        <v/>
      </c>
      <c r="FY30" s="452" t="str">
        <f t="shared" si="48"/>
        <v/>
      </c>
      <c r="FZ30" s="453" t="str">
        <f t="shared" si="48"/>
        <v/>
      </c>
      <c r="GA30" s="451" t="str">
        <f t="shared" si="48"/>
        <v/>
      </c>
      <c r="GB30" s="452" t="str">
        <f t="shared" si="40"/>
        <v/>
      </c>
      <c r="GC30" s="452" t="str">
        <f t="shared" si="40"/>
        <v/>
      </c>
      <c r="GD30" s="452" t="str">
        <f t="shared" si="40"/>
        <v/>
      </c>
      <c r="GE30" s="453" t="str">
        <f t="shared" si="40"/>
        <v/>
      </c>
      <c r="GF30" s="451" t="str">
        <f t="shared" si="40"/>
        <v/>
      </c>
      <c r="GG30" s="452" t="str">
        <f t="shared" si="40"/>
        <v/>
      </c>
      <c r="GH30" s="452" t="str">
        <f t="shared" si="40"/>
        <v/>
      </c>
      <c r="GI30" s="452" t="str">
        <f t="shared" si="40"/>
        <v/>
      </c>
      <c r="GJ30" s="453" t="str">
        <f t="shared" si="40"/>
        <v/>
      </c>
      <c r="GK30" s="451" t="str">
        <f t="shared" si="40"/>
        <v/>
      </c>
      <c r="GL30" s="452" t="str">
        <f t="shared" si="40"/>
        <v/>
      </c>
      <c r="GM30" s="452" t="str">
        <f t="shared" si="40"/>
        <v/>
      </c>
      <c r="GN30" s="452" t="str">
        <f t="shared" si="40"/>
        <v/>
      </c>
      <c r="GO30" s="453" t="str">
        <f t="shared" si="40"/>
        <v/>
      </c>
      <c r="GP30" s="451" t="str">
        <f t="shared" si="46"/>
        <v/>
      </c>
      <c r="GQ30" s="452" t="str">
        <f t="shared" si="46"/>
        <v/>
      </c>
      <c r="GR30" s="452" t="str">
        <f t="shared" si="46"/>
        <v/>
      </c>
      <c r="GS30" s="452" t="str">
        <f t="shared" si="46"/>
        <v/>
      </c>
      <c r="GT30" s="453" t="str">
        <f t="shared" si="46"/>
        <v/>
      </c>
      <c r="GU30" s="451" t="str">
        <f t="shared" si="46"/>
        <v/>
      </c>
      <c r="GV30" s="452" t="str">
        <f t="shared" si="46"/>
        <v/>
      </c>
      <c r="GW30" s="452" t="str">
        <f t="shared" si="46"/>
        <v/>
      </c>
      <c r="GX30" s="452" t="str">
        <f t="shared" si="46"/>
        <v/>
      </c>
      <c r="GY30" s="453" t="str">
        <f t="shared" si="46"/>
        <v/>
      </c>
      <c r="GZ30" s="451" t="str">
        <f t="shared" si="46"/>
        <v/>
      </c>
      <c r="HA30" s="452" t="str">
        <f t="shared" si="46"/>
        <v/>
      </c>
      <c r="HB30" s="452" t="str">
        <f t="shared" si="46"/>
        <v/>
      </c>
      <c r="HC30" s="452" t="str">
        <f t="shared" si="46"/>
        <v/>
      </c>
      <c r="HD30" s="453" t="str">
        <f t="shared" si="46"/>
        <v/>
      </c>
      <c r="HE30" s="451" t="str">
        <f t="shared" si="46"/>
        <v/>
      </c>
      <c r="HF30" s="452" t="str">
        <f t="shared" si="35"/>
        <v/>
      </c>
      <c r="HG30" s="452" t="str">
        <f t="shared" si="35"/>
        <v/>
      </c>
      <c r="HH30" s="452" t="str">
        <f t="shared" si="35"/>
        <v/>
      </c>
      <c r="HI30" s="453" t="str">
        <f t="shared" si="35"/>
        <v/>
      </c>
      <c r="HJ30" s="451" t="str">
        <f t="shared" si="35"/>
        <v/>
      </c>
      <c r="HK30" s="452" t="str">
        <f t="shared" si="35"/>
        <v/>
      </c>
      <c r="HL30" s="452" t="str">
        <f t="shared" si="35"/>
        <v/>
      </c>
      <c r="HM30" s="452" t="str">
        <f t="shared" si="35"/>
        <v/>
      </c>
      <c r="HN30" s="453" t="str">
        <f t="shared" si="35"/>
        <v/>
      </c>
      <c r="HO30" s="451" t="str">
        <f t="shared" si="35"/>
        <v/>
      </c>
      <c r="HP30" s="452" t="str">
        <f t="shared" si="35"/>
        <v/>
      </c>
      <c r="HQ30" s="452" t="str">
        <f t="shared" si="35"/>
        <v/>
      </c>
      <c r="HR30" s="452" t="str">
        <f t="shared" si="35"/>
        <v/>
      </c>
      <c r="HS30" s="453" t="str">
        <f t="shared" si="35"/>
        <v/>
      </c>
      <c r="HT30" s="451" t="str">
        <f t="shared" si="35"/>
        <v/>
      </c>
      <c r="HU30" s="452" t="str">
        <f t="shared" si="35"/>
        <v/>
      </c>
      <c r="HV30" s="452" t="str">
        <f t="shared" si="36"/>
        <v/>
      </c>
      <c r="HW30" s="452" t="str">
        <f t="shared" si="36"/>
        <v/>
      </c>
      <c r="HX30" s="453" t="str">
        <f t="shared" si="36"/>
        <v/>
      </c>
      <c r="HY30" s="451" t="str">
        <f t="shared" si="36"/>
        <v/>
      </c>
      <c r="HZ30" s="452" t="str">
        <f t="shared" si="36"/>
        <v/>
      </c>
      <c r="IA30" s="452" t="str">
        <f t="shared" si="36"/>
        <v/>
      </c>
      <c r="IB30" s="452" t="str">
        <f t="shared" si="36"/>
        <v/>
      </c>
      <c r="IC30" s="453" t="str">
        <f t="shared" si="36"/>
        <v/>
      </c>
      <c r="ID30" s="451" t="str">
        <f t="shared" si="36"/>
        <v/>
      </c>
      <c r="IE30" s="452" t="str">
        <f t="shared" si="36"/>
        <v/>
      </c>
      <c r="IF30" s="452" t="str">
        <f t="shared" si="36"/>
        <v/>
      </c>
      <c r="IG30" s="452" t="str">
        <f t="shared" si="36"/>
        <v/>
      </c>
      <c r="IH30" s="453" t="str">
        <f t="shared" si="36"/>
        <v/>
      </c>
      <c r="II30" s="451" t="str">
        <f t="shared" si="36"/>
        <v/>
      </c>
      <c r="IJ30" s="452" t="str">
        <f t="shared" si="36"/>
        <v/>
      </c>
      <c r="IK30" s="452" t="str">
        <f t="shared" si="36"/>
        <v/>
      </c>
      <c r="IL30" s="452" t="str">
        <f t="shared" si="37"/>
        <v/>
      </c>
      <c r="IM30" s="453" t="str">
        <f t="shared" si="37"/>
        <v/>
      </c>
      <c r="IN30" s="451" t="str">
        <f t="shared" si="37"/>
        <v/>
      </c>
      <c r="IO30" s="452" t="str">
        <f t="shared" si="37"/>
        <v/>
      </c>
      <c r="IP30" s="452" t="str">
        <f t="shared" si="37"/>
        <v/>
      </c>
      <c r="IQ30" s="452" t="str">
        <f t="shared" si="37"/>
        <v/>
      </c>
      <c r="IR30" s="453" t="str">
        <f t="shared" si="37"/>
        <v/>
      </c>
    </row>
    <row r="31" spans="1:252" x14ac:dyDescent="0.2">
      <c r="A31" s="461">
        <v>3.5</v>
      </c>
      <c r="C31" s="447" t="s">
        <v>1355</v>
      </c>
      <c r="D31" s="447"/>
      <c r="E31" s="448"/>
      <c r="F31" s="448"/>
      <c r="G31" s="448"/>
      <c r="H31" s="448"/>
      <c r="I31" s="448"/>
      <c r="J31" s="449" t="str">
        <f t="shared" si="38"/>
        <v/>
      </c>
      <c r="K31" s="449" t="str">
        <f t="shared" si="39"/>
        <v/>
      </c>
      <c r="L31" s="450">
        <f t="shared" si="0"/>
        <v>0</v>
      </c>
      <c r="M31" s="451" t="str">
        <f t="shared" si="42"/>
        <v/>
      </c>
      <c r="N31" s="452" t="str">
        <f t="shared" si="24"/>
        <v/>
      </c>
      <c r="O31" s="452" t="str">
        <f t="shared" si="24"/>
        <v/>
      </c>
      <c r="P31" s="452" t="str">
        <f t="shared" si="24"/>
        <v/>
      </c>
      <c r="Q31" s="453" t="str">
        <f t="shared" si="24"/>
        <v/>
      </c>
      <c r="R31" s="451" t="str">
        <f t="shared" si="42"/>
        <v/>
      </c>
      <c r="S31" s="452" t="str">
        <f t="shared" si="24"/>
        <v/>
      </c>
      <c r="T31" s="452" t="str">
        <f t="shared" si="24"/>
        <v/>
      </c>
      <c r="U31" s="452" t="str">
        <f t="shared" si="24"/>
        <v/>
      </c>
      <c r="V31" s="453" t="str">
        <f t="shared" si="24"/>
        <v/>
      </c>
      <c r="W31" s="451" t="str">
        <f t="shared" si="42"/>
        <v/>
      </c>
      <c r="X31" s="452" t="str">
        <f t="shared" si="24"/>
        <v/>
      </c>
      <c r="Y31" s="452" t="str">
        <f t="shared" si="24"/>
        <v/>
      </c>
      <c r="Z31" s="452" t="str">
        <f t="shared" si="24"/>
        <v/>
      </c>
      <c r="AA31" s="453" t="str">
        <f t="shared" si="24"/>
        <v/>
      </c>
      <c r="AB31" s="451" t="str">
        <f t="shared" si="42"/>
        <v/>
      </c>
      <c r="AC31" s="452" t="str">
        <f t="shared" si="49"/>
        <v/>
      </c>
      <c r="AD31" s="452" t="str">
        <f t="shared" si="49"/>
        <v/>
      </c>
      <c r="AE31" s="452" t="str">
        <f t="shared" si="49"/>
        <v/>
      </c>
      <c r="AF31" s="453" t="str">
        <f t="shared" si="49"/>
        <v/>
      </c>
      <c r="AG31" s="451" t="str">
        <f t="shared" si="49"/>
        <v/>
      </c>
      <c r="AH31" s="452" t="str">
        <f t="shared" si="49"/>
        <v/>
      </c>
      <c r="AI31" s="452" t="str">
        <f t="shared" si="49"/>
        <v/>
      </c>
      <c r="AJ31" s="452" t="str">
        <f t="shared" si="49"/>
        <v/>
      </c>
      <c r="AK31" s="453" t="str">
        <f t="shared" si="49"/>
        <v/>
      </c>
      <c r="AL31" s="451" t="str">
        <f t="shared" si="49"/>
        <v/>
      </c>
      <c r="AM31" s="452" t="str">
        <f t="shared" si="49"/>
        <v/>
      </c>
      <c r="AN31" s="452" t="str">
        <f t="shared" si="49"/>
        <v/>
      </c>
      <c r="AO31" s="452" t="str">
        <f t="shared" si="49"/>
        <v/>
      </c>
      <c r="AP31" s="453" t="str">
        <f t="shared" si="49"/>
        <v/>
      </c>
      <c r="AQ31" s="451" t="str">
        <f t="shared" si="49"/>
        <v/>
      </c>
      <c r="AR31" s="452" t="str">
        <f t="shared" si="49"/>
        <v/>
      </c>
      <c r="AS31" s="452" t="str">
        <f t="shared" si="43"/>
        <v/>
      </c>
      <c r="AT31" s="452" t="str">
        <f t="shared" si="43"/>
        <v/>
      </c>
      <c r="AU31" s="453" t="str">
        <f t="shared" si="43"/>
        <v/>
      </c>
      <c r="AV31" s="451" t="str">
        <f t="shared" si="43"/>
        <v/>
      </c>
      <c r="AW31" s="452" t="str">
        <f t="shared" si="29"/>
        <v/>
      </c>
      <c r="AX31" s="452" t="str">
        <f t="shared" si="29"/>
        <v/>
      </c>
      <c r="AY31" s="452" t="str">
        <f t="shared" si="29"/>
        <v/>
      </c>
      <c r="AZ31" s="453" t="str">
        <f t="shared" si="29"/>
        <v/>
      </c>
      <c r="BA31" s="451" t="str">
        <f t="shared" si="29"/>
        <v/>
      </c>
      <c r="BB31" s="452" t="str">
        <f t="shared" si="29"/>
        <v/>
      </c>
      <c r="BC31" s="452" t="str">
        <f t="shared" si="29"/>
        <v/>
      </c>
      <c r="BD31" s="452" t="str">
        <f t="shared" si="29"/>
        <v/>
      </c>
      <c r="BE31" s="453" t="str">
        <f t="shared" si="29"/>
        <v/>
      </c>
      <c r="BF31" s="451" t="str">
        <f t="shared" si="29"/>
        <v/>
      </c>
      <c r="BG31" s="452" t="str">
        <f t="shared" si="30"/>
        <v/>
      </c>
      <c r="BH31" s="452" t="str">
        <f t="shared" si="30"/>
        <v/>
      </c>
      <c r="BI31" s="452" t="str">
        <f t="shared" si="30"/>
        <v/>
      </c>
      <c r="BJ31" s="453" t="str">
        <f t="shared" si="30"/>
        <v/>
      </c>
      <c r="BK31" s="451" t="str">
        <f t="shared" si="30"/>
        <v/>
      </c>
      <c r="BL31" s="452" t="str">
        <f t="shared" si="30"/>
        <v/>
      </c>
      <c r="BM31" s="452" t="str">
        <f t="shared" si="30"/>
        <v/>
      </c>
      <c r="BN31" s="452" t="str">
        <f t="shared" si="30"/>
        <v/>
      </c>
      <c r="BO31" s="453" t="str">
        <f t="shared" si="30"/>
        <v/>
      </c>
      <c r="BP31" s="451" t="str">
        <f t="shared" si="30"/>
        <v/>
      </c>
      <c r="BQ31" s="452" t="str">
        <f t="shared" si="30"/>
        <v/>
      </c>
      <c r="BR31" s="452" t="str">
        <f t="shared" si="30"/>
        <v/>
      </c>
      <c r="BS31" s="452" t="str">
        <f t="shared" si="30"/>
        <v/>
      </c>
      <c r="BT31" s="453" t="str">
        <f t="shared" si="30"/>
        <v/>
      </c>
      <c r="BU31" s="451" t="str">
        <f t="shared" si="30"/>
        <v/>
      </c>
      <c r="BV31" s="452" t="str">
        <f t="shared" si="30"/>
        <v/>
      </c>
      <c r="BW31" s="452" t="str">
        <f t="shared" si="31"/>
        <v/>
      </c>
      <c r="BX31" s="452" t="str">
        <f t="shared" si="31"/>
        <v/>
      </c>
      <c r="BY31" s="453" t="str">
        <f t="shared" si="31"/>
        <v/>
      </c>
      <c r="BZ31" s="451" t="str">
        <f t="shared" si="31"/>
        <v/>
      </c>
      <c r="CA31" s="452" t="str">
        <f t="shared" si="31"/>
        <v/>
      </c>
      <c r="CB31" s="452" t="str">
        <f t="shared" si="31"/>
        <v/>
      </c>
      <c r="CC31" s="452" t="str">
        <f t="shared" si="31"/>
        <v/>
      </c>
      <c r="CD31" s="453" t="str">
        <f t="shared" si="31"/>
        <v/>
      </c>
      <c r="CE31" s="451" t="str">
        <f t="shared" si="31"/>
        <v/>
      </c>
      <c r="CF31" s="452" t="str">
        <f t="shared" si="31"/>
        <v/>
      </c>
      <c r="CG31" s="452" t="str">
        <f t="shared" si="31"/>
        <v/>
      </c>
      <c r="CH31" s="452" t="str">
        <f t="shared" si="31"/>
        <v/>
      </c>
      <c r="CI31" s="453" t="str">
        <f t="shared" si="31"/>
        <v/>
      </c>
      <c r="CJ31" s="451" t="str">
        <f t="shared" si="31"/>
        <v/>
      </c>
      <c r="CK31" s="452" t="str">
        <f t="shared" si="31"/>
        <v/>
      </c>
      <c r="CL31" s="452" t="str">
        <f t="shared" si="31"/>
        <v/>
      </c>
      <c r="CM31" s="452" t="str">
        <f t="shared" si="32"/>
        <v/>
      </c>
      <c r="CN31" s="453" t="str">
        <f t="shared" si="32"/>
        <v/>
      </c>
      <c r="CO31" s="451" t="str">
        <f t="shared" si="32"/>
        <v/>
      </c>
      <c r="CP31" s="452" t="str">
        <f t="shared" si="32"/>
        <v/>
      </c>
      <c r="CQ31" s="452" t="str">
        <f t="shared" si="32"/>
        <v/>
      </c>
      <c r="CR31" s="452" t="str">
        <f t="shared" si="32"/>
        <v/>
      </c>
      <c r="CS31" s="453" t="str">
        <f t="shared" si="32"/>
        <v/>
      </c>
      <c r="CT31" s="451" t="str">
        <f t="shared" si="32"/>
        <v/>
      </c>
      <c r="CU31" s="452" t="str">
        <f t="shared" si="32"/>
        <v/>
      </c>
      <c r="CV31" s="452" t="str">
        <f t="shared" si="32"/>
        <v/>
      </c>
      <c r="CW31" s="452" t="str">
        <f t="shared" si="32"/>
        <v/>
      </c>
      <c r="CX31" s="453" t="str">
        <f t="shared" si="32"/>
        <v/>
      </c>
      <c r="CY31" s="451" t="str">
        <f t="shared" si="32"/>
        <v/>
      </c>
      <c r="CZ31" s="452" t="str">
        <f t="shared" si="32"/>
        <v/>
      </c>
      <c r="DA31" s="452" t="str">
        <f t="shared" si="32"/>
        <v/>
      </c>
      <c r="DB31" s="452" t="str">
        <f t="shared" si="32"/>
        <v/>
      </c>
      <c r="DC31" s="453" t="str">
        <f t="shared" si="33"/>
        <v/>
      </c>
      <c r="DD31" s="451" t="str">
        <f t="shared" si="33"/>
        <v/>
      </c>
      <c r="DE31" s="452" t="str">
        <f t="shared" si="33"/>
        <v/>
      </c>
      <c r="DF31" s="452" t="str">
        <f t="shared" si="33"/>
        <v/>
      </c>
      <c r="DG31" s="452" t="str">
        <f t="shared" si="33"/>
        <v/>
      </c>
      <c r="DH31" s="453" t="str">
        <f t="shared" si="33"/>
        <v/>
      </c>
      <c r="DI31" s="451" t="str">
        <f t="shared" si="33"/>
        <v/>
      </c>
      <c r="DJ31" s="452" t="str">
        <f t="shared" si="33"/>
        <v/>
      </c>
      <c r="DK31" s="452" t="str">
        <f t="shared" si="33"/>
        <v/>
      </c>
      <c r="DL31" s="452" t="str">
        <f t="shared" si="33"/>
        <v/>
      </c>
      <c r="DM31" s="453" t="str">
        <f t="shared" si="33"/>
        <v/>
      </c>
      <c r="DN31" s="451" t="str">
        <f t="shared" si="33"/>
        <v/>
      </c>
      <c r="DO31" s="452" t="str">
        <f t="shared" si="27"/>
        <v/>
      </c>
      <c r="DP31" s="452" t="str">
        <f t="shared" si="27"/>
        <v/>
      </c>
      <c r="DQ31" s="452" t="str">
        <f t="shared" si="27"/>
        <v/>
      </c>
      <c r="DR31" s="453" t="str">
        <f t="shared" si="27"/>
        <v/>
      </c>
      <c r="DS31" s="451" t="str">
        <f t="shared" si="27"/>
        <v/>
      </c>
      <c r="DT31" s="452" t="str">
        <f t="shared" si="27"/>
        <v/>
      </c>
      <c r="DU31" s="452" t="str">
        <f t="shared" si="27"/>
        <v/>
      </c>
      <c r="DV31" s="452" t="str">
        <f t="shared" si="27"/>
        <v/>
      </c>
      <c r="DW31" s="453" t="str">
        <f t="shared" si="27"/>
        <v/>
      </c>
      <c r="DX31" s="451" t="str">
        <f t="shared" si="27"/>
        <v/>
      </c>
      <c r="DY31" s="452" t="str">
        <f t="shared" si="27"/>
        <v/>
      </c>
      <c r="DZ31" s="452" t="str">
        <f t="shared" si="27"/>
        <v/>
      </c>
      <c r="EA31" s="452" t="str">
        <f t="shared" si="27"/>
        <v/>
      </c>
      <c r="EB31" s="453" t="str">
        <f t="shared" si="27"/>
        <v/>
      </c>
      <c r="EC31" s="451" t="str">
        <f t="shared" si="27"/>
        <v/>
      </c>
      <c r="ED31" s="452" t="str">
        <f t="shared" si="34"/>
        <v/>
      </c>
      <c r="EE31" s="452" t="str">
        <f t="shared" si="34"/>
        <v/>
      </c>
      <c r="EF31" s="452" t="str">
        <f t="shared" si="34"/>
        <v/>
      </c>
      <c r="EG31" s="453" t="str">
        <f t="shared" si="34"/>
        <v/>
      </c>
      <c r="EH31" s="451" t="str">
        <f t="shared" si="34"/>
        <v/>
      </c>
      <c r="EI31" s="452" t="str">
        <f t="shared" si="34"/>
        <v/>
      </c>
      <c r="EJ31" s="452" t="str">
        <f t="shared" si="34"/>
        <v/>
      </c>
      <c r="EK31" s="452" t="str">
        <f t="shared" si="34"/>
        <v/>
      </c>
      <c r="EL31" s="453" t="str">
        <f t="shared" si="34"/>
        <v/>
      </c>
      <c r="EM31" s="451" t="str">
        <f t="shared" si="34"/>
        <v/>
      </c>
      <c r="EN31" s="452" t="str">
        <f t="shared" si="34"/>
        <v/>
      </c>
      <c r="EO31" s="452" t="str">
        <f t="shared" si="34"/>
        <v/>
      </c>
      <c r="EP31" s="452" t="str">
        <f t="shared" si="34"/>
        <v/>
      </c>
      <c r="EQ31" s="453" t="str">
        <f t="shared" si="34"/>
        <v/>
      </c>
      <c r="ER31" s="451" t="str">
        <f t="shared" si="34"/>
        <v/>
      </c>
      <c r="ES31" s="452" t="str">
        <f t="shared" si="34"/>
        <v/>
      </c>
      <c r="ET31" s="452" t="str">
        <f t="shared" si="47"/>
        <v/>
      </c>
      <c r="EU31" s="452" t="str">
        <f t="shared" si="47"/>
        <v/>
      </c>
      <c r="EV31" s="453" t="str">
        <f t="shared" si="47"/>
        <v/>
      </c>
      <c r="EW31" s="451" t="str">
        <f t="shared" si="47"/>
        <v/>
      </c>
      <c r="EX31" s="452" t="str">
        <f t="shared" si="47"/>
        <v/>
      </c>
      <c r="EY31" s="452" t="str">
        <f t="shared" si="47"/>
        <v/>
      </c>
      <c r="EZ31" s="452" t="str">
        <f t="shared" si="47"/>
        <v/>
      </c>
      <c r="FA31" s="453" t="str">
        <f t="shared" si="47"/>
        <v/>
      </c>
      <c r="FB31" s="451" t="str">
        <f t="shared" si="47"/>
        <v/>
      </c>
      <c r="FC31" s="452" t="str">
        <f t="shared" si="47"/>
        <v/>
      </c>
      <c r="FD31" s="452" t="str">
        <f t="shared" si="47"/>
        <v/>
      </c>
      <c r="FE31" s="452" t="str">
        <f t="shared" si="47"/>
        <v/>
      </c>
      <c r="FF31" s="453" t="str">
        <f t="shared" si="47"/>
        <v/>
      </c>
      <c r="FG31" s="451" t="str">
        <f t="shared" si="47"/>
        <v/>
      </c>
      <c r="FH31" s="452" t="str">
        <f t="shared" si="47"/>
        <v/>
      </c>
      <c r="FI31" s="452" t="str">
        <f t="shared" si="47"/>
        <v/>
      </c>
      <c r="FJ31" s="452" t="str">
        <f t="shared" si="44"/>
        <v/>
      </c>
      <c r="FK31" s="453" t="str">
        <f t="shared" si="44"/>
        <v/>
      </c>
      <c r="FL31" s="451" t="str">
        <f t="shared" si="44"/>
        <v/>
      </c>
      <c r="FM31" s="452" t="str">
        <f t="shared" si="44"/>
        <v/>
      </c>
      <c r="FN31" s="452" t="str">
        <f t="shared" si="44"/>
        <v/>
      </c>
      <c r="FO31" s="452" t="str">
        <f t="shared" si="48"/>
        <v/>
      </c>
      <c r="FP31" s="453" t="str">
        <f t="shared" si="48"/>
        <v/>
      </c>
      <c r="FQ31" s="451" t="str">
        <f t="shared" si="48"/>
        <v/>
      </c>
      <c r="FR31" s="452" t="str">
        <f t="shared" si="48"/>
        <v/>
      </c>
      <c r="FS31" s="452" t="str">
        <f t="shared" si="48"/>
        <v/>
      </c>
      <c r="FT31" s="452" t="str">
        <f t="shared" si="48"/>
        <v/>
      </c>
      <c r="FU31" s="453" t="str">
        <f t="shared" si="48"/>
        <v/>
      </c>
      <c r="FV31" s="451" t="str">
        <f t="shared" si="45"/>
        <v/>
      </c>
      <c r="FW31" s="452" t="str">
        <f t="shared" si="45"/>
        <v/>
      </c>
      <c r="FX31" s="452" t="str">
        <f t="shared" si="45"/>
        <v/>
      </c>
      <c r="FY31" s="452" t="str">
        <f t="shared" si="45"/>
        <v/>
      </c>
      <c r="FZ31" s="453" t="str">
        <f t="shared" si="45"/>
        <v/>
      </c>
      <c r="GA31" s="451" t="str">
        <f t="shared" si="45"/>
        <v/>
      </c>
      <c r="GB31" s="452" t="str">
        <f t="shared" si="40"/>
        <v/>
      </c>
      <c r="GC31" s="452" t="str">
        <f t="shared" si="40"/>
        <v/>
      </c>
      <c r="GD31" s="452" t="str">
        <f t="shared" si="40"/>
        <v/>
      </c>
      <c r="GE31" s="453" t="str">
        <f t="shared" si="40"/>
        <v/>
      </c>
      <c r="GF31" s="451" t="str">
        <f t="shared" si="40"/>
        <v/>
      </c>
      <c r="GG31" s="452" t="str">
        <f t="shared" si="40"/>
        <v/>
      </c>
      <c r="GH31" s="452" t="str">
        <f t="shared" si="40"/>
        <v/>
      </c>
      <c r="GI31" s="452" t="str">
        <f t="shared" si="40"/>
        <v/>
      </c>
      <c r="GJ31" s="453" t="str">
        <f t="shared" si="40"/>
        <v/>
      </c>
      <c r="GK31" s="451" t="str">
        <f t="shared" si="40"/>
        <v/>
      </c>
      <c r="GL31" s="452" t="str">
        <f t="shared" si="40"/>
        <v/>
      </c>
      <c r="GM31" s="452" t="str">
        <f t="shared" si="40"/>
        <v/>
      </c>
      <c r="GN31" s="452" t="str">
        <f t="shared" si="40"/>
        <v/>
      </c>
      <c r="GO31" s="453" t="str">
        <f t="shared" si="40"/>
        <v/>
      </c>
      <c r="GP31" s="451" t="str">
        <f t="shared" si="46"/>
        <v/>
      </c>
      <c r="GQ31" s="452" t="str">
        <f t="shared" si="46"/>
        <v/>
      </c>
      <c r="GR31" s="452" t="str">
        <f t="shared" si="46"/>
        <v/>
      </c>
      <c r="GS31" s="452" t="str">
        <f t="shared" si="46"/>
        <v/>
      </c>
      <c r="GT31" s="453" t="str">
        <f t="shared" si="46"/>
        <v/>
      </c>
      <c r="GU31" s="451" t="str">
        <f t="shared" si="46"/>
        <v/>
      </c>
      <c r="GV31" s="452" t="str">
        <f t="shared" si="46"/>
        <v/>
      </c>
      <c r="GW31" s="452" t="str">
        <f t="shared" si="46"/>
        <v/>
      </c>
      <c r="GX31" s="452" t="str">
        <f t="shared" si="46"/>
        <v/>
      </c>
      <c r="GY31" s="453" t="str">
        <f t="shared" si="46"/>
        <v/>
      </c>
      <c r="GZ31" s="451" t="str">
        <f t="shared" si="46"/>
        <v/>
      </c>
      <c r="HA31" s="452" t="str">
        <f t="shared" si="46"/>
        <v/>
      </c>
      <c r="HB31" s="452" t="str">
        <f t="shared" si="46"/>
        <v/>
      </c>
      <c r="HC31" s="452" t="str">
        <f t="shared" si="46"/>
        <v/>
      </c>
      <c r="HD31" s="453" t="str">
        <f t="shared" si="46"/>
        <v/>
      </c>
      <c r="HE31" s="451" t="str">
        <f t="shared" si="46"/>
        <v/>
      </c>
      <c r="HF31" s="452" t="str">
        <f t="shared" si="35"/>
        <v/>
      </c>
      <c r="HG31" s="452" t="str">
        <f t="shared" si="35"/>
        <v/>
      </c>
      <c r="HH31" s="452" t="str">
        <f t="shared" si="35"/>
        <v/>
      </c>
      <c r="HI31" s="453" t="str">
        <f t="shared" si="35"/>
        <v/>
      </c>
      <c r="HJ31" s="451" t="str">
        <f t="shared" si="35"/>
        <v/>
      </c>
      <c r="HK31" s="452" t="str">
        <f t="shared" si="35"/>
        <v/>
      </c>
      <c r="HL31" s="452" t="str">
        <f t="shared" si="35"/>
        <v/>
      </c>
      <c r="HM31" s="452" t="str">
        <f t="shared" si="35"/>
        <v/>
      </c>
      <c r="HN31" s="453" t="str">
        <f t="shared" si="35"/>
        <v/>
      </c>
      <c r="HO31" s="451" t="str">
        <f t="shared" si="35"/>
        <v/>
      </c>
      <c r="HP31" s="452" t="str">
        <f t="shared" si="35"/>
        <v/>
      </c>
      <c r="HQ31" s="452" t="str">
        <f t="shared" si="35"/>
        <v/>
      </c>
      <c r="HR31" s="452" t="str">
        <f t="shared" si="35"/>
        <v/>
      </c>
      <c r="HS31" s="453" t="str">
        <f t="shared" si="35"/>
        <v/>
      </c>
      <c r="HT31" s="451" t="str">
        <f t="shared" si="35"/>
        <v/>
      </c>
      <c r="HU31" s="452" t="str">
        <f t="shared" si="35"/>
        <v/>
      </c>
      <c r="HV31" s="452" t="str">
        <f t="shared" si="36"/>
        <v/>
      </c>
      <c r="HW31" s="452" t="str">
        <f t="shared" si="36"/>
        <v/>
      </c>
      <c r="HX31" s="453" t="str">
        <f t="shared" si="36"/>
        <v/>
      </c>
      <c r="HY31" s="451" t="str">
        <f t="shared" si="36"/>
        <v/>
      </c>
      <c r="HZ31" s="452" t="str">
        <f t="shared" si="36"/>
        <v/>
      </c>
      <c r="IA31" s="452" t="str">
        <f t="shared" si="36"/>
        <v/>
      </c>
      <c r="IB31" s="452" t="str">
        <f t="shared" si="36"/>
        <v/>
      </c>
      <c r="IC31" s="453" t="str">
        <f t="shared" si="36"/>
        <v/>
      </c>
      <c r="ID31" s="451" t="str">
        <f t="shared" si="36"/>
        <v/>
      </c>
      <c r="IE31" s="452" t="str">
        <f t="shared" si="36"/>
        <v/>
      </c>
      <c r="IF31" s="452" t="str">
        <f t="shared" si="36"/>
        <v/>
      </c>
      <c r="IG31" s="452" t="str">
        <f t="shared" si="36"/>
        <v/>
      </c>
      <c r="IH31" s="453" t="str">
        <f t="shared" si="36"/>
        <v/>
      </c>
      <c r="II31" s="451" t="str">
        <f t="shared" si="36"/>
        <v/>
      </c>
      <c r="IJ31" s="452" t="str">
        <f t="shared" si="36"/>
        <v/>
      </c>
      <c r="IK31" s="452" t="str">
        <f t="shared" si="36"/>
        <v/>
      </c>
      <c r="IL31" s="452" t="str">
        <f t="shared" si="37"/>
        <v/>
      </c>
      <c r="IM31" s="453" t="str">
        <f t="shared" si="37"/>
        <v/>
      </c>
      <c r="IN31" s="451" t="str">
        <f t="shared" si="37"/>
        <v/>
      </c>
      <c r="IO31" s="452" t="str">
        <f t="shared" si="37"/>
        <v/>
      </c>
      <c r="IP31" s="452" t="str">
        <f t="shared" si="37"/>
        <v/>
      </c>
      <c r="IQ31" s="452" t="str">
        <f t="shared" si="37"/>
        <v/>
      </c>
      <c r="IR31" s="453" t="str">
        <f t="shared" si="37"/>
        <v/>
      </c>
    </row>
    <row r="32" spans="1:252" x14ac:dyDescent="0.2">
      <c r="A32" s="461">
        <v>3.6</v>
      </c>
      <c r="C32" s="447" t="s">
        <v>1356</v>
      </c>
      <c r="D32" s="447"/>
      <c r="E32" s="448"/>
      <c r="F32" s="448"/>
      <c r="G32" s="448"/>
      <c r="H32" s="448"/>
      <c r="I32" s="448"/>
      <c r="J32" s="449" t="str">
        <f t="shared" si="38"/>
        <v/>
      </c>
      <c r="K32" s="449" t="str">
        <f t="shared" si="39"/>
        <v/>
      </c>
      <c r="L32" s="450">
        <f t="shared" si="0"/>
        <v>0</v>
      </c>
      <c r="M32" s="451" t="str">
        <f t="shared" si="42"/>
        <v/>
      </c>
      <c r="N32" s="452" t="str">
        <f t="shared" si="24"/>
        <v/>
      </c>
      <c r="O32" s="452" t="str">
        <f t="shared" si="24"/>
        <v/>
      </c>
      <c r="P32" s="452" t="str">
        <f t="shared" si="24"/>
        <v/>
      </c>
      <c r="Q32" s="453" t="str">
        <f t="shared" si="24"/>
        <v/>
      </c>
      <c r="R32" s="451" t="str">
        <f t="shared" si="42"/>
        <v/>
      </c>
      <c r="S32" s="452" t="str">
        <f t="shared" si="24"/>
        <v/>
      </c>
      <c r="T32" s="452" t="str">
        <f t="shared" si="24"/>
        <v/>
      </c>
      <c r="U32" s="452" t="str">
        <f t="shared" si="24"/>
        <v/>
      </c>
      <c r="V32" s="453" t="str">
        <f t="shared" si="24"/>
        <v/>
      </c>
      <c r="W32" s="451" t="str">
        <f t="shared" si="42"/>
        <v/>
      </c>
      <c r="X32" s="452" t="str">
        <f t="shared" si="24"/>
        <v/>
      </c>
      <c r="Y32" s="452" t="str">
        <f t="shared" si="24"/>
        <v/>
      </c>
      <c r="Z32" s="452" t="str">
        <f t="shared" si="24"/>
        <v/>
      </c>
      <c r="AA32" s="453" t="str">
        <f t="shared" si="24"/>
        <v/>
      </c>
      <c r="AB32" s="451" t="str">
        <f t="shared" si="42"/>
        <v/>
      </c>
      <c r="AC32" s="452" t="str">
        <f t="shared" si="49"/>
        <v/>
      </c>
      <c r="AD32" s="452" t="str">
        <f t="shared" si="49"/>
        <v/>
      </c>
      <c r="AE32" s="452" t="str">
        <f t="shared" si="49"/>
        <v/>
      </c>
      <c r="AF32" s="453" t="str">
        <f t="shared" si="49"/>
        <v/>
      </c>
      <c r="AG32" s="451" t="str">
        <f t="shared" si="49"/>
        <v/>
      </c>
      <c r="AH32" s="452" t="str">
        <f t="shared" si="49"/>
        <v/>
      </c>
      <c r="AI32" s="452" t="str">
        <f t="shared" si="49"/>
        <v/>
      </c>
      <c r="AJ32" s="452" t="str">
        <f t="shared" si="49"/>
        <v/>
      </c>
      <c r="AK32" s="453" t="str">
        <f t="shared" si="49"/>
        <v/>
      </c>
      <c r="AL32" s="451" t="str">
        <f t="shared" si="49"/>
        <v/>
      </c>
      <c r="AM32" s="452" t="str">
        <f t="shared" si="49"/>
        <v/>
      </c>
      <c r="AN32" s="452" t="str">
        <f t="shared" si="49"/>
        <v/>
      </c>
      <c r="AO32" s="452" t="str">
        <f t="shared" si="49"/>
        <v/>
      </c>
      <c r="AP32" s="453" t="str">
        <f t="shared" si="49"/>
        <v/>
      </c>
      <c r="AQ32" s="451" t="str">
        <f t="shared" si="49"/>
        <v/>
      </c>
      <c r="AR32" s="452" t="str">
        <f t="shared" si="49"/>
        <v/>
      </c>
      <c r="AS32" s="452" t="str">
        <f t="shared" si="43"/>
        <v/>
      </c>
      <c r="AT32" s="452" t="str">
        <f t="shared" si="43"/>
        <v/>
      </c>
      <c r="AU32" s="453" t="str">
        <f t="shared" si="43"/>
        <v/>
      </c>
      <c r="AV32" s="451" t="str">
        <f t="shared" si="43"/>
        <v/>
      </c>
      <c r="AW32" s="452" t="str">
        <f t="shared" si="29"/>
        <v/>
      </c>
      <c r="AX32" s="452" t="str">
        <f t="shared" si="29"/>
        <v/>
      </c>
      <c r="AY32" s="452" t="str">
        <f t="shared" si="29"/>
        <v/>
      </c>
      <c r="AZ32" s="453" t="str">
        <f t="shared" si="29"/>
        <v/>
      </c>
      <c r="BA32" s="451" t="str">
        <f t="shared" si="29"/>
        <v/>
      </c>
      <c r="BB32" s="452" t="str">
        <f t="shared" si="29"/>
        <v/>
      </c>
      <c r="BC32" s="452" t="str">
        <f t="shared" si="29"/>
        <v/>
      </c>
      <c r="BD32" s="452" t="str">
        <f t="shared" si="29"/>
        <v/>
      </c>
      <c r="BE32" s="453" t="str">
        <f t="shared" si="29"/>
        <v/>
      </c>
      <c r="BF32" s="451" t="str">
        <f t="shared" si="29"/>
        <v/>
      </c>
      <c r="BG32" s="452" t="str">
        <f t="shared" si="30"/>
        <v/>
      </c>
      <c r="BH32" s="452" t="str">
        <f t="shared" si="30"/>
        <v/>
      </c>
      <c r="BI32" s="452" t="str">
        <f t="shared" si="30"/>
        <v/>
      </c>
      <c r="BJ32" s="453" t="str">
        <f t="shared" si="30"/>
        <v/>
      </c>
      <c r="BK32" s="451" t="str">
        <f t="shared" si="30"/>
        <v/>
      </c>
      <c r="BL32" s="452" t="str">
        <f t="shared" si="30"/>
        <v/>
      </c>
      <c r="BM32" s="452" t="str">
        <f t="shared" si="30"/>
        <v/>
      </c>
      <c r="BN32" s="452" t="str">
        <f t="shared" si="30"/>
        <v/>
      </c>
      <c r="BO32" s="453" t="str">
        <f t="shared" si="30"/>
        <v/>
      </c>
      <c r="BP32" s="451" t="str">
        <f t="shared" si="30"/>
        <v/>
      </c>
      <c r="BQ32" s="452" t="str">
        <f t="shared" si="30"/>
        <v/>
      </c>
      <c r="BR32" s="452" t="str">
        <f t="shared" si="30"/>
        <v/>
      </c>
      <c r="BS32" s="452" t="str">
        <f t="shared" si="30"/>
        <v/>
      </c>
      <c r="BT32" s="453" t="str">
        <f t="shared" si="30"/>
        <v/>
      </c>
      <c r="BU32" s="451" t="str">
        <f t="shared" si="30"/>
        <v/>
      </c>
      <c r="BV32" s="452" t="str">
        <f t="shared" si="30"/>
        <v/>
      </c>
      <c r="BW32" s="452" t="str">
        <f t="shared" si="31"/>
        <v/>
      </c>
      <c r="BX32" s="452" t="str">
        <f t="shared" si="31"/>
        <v/>
      </c>
      <c r="BY32" s="453" t="str">
        <f t="shared" si="31"/>
        <v/>
      </c>
      <c r="BZ32" s="451" t="str">
        <f t="shared" si="31"/>
        <v/>
      </c>
      <c r="CA32" s="452" t="str">
        <f t="shared" si="31"/>
        <v/>
      </c>
      <c r="CB32" s="452" t="str">
        <f t="shared" si="31"/>
        <v/>
      </c>
      <c r="CC32" s="452" t="str">
        <f t="shared" si="31"/>
        <v/>
      </c>
      <c r="CD32" s="453" t="str">
        <f t="shared" si="31"/>
        <v/>
      </c>
      <c r="CE32" s="451" t="str">
        <f t="shared" si="31"/>
        <v/>
      </c>
      <c r="CF32" s="452" t="str">
        <f t="shared" si="31"/>
        <v/>
      </c>
      <c r="CG32" s="452" t="str">
        <f t="shared" si="31"/>
        <v/>
      </c>
      <c r="CH32" s="452" t="str">
        <f t="shared" si="31"/>
        <v/>
      </c>
      <c r="CI32" s="453" t="str">
        <f t="shared" si="31"/>
        <v/>
      </c>
      <c r="CJ32" s="451" t="str">
        <f t="shared" si="31"/>
        <v/>
      </c>
      <c r="CK32" s="452" t="str">
        <f t="shared" si="31"/>
        <v/>
      </c>
      <c r="CL32" s="452" t="str">
        <f t="shared" si="31"/>
        <v/>
      </c>
      <c r="CM32" s="452" t="str">
        <f t="shared" si="32"/>
        <v/>
      </c>
      <c r="CN32" s="453" t="str">
        <f t="shared" si="32"/>
        <v/>
      </c>
      <c r="CO32" s="451" t="str">
        <f t="shared" si="32"/>
        <v/>
      </c>
      <c r="CP32" s="452" t="str">
        <f t="shared" si="32"/>
        <v/>
      </c>
      <c r="CQ32" s="452" t="str">
        <f t="shared" si="32"/>
        <v/>
      </c>
      <c r="CR32" s="452" t="str">
        <f t="shared" si="32"/>
        <v/>
      </c>
      <c r="CS32" s="453" t="str">
        <f t="shared" si="32"/>
        <v/>
      </c>
      <c r="CT32" s="451" t="str">
        <f t="shared" si="32"/>
        <v/>
      </c>
      <c r="CU32" s="452" t="str">
        <f t="shared" si="32"/>
        <v/>
      </c>
      <c r="CV32" s="452" t="str">
        <f t="shared" si="32"/>
        <v/>
      </c>
      <c r="CW32" s="452" t="str">
        <f t="shared" si="32"/>
        <v/>
      </c>
      <c r="CX32" s="453" t="str">
        <f t="shared" si="32"/>
        <v/>
      </c>
      <c r="CY32" s="451" t="str">
        <f t="shared" si="32"/>
        <v/>
      </c>
      <c r="CZ32" s="452" t="str">
        <f t="shared" si="32"/>
        <v/>
      </c>
      <c r="DA32" s="452" t="str">
        <f t="shared" si="32"/>
        <v/>
      </c>
      <c r="DB32" s="452" t="str">
        <f t="shared" si="32"/>
        <v/>
      </c>
      <c r="DC32" s="453" t="str">
        <f t="shared" si="33"/>
        <v/>
      </c>
      <c r="DD32" s="451" t="str">
        <f t="shared" si="33"/>
        <v/>
      </c>
      <c r="DE32" s="452" t="str">
        <f t="shared" si="33"/>
        <v/>
      </c>
      <c r="DF32" s="452" t="str">
        <f t="shared" si="33"/>
        <v/>
      </c>
      <c r="DG32" s="452" t="str">
        <f t="shared" si="33"/>
        <v/>
      </c>
      <c r="DH32" s="453" t="str">
        <f t="shared" si="33"/>
        <v/>
      </c>
      <c r="DI32" s="451" t="str">
        <f t="shared" si="33"/>
        <v/>
      </c>
      <c r="DJ32" s="452" t="str">
        <f t="shared" si="33"/>
        <v/>
      </c>
      <c r="DK32" s="452" t="str">
        <f t="shared" si="33"/>
        <v/>
      </c>
      <c r="DL32" s="452" t="str">
        <f t="shared" si="33"/>
        <v/>
      </c>
      <c r="DM32" s="453" t="str">
        <f t="shared" si="33"/>
        <v/>
      </c>
      <c r="DN32" s="451" t="str">
        <f t="shared" si="33"/>
        <v/>
      </c>
      <c r="DO32" s="452" t="str">
        <f t="shared" si="27"/>
        <v/>
      </c>
      <c r="DP32" s="452" t="str">
        <f t="shared" si="27"/>
        <v/>
      </c>
      <c r="DQ32" s="452" t="str">
        <f t="shared" si="27"/>
        <v/>
      </c>
      <c r="DR32" s="453" t="str">
        <f t="shared" si="27"/>
        <v/>
      </c>
      <c r="DS32" s="451" t="str">
        <f t="shared" si="27"/>
        <v/>
      </c>
      <c r="DT32" s="452" t="str">
        <f t="shared" si="27"/>
        <v/>
      </c>
      <c r="DU32" s="452" t="str">
        <f t="shared" si="27"/>
        <v/>
      </c>
      <c r="DV32" s="452" t="str">
        <f t="shared" si="27"/>
        <v/>
      </c>
      <c r="DW32" s="453" t="str">
        <f>IF(AND(DW$2&gt;=$J32,DW$2&lt;=$K32),1,"")</f>
        <v/>
      </c>
      <c r="DX32" s="451" t="str">
        <f>IF(AND(DX$2&gt;=$J32,DX$2&lt;=$K32),1,"")</f>
        <v/>
      </c>
      <c r="DY32" s="452" t="str">
        <f>IF(AND(DY$2&gt;=$J32,DY$2&lt;=$K32),1,"")</f>
        <v/>
      </c>
      <c r="DZ32" s="452" t="str">
        <f t="shared" si="27"/>
        <v/>
      </c>
      <c r="EA32" s="452" t="str">
        <f t="shared" si="27"/>
        <v/>
      </c>
      <c r="EB32" s="453" t="str">
        <f t="shared" si="27"/>
        <v/>
      </c>
      <c r="EC32" s="451" t="str">
        <f t="shared" si="27"/>
        <v/>
      </c>
      <c r="ED32" s="452" t="str">
        <f t="shared" si="34"/>
        <v/>
      </c>
      <c r="EE32" s="452" t="str">
        <f t="shared" si="34"/>
        <v/>
      </c>
      <c r="EF32" s="452" t="str">
        <f t="shared" si="34"/>
        <v/>
      </c>
      <c r="EG32" s="453" t="str">
        <f t="shared" si="34"/>
        <v/>
      </c>
      <c r="EH32" s="451" t="str">
        <f t="shared" si="34"/>
        <v/>
      </c>
      <c r="EI32" s="452" t="str">
        <f t="shared" si="34"/>
        <v/>
      </c>
      <c r="EJ32" s="452" t="str">
        <f t="shared" si="34"/>
        <v/>
      </c>
      <c r="EK32" s="452" t="str">
        <f t="shared" si="34"/>
        <v/>
      </c>
      <c r="EL32" s="453" t="str">
        <f t="shared" si="34"/>
        <v/>
      </c>
      <c r="EM32" s="451" t="str">
        <f t="shared" si="34"/>
        <v/>
      </c>
      <c r="EN32" s="452" t="str">
        <f t="shared" si="34"/>
        <v/>
      </c>
      <c r="EO32" s="452" t="str">
        <f t="shared" si="34"/>
        <v/>
      </c>
      <c r="EP32" s="452" t="str">
        <f t="shared" si="34"/>
        <v/>
      </c>
      <c r="EQ32" s="453" t="str">
        <f t="shared" si="34"/>
        <v/>
      </c>
      <c r="ER32" s="451" t="str">
        <f t="shared" si="34"/>
        <v/>
      </c>
      <c r="ES32" s="452" t="str">
        <f t="shared" si="34"/>
        <v/>
      </c>
      <c r="ET32" s="452" t="str">
        <f t="shared" si="47"/>
        <v/>
      </c>
      <c r="EU32" s="452" t="str">
        <f t="shared" si="47"/>
        <v/>
      </c>
      <c r="EV32" s="453" t="str">
        <f t="shared" si="47"/>
        <v/>
      </c>
      <c r="EW32" s="451" t="str">
        <f t="shared" si="47"/>
        <v/>
      </c>
      <c r="EX32" s="452" t="str">
        <f t="shared" si="47"/>
        <v/>
      </c>
      <c r="EY32" s="452" t="str">
        <f t="shared" si="47"/>
        <v/>
      </c>
      <c r="EZ32" s="452" t="str">
        <f t="shared" si="47"/>
        <v/>
      </c>
      <c r="FA32" s="453" t="str">
        <f t="shared" si="47"/>
        <v/>
      </c>
      <c r="FB32" s="451" t="str">
        <f t="shared" si="47"/>
        <v/>
      </c>
      <c r="FC32" s="452" t="str">
        <f t="shared" si="47"/>
        <v/>
      </c>
      <c r="FD32" s="452" t="str">
        <f t="shared" si="47"/>
        <v/>
      </c>
      <c r="FE32" s="452" t="str">
        <f t="shared" si="47"/>
        <v/>
      </c>
      <c r="FF32" s="453" t="str">
        <f t="shared" si="47"/>
        <v/>
      </c>
      <c r="FG32" s="451" t="str">
        <f t="shared" si="47"/>
        <v/>
      </c>
      <c r="FH32" s="452" t="str">
        <f t="shared" si="47"/>
        <v/>
      </c>
      <c r="FI32" s="452" t="str">
        <f t="shared" si="47"/>
        <v/>
      </c>
      <c r="FJ32" s="452" t="str">
        <f t="shared" si="44"/>
        <v/>
      </c>
      <c r="FK32" s="453" t="str">
        <f t="shared" si="44"/>
        <v/>
      </c>
      <c r="FL32" s="451" t="str">
        <f t="shared" si="44"/>
        <v/>
      </c>
      <c r="FM32" s="452" t="str">
        <f t="shared" si="44"/>
        <v/>
      </c>
      <c r="FN32" s="452" t="str">
        <f t="shared" si="44"/>
        <v/>
      </c>
      <c r="FO32" s="452" t="str">
        <f t="shared" si="48"/>
        <v/>
      </c>
      <c r="FP32" s="453" t="str">
        <f t="shared" si="48"/>
        <v/>
      </c>
      <c r="FQ32" s="451" t="str">
        <f t="shared" si="48"/>
        <v/>
      </c>
      <c r="FR32" s="452" t="str">
        <f t="shared" si="48"/>
        <v/>
      </c>
      <c r="FS32" s="452" t="str">
        <f t="shared" si="48"/>
        <v/>
      </c>
      <c r="FT32" s="452" t="str">
        <f t="shared" si="48"/>
        <v/>
      </c>
      <c r="FU32" s="453" t="str">
        <f t="shared" si="48"/>
        <v/>
      </c>
      <c r="FV32" s="451" t="str">
        <f t="shared" si="45"/>
        <v/>
      </c>
      <c r="FW32" s="452" t="str">
        <f t="shared" si="45"/>
        <v/>
      </c>
      <c r="FX32" s="452" t="str">
        <f t="shared" si="45"/>
        <v/>
      </c>
      <c r="FY32" s="452" t="str">
        <f t="shared" si="45"/>
        <v/>
      </c>
      <c r="FZ32" s="453" t="str">
        <f t="shared" si="45"/>
        <v/>
      </c>
      <c r="GA32" s="451" t="str">
        <f t="shared" si="45"/>
        <v/>
      </c>
      <c r="GB32" s="452" t="str">
        <f t="shared" si="45"/>
        <v/>
      </c>
      <c r="GC32" s="452" t="str">
        <f t="shared" si="45"/>
        <v/>
      </c>
      <c r="GD32" s="452" t="str">
        <f t="shared" si="45"/>
        <v/>
      </c>
      <c r="GE32" s="453" t="str">
        <f t="shared" si="45"/>
        <v/>
      </c>
      <c r="GF32" s="451" t="str">
        <f t="shared" si="45"/>
        <v/>
      </c>
      <c r="GG32" s="452" t="str">
        <f t="shared" si="45"/>
        <v/>
      </c>
      <c r="GH32" s="452" t="str">
        <f t="shared" si="45"/>
        <v/>
      </c>
      <c r="GI32" s="452" t="str">
        <f t="shared" si="45"/>
        <v/>
      </c>
      <c r="GJ32" s="453" t="str">
        <f t="shared" si="40"/>
        <v/>
      </c>
      <c r="GK32" s="451" t="str">
        <f t="shared" si="40"/>
        <v/>
      </c>
      <c r="GL32" s="452" t="str">
        <f t="shared" si="40"/>
        <v/>
      </c>
      <c r="GM32" s="452" t="str">
        <f t="shared" si="40"/>
        <v/>
      </c>
      <c r="GN32" s="452" t="str">
        <f t="shared" si="40"/>
        <v/>
      </c>
      <c r="GO32" s="453" t="str">
        <f t="shared" si="40"/>
        <v/>
      </c>
      <c r="GP32" s="451" t="str">
        <f t="shared" si="46"/>
        <v/>
      </c>
      <c r="GQ32" s="452" t="str">
        <f t="shared" si="46"/>
        <v/>
      </c>
      <c r="GR32" s="452" t="str">
        <f t="shared" si="46"/>
        <v/>
      </c>
      <c r="GS32" s="452" t="str">
        <f t="shared" si="46"/>
        <v/>
      </c>
      <c r="GT32" s="453" t="str">
        <f t="shared" si="46"/>
        <v/>
      </c>
      <c r="GU32" s="451" t="str">
        <f t="shared" si="46"/>
        <v/>
      </c>
      <c r="GV32" s="452" t="str">
        <f t="shared" si="46"/>
        <v/>
      </c>
      <c r="GW32" s="452" t="str">
        <f t="shared" si="46"/>
        <v/>
      </c>
      <c r="GX32" s="452" t="str">
        <f t="shared" si="46"/>
        <v/>
      </c>
      <c r="GY32" s="453" t="str">
        <f t="shared" si="46"/>
        <v/>
      </c>
      <c r="GZ32" s="451" t="str">
        <f t="shared" si="46"/>
        <v/>
      </c>
      <c r="HA32" s="452" t="str">
        <f t="shared" si="46"/>
        <v/>
      </c>
      <c r="HB32" s="452" t="str">
        <f t="shared" si="46"/>
        <v/>
      </c>
      <c r="HC32" s="452" t="str">
        <f t="shared" si="46"/>
        <v/>
      </c>
      <c r="HD32" s="453" t="str">
        <f t="shared" si="46"/>
        <v/>
      </c>
      <c r="HE32" s="451" t="str">
        <f t="shared" si="46"/>
        <v/>
      </c>
      <c r="HF32" s="452" t="str">
        <f t="shared" si="35"/>
        <v/>
      </c>
      <c r="HG32" s="452" t="str">
        <f t="shared" si="35"/>
        <v/>
      </c>
      <c r="HH32" s="452" t="str">
        <f t="shared" si="35"/>
        <v/>
      </c>
      <c r="HI32" s="453" t="str">
        <f t="shared" si="35"/>
        <v/>
      </c>
      <c r="HJ32" s="451" t="str">
        <f t="shared" si="35"/>
        <v/>
      </c>
      <c r="HK32" s="452" t="str">
        <f t="shared" si="35"/>
        <v/>
      </c>
      <c r="HL32" s="452" t="str">
        <f t="shared" si="35"/>
        <v/>
      </c>
      <c r="HM32" s="452" t="str">
        <f t="shared" si="35"/>
        <v/>
      </c>
      <c r="HN32" s="453" t="str">
        <f t="shared" si="35"/>
        <v/>
      </c>
      <c r="HO32" s="451" t="str">
        <f t="shared" si="35"/>
        <v/>
      </c>
      <c r="HP32" s="452" t="str">
        <f t="shared" si="35"/>
        <v/>
      </c>
      <c r="HQ32" s="452" t="str">
        <f t="shared" si="35"/>
        <v/>
      </c>
      <c r="HR32" s="452" t="str">
        <f t="shared" si="35"/>
        <v/>
      </c>
      <c r="HS32" s="453" t="str">
        <f t="shared" si="35"/>
        <v/>
      </c>
      <c r="HT32" s="451" t="str">
        <f t="shared" si="35"/>
        <v/>
      </c>
      <c r="HU32" s="452" t="str">
        <f t="shared" si="35"/>
        <v/>
      </c>
      <c r="HV32" s="452" t="str">
        <f t="shared" si="36"/>
        <v/>
      </c>
      <c r="HW32" s="452" t="str">
        <f t="shared" si="36"/>
        <v/>
      </c>
      <c r="HX32" s="453" t="str">
        <f t="shared" si="36"/>
        <v/>
      </c>
      <c r="HY32" s="451" t="str">
        <f t="shared" si="36"/>
        <v/>
      </c>
      <c r="HZ32" s="452" t="str">
        <f t="shared" si="36"/>
        <v/>
      </c>
      <c r="IA32" s="452" t="str">
        <f t="shared" si="36"/>
        <v/>
      </c>
      <c r="IB32" s="452" t="str">
        <f t="shared" si="36"/>
        <v/>
      </c>
      <c r="IC32" s="453" t="str">
        <f t="shared" si="36"/>
        <v/>
      </c>
      <c r="ID32" s="451" t="str">
        <f t="shared" si="36"/>
        <v/>
      </c>
      <c r="IE32" s="452" t="str">
        <f t="shared" si="36"/>
        <v/>
      </c>
      <c r="IF32" s="452" t="str">
        <f t="shared" si="36"/>
        <v/>
      </c>
      <c r="IG32" s="452" t="str">
        <f t="shared" si="36"/>
        <v/>
      </c>
      <c r="IH32" s="453" t="str">
        <f t="shared" si="36"/>
        <v/>
      </c>
      <c r="II32" s="451" t="str">
        <f t="shared" si="36"/>
        <v/>
      </c>
      <c r="IJ32" s="452" t="str">
        <f t="shared" si="36"/>
        <v/>
      </c>
      <c r="IK32" s="452" t="str">
        <f t="shared" si="36"/>
        <v/>
      </c>
      <c r="IL32" s="452" t="str">
        <f t="shared" si="37"/>
        <v/>
      </c>
      <c r="IM32" s="453" t="str">
        <f t="shared" si="37"/>
        <v/>
      </c>
      <c r="IN32" s="451" t="str">
        <f t="shared" si="37"/>
        <v/>
      </c>
      <c r="IO32" s="452" t="str">
        <f t="shared" si="37"/>
        <v/>
      </c>
      <c r="IP32" s="452" t="str">
        <f t="shared" si="37"/>
        <v/>
      </c>
      <c r="IQ32" s="452" t="str">
        <f t="shared" si="37"/>
        <v/>
      </c>
      <c r="IR32" s="453" t="str">
        <f t="shared" si="37"/>
        <v/>
      </c>
    </row>
    <row r="33" spans="1:252" x14ac:dyDescent="0.2">
      <c r="A33" s="461">
        <v>3.7</v>
      </c>
      <c r="C33" s="447" t="s">
        <v>1357</v>
      </c>
      <c r="D33" s="447"/>
      <c r="E33" s="448"/>
      <c r="F33" s="448"/>
      <c r="G33" s="448"/>
      <c r="H33" s="448"/>
      <c r="I33" s="448"/>
      <c r="J33" s="449" t="str">
        <f t="shared" si="38"/>
        <v/>
      </c>
      <c r="K33" s="449" t="str">
        <f t="shared" si="39"/>
        <v/>
      </c>
      <c r="L33" s="450">
        <f t="shared" si="0"/>
        <v>0</v>
      </c>
      <c r="M33" s="451" t="str">
        <f t="shared" si="42"/>
        <v/>
      </c>
      <c r="N33" s="452" t="str">
        <f t="shared" si="42"/>
        <v/>
      </c>
      <c r="O33" s="452" t="str">
        <f t="shared" si="42"/>
        <v/>
      </c>
      <c r="P33" s="452" t="str">
        <f t="shared" si="42"/>
        <v/>
      </c>
      <c r="Q33" s="453" t="str">
        <f t="shared" si="42"/>
        <v/>
      </c>
      <c r="R33" s="451" t="str">
        <f t="shared" si="42"/>
        <v/>
      </c>
      <c r="S33" s="452" t="str">
        <f t="shared" si="42"/>
        <v/>
      </c>
      <c r="T33" s="452" t="str">
        <f t="shared" si="42"/>
        <v/>
      </c>
      <c r="U33" s="452" t="str">
        <f t="shared" si="42"/>
        <v/>
      </c>
      <c r="V33" s="453" t="str">
        <f t="shared" si="42"/>
        <v/>
      </c>
      <c r="W33" s="451" t="str">
        <f t="shared" si="42"/>
        <v/>
      </c>
      <c r="X33" s="452" t="str">
        <f t="shared" si="42"/>
        <v/>
      </c>
      <c r="Y33" s="452" t="str">
        <f t="shared" si="42"/>
        <v/>
      </c>
      <c r="Z33" s="452" t="str">
        <f t="shared" si="42"/>
        <v/>
      </c>
      <c r="AA33" s="453" t="str">
        <f t="shared" si="42"/>
        <v/>
      </c>
      <c r="AB33" s="451" t="str">
        <f t="shared" si="42"/>
        <v/>
      </c>
      <c r="AC33" s="452" t="str">
        <f t="shared" si="49"/>
        <v/>
      </c>
      <c r="AD33" s="452" t="str">
        <f t="shared" si="49"/>
        <v/>
      </c>
      <c r="AE33" s="452" t="str">
        <f t="shared" si="49"/>
        <v/>
      </c>
      <c r="AF33" s="453" t="str">
        <f t="shared" si="49"/>
        <v/>
      </c>
      <c r="AG33" s="451" t="str">
        <f t="shared" si="49"/>
        <v/>
      </c>
      <c r="AH33" s="452" t="str">
        <f t="shared" si="49"/>
        <v/>
      </c>
      <c r="AI33" s="452" t="str">
        <f t="shared" si="49"/>
        <v/>
      </c>
      <c r="AJ33" s="452" t="str">
        <f t="shared" si="49"/>
        <v/>
      </c>
      <c r="AK33" s="453" t="str">
        <f t="shared" si="49"/>
        <v/>
      </c>
      <c r="AL33" s="451" t="str">
        <f t="shared" si="49"/>
        <v/>
      </c>
      <c r="AM33" s="452" t="str">
        <f t="shared" si="49"/>
        <v/>
      </c>
      <c r="AN33" s="452" t="str">
        <f t="shared" si="49"/>
        <v/>
      </c>
      <c r="AO33" s="452" t="str">
        <f t="shared" si="49"/>
        <v/>
      </c>
      <c r="AP33" s="453" t="str">
        <f t="shared" si="49"/>
        <v/>
      </c>
      <c r="AQ33" s="451" t="str">
        <f t="shared" si="49"/>
        <v/>
      </c>
      <c r="AR33" s="452" t="str">
        <f t="shared" si="43"/>
        <v/>
      </c>
      <c r="AS33" s="452" t="str">
        <f t="shared" si="43"/>
        <v/>
      </c>
      <c r="AT33" s="452" t="str">
        <f t="shared" si="43"/>
        <v/>
      </c>
      <c r="AU33" s="453" t="str">
        <f t="shared" si="43"/>
        <v/>
      </c>
      <c r="AV33" s="451" t="str">
        <f t="shared" si="43"/>
        <v/>
      </c>
      <c r="AW33" s="452" t="str">
        <f t="shared" si="29"/>
        <v/>
      </c>
      <c r="AX33" s="452" t="str">
        <f t="shared" si="29"/>
        <v/>
      </c>
      <c r="AY33" s="452" t="str">
        <f t="shared" si="29"/>
        <v/>
      </c>
      <c r="AZ33" s="453" t="str">
        <f t="shared" si="29"/>
        <v/>
      </c>
      <c r="BA33" s="451" t="str">
        <f t="shared" si="29"/>
        <v/>
      </c>
      <c r="BB33" s="452" t="str">
        <f t="shared" si="29"/>
        <v/>
      </c>
      <c r="BC33" s="452" t="str">
        <f t="shared" si="29"/>
        <v/>
      </c>
      <c r="BD33" s="452" t="str">
        <f t="shared" si="29"/>
        <v/>
      </c>
      <c r="BE33" s="453" t="str">
        <f t="shared" si="29"/>
        <v/>
      </c>
      <c r="BF33" s="451" t="str">
        <f t="shared" si="29"/>
        <v/>
      </c>
      <c r="BG33" s="452" t="str">
        <f t="shared" si="30"/>
        <v/>
      </c>
      <c r="BH33" s="452" t="str">
        <f t="shared" si="30"/>
        <v/>
      </c>
      <c r="BI33" s="452" t="str">
        <f t="shared" si="30"/>
        <v/>
      </c>
      <c r="BJ33" s="453" t="str">
        <f t="shared" si="30"/>
        <v/>
      </c>
      <c r="BK33" s="451" t="str">
        <f t="shared" si="30"/>
        <v/>
      </c>
      <c r="BL33" s="452" t="str">
        <f t="shared" si="30"/>
        <v/>
      </c>
      <c r="BM33" s="452" t="str">
        <f t="shared" si="30"/>
        <v/>
      </c>
      <c r="BN33" s="452" t="str">
        <f t="shared" si="30"/>
        <v/>
      </c>
      <c r="BO33" s="453" t="str">
        <f t="shared" si="30"/>
        <v/>
      </c>
      <c r="BP33" s="451" t="str">
        <f t="shared" si="30"/>
        <v/>
      </c>
      <c r="BQ33" s="452" t="str">
        <f t="shared" si="30"/>
        <v/>
      </c>
      <c r="BR33" s="452" t="str">
        <f t="shared" si="30"/>
        <v/>
      </c>
      <c r="BS33" s="452" t="str">
        <f t="shared" si="30"/>
        <v/>
      </c>
      <c r="BT33" s="453" t="str">
        <f t="shared" si="30"/>
        <v/>
      </c>
      <c r="BU33" s="451" t="str">
        <f t="shared" si="30"/>
        <v/>
      </c>
      <c r="BV33" s="452" t="str">
        <f t="shared" si="30"/>
        <v/>
      </c>
      <c r="BW33" s="452" t="str">
        <f t="shared" si="31"/>
        <v/>
      </c>
      <c r="BX33" s="452" t="str">
        <f t="shared" si="31"/>
        <v/>
      </c>
      <c r="BY33" s="453" t="str">
        <f t="shared" si="31"/>
        <v/>
      </c>
      <c r="BZ33" s="451" t="str">
        <f t="shared" si="31"/>
        <v/>
      </c>
      <c r="CA33" s="452" t="str">
        <f t="shared" si="31"/>
        <v/>
      </c>
      <c r="CB33" s="452" t="str">
        <f t="shared" si="31"/>
        <v/>
      </c>
      <c r="CC33" s="452" t="str">
        <f t="shared" si="31"/>
        <v/>
      </c>
      <c r="CD33" s="453" t="str">
        <f t="shared" si="31"/>
        <v/>
      </c>
      <c r="CE33" s="451" t="str">
        <f t="shared" si="31"/>
        <v/>
      </c>
      <c r="CF33" s="452" t="str">
        <f t="shared" si="31"/>
        <v/>
      </c>
      <c r="CG33" s="452" t="str">
        <f t="shared" si="31"/>
        <v/>
      </c>
      <c r="CH33" s="452" t="str">
        <f t="shared" si="31"/>
        <v/>
      </c>
      <c r="CI33" s="453" t="str">
        <f t="shared" si="31"/>
        <v/>
      </c>
      <c r="CJ33" s="451" t="str">
        <f t="shared" si="31"/>
        <v/>
      </c>
      <c r="CK33" s="452" t="str">
        <f t="shared" si="31"/>
        <v/>
      </c>
      <c r="CL33" s="452" t="str">
        <f t="shared" si="31"/>
        <v/>
      </c>
      <c r="CM33" s="452" t="str">
        <f t="shared" si="32"/>
        <v/>
      </c>
      <c r="CN33" s="453" t="str">
        <f t="shared" si="32"/>
        <v/>
      </c>
      <c r="CO33" s="451" t="str">
        <f t="shared" si="32"/>
        <v/>
      </c>
      <c r="CP33" s="452" t="str">
        <f t="shared" si="32"/>
        <v/>
      </c>
      <c r="CQ33" s="452" t="str">
        <f t="shared" si="32"/>
        <v/>
      </c>
      <c r="CR33" s="452" t="str">
        <f t="shared" si="32"/>
        <v/>
      </c>
      <c r="CS33" s="453" t="str">
        <f t="shared" si="32"/>
        <v/>
      </c>
      <c r="CT33" s="451" t="str">
        <f t="shared" si="32"/>
        <v/>
      </c>
      <c r="CU33" s="452" t="str">
        <f t="shared" si="32"/>
        <v/>
      </c>
      <c r="CV33" s="452" t="str">
        <f t="shared" si="32"/>
        <v/>
      </c>
      <c r="CW33" s="452" t="str">
        <f t="shared" si="32"/>
        <v/>
      </c>
      <c r="CX33" s="453" t="str">
        <f t="shared" si="32"/>
        <v/>
      </c>
      <c r="CY33" s="451" t="str">
        <f t="shared" si="32"/>
        <v/>
      </c>
      <c r="CZ33" s="452" t="str">
        <f t="shared" si="32"/>
        <v/>
      </c>
      <c r="DA33" s="452" t="str">
        <f t="shared" si="32"/>
        <v/>
      </c>
      <c r="DB33" s="452" t="str">
        <f t="shared" si="32"/>
        <v/>
      </c>
      <c r="DC33" s="453" t="str">
        <f t="shared" si="33"/>
        <v/>
      </c>
      <c r="DD33" s="451" t="str">
        <f t="shared" si="33"/>
        <v/>
      </c>
      <c r="DE33" s="452" t="str">
        <f t="shared" si="33"/>
        <v/>
      </c>
      <c r="DF33" s="452" t="str">
        <f t="shared" si="33"/>
        <v/>
      </c>
      <c r="DG33" s="452" t="str">
        <f t="shared" si="33"/>
        <v/>
      </c>
      <c r="DH33" s="453" t="str">
        <f t="shared" si="33"/>
        <v/>
      </c>
      <c r="DI33" s="451" t="str">
        <f t="shared" si="33"/>
        <v/>
      </c>
      <c r="DJ33" s="452" t="str">
        <f t="shared" si="33"/>
        <v/>
      </c>
      <c r="DK33" s="452" t="str">
        <f t="shared" si="33"/>
        <v/>
      </c>
      <c r="DL33" s="452" t="str">
        <f t="shared" si="33"/>
        <v/>
      </c>
      <c r="DM33" s="453" t="str">
        <f t="shared" si="33"/>
        <v/>
      </c>
      <c r="DN33" s="451" t="str">
        <f t="shared" si="33"/>
        <v/>
      </c>
      <c r="DO33" s="452" t="str">
        <f t="shared" si="33"/>
        <v/>
      </c>
      <c r="DP33" s="452" t="str">
        <f t="shared" si="33"/>
        <v/>
      </c>
      <c r="DQ33" s="452" t="str">
        <f t="shared" si="33"/>
        <v/>
      </c>
      <c r="DR33" s="453" t="str">
        <f t="shared" si="33"/>
        <v/>
      </c>
      <c r="DS33" s="451" t="str">
        <f t="shared" si="27"/>
        <v/>
      </c>
      <c r="DT33" s="452" t="str">
        <f t="shared" si="27"/>
        <v/>
      </c>
      <c r="DU33" s="452" t="str">
        <f t="shared" si="27"/>
        <v/>
      </c>
      <c r="DV33" s="452" t="str">
        <f t="shared" si="27"/>
        <v/>
      </c>
      <c r="DW33" s="453" t="str">
        <f t="shared" si="27"/>
        <v/>
      </c>
      <c r="DX33" s="451" t="str">
        <f t="shared" si="27"/>
        <v/>
      </c>
      <c r="DY33" s="452" t="str">
        <f>IF(AND(DY$2&gt;=$J33,DY$2&lt;=$K33),1,"")</f>
        <v/>
      </c>
      <c r="DZ33" s="452" t="str">
        <f t="shared" si="27"/>
        <v/>
      </c>
      <c r="EA33" s="452" t="str">
        <f t="shared" si="27"/>
        <v/>
      </c>
      <c r="EB33" s="453" t="str">
        <f t="shared" si="27"/>
        <v/>
      </c>
      <c r="EC33" s="451" t="str">
        <f t="shared" si="27"/>
        <v/>
      </c>
      <c r="ED33" s="452" t="str">
        <f t="shared" si="34"/>
        <v/>
      </c>
      <c r="EE33" s="452" t="str">
        <f t="shared" si="34"/>
        <v/>
      </c>
      <c r="EF33" s="452" t="str">
        <f t="shared" si="34"/>
        <v/>
      </c>
      <c r="EG33" s="453" t="str">
        <f t="shared" si="34"/>
        <v/>
      </c>
      <c r="EH33" s="451" t="str">
        <f t="shared" si="34"/>
        <v/>
      </c>
      <c r="EI33" s="452" t="str">
        <f t="shared" si="34"/>
        <v/>
      </c>
      <c r="EJ33" s="452" t="str">
        <f t="shared" si="34"/>
        <v/>
      </c>
      <c r="EK33" s="452" t="str">
        <f t="shared" si="34"/>
        <v/>
      </c>
      <c r="EL33" s="453" t="str">
        <f t="shared" si="34"/>
        <v/>
      </c>
      <c r="EM33" s="451" t="str">
        <f t="shared" si="34"/>
        <v/>
      </c>
      <c r="EN33" s="452" t="str">
        <f t="shared" si="34"/>
        <v/>
      </c>
      <c r="EO33" s="452" t="str">
        <f t="shared" si="34"/>
        <v/>
      </c>
      <c r="EP33" s="452" t="str">
        <f t="shared" si="34"/>
        <v/>
      </c>
      <c r="EQ33" s="453" t="str">
        <f t="shared" si="34"/>
        <v/>
      </c>
      <c r="ER33" s="451" t="str">
        <f t="shared" si="34"/>
        <v/>
      </c>
      <c r="ES33" s="452" t="str">
        <f t="shared" si="34"/>
        <v/>
      </c>
      <c r="ET33" s="452" t="str">
        <f t="shared" si="47"/>
        <v/>
      </c>
      <c r="EU33" s="452" t="str">
        <f t="shared" si="47"/>
        <v/>
      </c>
      <c r="EV33" s="453" t="str">
        <f t="shared" si="47"/>
        <v/>
      </c>
      <c r="EW33" s="451" t="str">
        <f t="shared" si="47"/>
        <v/>
      </c>
      <c r="EX33" s="452" t="str">
        <f t="shared" si="47"/>
        <v/>
      </c>
      <c r="EY33" s="452" t="str">
        <f t="shared" si="47"/>
        <v/>
      </c>
      <c r="EZ33" s="452" t="str">
        <f t="shared" si="47"/>
        <v/>
      </c>
      <c r="FA33" s="453" t="str">
        <f t="shared" si="47"/>
        <v/>
      </c>
      <c r="FB33" s="451" t="str">
        <f t="shared" si="47"/>
        <v/>
      </c>
      <c r="FC33" s="452" t="str">
        <f t="shared" si="47"/>
        <v/>
      </c>
      <c r="FD33" s="452" t="str">
        <f t="shared" si="47"/>
        <v/>
      </c>
      <c r="FE33" s="452" t="str">
        <f t="shared" si="47"/>
        <v/>
      </c>
      <c r="FF33" s="453" t="str">
        <f t="shared" si="47"/>
        <v/>
      </c>
      <c r="FG33" s="451" t="str">
        <f t="shared" si="47"/>
        <v/>
      </c>
      <c r="FH33" s="452" t="str">
        <f t="shared" si="47"/>
        <v/>
      </c>
      <c r="FI33" s="452" t="str">
        <f t="shared" si="47"/>
        <v/>
      </c>
      <c r="FJ33" s="452" t="str">
        <f t="shared" si="44"/>
        <v/>
      </c>
      <c r="FK33" s="453" t="str">
        <f t="shared" si="44"/>
        <v/>
      </c>
      <c r="FL33" s="451" t="str">
        <f t="shared" si="44"/>
        <v/>
      </c>
      <c r="FM33" s="452" t="str">
        <f t="shared" si="44"/>
        <v/>
      </c>
      <c r="FN33" s="452" t="str">
        <f t="shared" si="44"/>
        <v/>
      </c>
      <c r="FO33" s="452" t="str">
        <f t="shared" si="48"/>
        <v/>
      </c>
      <c r="FP33" s="453" t="str">
        <f t="shared" si="48"/>
        <v/>
      </c>
      <c r="FQ33" s="451" t="str">
        <f t="shared" si="48"/>
        <v/>
      </c>
      <c r="FR33" s="452" t="str">
        <f t="shared" si="48"/>
        <v/>
      </c>
      <c r="FS33" s="452" t="str">
        <f t="shared" si="48"/>
        <v/>
      </c>
      <c r="FT33" s="452" t="str">
        <f t="shared" si="48"/>
        <v/>
      </c>
      <c r="FU33" s="453" t="str">
        <f t="shared" si="48"/>
        <v/>
      </c>
      <c r="FV33" s="451" t="str">
        <f t="shared" si="45"/>
        <v/>
      </c>
      <c r="FW33" s="452" t="str">
        <f t="shared" si="45"/>
        <v/>
      </c>
      <c r="FX33" s="452" t="str">
        <f t="shared" si="45"/>
        <v/>
      </c>
      <c r="FY33" s="452" t="str">
        <f t="shared" si="45"/>
        <v/>
      </c>
      <c r="FZ33" s="453" t="str">
        <f t="shared" si="45"/>
        <v/>
      </c>
      <c r="GA33" s="451" t="str">
        <f t="shared" si="45"/>
        <v/>
      </c>
      <c r="GB33" s="452" t="str">
        <f t="shared" si="45"/>
        <v/>
      </c>
      <c r="GC33" s="452" t="str">
        <f t="shared" si="45"/>
        <v/>
      </c>
      <c r="GD33" s="452" t="str">
        <f t="shared" si="45"/>
        <v/>
      </c>
      <c r="GE33" s="453" t="str">
        <f t="shared" si="45"/>
        <v/>
      </c>
      <c r="GF33" s="451" t="str">
        <f t="shared" si="45"/>
        <v/>
      </c>
      <c r="GG33" s="452" t="str">
        <f t="shared" si="45"/>
        <v/>
      </c>
      <c r="GH33" s="452" t="str">
        <f t="shared" si="45"/>
        <v/>
      </c>
      <c r="GI33" s="452" t="str">
        <f t="shared" si="45"/>
        <v/>
      </c>
      <c r="GJ33" s="453" t="str">
        <f t="shared" si="40"/>
        <v/>
      </c>
      <c r="GK33" s="451" t="str">
        <f t="shared" si="40"/>
        <v/>
      </c>
      <c r="GL33" s="452" t="str">
        <f t="shared" si="40"/>
        <v/>
      </c>
      <c r="GM33" s="452" t="str">
        <f t="shared" si="40"/>
        <v/>
      </c>
      <c r="GN33" s="452" t="str">
        <f t="shared" si="40"/>
        <v/>
      </c>
      <c r="GO33" s="453" t="str">
        <f t="shared" si="40"/>
        <v/>
      </c>
      <c r="GP33" s="451" t="str">
        <f t="shared" si="46"/>
        <v/>
      </c>
      <c r="GQ33" s="452" t="str">
        <f t="shared" si="46"/>
        <v/>
      </c>
      <c r="GR33" s="452" t="str">
        <f t="shared" si="46"/>
        <v/>
      </c>
      <c r="GS33" s="452" t="str">
        <f t="shared" si="46"/>
        <v/>
      </c>
      <c r="GT33" s="453" t="str">
        <f t="shared" si="46"/>
        <v/>
      </c>
      <c r="GU33" s="451" t="str">
        <f t="shared" si="46"/>
        <v/>
      </c>
      <c r="GV33" s="452" t="str">
        <f t="shared" si="46"/>
        <v/>
      </c>
      <c r="GW33" s="452" t="str">
        <f t="shared" si="46"/>
        <v/>
      </c>
      <c r="GX33" s="452" t="str">
        <f t="shared" si="46"/>
        <v/>
      </c>
      <c r="GY33" s="453" t="str">
        <f t="shared" si="46"/>
        <v/>
      </c>
      <c r="GZ33" s="451" t="str">
        <f t="shared" si="46"/>
        <v/>
      </c>
      <c r="HA33" s="452" t="str">
        <f t="shared" si="46"/>
        <v/>
      </c>
      <c r="HB33" s="452" t="str">
        <f t="shared" si="46"/>
        <v/>
      </c>
      <c r="HC33" s="452" t="str">
        <f t="shared" si="46"/>
        <v/>
      </c>
      <c r="HD33" s="453" t="str">
        <f t="shared" si="46"/>
        <v/>
      </c>
      <c r="HE33" s="451" t="str">
        <f t="shared" si="46"/>
        <v/>
      </c>
      <c r="HF33" s="452" t="str">
        <f t="shared" si="35"/>
        <v/>
      </c>
      <c r="HG33" s="452" t="str">
        <f t="shared" si="35"/>
        <v/>
      </c>
      <c r="HH33" s="452" t="str">
        <f t="shared" si="35"/>
        <v/>
      </c>
      <c r="HI33" s="453" t="str">
        <f t="shared" si="35"/>
        <v/>
      </c>
      <c r="HJ33" s="451" t="str">
        <f t="shared" si="35"/>
        <v/>
      </c>
      <c r="HK33" s="452" t="str">
        <f t="shared" si="35"/>
        <v/>
      </c>
      <c r="HL33" s="452" t="str">
        <f t="shared" si="35"/>
        <v/>
      </c>
      <c r="HM33" s="452" t="str">
        <f t="shared" si="35"/>
        <v/>
      </c>
      <c r="HN33" s="453" t="str">
        <f t="shared" si="35"/>
        <v/>
      </c>
      <c r="HO33" s="451" t="str">
        <f t="shared" si="35"/>
        <v/>
      </c>
      <c r="HP33" s="452" t="str">
        <f t="shared" si="35"/>
        <v/>
      </c>
      <c r="HQ33" s="452" t="str">
        <f t="shared" si="35"/>
        <v/>
      </c>
      <c r="HR33" s="452" t="str">
        <f t="shared" si="35"/>
        <v/>
      </c>
      <c r="HS33" s="453" t="str">
        <f t="shared" si="35"/>
        <v/>
      </c>
      <c r="HT33" s="451" t="str">
        <f t="shared" si="35"/>
        <v/>
      </c>
      <c r="HU33" s="452" t="str">
        <f t="shared" si="35"/>
        <v/>
      </c>
      <c r="HV33" s="452" t="str">
        <f t="shared" si="36"/>
        <v/>
      </c>
      <c r="HW33" s="452" t="str">
        <f t="shared" si="36"/>
        <v/>
      </c>
      <c r="HX33" s="453" t="str">
        <f t="shared" si="36"/>
        <v/>
      </c>
      <c r="HY33" s="451" t="str">
        <f t="shared" si="36"/>
        <v/>
      </c>
      <c r="HZ33" s="452" t="str">
        <f t="shared" si="36"/>
        <v/>
      </c>
      <c r="IA33" s="452" t="str">
        <f t="shared" si="36"/>
        <v/>
      </c>
      <c r="IB33" s="452" t="str">
        <f t="shared" si="36"/>
        <v/>
      </c>
      <c r="IC33" s="453" t="str">
        <f t="shared" si="36"/>
        <v/>
      </c>
      <c r="ID33" s="451" t="str">
        <f t="shared" si="36"/>
        <v/>
      </c>
      <c r="IE33" s="452" t="str">
        <f t="shared" si="36"/>
        <v/>
      </c>
      <c r="IF33" s="452" t="str">
        <f t="shared" si="36"/>
        <v/>
      </c>
      <c r="IG33" s="452" t="str">
        <f t="shared" si="36"/>
        <v/>
      </c>
      <c r="IH33" s="453" t="str">
        <f t="shared" si="36"/>
        <v/>
      </c>
      <c r="II33" s="451" t="str">
        <f t="shared" si="36"/>
        <v/>
      </c>
      <c r="IJ33" s="452" t="str">
        <f t="shared" si="36"/>
        <v/>
      </c>
      <c r="IK33" s="452" t="str">
        <f t="shared" si="36"/>
        <v/>
      </c>
      <c r="IL33" s="452" t="str">
        <f t="shared" si="37"/>
        <v/>
      </c>
      <c r="IM33" s="453" t="str">
        <f t="shared" si="37"/>
        <v/>
      </c>
      <c r="IN33" s="451" t="str">
        <f t="shared" si="37"/>
        <v/>
      </c>
      <c r="IO33" s="452" t="str">
        <f t="shared" si="37"/>
        <v/>
      </c>
      <c r="IP33" s="452" t="str">
        <f t="shared" si="37"/>
        <v/>
      </c>
      <c r="IQ33" s="452" t="str">
        <f t="shared" si="37"/>
        <v/>
      </c>
      <c r="IR33" s="453" t="str">
        <f t="shared" si="37"/>
        <v/>
      </c>
    </row>
    <row r="34" spans="1:252" x14ac:dyDescent="0.2">
      <c r="A34" s="461">
        <v>3.8</v>
      </c>
      <c r="C34" s="447" t="s">
        <v>1358</v>
      </c>
      <c r="D34" s="447"/>
      <c r="E34" s="448"/>
      <c r="F34" s="448"/>
      <c r="G34" s="448"/>
      <c r="H34" s="448"/>
      <c r="I34" s="448"/>
      <c r="J34" s="449" t="str">
        <f t="shared" si="38"/>
        <v/>
      </c>
      <c r="K34" s="449" t="str">
        <f t="shared" si="39"/>
        <v/>
      </c>
      <c r="L34" s="450">
        <f t="shared" si="0"/>
        <v>0</v>
      </c>
      <c r="M34" s="451" t="str">
        <f t="shared" si="42"/>
        <v/>
      </c>
      <c r="N34" s="452" t="str">
        <f t="shared" si="42"/>
        <v/>
      </c>
      <c r="O34" s="452" t="str">
        <f t="shared" si="42"/>
        <v/>
      </c>
      <c r="P34" s="452" t="str">
        <f t="shared" si="42"/>
        <v/>
      </c>
      <c r="Q34" s="453" t="str">
        <f t="shared" si="42"/>
        <v/>
      </c>
      <c r="R34" s="451" t="str">
        <f t="shared" si="42"/>
        <v/>
      </c>
      <c r="S34" s="452" t="str">
        <f t="shared" si="42"/>
        <v/>
      </c>
      <c r="T34" s="452" t="str">
        <f t="shared" si="42"/>
        <v/>
      </c>
      <c r="U34" s="452" t="str">
        <f t="shared" si="42"/>
        <v/>
      </c>
      <c r="V34" s="453" t="str">
        <f t="shared" si="42"/>
        <v/>
      </c>
      <c r="W34" s="451" t="str">
        <f t="shared" si="42"/>
        <v/>
      </c>
      <c r="X34" s="452" t="str">
        <f t="shared" si="42"/>
        <v/>
      </c>
      <c r="Y34" s="452" t="str">
        <f t="shared" si="42"/>
        <v/>
      </c>
      <c r="Z34" s="452" t="str">
        <f t="shared" si="42"/>
        <v/>
      </c>
      <c r="AA34" s="453" t="str">
        <f t="shared" si="42"/>
        <v/>
      </c>
      <c r="AB34" s="451" t="str">
        <f t="shared" si="42"/>
        <v/>
      </c>
      <c r="AC34" s="452" t="str">
        <f t="shared" si="49"/>
        <v/>
      </c>
      <c r="AD34" s="452" t="str">
        <f t="shared" si="49"/>
        <v/>
      </c>
      <c r="AE34" s="452" t="str">
        <f t="shared" si="49"/>
        <v/>
      </c>
      <c r="AF34" s="453" t="str">
        <f t="shared" si="49"/>
        <v/>
      </c>
      <c r="AG34" s="451" t="str">
        <f t="shared" si="49"/>
        <v/>
      </c>
      <c r="AH34" s="452" t="str">
        <f t="shared" si="49"/>
        <v/>
      </c>
      <c r="AI34" s="452" t="str">
        <f t="shared" si="49"/>
        <v/>
      </c>
      <c r="AJ34" s="452" t="str">
        <f t="shared" si="49"/>
        <v/>
      </c>
      <c r="AK34" s="453" t="str">
        <f t="shared" si="49"/>
        <v/>
      </c>
      <c r="AL34" s="451" t="str">
        <f t="shared" si="49"/>
        <v/>
      </c>
      <c r="AM34" s="452" t="str">
        <f t="shared" si="49"/>
        <v/>
      </c>
      <c r="AN34" s="452" t="str">
        <f t="shared" si="49"/>
        <v/>
      </c>
      <c r="AO34" s="452" t="str">
        <f t="shared" si="49"/>
        <v/>
      </c>
      <c r="AP34" s="453" t="str">
        <f t="shared" si="49"/>
        <v/>
      </c>
      <c r="AQ34" s="451" t="str">
        <f t="shared" si="49"/>
        <v/>
      </c>
      <c r="AR34" s="452" t="str">
        <f t="shared" si="49"/>
        <v/>
      </c>
      <c r="AS34" s="452" t="str">
        <f t="shared" si="43"/>
        <v/>
      </c>
      <c r="AT34" s="452" t="str">
        <f t="shared" si="43"/>
        <v/>
      </c>
      <c r="AU34" s="453" t="str">
        <f t="shared" si="43"/>
        <v/>
      </c>
      <c r="AV34" s="451" t="str">
        <f t="shared" si="43"/>
        <v/>
      </c>
      <c r="AW34" s="452" t="str">
        <f t="shared" si="29"/>
        <v/>
      </c>
      <c r="AX34" s="452" t="str">
        <f t="shared" si="29"/>
        <v/>
      </c>
      <c r="AY34" s="452" t="str">
        <f t="shared" si="29"/>
        <v/>
      </c>
      <c r="AZ34" s="453" t="str">
        <f t="shared" si="29"/>
        <v/>
      </c>
      <c r="BA34" s="451" t="str">
        <f t="shared" si="29"/>
        <v/>
      </c>
      <c r="BB34" s="452" t="str">
        <f t="shared" si="29"/>
        <v/>
      </c>
      <c r="BC34" s="452" t="str">
        <f t="shared" si="29"/>
        <v/>
      </c>
      <c r="BD34" s="452" t="str">
        <f t="shared" si="29"/>
        <v/>
      </c>
      <c r="BE34" s="453" t="str">
        <f t="shared" si="29"/>
        <v/>
      </c>
      <c r="BF34" s="451" t="str">
        <f t="shared" si="29"/>
        <v/>
      </c>
      <c r="BG34" s="452" t="str">
        <f t="shared" si="30"/>
        <v/>
      </c>
      <c r="BH34" s="452" t="str">
        <f t="shared" si="30"/>
        <v/>
      </c>
      <c r="BI34" s="452" t="str">
        <f t="shared" si="30"/>
        <v/>
      </c>
      <c r="BJ34" s="453" t="str">
        <f t="shared" si="30"/>
        <v/>
      </c>
      <c r="BK34" s="451" t="str">
        <f t="shared" si="30"/>
        <v/>
      </c>
      <c r="BL34" s="452" t="str">
        <f t="shared" si="30"/>
        <v/>
      </c>
      <c r="BM34" s="452" t="str">
        <f t="shared" si="30"/>
        <v/>
      </c>
      <c r="BN34" s="452" t="str">
        <f t="shared" si="30"/>
        <v/>
      </c>
      <c r="BO34" s="453" t="str">
        <f t="shared" si="30"/>
        <v/>
      </c>
      <c r="BP34" s="451" t="str">
        <f t="shared" si="30"/>
        <v/>
      </c>
      <c r="BQ34" s="452" t="str">
        <f t="shared" si="30"/>
        <v/>
      </c>
      <c r="BR34" s="452" t="str">
        <f t="shared" si="30"/>
        <v/>
      </c>
      <c r="BS34" s="452" t="str">
        <f t="shared" si="30"/>
        <v/>
      </c>
      <c r="BT34" s="453" t="str">
        <f t="shared" si="30"/>
        <v/>
      </c>
      <c r="BU34" s="451" t="str">
        <f t="shared" si="30"/>
        <v/>
      </c>
      <c r="BV34" s="452" t="str">
        <f t="shared" si="30"/>
        <v/>
      </c>
      <c r="BW34" s="452" t="str">
        <f t="shared" si="31"/>
        <v/>
      </c>
      <c r="BX34" s="452" t="str">
        <f t="shared" si="31"/>
        <v/>
      </c>
      <c r="BY34" s="453" t="str">
        <f t="shared" si="31"/>
        <v/>
      </c>
      <c r="BZ34" s="451" t="str">
        <f t="shared" si="31"/>
        <v/>
      </c>
      <c r="CA34" s="452" t="str">
        <f t="shared" si="31"/>
        <v/>
      </c>
      <c r="CB34" s="452" t="str">
        <f t="shared" si="31"/>
        <v/>
      </c>
      <c r="CC34" s="452" t="str">
        <f t="shared" si="31"/>
        <v/>
      </c>
      <c r="CD34" s="453" t="str">
        <f t="shared" si="31"/>
        <v/>
      </c>
      <c r="CE34" s="451" t="str">
        <f t="shared" si="31"/>
        <v/>
      </c>
      <c r="CF34" s="452" t="str">
        <f t="shared" si="31"/>
        <v/>
      </c>
      <c r="CG34" s="452" t="str">
        <f t="shared" si="31"/>
        <v/>
      </c>
      <c r="CH34" s="452" t="str">
        <f t="shared" si="31"/>
        <v/>
      </c>
      <c r="CI34" s="453" t="str">
        <f t="shared" si="31"/>
        <v/>
      </c>
      <c r="CJ34" s="451" t="str">
        <f t="shared" si="31"/>
        <v/>
      </c>
      <c r="CK34" s="452" t="str">
        <f t="shared" si="31"/>
        <v/>
      </c>
      <c r="CL34" s="452" t="str">
        <f t="shared" si="31"/>
        <v/>
      </c>
      <c r="CM34" s="452" t="str">
        <f t="shared" si="32"/>
        <v/>
      </c>
      <c r="CN34" s="453" t="str">
        <f t="shared" si="32"/>
        <v/>
      </c>
      <c r="CO34" s="451" t="str">
        <f t="shared" si="32"/>
        <v/>
      </c>
      <c r="CP34" s="452" t="str">
        <f t="shared" si="32"/>
        <v/>
      </c>
      <c r="CQ34" s="452" t="str">
        <f t="shared" si="32"/>
        <v/>
      </c>
      <c r="CR34" s="452" t="str">
        <f t="shared" si="32"/>
        <v/>
      </c>
      <c r="CS34" s="453" t="str">
        <f t="shared" si="32"/>
        <v/>
      </c>
      <c r="CT34" s="451" t="str">
        <f t="shared" si="32"/>
        <v/>
      </c>
      <c r="CU34" s="452" t="str">
        <f t="shared" si="32"/>
        <v/>
      </c>
      <c r="CV34" s="452" t="str">
        <f t="shared" si="32"/>
        <v/>
      </c>
      <c r="CW34" s="452" t="str">
        <f t="shared" si="32"/>
        <v/>
      </c>
      <c r="CX34" s="453" t="str">
        <f t="shared" si="32"/>
        <v/>
      </c>
      <c r="CY34" s="451" t="str">
        <f t="shared" si="32"/>
        <v/>
      </c>
      <c r="CZ34" s="452" t="str">
        <f t="shared" si="32"/>
        <v/>
      </c>
      <c r="DA34" s="452" t="str">
        <f t="shared" si="32"/>
        <v/>
      </c>
      <c r="DB34" s="452" t="str">
        <f t="shared" si="32"/>
        <v/>
      </c>
      <c r="DC34" s="453" t="str">
        <f t="shared" si="33"/>
        <v/>
      </c>
      <c r="DD34" s="451" t="str">
        <f t="shared" si="33"/>
        <v/>
      </c>
      <c r="DE34" s="452" t="str">
        <f t="shared" si="33"/>
        <v/>
      </c>
      <c r="DF34" s="452" t="str">
        <f t="shared" si="33"/>
        <v/>
      </c>
      <c r="DG34" s="452" t="str">
        <f t="shared" si="33"/>
        <v/>
      </c>
      <c r="DH34" s="453" t="str">
        <f t="shared" si="33"/>
        <v/>
      </c>
      <c r="DI34" s="451" t="str">
        <f t="shared" si="33"/>
        <v/>
      </c>
      <c r="DJ34" s="452" t="str">
        <f t="shared" si="33"/>
        <v/>
      </c>
      <c r="DK34" s="452" t="str">
        <f t="shared" si="33"/>
        <v/>
      </c>
      <c r="DL34" s="452" t="str">
        <f t="shared" si="33"/>
        <v/>
      </c>
      <c r="DM34" s="453" t="str">
        <f t="shared" si="33"/>
        <v/>
      </c>
      <c r="DN34" s="451" t="str">
        <f t="shared" si="33"/>
        <v/>
      </c>
      <c r="DO34" s="452" t="str">
        <f t="shared" si="33"/>
        <v/>
      </c>
      <c r="DP34" s="452" t="str">
        <f t="shared" si="33"/>
        <v/>
      </c>
      <c r="DQ34" s="452" t="str">
        <f t="shared" si="33"/>
        <v/>
      </c>
      <c r="DR34" s="453" t="str">
        <f t="shared" si="33"/>
        <v/>
      </c>
      <c r="DS34" s="451" t="str">
        <f t="shared" si="27"/>
        <v/>
      </c>
      <c r="DT34" s="452" t="str">
        <f>IF(AND(DT$2&gt;=$J34,DT$2&lt;=$K34),1,"")</f>
        <v/>
      </c>
      <c r="DU34" s="452" t="str">
        <f>IF(AND(DU$2&gt;=$J34,DU$2&lt;=$K34),1,"")</f>
        <v/>
      </c>
      <c r="DV34" s="452" t="str">
        <f>IF(AND(DV$2&gt;=$J34,DV$2&lt;=$K34),1,"")</f>
        <v/>
      </c>
      <c r="DW34" s="453" t="str">
        <f>IF(AND(DW$2&gt;=$J34,DW$2&lt;=$K34),1,"")</f>
        <v/>
      </c>
      <c r="DX34" s="451" t="str">
        <f>IF(AND(DX$2&gt;=$J34,DX$2&lt;=$K34),1,"")</f>
        <v/>
      </c>
      <c r="DY34" s="452" t="str">
        <f>IF(AND(DY$2&gt;=$J34,DY$2&lt;=$K34),1,"")</f>
        <v/>
      </c>
      <c r="DZ34" s="452" t="str">
        <f t="shared" si="27"/>
        <v/>
      </c>
      <c r="EA34" s="452" t="str">
        <f t="shared" si="27"/>
        <v/>
      </c>
      <c r="EB34" s="453" t="str">
        <f t="shared" si="27"/>
        <v/>
      </c>
      <c r="EC34" s="451" t="str">
        <f t="shared" si="27"/>
        <v/>
      </c>
      <c r="ED34" s="452" t="str">
        <f t="shared" si="34"/>
        <v/>
      </c>
      <c r="EE34" s="452" t="str">
        <f t="shared" si="34"/>
        <v/>
      </c>
      <c r="EF34" s="452" t="str">
        <f t="shared" si="34"/>
        <v/>
      </c>
      <c r="EG34" s="453" t="str">
        <f t="shared" si="34"/>
        <v/>
      </c>
      <c r="EH34" s="451" t="str">
        <f t="shared" si="34"/>
        <v/>
      </c>
      <c r="EI34" s="452" t="str">
        <f t="shared" si="34"/>
        <v/>
      </c>
      <c r="EJ34" s="452" t="str">
        <f t="shared" si="34"/>
        <v/>
      </c>
      <c r="EK34" s="452" t="str">
        <f t="shared" si="34"/>
        <v/>
      </c>
      <c r="EL34" s="453" t="str">
        <f t="shared" si="34"/>
        <v/>
      </c>
      <c r="EM34" s="451" t="str">
        <f t="shared" si="34"/>
        <v/>
      </c>
      <c r="EN34" s="452" t="str">
        <f t="shared" si="34"/>
        <v/>
      </c>
      <c r="EO34" s="452" t="str">
        <f t="shared" si="34"/>
        <v/>
      </c>
      <c r="EP34" s="452" t="str">
        <f t="shared" si="34"/>
        <v/>
      </c>
      <c r="EQ34" s="453" t="str">
        <f t="shared" si="34"/>
        <v/>
      </c>
      <c r="ER34" s="451" t="str">
        <f t="shared" si="34"/>
        <v/>
      </c>
      <c r="ES34" s="452" t="str">
        <f t="shared" si="34"/>
        <v/>
      </c>
      <c r="ET34" s="452" t="str">
        <f t="shared" si="47"/>
        <v/>
      </c>
      <c r="EU34" s="452" t="str">
        <f t="shared" si="47"/>
        <v/>
      </c>
      <c r="EV34" s="453" t="str">
        <f t="shared" si="47"/>
        <v/>
      </c>
      <c r="EW34" s="451" t="str">
        <f t="shared" si="47"/>
        <v/>
      </c>
      <c r="EX34" s="452" t="str">
        <f t="shared" si="47"/>
        <v/>
      </c>
      <c r="EY34" s="452" t="str">
        <f t="shared" si="47"/>
        <v/>
      </c>
      <c r="EZ34" s="452" t="str">
        <f t="shared" si="47"/>
        <v/>
      </c>
      <c r="FA34" s="453" t="str">
        <f t="shared" si="47"/>
        <v/>
      </c>
      <c r="FB34" s="451" t="str">
        <f t="shared" si="47"/>
        <v/>
      </c>
      <c r="FC34" s="452" t="str">
        <f t="shared" si="47"/>
        <v/>
      </c>
      <c r="FD34" s="452" t="str">
        <f t="shared" si="47"/>
        <v/>
      </c>
      <c r="FE34" s="452" t="str">
        <f t="shared" si="47"/>
        <v/>
      </c>
      <c r="FF34" s="453" t="str">
        <f t="shared" si="47"/>
        <v/>
      </c>
      <c r="FG34" s="451" t="str">
        <f t="shared" si="47"/>
        <v/>
      </c>
      <c r="FH34" s="452" t="str">
        <f t="shared" si="47"/>
        <v/>
      </c>
      <c r="FI34" s="452" t="str">
        <f t="shared" si="47"/>
        <v/>
      </c>
      <c r="FJ34" s="452" t="str">
        <f t="shared" si="44"/>
        <v/>
      </c>
      <c r="FK34" s="453" t="str">
        <f t="shared" si="44"/>
        <v/>
      </c>
      <c r="FL34" s="451" t="str">
        <f t="shared" si="44"/>
        <v/>
      </c>
      <c r="FM34" s="452" t="str">
        <f t="shared" si="44"/>
        <v/>
      </c>
      <c r="FN34" s="452" t="str">
        <f t="shared" si="44"/>
        <v/>
      </c>
      <c r="FO34" s="452" t="str">
        <f t="shared" si="48"/>
        <v/>
      </c>
      <c r="FP34" s="453" t="str">
        <f t="shared" si="48"/>
        <v/>
      </c>
      <c r="FQ34" s="451" t="str">
        <f t="shared" si="48"/>
        <v/>
      </c>
      <c r="FR34" s="452" t="str">
        <f t="shared" si="48"/>
        <v/>
      </c>
      <c r="FS34" s="452" t="str">
        <f t="shared" si="48"/>
        <v/>
      </c>
      <c r="FT34" s="452" t="str">
        <f t="shared" si="48"/>
        <v/>
      </c>
      <c r="FU34" s="453" t="str">
        <f t="shared" si="48"/>
        <v/>
      </c>
      <c r="FV34" s="451" t="str">
        <f t="shared" si="45"/>
        <v/>
      </c>
      <c r="FW34" s="452" t="str">
        <f t="shared" si="45"/>
        <v/>
      </c>
      <c r="FX34" s="452" t="str">
        <f t="shared" si="45"/>
        <v/>
      </c>
      <c r="FY34" s="452" t="str">
        <f t="shared" si="45"/>
        <v/>
      </c>
      <c r="FZ34" s="453" t="str">
        <f t="shared" si="45"/>
        <v/>
      </c>
      <c r="GA34" s="451" t="str">
        <f t="shared" si="45"/>
        <v/>
      </c>
      <c r="GB34" s="452" t="str">
        <f t="shared" si="40"/>
        <v/>
      </c>
      <c r="GC34" s="452" t="str">
        <f t="shared" si="40"/>
        <v/>
      </c>
      <c r="GD34" s="452" t="str">
        <f t="shared" si="45"/>
        <v/>
      </c>
      <c r="GE34" s="453" t="str">
        <f t="shared" si="45"/>
        <v/>
      </c>
      <c r="GF34" s="451" t="str">
        <f t="shared" si="45"/>
        <v/>
      </c>
      <c r="GG34" s="452" t="str">
        <f t="shared" si="45"/>
        <v/>
      </c>
      <c r="GH34" s="452" t="str">
        <f t="shared" si="45"/>
        <v/>
      </c>
      <c r="GI34" s="452" t="str">
        <f t="shared" si="45"/>
        <v/>
      </c>
      <c r="GJ34" s="453" t="str">
        <f t="shared" si="40"/>
        <v/>
      </c>
      <c r="GK34" s="451" t="str">
        <f t="shared" si="40"/>
        <v/>
      </c>
      <c r="GL34" s="452" t="str">
        <f t="shared" si="40"/>
        <v/>
      </c>
      <c r="GM34" s="452" t="str">
        <f t="shared" si="40"/>
        <v/>
      </c>
      <c r="GN34" s="452" t="str">
        <f t="shared" si="40"/>
        <v/>
      </c>
      <c r="GO34" s="453" t="str">
        <f t="shared" si="40"/>
        <v/>
      </c>
      <c r="GP34" s="451" t="str">
        <f t="shared" si="46"/>
        <v/>
      </c>
      <c r="GQ34" s="452" t="str">
        <f t="shared" si="46"/>
        <v/>
      </c>
      <c r="GR34" s="452" t="str">
        <f t="shared" si="46"/>
        <v/>
      </c>
      <c r="GS34" s="452" t="str">
        <f t="shared" si="46"/>
        <v/>
      </c>
      <c r="GT34" s="453" t="str">
        <f t="shared" si="46"/>
        <v/>
      </c>
      <c r="GU34" s="451" t="str">
        <f t="shared" si="46"/>
        <v/>
      </c>
      <c r="GV34" s="452" t="str">
        <f t="shared" si="46"/>
        <v/>
      </c>
      <c r="GW34" s="452" t="str">
        <f t="shared" si="46"/>
        <v/>
      </c>
      <c r="GX34" s="452" t="str">
        <f t="shared" si="46"/>
        <v/>
      </c>
      <c r="GY34" s="453" t="str">
        <f t="shared" si="46"/>
        <v/>
      </c>
      <c r="GZ34" s="451" t="str">
        <f t="shared" si="46"/>
        <v/>
      </c>
      <c r="HA34" s="452" t="str">
        <f t="shared" si="46"/>
        <v/>
      </c>
      <c r="HB34" s="452" t="str">
        <f t="shared" si="46"/>
        <v/>
      </c>
      <c r="HC34" s="452" t="str">
        <f t="shared" si="46"/>
        <v/>
      </c>
      <c r="HD34" s="453" t="str">
        <f t="shared" si="46"/>
        <v/>
      </c>
      <c r="HE34" s="451" t="str">
        <f t="shared" si="46"/>
        <v/>
      </c>
      <c r="HF34" s="452" t="str">
        <f t="shared" si="35"/>
        <v/>
      </c>
      <c r="HG34" s="452" t="str">
        <f t="shared" si="35"/>
        <v/>
      </c>
      <c r="HH34" s="452" t="str">
        <f t="shared" si="35"/>
        <v/>
      </c>
      <c r="HI34" s="453" t="str">
        <f t="shared" si="35"/>
        <v/>
      </c>
      <c r="HJ34" s="451" t="str">
        <f t="shared" si="35"/>
        <v/>
      </c>
      <c r="HK34" s="452" t="str">
        <f t="shared" si="35"/>
        <v/>
      </c>
      <c r="HL34" s="452" t="str">
        <f t="shared" si="35"/>
        <v/>
      </c>
      <c r="HM34" s="452" t="str">
        <f t="shared" si="35"/>
        <v/>
      </c>
      <c r="HN34" s="453" t="str">
        <f t="shared" si="35"/>
        <v/>
      </c>
      <c r="HO34" s="451" t="str">
        <f t="shared" si="35"/>
        <v/>
      </c>
      <c r="HP34" s="452" t="str">
        <f t="shared" si="35"/>
        <v/>
      </c>
      <c r="HQ34" s="452" t="str">
        <f t="shared" si="35"/>
        <v/>
      </c>
      <c r="HR34" s="452" t="str">
        <f t="shared" si="35"/>
        <v/>
      </c>
      <c r="HS34" s="453" t="str">
        <f t="shared" si="35"/>
        <v/>
      </c>
      <c r="HT34" s="451" t="str">
        <f t="shared" si="35"/>
        <v/>
      </c>
      <c r="HU34" s="452" t="str">
        <f t="shared" si="35"/>
        <v/>
      </c>
      <c r="HV34" s="452" t="str">
        <f t="shared" si="36"/>
        <v/>
      </c>
      <c r="HW34" s="452" t="str">
        <f t="shared" si="36"/>
        <v/>
      </c>
      <c r="HX34" s="453" t="str">
        <f t="shared" si="36"/>
        <v/>
      </c>
      <c r="HY34" s="451" t="str">
        <f t="shared" si="36"/>
        <v/>
      </c>
      <c r="HZ34" s="452" t="str">
        <f t="shared" si="36"/>
        <v/>
      </c>
      <c r="IA34" s="452" t="str">
        <f t="shared" si="36"/>
        <v/>
      </c>
      <c r="IB34" s="452" t="str">
        <f t="shared" si="36"/>
        <v/>
      </c>
      <c r="IC34" s="453" t="str">
        <f t="shared" si="36"/>
        <v/>
      </c>
      <c r="ID34" s="451" t="str">
        <f t="shared" si="36"/>
        <v/>
      </c>
      <c r="IE34" s="452" t="str">
        <f t="shared" si="36"/>
        <v/>
      </c>
      <c r="IF34" s="452" t="str">
        <f t="shared" si="36"/>
        <v/>
      </c>
      <c r="IG34" s="452" t="str">
        <f t="shared" si="36"/>
        <v/>
      </c>
      <c r="IH34" s="453" t="str">
        <f t="shared" si="36"/>
        <v/>
      </c>
      <c r="II34" s="451" t="str">
        <f t="shared" si="36"/>
        <v/>
      </c>
      <c r="IJ34" s="452" t="str">
        <f t="shared" si="36"/>
        <v/>
      </c>
      <c r="IK34" s="452" t="str">
        <f t="shared" si="36"/>
        <v/>
      </c>
      <c r="IL34" s="452" t="str">
        <f t="shared" si="37"/>
        <v/>
      </c>
      <c r="IM34" s="453" t="str">
        <f t="shared" si="37"/>
        <v/>
      </c>
      <c r="IN34" s="451" t="str">
        <f t="shared" si="37"/>
        <v/>
      </c>
      <c r="IO34" s="452" t="str">
        <f t="shared" si="37"/>
        <v/>
      </c>
      <c r="IP34" s="452" t="str">
        <f t="shared" si="37"/>
        <v/>
      </c>
      <c r="IQ34" s="452" t="str">
        <f t="shared" si="37"/>
        <v/>
      </c>
      <c r="IR34" s="453" t="str">
        <f t="shared" si="37"/>
        <v/>
      </c>
    </row>
    <row r="35" spans="1:252" x14ac:dyDescent="0.2">
      <c r="A35" s="461">
        <v>3.9</v>
      </c>
      <c r="C35" s="447" t="s">
        <v>1359</v>
      </c>
      <c r="D35" s="447"/>
      <c r="E35" s="448"/>
      <c r="F35" s="448"/>
      <c r="G35" s="448"/>
      <c r="H35" s="448"/>
      <c r="I35" s="448"/>
      <c r="J35" s="449" t="str">
        <f t="shared" si="38"/>
        <v/>
      </c>
      <c r="K35" s="449" t="str">
        <f t="shared" si="39"/>
        <v/>
      </c>
      <c r="L35" s="450">
        <f t="shared" si="0"/>
        <v>0</v>
      </c>
      <c r="M35" s="451" t="str">
        <f t="shared" si="42"/>
        <v/>
      </c>
      <c r="N35" s="452" t="str">
        <f t="shared" si="42"/>
        <v/>
      </c>
      <c r="O35" s="452" t="str">
        <f t="shared" si="42"/>
        <v/>
      </c>
      <c r="P35" s="452" t="str">
        <f t="shared" si="42"/>
        <v/>
      </c>
      <c r="Q35" s="453" t="str">
        <f t="shared" si="42"/>
        <v/>
      </c>
      <c r="R35" s="451" t="str">
        <f t="shared" si="42"/>
        <v/>
      </c>
      <c r="S35" s="452" t="str">
        <f t="shared" si="42"/>
        <v/>
      </c>
      <c r="T35" s="452" t="str">
        <f t="shared" si="42"/>
        <v/>
      </c>
      <c r="U35" s="452" t="str">
        <f t="shared" si="42"/>
        <v/>
      </c>
      <c r="V35" s="453" t="str">
        <f t="shared" si="42"/>
        <v/>
      </c>
      <c r="W35" s="451" t="str">
        <f t="shared" si="42"/>
        <v/>
      </c>
      <c r="X35" s="452" t="str">
        <f t="shared" si="42"/>
        <v/>
      </c>
      <c r="Y35" s="452" t="str">
        <f t="shared" si="42"/>
        <v/>
      </c>
      <c r="Z35" s="452" t="str">
        <f t="shared" si="42"/>
        <v/>
      </c>
      <c r="AA35" s="453" t="str">
        <f t="shared" si="42"/>
        <v/>
      </c>
      <c r="AB35" s="451" t="str">
        <f t="shared" si="42"/>
        <v/>
      </c>
      <c r="AC35" s="452" t="str">
        <f t="shared" si="49"/>
        <v/>
      </c>
      <c r="AD35" s="452" t="str">
        <f t="shared" si="49"/>
        <v/>
      </c>
      <c r="AE35" s="452" t="str">
        <f t="shared" si="49"/>
        <v/>
      </c>
      <c r="AF35" s="453" t="str">
        <f t="shared" si="49"/>
        <v/>
      </c>
      <c r="AG35" s="451" t="str">
        <f t="shared" si="49"/>
        <v/>
      </c>
      <c r="AH35" s="452" t="str">
        <f t="shared" si="49"/>
        <v/>
      </c>
      <c r="AI35" s="452" t="str">
        <f t="shared" si="49"/>
        <v/>
      </c>
      <c r="AJ35" s="452" t="str">
        <f t="shared" si="49"/>
        <v/>
      </c>
      <c r="AK35" s="453" t="str">
        <f t="shared" si="49"/>
        <v/>
      </c>
      <c r="AL35" s="451" t="str">
        <f t="shared" si="49"/>
        <v/>
      </c>
      <c r="AM35" s="452" t="str">
        <f t="shared" si="49"/>
        <v/>
      </c>
      <c r="AN35" s="452" t="str">
        <f t="shared" si="49"/>
        <v/>
      </c>
      <c r="AO35" s="452" t="str">
        <f t="shared" si="49"/>
        <v/>
      </c>
      <c r="AP35" s="453" t="str">
        <f t="shared" si="49"/>
        <v/>
      </c>
      <c r="AQ35" s="451" t="str">
        <f t="shared" si="49"/>
        <v/>
      </c>
      <c r="AR35" s="452" t="str">
        <f t="shared" si="49"/>
        <v/>
      </c>
      <c r="AS35" s="452" t="str">
        <f t="shared" si="43"/>
        <v/>
      </c>
      <c r="AT35" s="452" t="str">
        <f t="shared" si="43"/>
        <v/>
      </c>
      <c r="AU35" s="453" t="str">
        <f t="shared" si="43"/>
        <v/>
      </c>
      <c r="AV35" s="451" t="str">
        <f t="shared" si="43"/>
        <v/>
      </c>
      <c r="AW35" s="452" t="str">
        <f t="shared" si="29"/>
        <v/>
      </c>
      <c r="AX35" s="452" t="str">
        <f t="shared" si="29"/>
        <v/>
      </c>
      <c r="AY35" s="452" t="str">
        <f t="shared" si="29"/>
        <v/>
      </c>
      <c r="AZ35" s="453" t="str">
        <f t="shared" si="29"/>
        <v/>
      </c>
      <c r="BA35" s="451" t="str">
        <f t="shared" si="29"/>
        <v/>
      </c>
      <c r="BB35" s="452" t="str">
        <f t="shared" si="29"/>
        <v/>
      </c>
      <c r="BC35" s="452" t="str">
        <f t="shared" si="29"/>
        <v/>
      </c>
      <c r="BD35" s="452" t="str">
        <f t="shared" si="29"/>
        <v/>
      </c>
      <c r="BE35" s="453" t="str">
        <f t="shared" si="29"/>
        <v/>
      </c>
      <c r="BF35" s="451" t="str">
        <f t="shared" si="29"/>
        <v/>
      </c>
      <c r="BG35" s="452" t="str">
        <f t="shared" si="30"/>
        <v/>
      </c>
      <c r="BH35" s="452" t="str">
        <f t="shared" si="30"/>
        <v/>
      </c>
      <c r="BI35" s="452" t="str">
        <f t="shared" si="30"/>
        <v/>
      </c>
      <c r="BJ35" s="453" t="str">
        <f t="shared" si="30"/>
        <v/>
      </c>
      <c r="BK35" s="451" t="str">
        <f t="shared" si="30"/>
        <v/>
      </c>
      <c r="BL35" s="452" t="str">
        <f t="shared" si="30"/>
        <v/>
      </c>
      <c r="BM35" s="452" t="str">
        <f t="shared" si="30"/>
        <v/>
      </c>
      <c r="BN35" s="452" t="str">
        <f t="shared" si="30"/>
        <v/>
      </c>
      <c r="BO35" s="453" t="str">
        <f t="shared" si="30"/>
        <v/>
      </c>
      <c r="BP35" s="451" t="str">
        <f t="shared" si="30"/>
        <v/>
      </c>
      <c r="BQ35" s="452" t="str">
        <f t="shared" si="30"/>
        <v/>
      </c>
      <c r="BR35" s="452" t="str">
        <f t="shared" si="30"/>
        <v/>
      </c>
      <c r="BS35" s="452" t="str">
        <f t="shared" si="30"/>
        <v/>
      </c>
      <c r="BT35" s="453" t="str">
        <f t="shared" si="30"/>
        <v/>
      </c>
      <c r="BU35" s="451" t="str">
        <f t="shared" si="30"/>
        <v/>
      </c>
      <c r="BV35" s="452" t="str">
        <f t="shared" si="30"/>
        <v/>
      </c>
      <c r="BW35" s="452" t="str">
        <f t="shared" si="31"/>
        <v/>
      </c>
      <c r="BX35" s="452" t="str">
        <f t="shared" si="31"/>
        <v/>
      </c>
      <c r="BY35" s="453" t="str">
        <f t="shared" si="31"/>
        <v/>
      </c>
      <c r="BZ35" s="451" t="str">
        <f t="shared" si="31"/>
        <v/>
      </c>
      <c r="CA35" s="452" t="str">
        <f t="shared" si="31"/>
        <v/>
      </c>
      <c r="CB35" s="452" t="str">
        <f t="shared" si="31"/>
        <v/>
      </c>
      <c r="CC35" s="452" t="str">
        <f t="shared" si="31"/>
        <v/>
      </c>
      <c r="CD35" s="453" t="str">
        <f t="shared" si="31"/>
        <v/>
      </c>
      <c r="CE35" s="451" t="str">
        <f t="shared" si="31"/>
        <v/>
      </c>
      <c r="CF35" s="452" t="str">
        <f t="shared" si="31"/>
        <v/>
      </c>
      <c r="CG35" s="452" t="str">
        <f t="shared" si="31"/>
        <v/>
      </c>
      <c r="CH35" s="452" t="str">
        <f t="shared" si="31"/>
        <v/>
      </c>
      <c r="CI35" s="453" t="str">
        <f t="shared" si="31"/>
        <v/>
      </c>
      <c r="CJ35" s="451" t="str">
        <f t="shared" si="31"/>
        <v/>
      </c>
      <c r="CK35" s="452" t="str">
        <f t="shared" si="31"/>
        <v/>
      </c>
      <c r="CL35" s="452" t="str">
        <f t="shared" si="31"/>
        <v/>
      </c>
      <c r="CM35" s="452" t="str">
        <f t="shared" si="32"/>
        <v/>
      </c>
      <c r="CN35" s="453" t="str">
        <f t="shared" si="32"/>
        <v/>
      </c>
      <c r="CO35" s="451" t="str">
        <f t="shared" si="32"/>
        <v/>
      </c>
      <c r="CP35" s="452" t="str">
        <f t="shared" si="32"/>
        <v/>
      </c>
      <c r="CQ35" s="452" t="str">
        <f t="shared" si="32"/>
        <v/>
      </c>
      <c r="CR35" s="452" t="str">
        <f t="shared" si="32"/>
        <v/>
      </c>
      <c r="CS35" s="453" t="str">
        <f t="shared" si="32"/>
        <v/>
      </c>
      <c r="CT35" s="451" t="str">
        <f t="shared" si="32"/>
        <v/>
      </c>
      <c r="CU35" s="452" t="str">
        <f t="shared" si="32"/>
        <v/>
      </c>
      <c r="CV35" s="452" t="str">
        <f t="shared" si="32"/>
        <v/>
      </c>
      <c r="CW35" s="452" t="str">
        <f t="shared" si="32"/>
        <v/>
      </c>
      <c r="CX35" s="453" t="str">
        <f t="shared" si="32"/>
        <v/>
      </c>
      <c r="CY35" s="451" t="str">
        <f t="shared" si="32"/>
        <v/>
      </c>
      <c r="CZ35" s="452" t="str">
        <f t="shared" si="32"/>
        <v/>
      </c>
      <c r="DA35" s="452" t="str">
        <f t="shared" si="32"/>
        <v/>
      </c>
      <c r="DB35" s="452" t="str">
        <f t="shared" si="32"/>
        <v/>
      </c>
      <c r="DC35" s="453" t="str">
        <f t="shared" si="33"/>
        <v/>
      </c>
      <c r="DD35" s="451" t="str">
        <f t="shared" si="33"/>
        <v/>
      </c>
      <c r="DE35" s="452" t="str">
        <f t="shared" si="33"/>
        <v/>
      </c>
      <c r="DF35" s="452" t="str">
        <f t="shared" si="33"/>
        <v/>
      </c>
      <c r="DG35" s="452" t="str">
        <f t="shared" si="33"/>
        <v/>
      </c>
      <c r="DH35" s="453" t="str">
        <f t="shared" si="33"/>
        <v/>
      </c>
      <c r="DI35" s="451" t="str">
        <f t="shared" si="33"/>
        <v/>
      </c>
      <c r="DJ35" s="452" t="str">
        <f t="shared" si="33"/>
        <v/>
      </c>
      <c r="DK35" s="452" t="str">
        <f t="shared" si="33"/>
        <v/>
      </c>
      <c r="DL35" s="452" t="str">
        <f t="shared" si="33"/>
        <v/>
      </c>
      <c r="DM35" s="453" t="str">
        <f t="shared" si="33"/>
        <v/>
      </c>
      <c r="DN35" s="451" t="str">
        <f t="shared" si="33"/>
        <v/>
      </c>
      <c r="DO35" s="452" t="str">
        <f t="shared" si="33"/>
        <v/>
      </c>
      <c r="DP35" s="452" t="str">
        <f t="shared" si="33"/>
        <v/>
      </c>
      <c r="DQ35" s="452" t="str">
        <f t="shared" si="33"/>
        <v/>
      </c>
      <c r="DR35" s="453" t="str">
        <f t="shared" si="33"/>
        <v/>
      </c>
      <c r="DS35" s="451" t="str">
        <f t="shared" si="27"/>
        <v/>
      </c>
      <c r="DT35" s="452" t="str">
        <f t="shared" si="27"/>
        <v/>
      </c>
      <c r="DU35" s="452" t="str">
        <f t="shared" si="27"/>
        <v/>
      </c>
      <c r="DV35" s="452" t="str">
        <f t="shared" si="27"/>
        <v/>
      </c>
      <c r="DW35" s="453" t="str">
        <f t="shared" si="27"/>
        <v/>
      </c>
      <c r="DX35" s="451" t="str">
        <f t="shared" si="27"/>
        <v/>
      </c>
      <c r="DY35" s="452" t="str">
        <f t="shared" si="27"/>
        <v/>
      </c>
      <c r="DZ35" s="452" t="str">
        <f t="shared" si="27"/>
        <v/>
      </c>
      <c r="EA35" s="452" t="str">
        <f t="shared" si="27"/>
        <v/>
      </c>
      <c r="EB35" s="453" t="str">
        <f t="shared" si="27"/>
        <v/>
      </c>
      <c r="EC35" s="451" t="str">
        <f t="shared" si="27"/>
        <v/>
      </c>
      <c r="ED35" s="452" t="str">
        <f t="shared" si="34"/>
        <v/>
      </c>
      <c r="EE35" s="452" t="str">
        <f t="shared" si="34"/>
        <v/>
      </c>
      <c r="EF35" s="452" t="str">
        <f t="shared" si="34"/>
        <v/>
      </c>
      <c r="EG35" s="453" t="str">
        <f t="shared" si="34"/>
        <v/>
      </c>
      <c r="EH35" s="451" t="str">
        <f t="shared" si="34"/>
        <v/>
      </c>
      <c r="EI35" s="452" t="str">
        <f t="shared" si="34"/>
        <v/>
      </c>
      <c r="EJ35" s="452" t="str">
        <f t="shared" si="34"/>
        <v/>
      </c>
      <c r="EK35" s="452" t="str">
        <f t="shared" si="34"/>
        <v/>
      </c>
      <c r="EL35" s="453" t="str">
        <f t="shared" si="34"/>
        <v/>
      </c>
      <c r="EM35" s="451" t="str">
        <f t="shared" si="34"/>
        <v/>
      </c>
      <c r="EN35" s="452" t="str">
        <f t="shared" si="34"/>
        <v/>
      </c>
      <c r="EO35" s="452" t="str">
        <f t="shared" si="34"/>
        <v/>
      </c>
      <c r="EP35" s="452" t="str">
        <f t="shared" si="34"/>
        <v/>
      </c>
      <c r="EQ35" s="453" t="str">
        <f t="shared" si="34"/>
        <v/>
      </c>
      <c r="ER35" s="451" t="str">
        <f t="shared" si="34"/>
        <v/>
      </c>
      <c r="ES35" s="452" t="str">
        <f t="shared" si="34"/>
        <v/>
      </c>
      <c r="ET35" s="452" t="str">
        <f t="shared" si="47"/>
        <v/>
      </c>
      <c r="EU35" s="452" t="str">
        <f t="shared" si="47"/>
        <v/>
      </c>
      <c r="EV35" s="453" t="str">
        <f t="shared" si="47"/>
        <v/>
      </c>
      <c r="EW35" s="451" t="str">
        <f t="shared" si="47"/>
        <v/>
      </c>
      <c r="EX35" s="452" t="str">
        <f t="shared" si="47"/>
        <v/>
      </c>
      <c r="EY35" s="452" t="str">
        <f t="shared" si="47"/>
        <v/>
      </c>
      <c r="EZ35" s="452" t="str">
        <f t="shared" si="47"/>
        <v/>
      </c>
      <c r="FA35" s="453" t="str">
        <f t="shared" si="44"/>
        <v/>
      </c>
      <c r="FB35" s="451" t="str">
        <f t="shared" si="44"/>
        <v/>
      </c>
      <c r="FC35" s="452" t="str">
        <f t="shared" si="44"/>
        <v/>
      </c>
      <c r="FD35" s="452" t="str">
        <f t="shared" si="44"/>
        <v/>
      </c>
      <c r="FE35" s="452" t="str">
        <f t="shared" si="44"/>
        <v/>
      </c>
      <c r="FF35" s="453" t="str">
        <f t="shared" si="44"/>
        <v/>
      </c>
      <c r="FG35" s="451" t="str">
        <f t="shared" si="44"/>
        <v/>
      </c>
      <c r="FH35" s="452" t="str">
        <f t="shared" si="44"/>
        <v/>
      </c>
      <c r="FI35" s="452" t="str">
        <f t="shared" si="44"/>
        <v/>
      </c>
      <c r="FJ35" s="452" t="str">
        <f t="shared" si="44"/>
        <v/>
      </c>
      <c r="FK35" s="453" t="str">
        <f t="shared" si="44"/>
        <v/>
      </c>
      <c r="FL35" s="451" t="str">
        <f t="shared" si="44"/>
        <v/>
      </c>
      <c r="FM35" s="452" t="str">
        <f t="shared" si="44"/>
        <v/>
      </c>
      <c r="FN35" s="452" t="str">
        <f t="shared" si="44"/>
        <v/>
      </c>
      <c r="FO35" s="452" t="str">
        <f t="shared" si="48"/>
        <v/>
      </c>
      <c r="FP35" s="453" t="str">
        <f t="shared" si="48"/>
        <v/>
      </c>
      <c r="FQ35" s="451" t="str">
        <f t="shared" si="48"/>
        <v/>
      </c>
      <c r="FR35" s="452" t="str">
        <f t="shared" si="48"/>
        <v/>
      </c>
      <c r="FS35" s="452" t="str">
        <f t="shared" si="48"/>
        <v/>
      </c>
      <c r="FT35" s="452" t="str">
        <f t="shared" si="48"/>
        <v/>
      </c>
      <c r="FU35" s="453" t="str">
        <f t="shared" si="48"/>
        <v/>
      </c>
      <c r="FV35" s="451" t="str">
        <f t="shared" si="48"/>
        <v/>
      </c>
      <c r="FW35" s="452" t="str">
        <f t="shared" si="48"/>
        <v/>
      </c>
      <c r="FX35" s="452" t="str">
        <f t="shared" si="48"/>
        <v/>
      </c>
      <c r="FY35" s="452" t="str">
        <f t="shared" si="48"/>
        <v/>
      </c>
      <c r="FZ35" s="453" t="str">
        <f t="shared" si="48"/>
        <v/>
      </c>
      <c r="GA35" s="451" t="str">
        <f t="shared" si="48"/>
        <v/>
      </c>
      <c r="GB35" s="452" t="str">
        <f t="shared" si="40"/>
        <v/>
      </c>
      <c r="GC35" s="452" t="str">
        <f t="shared" si="40"/>
        <v/>
      </c>
      <c r="GD35" s="452" t="str">
        <f t="shared" si="40"/>
        <v/>
      </c>
      <c r="GE35" s="453" t="str">
        <f t="shared" si="40"/>
        <v/>
      </c>
      <c r="GF35" s="451" t="str">
        <f t="shared" si="40"/>
        <v/>
      </c>
      <c r="GG35" s="452" t="str">
        <f t="shared" si="40"/>
        <v/>
      </c>
      <c r="GH35" s="452" t="str">
        <f t="shared" si="40"/>
        <v/>
      </c>
      <c r="GI35" s="452" t="str">
        <f t="shared" si="40"/>
        <v/>
      </c>
      <c r="GJ35" s="453" t="str">
        <f t="shared" si="40"/>
        <v/>
      </c>
      <c r="GK35" s="451" t="str">
        <f t="shared" si="40"/>
        <v/>
      </c>
      <c r="GL35" s="452" t="str">
        <f t="shared" si="40"/>
        <v/>
      </c>
      <c r="GM35" s="452" t="str">
        <f t="shared" si="40"/>
        <v/>
      </c>
      <c r="GN35" s="452" t="str">
        <f t="shared" si="40"/>
        <v/>
      </c>
      <c r="GO35" s="453" t="str">
        <f t="shared" si="40"/>
        <v/>
      </c>
      <c r="GP35" s="451" t="str">
        <f t="shared" si="46"/>
        <v/>
      </c>
      <c r="GQ35" s="452" t="str">
        <f t="shared" si="46"/>
        <v/>
      </c>
      <c r="GR35" s="452" t="str">
        <f t="shared" si="46"/>
        <v/>
      </c>
      <c r="GS35" s="452" t="str">
        <f t="shared" si="46"/>
        <v/>
      </c>
      <c r="GT35" s="453" t="str">
        <f t="shared" si="46"/>
        <v/>
      </c>
      <c r="GU35" s="451" t="str">
        <f t="shared" si="46"/>
        <v/>
      </c>
      <c r="GV35" s="452" t="str">
        <f t="shared" si="46"/>
        <v/>
      </c>
      <c r="GW35" s="452" t="str">
        <f t="shared" si="46"/>
        <v/>
      </c>
      <c r="GX35" s="452" t="str">
        <f t="shared" si="46"/>
        <v/>
      </c>
      <c r="GY35" s="453" t="str">
        <f t="shared" si="46"/>
        <v/>
      </c>
      <c r="GZ35" s="451" t="str">
        <f t="shared" si="46"/>
        <v/>
      </c>
      <c r="HA35" s="452" t="str">
        <f t="shared" si="46"/>
        <v/>
      </c>
      <c r="HB35" s="452" t="str">
        <f t="shared" si="46"/>
        <v/>
      </c>
      <c r="HC35" s="452" t="str">
        <f t="shared" si="46"/>
        <v/>
      </c>
      <c r="HD35" s="453" t="str">
        <f t="shared" si="46"/>
        <v/>
      </c>
      <c r="HE35" s="451" t="str">
        <f t="shared" si="46"/>
        <v/>
      </c>
      <c r="HF35" s="452" t="str">
        <f t="shared" si="35"/>
        <v/>
      </c>
      <c r="HG35" s="452" t="str">
        <f t="shared" si="35"/>
        <v/>
      </c>
      <c r="HH35" s="452" t="str">
        <f t="shared" si="35"/>
        <v/>
      </c>
      <c r="HI35" s="453" t="str">
        <f t="shared" si="35"/>
        <v/>
      </c>
      <c r="HJ35" s="451" t="str">
        <f t="shared" si="35"/>
        <v/>
      </c>
      <c r="HK35" s="452" t="str">
        <f t="shared" si="35"/>
        <v/>
      </c>
      <c r="HL35" s="452" t="str">
        <f t="shared" si="35"/>
        <v/>
      </c>
      <c r="HM35" s="452" t="str">
        <f t="shared" si="35"/>
        <v/>
      </c>
      <c r="HN35" s="453" t="str">
        <f t="shared" si="35"/>
        <v/>
      </c>
      <c r="HO35" s="451" t="str">
        <f t="shared" si="35"/>
        <v/>
      </c>
      <c r="HP35" s="452" t="str">
        <f t="shared" si="35"/>
        <v/>
      </c>
      <c r="HQ35" s="452" t="str">
        <f t="shared" si="35"/>
        <v/>
      </c>
      <c r="HR35" s="452" t="str">
        <f t="shared" si="35"/>
        <v/>
      </c>
      <c r="HS35" s="453" t="str">
        <f t="shared" si="35"/>
        <v/>
      </c>
      <c r="HT35" s="451" t="str">
        <f t="shared" si="35"/>
        <v/>
      </c>
      <c r="HU35" s="452" t="str">
        <f t="shared" si="35"/>
        <v/>
      </c>
      <c r="HV35" s="452" t="str">
        <f t="shared" si="36"/>
        <v/>
      </c>
      <c r="HW35" s="452" t="str">
        <f t="shared" si="36"/>
        <v/>
      </c>
      <c r="HX35" s="453" t="str">
        <f t="shared" si="36"/>
        <v/>
      </c>
      <c r="HY35" s="451" t="str">
        <f t="shared" si="36"/>
        <v/>
      </c>
      <c r="HZ35" s="452" t="str">
        <f t="shared" si="36"/>
        <v/>
      </c>
      <c r="IA35" s="452" t="str">
        <f t="shared" si="36"/>
        <v/>
      </c>
      <c r="IB35" s="452" t="str">
        <f t="shared" si="36"/>
        <v/>
      </c>
      <c r="IC35" s="453" t="str">
        <f t="shared" si="36"/>
        <v/>
      </c>
      <c r="ID35" s="451" t="str">
        <f t="shared" si="36"/>
        <v/>
      </c>
      <c r="IE35" s="452" t="str">
        <f t="shared" si="36"/>
        <v/>
      </c>
      <c r="IF35" s="452" t="str">
        <f t="shared" si="36"/>
        <v/>
      </c>
      <c r="IG35" s="452" t="str">
        <f t="shared" si="36"/>
        <v/>
      </c>
      <c r="IH35" s="453" t="str">
        <f t="shared" si="36"/>
        <v/>
      </c>
      <c r="II35" s="451" t="str">
        <f t="shared" si="36"/>
        <v/>
      </c>
      <c r="IJ35" s="452" t="str">
        <f t="shared" si="36"/>
        <v/>
      </c>
      <c r="IK35" s="452" t="str">
        <f t="shared" si="36"/>
        <v/>
      </c>
      <c r="IL35" s="452" t="str">
        <f t="shared" si="37"/>
        <v/>
      </c>
      <c r="IM35" s="453" t="str">
        <f t="shared" si="37"/>
        <v/>
      </c>
      <c r="IN35" s="451" t="str">
        <f t="shared" si="37"/>
        <v/>
      </c>
      <c r="IO35" s="452" t="str">
        <f t="shared" si="37"/>
        <v/>
      </c>
      <c r="IP35" s="452" t="str">
        <f t="shared" si="37"/>
        <v/>
      </c>
      <c r="IQ35" s="452" t="str">
        <f t="shared" si="37"/>
        <v/>
      </c>
      <c r="IR35" s="453" t="str">
        <f t="shared" si="37"/>
        <v/>
      </c>
    </row>
    <row r="36" spans="1:252" x14ac:dyDescent="0.2">
      <c r="A36" s="454">
        <v>3.1</v>
      </c>
      <c r="C36" s="447" t="s">
        <v>1360</v>
      </c>
      <c r="D36" s="447"/>
      <c r="E36" s="448"/>
      <c r="F36" s="448"/>
      <c r="G36" s="448"/>
      <c r="H36" s="448"/>
      <c r="I36" s="448"/>
      <c r="J36" s="449" t="str">
        <f t="shared" si="38"/>
        <v/>
      </c>
      <c r="K36" s="449" t="str">
        <f t="shared" si="39"/>
        <v/>
      </c>
      <c r="L36" s="450">
        <f t="shared" si="0"/>
        <v>0</v>
      </c>
      <c r="M36" s="451" t="str">
        <f t="shared" si="42"/>
        <v/>
      </c>
      <c r="N36" s="452" t="str">
        <f t="shared" si="42"/>
        <v/>
      </c>
      <c r="O36" s="452" t="str">
        <f t="shared" si="42"/>
        <v/>
      </c>
      <c r="P36" s="452" t="str">
        <f t="shared" si="42"/>
        <v/>
      </c>
      <c r="Q36" s="453" t="str">
        <f t="shared" si="42"/>
        <v/>
      </c>
      <c r="R36" s="451" t="str">
        <f t="shared" si="42"/>
        <v/>
      </c>
      <c r="S36" s="452" t="str">
        <f t="shared" si="42"/>
        <v/>
      </c>
      <c r="T36" s="452" t="str">
        <f t="shared" si="42"/>
        <v/>
      </c>
      <c r="U36" s="452" t="str">
        <f t="shared" si="42"/>
        <v/>
      </c>
      <c r="V36" s="453" t="str">
        <f t="shared" si="42"/>
        <v/>
      </c>
      <c r="W36" s="451" t="str">
        <f t="shared" si="42"/>
        <v/>
      </c>
      <c r="X36" s="452" t="str">
        <f t="shared" si="42"/>
        <v/>
      </c>
      <c r="Y36" s="452" t="str">
        <f t="shared" si="42"/>
        <v/>
      </c>
      <c r="Z36" s="452" t="str">
        <f t="shared" si="42"/>
        <v/>
      </c>
      <c r="AA36" s="453" t="str">
        <f t="shared" si="42"/>
        <v/>
      </c>
      <c r="AB36" s="451" t="str">
        <f t="shared" si="42"/>
        <v/>
      </c>
      <c r="AC36" s="452" t="str">
        <f t="shared" si="49"/>
        <v/>
      </c>
      <c r="AD36" s="452" t="str">
        <f t="shared" si="49"/>
        <v/>
      </c>
      <c r="AE36" s="452" t="str">
        <f t="shared" si="49"/>
        <v/>
      </c>
      <c r="AF36" s="453" t="str">
        <f t="shared" si="49"/>
        <v/>
      </c>
      <c r="AG36" s="451" t="str">
        <f t="shared" si="49"/>
        <v/>
      </c>
      <c r="AH36" s="452" t="str">
        <f t="shared" si="49"/>
        <v/>
      </c>
      <c r="AI36" s="452" t="str">
        <f t="shared" si="49"/>
        <v/>
      </c>
      <c r="AJ36" s="452" t="str">
        <f t="shared" si="49"/>
        <v/>
      </c>
      <c r="AK36" s="453" t="str">
        <f t="shared" si="49"/>
        <v/>
      </c>
      <c r="AL36" s="451" t="str">
        <f t="shared" si="49"/>
        <v/>
      </c>
      <c r="AM36" s="452" t="str">
        <f t="shared" si="49"/>
        <v/>
      </c>
      <c r="AN36" s="452" t="str">
        <f t="shared" si="49"/>
        <v/>
      </c>
      <c r="AO36" s="452" t="str">
        <f t="shared" si="49"/>
        <v/>
      </c>
      <c r="AP36" s="453" t="str">
        <f t="shared" si="49"/>
        <v/>
      </c>
      <c r="AQ36" s="451" t="str">
        <f t="shared" si="49"/>
        <v/>
      </c>
      <c r="AR36" s="452" t="str">
        <f t="shared" si="49"/>
        <v/>
      </c>
      <c r="AS36" s="452" t="str">
        <f t="shared" si="43"/>
        <v/>
      </c>
      <c r="AT36" s="452" t="str">
        <f t="shared" si="43"/>
        <v/>
      </c>
      <c r="AU36" s="453" t="str">
        <f t="shared" si="43"/>
        <v/>
      </c>
      <c r="AV36" s="451" t="str">
        <f t="shared" si="43"/>
        <v/>
      </c>
      <c r="AW36" s="452" t="str">
        <f t="shared" si="43"/>
        <v/>
      </c>
      <c r="AX36" s="452" t="str">
        <f t="shared" si="43"/>
        <v/>
      </c>
      <c r="AY36" s="452" t="str">
        <f t="shared" si="43"/>
        <v/>
      </c>
      <c r="AZ36" s="453" t="str">
        <f t="shared" si="43"/>
        <v/>
      </c>
      <c r="BA36" s="451" t="str">
        <f t="shared" si="43"/>
        <v/>
      </c>
      <c r="BB36" s="452" t="str">
        <f t="shared" si="43"/>
        <v/>
      </c>
      <c r="BC36" s="452" t="str">
        <f t="shared" si="43"/>
        <v/>
      </c>
      <c r="BD36" s="452" t="str">
        <f t="shared" si="43"/>
        <v/>
      </c>
      <c r="BE36" s="453" t="str">
        <f t="shared" si="43"/>
        <v/>
      </c>
      <c r="BF36" s="451" t="str">
        <f t="shared" si="43"/>
        <v/>
      </c>
      <c r="BG36" s="452" t="str">
        <f t="shared" si="30"/>
        <v/>
      </c>
      <c r="BH36" s="452" t="str">
        <f t="shared" si="30"/>
        <v/>
      </c>
      <c r="BI36" s="452" t="str">
        <f t="shared" ref="BI36:BX59" si="50">IF(AND(BI$2&gt;=$J36,BI$2&lt;=$K36),1,"")</f>
        <v/>
      </c>
      <c r="BJ36" s="453" t="str">
        <f t="shared" si="50"/>
        <v/>
      </c>
      <c r="BK36" s="451" t="str">
        <f t="shared" si="50"/>
        <v/>
      </c>
      <c r="BL36" s="452" t="str">
        <f t="shared" si="50"/>
        <v/>
      </c>
      <c r="BM36" s="452" t="str">
        <f t="shared" si="50"/>
        <v/>
      </c>
      <c r="BN36" s="452" t="str">
        <f t="shared" si="50"/>
        <v/>
      </c>
      <c r="BO36" s="453" t="str">
        <f t="shared" si="50"/>
        <v/>
      </c>
      <c r="BP36" s="451" t="str">
        <f t="shared" si="50"/>
        <v/>
      </c>
      <c r="BQ36" s="452" t="str">
        <f t="shared" si="50"/>
        <v/>
      </c>
      <c r="BR36" s="452" t="str">
        <f t="shared" si="50"/>
        <v/>
      </c>
      <c r="BS36" s="452" t="str">
        <f t="shared" si="50"/>
        <v/>
      </c>
      <c r="BT36" s="453" t="str">
        <f t="shared" si="50"/>
        <v/>
      </c>
      <c r="BU36" s="451" t="str">
        <f t="shared" si="50"/>
        <v/>
      </c>
      <c r="BV36" s="452" t="str">
        <f t="shared" si="50"/>
        <v/>
      </c>
      <c r="BW36" s="452" t="str">
        <f t="shared" si="50"/>
        <v/>
      </c>
      <c r="BX36" s="452" t="str">
        <f t="shared" si="50"/>
        <v/>
      </c>
      <c r="BY36" s="453" t="str">
        <f t="shared" si="31"/>
        <v/>
      </c>
      <c r="BZ36" s="451" t="str">
        <f t="shared" si="31"/>
        <v/>
      </c>
      <c r="CA36" s="452" t="str">
        <f t="shared" ref="CA36:CN36" si="51">IF(AND(CA$2&gt;=$J36,CA$2&lt;=$K36),1,"")</f>
        <v/>
      </c>
      <c r="CB36" s="452" t="str">
        <f t="shared" si="51"/>
        <v/>
      </c>
      <c r="CC36" s="452" t="str">
        <f t="shared" si="51"/>
        <v/>
      </c>
      <c r="CD36" s="453" t="str">
        <f t="shared" si="51"/>
        <v/>
      </c>
      <c r="CE36" s="451" t="str">
        <f t="shared" si="51"/>
        <v/>
      </c>
      <c r="CF36" s="452" t="str">
        <f t="shared" si="51"/>
        <v/>
      </c>
      <c r="CG36" s="452" t="str">
        <f t="shared" si="51"/>
        <v/>
      </c>
      <c r="CH36" s="452" t="str">
        <f t="shared" si="51"/>
        <v/>
      </c>
      <c r="CI36" s="453" t="str">
        <f t="shared" si="51"/>
        <v/>
      </c>
      <c r="CJ36" s="451" t="str">
        <f t="shared" si="51"/>
        <v/>
      </c>
      <c r="CK36" s="452" t="str">
        <f t="shared" si="51"/>
        <v/>
      </c>
      <c r="CL36" s="452" t="str">
        <f t="shared" si="51"/>
        <v/>
      </c>
      <c r="CM36" s="452" t="str">
        <f t="shared" si="51"/>
        <v/>
      </c>
      <c r="CN36" s="453" t="str">
        <f t="shared" si="51"/>
        <v/>
      </c>
      <c r="CO36" s="451" t="str">
        <f t="shared" si="32"/>
        <v/>
      </c>
      <c r="CP36" s="452" t="str">
        <f t="shared" si="32"/>
        <v/>
      </c>
      <c r="CQ36" s="452" t="str">
        <f t="shared" ref="CQ36:DD36" si="52">IF(AND(CQ$2&gt;=$J36,CQ$2&lt;=$K36),1,"")</f>
        <v/>
      </c>
      <c r="CR36" s="452" t="str">
        <f t="shared" si="52"/>
        <v/>
      </c>
      <c r="CS36" s="453" t="str">
        <f t="shared" si="52"/>
        <v/>
      </c>
      <c r="CT36" s="451" t="str">
        <f t="shared" si="52"/>
        <v/>
      </c>
      <c r="CU36" s="452" t="str">
        <f t="shared" si="52"/>
        <v/>
      </c>
      <c r="CV36" s="452" t="str">
        <f t="shared" si="52"/>
        <v/>
      </c>
      <c r="CW36" s="452" t="str">
        <f t="shared" si="52"/>
        <v/>
      </c>
      <c r="CX36" s="453" t="str">
        <f t="shared" si="52"/>
        <v/>
      </c>
      <c r="CY36" s="451" t="str">
        <f t="shared" si="52"/>
        <v/>
      </c>
      <c r="CZ36" s="452" t="str">
        <f t="shared" si="52"/>
        <v/>
      </c>
      <c r="DA36" s="452" t="str">
        <f t="shared" si="52"/>
        <v/>
      </c>
      <c r="DB36" s="452" t="str">
        <f t="shared" si="52"/>
        <v/>
      </c>
      <c r="DC36" s="453" t="str">
        <f t="shared" si="52"/>
        <v/>
      </c>
      <c r="DD36" s="451" t="str">
        <f t="shared" si="52"/>
        <v/>
      </c>
      <c r="DE36" s="452" t="str">
        <f t="shared" si="33"/>
        <v/>
      </c>
      <c r="DF36" s="452" t="str">
        <f t="shared" si="33"/>
        <v/>
      </c>
      <c r="DG36" s="452" t="str">
        <f t="shared" si="33"/>
        <v/>
      </c>
      <c r="DH36" s="453" t="str">
        <f t="shared" si="33"/>
        <v/>
      </c>
      <c r="DI36" s="451" t="str">
        <f t="shared" si="33"/>
        <v/>
      </c>
      <c r="DJ36" s="452" t="str">
        <f t="shared" si="33"/>
        <v/>
      </c>
      <c r="DK36" s="452" t="str">
        <f t="shared" si="33"/>
        <v/>
      </c>
      <c r="DL36" s="452" t="str">
        <f t="shared" si="33"/>
        <v/>
      </c>
      <c r="DM36" s="453" t="str">
        <f t="shared" si="33"/>
        <v/>
      </c>
      <c r="DN36" s="451" t="str">
        <f t="shared" si="33"/>
        <v/>
      </c>
      <c r="DO36" s="452" t="str">
        <f t="shared" si="33"/>
        <v/>
      </c>
      <c r="DP36" s="452" t="str">
        <f t="shared" si="33"/>
        <v/>
      </c>
      <c r="DQ36" s="452" t="str">
        <f t="shared" si="33"/>
        <v/>
      </c>
      <c r="DR36" s="453" t="str">
        <f t="shared" si="33"/>
        <v/>
      </c>
      <c r="DS36" s="451" t="str">
        <f t="shared" si="27"/>
        <v/>
      </c>
      <c r="DT36" s="452" t="str">
        <f t="shared" si="27"/>
        <v/>
      </c>
      <c r="DU36" s="452" t="str">
        <f t="shared" si="27"/>
        <v/>
      </c>
      <c r="DV36" s="452" t="str">
        <f t="shared" si="27"/>
        <v/>
      </c>
      <c r="DW36" s="453" t="str">
        <f t="shared" si="27"/>
        <v/>
      </c>
      <c r="DX36" s="451" t="str">
        <f t="shared" si="27"/>
        <v/>
      </c>
      <c r="DY36" s="452" t="str">
        <f t="shared" si="27"/>
        <v/>
      </c>
      <c r="DZ36" s="452" t="str">
        <f t="shared" si="27"/>
        <v/>
      </c>
      <c r="EA36" s="452" t="str">
        <f t="shared" si="27"/>
        <v/>
      </c>
      <c r="EB36" s="453" t="str">
        <f t="shared" si="27"/>
        <v/>
      </c>
      <c r="EC36" s="451" t="str">
        <f t="shared" si="27"/>
        <v/>
      </c>
      <c r="ED36" s="452" t="str">
        <f t="shared" si="34"/>
        <v/>
      </c>
      <c r="EE36" s="452" t="str">
        <f t="shared" si="34"/>
        <v/>
      </c>
      <c r="EF36" s="452" t="str">
        <f t="shared" si="34"/>
        <v/>
      </c>
      <c r="EG36" s="453" t="str">
        <f t="shared" si="34"/>
        <v/>
      </c>
      <c r="EH36" s="451" t="str">
        <f t="shared" si="34"/>
        <v/>
      </c>
      <c r="EI36" s="452" t="str">
        <f t="shared" si="34"/>
        <v/>
      </c>
      <c r="EJ36" s="452" t="str">
        <f t="shared" si="34"/>
        <v/>
      </c>
      <c r="EK36" s="452" t="str">
        <f t="shared" si="34"/>
        <v/>
      </c>
      <c r="EL36" s="453" t="str">
        <f t="shared" si="34"/>
        <v/>
      </c>
      <c r="EM36" s="451" t="str">
        <f t="shared" si="34"/>
        <v/>
      </c>
      <c r="EN36" s="452" t="str">
        <f t="shared" si="34"/>
        <v/>
      </c>
      <c r="EO36" s="452" t="str">
        <f t="shared" si="34"/>
        <v/>
      </c>
      <c r="EP36" s="452" t="str">
        <f t="shared" si="34"/>
        <v/>
      </c>
      <c r="EQ36" s="453" t="str">
        <f t="shared" si="34"/>
        <v/>
      </c>
      <c r="ER36" s="451" t="str">
        <f t="shared" si="34"/>
        <v/>
      </c>
      <c r="ES36" s="452" t="str">
        <f t="shared" si="34"/>
        <v/>
      </c>
      <c r="ET36" s="452" t="str">
        <f t="shared" si="47"/>
        <v/>
      </c>
      <c r="EU36" s="452" t="str">
        <f t="shared" si="47"/>
        <v/>
      </c>
      <c r="EV36" s="453" t="str">
        <f t="shared" si="47"/>
        <v/>
      </c>
      <c r="EW36" s="451" t="str">
        <f t="shared" si="47"/>
        <v/>
      </c>
      <c r="EX36" s="452" t="str">
        <f t="shared" si="47"/>
        <v/>
      </c>
      <c r="EY36" s="452" t="str">
        <f t="shared" si="47"/>
        <v/>
      </c>
      <c r="EZ36" s="452" t="str">
        <f t="shared" si="47"/>
        <v/>
      </c>
      <c r="FA36" s="453" t="str">
        <f t="shared" si="44"/>
        <v/>
      </c>
      <c r="FB36" s="451" t="str">
        <f t="shared" si="44"/>
        <v/>
      </c>
      <c r="FC36" s="452" t="str">
        <f t="shared" si="44"/>
        <v/>
      </c>
      <c r="FD36" s="452" t="str">
        <f t="shared" si="44"/>
        <v/>
      </c>
      <c r="FE36" s="452" t="str">
        <f t="shared" si="44"/>
        <v/>
      </c>
      <c r="FF36" s="453" t="str">
        <f t="shared" si="44"/>
        <v/>
      </c>
      <c r="FG36" s="451" t="str">
        <f t="shared" si="44"/>
        <v/>
      </c>
      <c r="FH36" s="452" t="str">
        <f t="shared" si="44"/>
        <v/>
      </c>
      <c r="FI36" s="452" t="str">
        <f t="shared" si="44"/>
        <v/>
      </c>
      <c r="FJ36" s="452" t="str">
        <f t="shared" si="44"/>
        <v/>
      </c>
      <c r="FK36" s="453" t="str">
        <f t="shared" si="44"/>
        <v/>
      </c>
      <c r="FL36" s="451" t="str">
        <f t="shared" si="44"/>
        <v/>
      </c>
      <c r="FM36" s="452" t="str">
        <f t="shared" si="44"/>
        <v/>
      </c>
      <c r="FN36" s="452" t="str">
        <f t="shared" si="44"/>
        <v/>
      </c>
      <c r="FO36" s="452" t="str">
        <f t="shared" si="48"/>
        <v/>
      </c>
      <c r="FP36" s="453" t="str">
        <f t="shared" si="48"/>
        <v/>
      </c>
      <c r="FQ36" s="451" t="str">
        <f t="shared" si="48"/>
        <v/>
      </c>
      <c r="FR36" s="452" t="str">
        <f t="shared" si="48"/>
        <v/>
      </c>
      <c r="FS36" s="452" t="str">
        <f t="shared" si="48"/>
        <v/>
      </c>
      <c r="FT36" s="452" t="str">
        <f t="shared" si="48"/>
        <v/>
      </c>
      <c r="FU36" s="453" t="str">
        <f t="shared" si="48"/>
        <v/>
      </c>
      <c r="FV36" s="451" t="str">
        <f t="shared" si="48"/>
        <v/>
      </c>
      <c r="FW36" s="452" t="str">
        <f t="shared" si="48"/>
        <v/>
      </c>
      <c r="FX36" s="452" t="str">
        <f t="shared" si="48"/>
        <v/>
      </c>
      <c r="FY36" s="452" t="str">
        <f t="shared" si="48"/>
        <v/>
      </c>
      <c r="FZ36" s="453" t="str">
        <f t="shared" si="48"/>
        <v/>
      </c>
      <c r="GA36" s="451" t="str">
        <f t="shared" si="40"/>
        <v/>
      </c>
      <c r="GB36" s="452" t="str">
        <f t="shared" si="40"/>
        <v/>
      </c>
      <c r="GC36" s="452" t="str">
        <f t="shared" si="40"/>
        <v/>
      </c>
      <c r="GD36" s="452" t="str">
        <f t="shared" si="40"/>
        <v/>
      </c>
      <c r="GE36" s="453" t="str">
        <f t="shared" si="40"/>
        <v/>
      </c>
      <c r="GF36" s="451" t="str">
        <f t="shared" si="40"/>
        <v/>
      </c>
      <c r="GG36" s="452" t="str">
        <f t="shared" si="40"/>
        <v/>
      </c>
      <c r="GH36" s="452" t="str">
        <f t="shared" si="40"/>
        <v/>
      </c>
      <c r="GI36" s="452" t="str">
        <f t="shared" si="40"/>
        <v/>
      </c>
      <c r="GJ36" s="453" t="str">
        <f t="shared" si="40"/>
        <v/>
      </c>
      <c r="GK36" s="451" t="str">
        <f t="shared" si="40"/>
        <v/>
      </c>
      <c r="GL36" s="452" t="str">
        <f t="shared" si="40"/>
        <v/>
      </c>
      <c r="GM36" s="452" t="str">
        <f t="shared" si="40"/>
        <v/>
      </c>
      <c r="GN36" s="452" t="str">
        <f t="shared" si="40"/>
        <v/>
      </c>
      <c r="GO36" s="453" t="str">
        <f t="shared" si="40"/>
        <v/>
      </c>
      <c r="GP36" s="451" t="str">
        <f t="shared" si="46"/>
        <v/>
      </c>
      <c r="GQ36" s="452" t="str">
        <f t="shared" si="46"/>
        <v/>
      </c>
      <c r="GR36" s="452" t="str">
        <f t="shared" si="46"/>
        <v/>
      </c>
      <c r="GS36" s="452" t="str">
        <f t="shared" si="46"/>
        <v/>
      </c>
      <c r="GT36" s="453" t="str">
        <f t="shared" si="46"/>
        <v/>
      </c>
      <c r="GU36" s="451" t="str">
        <f t="shared" si="46"/>
        <v/>
      </c>
      <c r="GV36" s="452" t="str">
        <f t="shared" si="46"/>
        <v/>
      </c>
      <c r="GW36" s="452" t="str">
        <f t="shared" si="46"/>
        <v/>
      </c>
      <c r="GX36" s="452" t="str">
        <f t="shared" si="46"/>
        <v/>
      </c>
      <c r="GY36" s="453" t="str">
        <f t="shared" si="46"/>
        <v/>
      </c>
      <c r="GZ36" s="451" t="str">
        <f t="shared" si="46"/>
        <v/>
      </c>
      <c r="HA36" s="452" t="str">
        <f t="shared" si="46"/>
        <v/>
      </c>
      <c r="HB36" s="452" t="str">
        <f t="shared" si="46"/>
        <v/>
      </c>
      <c r="HC36" s="452" t="str">
        <f t="shared" si="46"/>
        <v/>
      </c>
      <c r="HD36" s="453" t="str">
        <f t="shared" si="46"/>
        <v/>
      </c>
      <c r="HE36" s="451" t="str">
        <f t="shared" si="46"/>
        <v/>
      </c>
      <c r="HF36" s="452" t="str">
        <f t="shared" si="35"/>
        <v/>
      </c>
      <c r="HG36" s="452" t="str">
        <f t="shared" si="35"/>
        <v/>
      </c>
      <c r="HH36" s="452" t="str">
        <f t="shared" si="35"/>
        <v/>
      </c>
      <c r="HI36" s="453" t="str">
        <f t="shared" si="35"/>
        <v/>
      </c>
      <c r="HJ36" s="451" t="str">
        <f t="shared" si="35"/>
        <v/>
      </c>
      <c r="HK36" s="452" t="str">
        <f t="shared" si="35"/>
        <v/>
      </c>
      <c r="HL36" s="452" t="str">
        <f t="shared" si="35"/>
        <v/>
      </c>
      <c r="HM36" s="452" t="str">
        <f t="shared" si="35"/>
        <v/>
      </c>
      <c r="HN36" s="453" t="str">
        <f t="shared" si="35"/>
        <v/>
      </c>
      <c r="HO36" s="451" t="str">
        <f t="shared" si="35"/>
        <v/>
      </c>
      <c r="HP36" s="452" t="str">
        <f t="shared" si="35"/>
        <v/>
      </c>
      <c r="HQ36" s="452" t="str">
        <f t="shared" si="35"/>
        <v/>
      </c>
      <c r="HR36" s="452" t="str">
        <f t="shared" si="35"/>
        <v/>
      </c>
      <c r="HS36" s="453" t="str">
        <f t="shared" si="35"/>
        <v/>
      </c>
      <c r="HT36" s="451" t="str">
        <f t="shared" si="35"/>
        <v/>
      </c>
      <c r="HU36" s="452" t="str">
        <f t="shared" si="35"/>
        <v/>
      </c>
      <c r="HV36" s="452" t="str">
        <f t="shared" si="36"/>
        <v/>
      </c>
      <c r="HW36" s="452" t="str">
        <f t="shared" si="36"/>
        <v/>
      </c>
      <c r="HX36" s="453" t="str">
        <f t="shared" si="36"/>
        <v/>
      </c>
      <c r="HY36" s="451" t="str">
        <f t="shared" si="36"/>
        <v/>
      </c>
      <c r="HZ36" s="452" t="str">
        <f t="shared" si="36"/>
        <v/>
      </c>
      <c r="IA36" s="452" t="str">
        <f t="shared" si="36"/>
        <v/>
      </c>
      <c r="IB36" s="452" t="str">
        <f t="shared" si="36"/>
        <v/>
      </c>
      <c r="IC36" s="453" t="str">
        <f t="shared" si="36"/>
        <v/>
      </c>
      <c r="ID36" s="451" t="str">
        <f t="shared" si="36"/>
        <v/>
      </c>
      <c r="IE36" s="452" t="str">
        <f t="shared" si="36"/>
        <v/>
      </c>
      <c r="IF36" s="452" t="str">
        <f t="shared" si="36"/>
        <v/>
      </c>
      <c r="IG36" s="452" t="str">
        <f t="shared" si="36"/>
        <v/>
      </c>
      <c r="IH36" s="453" t="str">
        <f t="shared" si="36"/>
        <v/>
      </c>
      <c r="II36" s="451" t="str">
        <f t="shared" si="36"/>
        <v/>
      </c>
      <c r="IJ36" s="452" t="str">
        <f t="shared" si="36"/>
        <v/>
      </c>
      <c r="IK36" s="452" t="str">
        <f t="shared" si="36"/>
        <v/>
      </c>
      <c r="IL36" s="452" t="str">
        <f t="shared" si="37"/>
        <v/>
      </c>
      <c r="IM36" s="453" t="str">
        <f t="shared" si="37"/>
        <v/>
      </c>
      <c r="IN36" s="451" t="str">
        <f t="shared" si="37"/>
        <v/>
      </c>
      <c r="IO36" s="452" t="str">
        <f t="shared" si="37"/>
        <v/>
      </c>
      <c r="IP36" s="452" t="str">
        <f t="shared" si="37"/>
        <v/>
      </c>
      <c r="IQ36" s="452" t="str">
        <f t="shared" si="37"/>
        <v/>
      </c>
      <c r="IR36" s="453" t="str">
        <f t="shared" si="37"/>
        <v/>
      </c>
    </row>
    <row r="37" spans="1:252" x14ac:dyDescent="0.2">
      <c r="A37" s="455">
        <v>4</v>
      </c>
      <c r="B37" s="456"/>
      <c r="C37" s="456" t="str">
        <f>Breakdown!$A12</f>
        <v>Pakcage 1 Small mech room penthouse</v>
      </c>
      <c r="D37" s="457"/>
      <c r="E37" s="437" t="str">
        <f>IF(E38="","",MIN(E38:E47))</f>
        <v/>
      </c>
      <c r="F37" s="437" t="str">
        <f>IF(F38="","",MAX(F38:F47))</f>
        <v/>
      </c>
      <c r="G37" s="437"/>
      <c r="H37" s="437"/>
      <c r="I37" s="458"/>
      <c r="J37" s="459">
        <f>MIN(J38:J47)</f>
        <v>0</v>
      </c>
      <c r="K37" s="459">
        <f>MAX(K38:K47)</f>
        <v>0</v>
      </c>
      <c r="L37" s="460">
        <f t="shared" si="0"/>
        <v>0</v>
      </c>
      <c r="M37" s="451" t="str">
        <f t="shared" si="42"/>
        <v/>
      </c>
      <c r="N37" s="452" t="str">
        <f t="shared" si="42"/>
        <v/>
      </c>
      <c r="O37" s="452" t="str">
        <f t="shared" si="42"/>
        <v/>
      </c>
      <c r="P37" s="452" t="str">
        <f t="shared" si="42"/>
        <v/>
      </c>
      <c r="Q37" s="453" t="str">
        <f t="shared" si="42"/>
        <v/>
      </c>
      <c r="R37" s="451" t="str">
        <f t="shared" si="42"/>
        <v/>
      </c>
      <c r="S37" s="452" t="str">
        <f t="shared" si="42"/>
        <v/>
      </c>
      <c r="T37" s="452" t="str">
        <f t="shared" si="42"/>
        <v/>
      </c>
      <c r="U37" s="452" t="str">
        <f t="shared" si="42"/>
        <v/>
      </c>
      <c r="V37" s="453" t="str">
        <f t="shared" si="42"/>
        <v/>
      </c>
      <c r="W37" s="451" t="str">
        <f t="shared" si="42"/>
        <v/>
      </c>
      <c r="X37" s="452" t="str">
        <f t="shared" si="42"/>
        <v/>
      </c>
      <c r="Y37" s="452" t="str">
        <f t="shared" si="42"/>
        <v/>
      </c>
      <c r="Z37" s="452" t="str">
        <f t="shared" si="42"/>
        <v/>
      </c>
      <c r="AA37" s="453" t="str">
        <f t="shared" si="42"/>
        <v/>
      </c>
      <c r="AB37" s="451" t="str">
        <f t="shared" si="42"/>
        <v/>
      </c>
      <c r="AC37" s="452" t="str">
        <f t="shared" si="49"/>
        <v/>
      </c>
      <c r="AD37" s="452" t="str">
        <f t="shared" si="49"/>
        <v/>
      </c>
      <c r="AE37" s="452" t="str">
        <f t="shared" si="49"/>
        <v/>
      </c>
      <c r="AF37" s="453" t="str">
        <f t="shared" si="49"/>
        <v/>
      </c>
      <c r="AG37" s="451" t="str">
        <f t="shared" si="49"/>
        <v/>
      </c>
      <c r="AH37" s="452" t="str">
        <f t="shared" si="49"/>
        <v/>
      </c>
      <c r="AI37" s="452" t="str">
        <f t="shared" si="49"/>
        <v/>
      </c>
      <c r="AJ37" s="452" t="str">
        <f t="shared" si="49"/>
        <v/>
      </c>
      <c r="AK37" s="453" t="str">
        <f t="shared" si="49"/>
        <v/>
      </c>
      <c r="AL37" s="451" t="str">
        <f t="shared" si="49"/>
        <v/>
      </c>
      <c r="AM37" s="452" t="str">
        <f t="shared" si="49"/>
        <v/>
      </c>
      <c r="AN37" s="452" t="str">
        <f t="shared" si="49"/>
        <v/>
      </c>
      <c r="AO37" s="452" t="str">
        <f t="shared" si="49"/>
        <v/>
      </c>
      <c r="AP37" s="453" t="str">
        <f t="shared" si="49"/>
        <v/>
      </c>
      <c r="AQ37" s="451" t="str">
        <f t="shared" si="43"/>
        <v/>
      </c>
      <c r="AR37" s="452" t="str">
        <f t="shared" si="43"/>
        <v/>
      </c>
      <c r="AS37" s="452" t="str">
        <f t="shared" si="43"/>
        <v/>
      </c>
      <c r="AT37" s="452" t="str">
        <f t="shared" si="43"/>
        <v/>
      </c>
      <c r="AU37" s="453" t="str">
        <f t="shared" si="43"/>
        <v/>
      </c>
      <c r="AV37" s="451" t="str">
        <f t="shared" si="43"/>
        <v/>
      </c>
      <c r="AW37" s="452" t="str">
        <f t="shared" si="43"/>
        <v/>
      </c>
      <c r="AX37" s="452" t="str">
        <f t="shared" si="43"/>
        <v/>
      </c>
      <c r="AY37" s="452" t="str">
        <f t="shared" si="43"/>
        <v/>
      </c>
      <c r="AZ37" s="453" t="str">
        <f t="shared" si="43"/>
        <v/>
      </c>
      <c r="BA37" s="451" t="str">
        <f t="shared" si="43"/>
        <v/>
      </c>
      <c r="BB37" s="452" t="str">
        <f t="shared" si="43"/>
        <v/>
      </c>
      <c r="BC37" s="452" t="str">
        <f t="shared" si="43"/>
        <v/>
      </c>
      <c r="BD37" s="452" t="str">
        <f t="shared" si="43"/>
        <v/>
      </c>
      <c r="BE37" s="453" t="str">
        <f t="shared" si="43"/>
        <v/>
      </c>
      <c r="BF37" s="451" t="str">
        <f t="shared" si="43"/>
        <v/>
      </c>
      <c r="BG37" s="452" t="str">
        <f t="shared" ref="BG37:BV59" si="53">IF(AND(BG$2&gt;=$J37,BG$2&lt;=$K37),1,"")</f>
        <v/>
      </c>
      <c r="BH37" s="452" t="str">
        <f t="shared" si="53"/>
        <v/>
      </c>
      <c r="BI37" s="452" t="str">
        <f t="shared" si="53"/>
        <v/>
      </c>
      <c r="BJ37" s="453" t="str">
        <f t="shared" si="53"/>
        <v/>
      </c>
      <c r="BK37" s="451" t="str">
        <f t="shared" si="50"/>
        <v/>
      </c>
      <c r="BL37" s="452" t="str">
        <f t="shared" si="50"/>
        <v/>
      </c>
      <c r="BM37" s="452" t="str">
        <f t="shared" si="50"/>
        <v/>
      </c>
      <c r="BN37" s="452" t="str">
        <f t="shared" si="50"/>
        <v/>
      </c>
      <c r="BO37" s="453" t="str">
        <f t="shared" si="50"/>
        <v/>
      </c>
      <c r="BP37" s="451" t="str">
        <f t="shared" si="50"/>
        <v/>
      </c>
      <c r="BQ37" s="452" t="str">
        <f t="shared" si="50"/>
        <v/>
      </c>
      <c r="BR37" s="452" t="str">
        <f t="shared" si="50"/>
        <v/>
      </c>
      <c r="BS37" s="452" t="str">
        <f t="shared" si="50"/>
        <v/>
      </c>
      <c r="BT37" s="453" t="str">
        <f t="shared" si="50"/>
        <v/>
      </c>
      <c r="BU37" s="451" t="str">
        <f t="shared" si="50"/>
        <v/>
      </c>
      <c r="BV37" s="452" t="str">
        <f t="shared" si="50"/>
        <v/>
      </c>
      <c r="BW37" s="452" t="str">
        <f t="shared" si="50"/>
        <v/>
      </c>
      <c r="BX37" s="452" t="str">
        <f t="shared" si="50"/>
        <v/>
      </c>
      <c r="BY37" s="453" t="str">
        <f t="shared" ref="BY37:CN53" si="54">IF(AND(BY$2&gt;=$J37,BY$2&lt;=$K37),1,"")</f>
        <v/>
      </c>
      <c r="BZ37" s="451" t="str">
        <f t="shared" si="54"/>
        <v/>
      </c>
      <c r="CA37" s="452" t="str">
        <f t="shared" si="54"/>
        <v/>
      </c>
      <c r="CB37" s="452" t="str">
        <f t="shared" si="54"/>
        <v/>
      </c>
      <c r="CC37" s="452" t="str">
        <f t="shared" si="54"/>
        <v/>
      </c>
      <c r="CD37" s="453" t="str">
        <f t="shared" si="54"/>
        <v/>
      </c>
      <c r="CE37" s="451" t="str">
        <f t="shared" si="54"/>
        <v/>
      </c>
      <c r="CF37" s="452" t="str">
        <f t="shared" si="54"/>
        <v/>
      </c>
      <c r="CG37" s="452" t="str">
        <f t="shared" si="54"/>
        <v/>
      </c>
      <c r="CH37" s="452" t="str">
        <f t="shared" si="54"/>
        <v/>
      </c>
      <c r="CI37" s="453" t="str">
        <f t="shared" si="54"/>
        <v/>
      </c>
      <c r="CJ37" s="451" t="str">
        <f t="shared" si="54"/>
        <v/>
      </c>
      <c r="CK37" s="452" t="str">
        <f t="shared" si="54"/>
        <v/>
      </c>
      <c r="CL37" s="452" t="str">
        <f t="shared" si="54"/>
        <v/>
      </c>
      <c r="CM37" s="452" t="str">
        <f t="shared" si="54"/>
        <v/>
      </c>
      <c r="CN37" s="453" t="str">
        <f t="shared" si="54"/>
        <v/>
      </c>
      <c r="CO37" s="451" t="str">
        <f t="shared" ref="CO37:DD58" si="55">IF(AND(CO$2&gt;=$J37,CO$2&lt;=$K37),1,"")</f>
        <v/>
      </c>
      <c r="CP37" s="452" t="str">
        <f t="shared" si="55"/>
        <v/>
      </c>
      <c r="CQ37" s="452" t="str">
        <f t="shared" si="55"/>
        <v/>
      </c>
      <c r="CR37" s="452" t="str">
        <f t="shared" si="55"/>
        <v/>
      </c>
      <c r="CS37" s="453" t="str">
        <f t="shared" si="55"/>
        <v/>
      </c>
      <c r="CT37" s="451" t="str">
        <f t="shared" si="55"/>
        <v/>
      </c>
      <c r="CU37" s="452" t="str">
        <f t="shared" si="55"/>
        <v/>
      </c>
      <c r="CV37" s="452" t="str">
        <f t="shared" si="55"/>
        <v/>
      </c>
      <c r="CW37" s="452" t="str">
        <f t="shared" si="55"/>
        <v/>
      </c>
      <c r="CX37" s="453" t="str">
        <f t="shared" si="55"/>
        <v/>
      </c>
      <c r="CY37" s="451" t="str">
        <f t="shared" si="55"/>
        <v/>
      </c>
      <c r="CZ37" s="452" t="str">
        <f t="shared" si="55"/>
        <v/>
      </c>
      <c r="DA37" s="452" t="str">
        <f t="shared" si="55"/>
        <v/>
      </c>
      <c r="DB37" s="452" t="str">
        <f t="shared" si="55"/>
        <v/>
      </c>
      <c r="DC37" s="453" t="str">
        <f t="shared" si="55"/>
        <v/>
      </c>
      <c r="DD37" s="451" t="str">
        <f t="shared" si="55"/>
        <v/>
      </c>
      <c r="DE37" s="452" t="str">
        <f t="shared" si="33"/>
        <v/>
      </c>
      <c r="DF37" s="452" t="str">
        <f t="shared" si="33"/>
        <v/>
      </c>
      <c r="DG37" s="452" t="str">
        <f t="shared" si="33"/>
        <v/>
      </c>
      <c r="DH37" s="453" t="str">
        <f t="shared" si="33"/>
        <v/>
      </c>
      <c r="DI37" s="451" t="str">
        <f t="shared" si="33"/>
        <v/>
      </c>
      <c r="DJ37" s="452" t="str">
        <f t="shared" si="33"/>
        <v/>
      </c>
      <c r="DK37" s="452" t="str">
        <f t="shared" si="33"/>
        <v/>
      </c>
      <c r="DL37" s="452" t="str">
        <f t="shared" si="33"/>
        <v/>
      </c>
      <c r="DM37" s="453" t="str">
        <f t="shared" si="33"/>
        <v/>
      </c>
      <c r="DN37" s="451" t="str">
        <f t="shared" si="33"/>
        <v/>
      </c>
      <c r="DO37" s="452" t="str">
        <f t="shared" si="33"/>
        <v/>
      </c>
      <c r="DP37" s="452" t="str">
        <f t="shared" si="33"/>
        <v/>
      </c>
      <c r="DQ37" s="452" t="str">
        <f t="shared" si="33"/>
        <v/>
      </c>
      <c r="DR37" s="453" t="str">
        <f t="shared" si="33"/>
        <v/>
      </c>
      <c r="DS37" s="451" t="str">
        <f t="shared" si="27"/>
        <v/>
      </c>
      <c r="DT37" s="452" t="str">
        <f t="shared" si="27"/>
        <v/>
      </c>
      <c r="DU37" s="452" t="str">
        <f t="shared" si="27"/>
        <v/>
      </c>
      <c r="DV37" s="452" t="str">
        <f t="shared" si="27"/>
        <v/>
      </c>
      <c r="DW37" s="453" t="str">
        <f t="shared" si="27"/>
        <v/>
      </c>
      <c r="DX37" s="451" t="str">
        <f t="shared" si="27"/>
        <v/>
      </c>
      <c r="DY37" s="452" t="str">
        <f t="shared" si="27"/>
        <v/>
      </c>
      <c r="DZ37" s="452" t="str">
        <f t="shared" si="27"/>
        <v/>
      </c>
      <c r="EA37" s="452" t="str">
        <f t="shared" si="27"/>
        <v/>
      </c>
      <c r="EB37" s="453" t="str">
        <f t="shared" si="27"/>
        <v/>
      </c>
      <c r="EC37" s="451" t="str">
        <f t="shared" si="27"/>
        <v/>
      </c>
      <c r="ED37" s="452" t="str">
        <f t="shared" si="34"/>
        <v/>
      </c>
      <c r="EE37" s="452" t="str">
        <f t="shared" si="34"/>
        <v/>
      </c>
      <c r="EF37" s="452" t="str">
        <f t="shared" si="34"/>
        <v/>
      </c>
      <c r="EG37" s="453" t="str">
        <f t="shared" si="34"/>
        <v/>
      </c>
      <c r="EH37" s="451" t="str">
        <f t="shared" si="34"/>
        <v/>
      </c>
      <c r="EI37" s="452" t="str">
        <f t="shared" si="34"/>
        <v/>
      </c>
      <c r="EJ37" s="452" t="str">
        <f t="shared" si="34"/>
        <v/>
      </c>
      <c r="EK37" s="452" t="str">
        <f t="shared" si="34"/>
        <v/>
      </c>
      <c r="EL37" s="453" t="str">
        <f t="shared" si="34"/>
        <v/>
      </c>
      <c r="EM37" s="451" t="str">
        <f t="shared" si="34"/>
        <v/>
      </c>
      <c r="EN37" s="452" t="str">
        <f t="shared" si="34"/>
        <v/>
      </c>
      <c r="EO37" s="452" t="str">
        <f t="shared" si="34"/>
        <v/>
      </c>
      <c r="EP37" s="452" t="str">
        <f t="shared" si="34"/>
        <v/>
      </c>
      <c r="EQ37" s="453" t="str">
        <f t="shared" si="34"/>
        <v/>
      </c>
      <c r="ER37" s="451" t="str">
        <f t="shared" si="34"/>
        <v/>
      </c>
      <c r="ES37" s="452" t="str">
        <f t="shared" si="34"/>
        <v/>
      </c>
      <c r="ET37" s="452" t="str">
        <f t="shared" si="47"/>
        <v/>
      </c>
      <c r="EU37" s="452" t="str">
        <f t="shared" si="47"/>
        <v/>
      </c>
      <c r="EV37" s="453" t="str">
        <f t="shared" si="47"/>
        <v/>
      </c>
      <c r="EW37" s="451" t="str">
        <f t="shared" si="47"/>
        <v/>
      </c>
      <c r="EX37" s="452" t="str">
        <f t="shared" si="47"/>
        <v/>
      </c>
      <c r="EY37" s="452" t="str">
        <f t="shared" si="47"/>
        <v/>
      </c>
      <c r="EZ37" s="452" t="str">
        <f t="shared" si="47"/>
        <v/>
      </c>
      <c r="FA37" s="453" t="str">
        <f t="shared" si="44"/>
        <v/>
      </c>
      <c r="FB37" s="451" t="str">
        <f t="shared" si="44"/>
        <v/>
      </c>
      <c r="FC37" s="452" t="str">
        <f t="shared" si="44"/>
        <v/>
      </c>
      <c r="FD37" s="452" t="str">
        <f t="shared" si="44"/>
        <v/>
      </c>
      <c r="FE37" s="452" t="str">
        <f t="shared" si="44"/>
        <v/>
      </c>
      <c r="FF37" s="453" t="str">
        <f t="shared" si="44"/>
        <v/>
      </c>
      <c r="FG37" s="451" t="str">
        <f t="shared" si="44"/>
        <v/>
      </c>
      <c r="FH37" s="452" t="str">
        <f t="shared" si="44"/>
        <v/>
      </c>
      <c r="FI37" s="452" t="str">
        <f t="shared" si="44"/>
        <v/>
      </c>
      <c r="FJ37" s="452" t="str">
        <f t="shared" si="44"/>
        <v/>
      </c>
      <c r="FK37" s="453" t="str">
        <f t="shared" si="44"/>
        <v/>
      </c>
      <c r="FL37" s="451" t="str">
        <f t="shared" si="44"/>
        <v/>
      </c>
      <c r="FM37" s="452" t="str">
        <f t="shared" si="44"/>
        <v/>
      </c>
      <c r="FN37" s="452" t="str">
        <f t="shared" si="44"/>
        <v/>
      </c>
      <c r="FO37" s="452" t="str">
        <f t="shared" si="48"/>
        <v/>
      </c>
      <c r="FP37" s="453" t="str">
        <f t="shared" si="48"/>
        <v/>
      </c>
      <c r="FQ37" s="451" t="str">
        <f t="shared" si="48"/>
        <v/>
      </c>
      <c r="FR37" s="452" t="str">
        <f t="shared" si="48"/>
        <v/>
      </c>
      <c r="FS37" s="452" t="str">
        <f t="shared" si="48"/>
        <v/>
      </c>
      <c r="FT37" s="452" t="str">
        <f t="shared" si="48"/>
        <v/>
      </c>
      <c r="FU37" s="453" t="str">
        <f t="shared" si="48"/>
        <v/>
      </c>
      <c r="FV37" s="451" t="str">
        <f t="shared" si="48"/>
        <v/>
      </c>
      <c r="FW37" s="452" t="str">
        <f t="shared" si="48"/>
        <v/>
      </c>
      <c r="FX37" s="452" t="str">
        <f t="shared" si="48"/>
        <v/>
      </c>
      <c r="FY37" s="452" t="str">
        <f t="shared" si="48"/>
        <v/>
      </c>
      <c r="FZ37" s="453" t="str">
        <f t="shared" si="48"/>
        <v/>
      </c>
      <c r="GA37" s="451" t="str">
        <f t="shared" si="40"/>
        <v/>
      </c>
      <c r="GB37" s="452" t="str">
        <f t="shared" si="40"/>
        <v/>
      </c>
      <c r="GC37" s="452" t="str">
        <f t="shared" si="40"/>
        <v/>
      </c>
      <c r="GD37" s="452" t="str">
        <f t="shared" si="40"/>
        <v/>
      </c>
      <c r="GE37" s="453" t="str">
        <f t="shared" si="40"/>
        <v/>
      </c>
      <c r="GF37" s="451" t="str">
        <f t="shared" si="40"/>
        <v/>
      </c>
      <c r="GG37" s="452" t="str">
        <f t="shared" si="40"/>
        <v/>
      </c>
      <c r="GH37" s="452" t="str">
        <f t="shared" si="40"/>
        <v/>
      </c>
      <c r="GI37" s="452" t="str">
        <f t="shared" si="40"/>
        <v/>
      </c>
      <c r="GJ37" s="453" t="str">
        <f t="shared" si="40"/>
        <v/>
      </c>
      <c r="GK37" s="451" t="str">
        <f t="shared" si="40"/>
        <v/>
      </c>
      <c r="GL37" s="452" t="str">
        <f t="shared" si="40"/>
        <v/>
      </c>
      <c r="GM37" s="452" t="str">
        <f t="shared" si="40"/>
        <v/>
      </c>
      <c r="GN37" s="452" t="str">
        <f t="shared" si="40"/>
        <v/>
      </c>
      <c r="GO37" s="453" t="str">
        <f t="shared" si="40"/>
        <v/>
      </c>
      <c r="GP37" s="451" t="str">
        <f t="shared" si="46"/>
        <v/>
      </c>
      <c r="GQ37" s="452" t="str">
        <f t="shared" si="46"/>
        <v/>
      </c>
      <c r="GR37" s="452" t="str">
        <f t="shared" si="46"/>
        <v/>
      </c>
      <c r="GS37" s="452" t="str">
        <f t="shared" si="46"/>
        <v/>
      </c>
      <c r="GT37" s="453" t="str">
        <f t="shared" si="46"/>
        <v/>
      </c>
      <c r="GU37" s="451" t="str">
        <f t="shared" si="46"/>
        <v/>
      </c>
      <c r="GV37" s="452" t="str">
        <f t="shared" si="46"/>
        <v/>
      </c>
      <c r="GW37" s="452" t="str">
        <f t="shared" si="46"/>
        <v/>
      </c>
      <c r="GX37" s="452" t="str">
        <f t="shared" si="46"/>
        <v/>
      </c>
      <c r="GY37" s="453" t="str">
        <f t="shared" si="46"/>
        <v/>
      </c>
      <c r="GZ37" s="451" t="str">
        <f t="shared" si="46"/>
        <v/>
      </c>
      <c r="HA37" s="452" t="str">
        <f t="shared" si="46"/>
        <v/>
      </c>
      <c r="HB37" s="452" t="str">
        <f t="shared" si="46"/>
        <v/>
      </c>
      <c r="HC37" s="452" t="str">
        <f t="shared" si="46"/>
        <v/>
      </c>
      <c r="HD37" s="453" t="str">
        <f t="shared" si="46"/>
        <v/>
      </c>
      <c r="HE37" s="451" t="str">
        <f t="shared" si="46"/>
        <v/>
      </c>
      <c r="HF37" s="452" t="str">
        <f t="shared" si="35"/>
        <v/>
      </c>
      <c r="HG37" s="452" t="str">
        <f t="shared" si="35"/>
        <v/>
      </c>
      <c r="HH37" s="452" t="str">
        <f t="shared" si="35"/>
        <v/>
      </c>
      <c r="HI37" s="453" t="str">
        <f t="shared" si="35"/>
        <v/>
      </c>
      <c r="HJ37" s="451" t="str">
        <f t="shared" si="35"/>
        <v/>
      </c>
      <c r="HK37" s="452" t="str">
        <f t="shared" si="35"/>
        <v/>
      </c>
      <c r="HL37" s="452" t="str">
        <f t="shared" si="35"/>
        <v/>
      </c>
      <c r="HM37" s="452" t="str">
        <f t="shared" si="35"/>
        <v/>
      </c>
      <c r="HN37" s="453" t="str">
        <f t="shared" si="35"/>
        <v/>
      </c>
      <c r="HO37" s="451" t="str">
        <f t="shared" si="35"/>
        <v/>
      </c>
      <c r="HP37" s="452" t="str">
        <f t="shared" si="35"/>
        <v/>
      </c>
      <c r="HQ37" s="452" t="str">
        <f t="shared" si="35"/>
        <v/>
      </c>
      <c r="HR37" s="452" t="str">
        <f t="shared" si="35"/>
        <v/>
      </c>
      <c r="HS37" s="453" t="str">
        <f t="shared" si="35"/>
        <v/>
      </c>
      <c r="HT37" s="451" t="str">
        <f t="shared" si="35"/>
        <v/>
      </c>
      <c r="HU37" s="452" t="str">
        <f t="shared" si="35"/>
        <v/>
      </c>
      <c r="HV37" s="452" t="str">
        <f t="shared" si="36"/>
        <v/>
      </c>
      <c r="HW37" s="452" t="str">
        <f t="shared" si="36"/>
        <v/>
      </c>
      <c r="HX37" s="453" t="str">
        <f t="shared" si="36"/>
        <v/>
      </c>
      <c r="HY37" s="451" t="str">
        <f t="shared" si="36"/>
        <v/>
      </c>
      <c r="HZ37" s="452" t="str">
        <f t="shared" si="36"/>
        <v/>
      </c>
      <c r="IA37" s="452" t="str">
        <f t="shared" si="36"/>
        <v/>
      </c>
      <c r="IB37" s="452" t="str">
        <f t="shared" si="36"/>
        <v/>
      </c>
      <c r="IC37" s="453" t="str">
        <f t="shared" si="36"/>
        <v/>
      </c>
      <c r="ID37" s="451" t="str">
        <f t="shared" si="36"/>
        <v/>
      </c>
      <c r="IE37" s="452" t="str">
        <f t="shared" si="36"/>
        <v/>
      </c>
      <c r="IF37" s="452" t="str">
        <f t="shared" si="36"/>
        <v/>
      </c>
      <c r="IG37" s="452" t="str">
        <f t="shared" si="36"/>
        <v/>
      </c>
      <c r="IH37" s="453" t="str">
        <f t="shared" si="36"/>
        <v/>
      </c>
      <c r="II37" s="451" t="str">
        <f t="shared" si="36"/>
        <v/>
      </c>
      <c r="IJ37" s="452" t="str">
        <f t="shared" si="36"/>
        <v/>
      </c>
      <c r="IK37" s="452" t="str">
        <f t="shared" si="36"/>
        <v/>
      </c>
      <c r="IL37" s="452" t="str">
        <f t="shared" si="37"/>
        <v/>
      </c>
      <c r="IM37" s="453" t="str">
        <f t="shared" si="37"/>
        <v/>
      </c>
      <c r="IN37" s="451" t="str">
        <f t="shared" si="37"/>
        <v/>
      </c>
      <c r="IO37" s="452" t="str">
        <f t="shared" si="37"/>
        <v/>
      </c>
      <c r="IP37" s="452" t="str">
        <f t="shared" si="37"/>
        <v/>
      </c>
      <c r="IQ37" s="452" t="str">
        <f t="shared" si="37"/>
        <v/>
      </c>
      <c r="IR37" s="453" t="str">
        <f t="shared" si="37"/>
        <v/>
      </c>
    </row>
    <row r="38" spans="1:252" x14ac:dyDescent="0.2">
      <c r="A38" s="461">
        <v>4.0999999999999996</v>
      </c>
      <c r="C38" s="447" t="s">
        <v>1351</v>
      </c>
      <c r="D38" s="447"/>
      <c r="E38" s="448"/>
      <c r="F38" s="448"/>
      <c r="G38" s="448"/>
      <c r="H38" s="448"/>
      <c r="I38" s="448"/>
      <c r="J38" s="449" t="str">
        <f t="shared" ref="J38:J47" si="56">IF(E38="","",E38-$M$3+1)</f>
        <v/>
      </c>
      <c r="K38" s="449" t="str">
        <f t="shared" ref="K38:K47" si="57">IF(F38="","",F38-$M$3+1)</f>
        <v/>
      </c>
      <c r="L38" s="450">
        <f t="shared" si="0"/>
        <v>0</v>
      </c>
      <c r="M38" s="451" t="str">
        <f t="shared" si="42"/>
        <v/>
      </c>
      <c r="N38" s="452" t="str">
        <f t="shared" si="42"/>
        <v/>
      </c>
      <c r="O38" s="452" t="str">
        <f t="shared" si="42"/>
        <v/>
      </c>
      <c r="P38" s="452" t="str">
        <f t="shared" si="42"/>
        <v/>
      </c>
      <c r="Q38" s="453" t="str">
        <f t="shared" si="42"/>
        <v/>
      </c>
      <c r="R38" s="451" t="str">
        <f t="shared" si="42"/>
        <v/>
      </c>
      <c r="S38" s="452" t="str">
        <f t="shared" si="42"/>
        <v/>
      </c>
      <c r="T38" s="452" t="str">
        <f t="shared" si="42"/>
        <v/>
      </c>
      <c r="U38" s="452" t="str">
        <f t="shared" si="42"/>
        <v/>
      </c>
      <c r="V38" s="453" t="str">
        <f t="shared" si="42"/>
        <v/>
      </c>
      <c r="W38" s="451" t="str">
        <f t="shared" si="42"/>
        <v/>
      </c>
      <c r="X38" s="452" t="str">
        <f t="shared" si="42"/>
        <v/>
      </c>
      <c r="Y38" s="452" t="str">
        <f t="shared" si="42"/>
        <v/>
      </c>
      <c r="Z38" s="452" t="str">
        <f t="shared" si="42"/>
        <v/>
      </c>
      <c r="AA38" s="453" t="str">
        <f t="shared" si="42"/>
        <v/>
      </c>
      <c r="AB38" s="451" t="str">
        <f t="shared" si="42"/>
        <v/>
      </c>
      <c r="AC38" s="452" t="str">
        <f t="shared" si="49"/>
        <v/>
      </c>
      <c r="AD38" s="452" t="str">
        <f t="shared" si="49"/>
        <v/>
      </c>
      <c r="AE38" s="452" t="str">
        <f t="shared" si="49"/>
        <v/>
      </c>
      <c r="AF38" s="453" t="str">
        <f t="shared" si="49"/>
        <v/>
      </c>
      <c r="AG38" s="451" t="str">
        <f>IF(AND(AG$2&gt;=$J38,AG$2&lt;=$K38),1,"")</f>
        <v/>
      </c>
      <c r="AH38" s="452" t="str">
        <f t="shared" si="49"/>
        <v/>
      </c>
      <c r="AI38" s="452" t="str">
        <f t="shared" si="49"/>
        <v/>
      </c>
      <c r="AJ38" s="452" t="str">
        <f t="shared" si="49"/>
        <v/>
      </c>
      <c r="AK38" s="453" t="str">
        <f t="shared" si="49"/>
        <v/>
      </c>
      <c r="AL38" s="451" t="str">
        <f>IF(AND(AL$2&gt;=$J38,AL$2&lt;=$K38),1,"")</f>
        <v/>
      </c>
      <c r="AM38" s="452" t="str">
        <f t="shared" si="49"/>
        <v/>
      </c>
      <c r="AN38" s="452" t="str">
        <f t="shared" si="49"/>
        <v/>
      </c>
      <c r="AO38" s="452" t="str">
        <f t="shared" si="49"/>
        <v/>
      </c>
      <c r="AP38" s="453" t="str">
        <f t="shared" si="49"/>
        <v/>
      </c>
      <c r="AQ38" s="451" t="str">
        <f>IF(AND(AQ$2&gt;=$J38,AQ$2&lt;=$K38),1,"")</f>
        <v/>
      </c>
      <c r="AR38" s="452" t="str">
        <f t="shared" si="43"/>
        <v/>
      </c>
      <c r="AS38" s="452" t="str">
        <f t="shared" si="43"/>
        <v/>
      </c>
      <c r="AT38" s="452" t="str">
        <f t="shared" si="43"/>
        <v/>
      </c>
      <c r="AU38" s="453" t="str">
        <f t="shared" si="43"/>
        <v/>
      </c>
      <c r="AV38" s="451" t="str">
        <f>IF(AND(AV$2&gt;=$J38,AV$2&lt;=$K38),1,"")</f>
        <v/>
      </c>
      <c r="AW38" s="452" t="str">
        <f t="shared" si="43"/>
        <v/>
      </c>
      <c r="AX38" s="452" t="str">
        <f t="shared" si="43"/>
        <v/>
      </c>
      <c r="AY38" s="452" t="str">
        <f t="shared" si="43"/>
        <v/>
      </c>
      <c r="AZ38" s="453" t="str">
        <f t="shared" si="43"/>
        <v/>
      </c>
      <c r="BA38" s="451" t="str">
        <f>IF(AND(BA$2&gt;=$J38,BA$2&lt;=$K38),1,"")</f>
        <v/>
      </c>
      <c r="BB38" s="452" t="str">
        <f t="shared" si="43"/>
        <v/>
      </c>
      <c r="BC38" s="452" t="str">
        <f t="shared" si="43"/>
        <v/>
      </c>
      <c r="BD38" s="452" t="str">
        <f t="shared" si="43"/>
        <v/>
      </c>
      <c r="BE38" s="453" t="str">
        <f t="shared" si="43"/>
        <v/>
      </c>
      <c r="BF38" s="451" t="str">
        <f>IF(AND(BF$2&gt;=$J38,BF$2&lt;=$K38),1,"")</f>
        <v/>
      </c>
      <c r="BG38" s="452" t="str">
        <f t="shared" si="53"/>
        <v/>
      </c>
      <c r="BH38" s="452" t="str">
        <f t="shared" si="53"/>
        <v/>
      </c>
      <c r="BI38" s="452" t="str">
        <f t="shared" si="53"/>
        <v/>
      </c>
      <c r="BJ38" s="453" t="str">
        <f t="shared" si="53"/>
        <v/>
      </c>
      <c r="BK38" s="451" t="str">
        <f>IF(AND(BK$2&gt;=$J38,BK$2&lt;=$K38),1,"")</f>
        <v/>
      </c>
      <c r="BL38" s="452" t="str">
        <f t="shared" si="50"/>
        <v/>
      </c>
      <c r="BM38" s="452" t="str">
        <f t="shared" si="50"/>
        <v/>
      </c>
      <c r="BN38" s="452" t="str">
        <f t="shared" si="50"/>
        <v/>
      </c>
      <c r="BO38" s="453" t="str">
        <f t="shared" si="50"/>
        <v/>
      </c>
      <c r="BP38" s="451" t="str">
        <f>IF(AND(BP$2&gt;=$J38,BP$2&lt;=$K38),1,"")</f>
        <v/>
      </c>
      <c r="BQ38" s="452" t="str">
        <f t="shared" si="50"/>
        <v/>
      </c>
      <c r="BR38" s="452" t="str">
        <f t="shared" si="50"/>
        <v/>
      </c>
      <c r="BS38" s="452" t="str">
        <f t="shared" si="50"/>
        <v/>
      </c>
      <c r="BT38" s="453" t="str">
        <f t="shared" si="50"/>
        <v/>
      </c>
      <c r="BU38" s="451" t="str">
        <f>IF(AND(BU$2&gt;=$J38,BU$2&lt;=$K38),1,"")</f>
        <v/>
      </c>
      <c r="BV38" s="452" t="str">
        <f t="shared" si="50"/>
        <v/>
      </c>
      <c r="BW38" s="452" t="str">
        <f t="shared" si="50"/>
        <v/>
      </c>
      <c r="BX38" s="452" t="str">
        <f t="shared" si="50"/>
        <v/>
      </c>
      <c r="BY38" s="453" t="str">
        <f t="shared" si="54"/>
        <v/>
      </c>
      <c r="BZ38" s="451" t="str">
        <f>IF(AND(BZ$2&gt;=$J38,BZ$2&lt;=$K38),1,"")</f>
        <v/>
      </c>
      <c r="CA38" s="452" t="str">
        <f t="shared" si="54"/>
        <v/>
      </c>
      <c r="CB38" s="452" t="str">
        <f t="shared" si="54"/>
        <v/>
      </c>
      <c r="CC38" s="452" t="str">
        <f t="shared" si="54"/>
        <v/>
      </c>
      <c r="CD38" s="453" t="str">
        <f t="shared" si="54"/>
        <v/>
      </c>
      <c r="CE38" s="451" t="str">
        <f>IF(AND(CE$2&gt;=$J38,CE$2&lt;=$K38),1,"")</f>
        <v/>
      </c>
      <c r="CF38" s="452" t="str">
        <f t="shared" si="54"/>
        <v/>
      </c>
      <c r="CG38" s="452" t="str">
        <f t="shared" si="54"/>
        <v/>
      </c>
      <c r="CH38" s="452" t="str">
        <f t="shared" si="54"/>
        <v/>
      </c>
      <c r="CI38" s="453" t="str">
        <f t="shared" si="54"/>
        <v/>
      </c>
      <c r="CJ38" s="451" t="str">
        <f>IF(AND(CJ$2&gt;=$J38,CJ$2&lt;=$K38),1,"")</f>
        <v/>
      </c>
      <c r="CK38" s="452" t="str">
        <f t="shared" si="54"/>
        <v/>
      </c>
      <c r="CL38" s="452" t="str">
        <f t="shared" si="54"/>
        <v/>
      </c>
      <c r="CM38" s="452" t="str">
        <f t="shared" si="54"/>
        <v/>
      </c>
      <c r="CN38" s="453" t="str">
        <f t="shared" si="54"/>
        <v/>
      </c>
      <c r="CO38" s="451" t="str">
        <f>IF(AND(CO$2&gt;=$J38,CO$2&lt;=$K38),1,"")</f>
        <v/>
      </c>
      <c r="CP38" s="452" t="str">
        <f t="shared" si="55"/>
        <v/>
      </c>
      <c r="CQ38" s="452" t="str">
        <f t="shared" si="55"/>
        <v/>
      </c>
      <c r="CR38" s="452" t="str">
        <f t="shared" si="55"/>
        <v/>
      </c>
      <c r="CS38" s="453" t="str">
        <f t="shared" si="55"/>
        <v/>
      </c>
      <c r="CT38" s="451" t="str">
        <f>IF(AND(CT$2&gt;=$J38,CT$2&lt;=$K38),1,"")</f>
        <v/>
      </c>
      <c r="CU38" s="452" t="str">
        <f t="shared" si="55"/>
        <v/>
      </c>
      <c r="CV38" s="452" t="str">
        <f t="shared" si="55"/>
        <v/>
      </c>
      <c r="CW38" s="452" t="str">
        <f t="shared" si="55"/>
        <v/>
      </c>
      <c r="CX38" s="453" t="str">
        <f t="shared" si="55"/>
        <v/>
      </c>
      <c r="CY38" s="451" t="str">
        <f>IF(AND(CY$2&gt;=$J38,CY$2&lt;=$K38),1,"")</f>
        <v/>
      </c>
      <c r="CZ38" s="452" t="str">
        <f t="shared" si="55"/>
        <v/>
      </c>
      <c r="DA38" s="452" t="str">
        <f t="shared" si="55"/>
        <v/>
      </c>
      <c r="DB38" s="452" t="str">
        <f t="shared" si="55"/>
        <v/>
      </c>
      <c r="DC38" s="453" t="str">
        <f t="shared" si="55"/>
        <v/>
      </c>
      <c r="DD38" s="451" t="str">
        <f>IF(AND(DD$2&gt;=$J38,DD$2&lt;=$K38),1,"")</f>
        <v/>
      </c>
      <c r="DE38" s="452" t="str">
        <f t="shared" si="33"/>
        <v/>
      </c>
      <c r="DF38" s="452" t="str">
        <f t="shared" si="33"/>
        <v/>
      </c>
      <c r="DG38" s="452" t="str">
        <f t="shared" si="33"/>
        <v/>
      </c>
      <c r="DH38" s="453" t="str">
        <f t="shared" si="33"/>
        <v/>
      </c>
      <c r="DI38" s="451" t="str">
        <f>IF(AND(DI$2&gt;=$J38,DI$2&lt;=$K38),1,"")</f>
        <v/>
      </c>
      <c r="DJ38" s="452" t="str">
        <f t="shared" si="33"/>
        <v/>
      </c>
      <c r="DK38" s="452" t="str">
        <f t="shared" si="33"/>
        <v/>
      </c>
      <c r="DL38" s="452" t="str">
        <f t="shared" si="33"/>
        <v/>
      </c>
      <c r="DM38" s="453" t="str">
        <f t="shared" si="33"/>
        <v/>
      </c>
      <c r="DN38" s="451" t="str">
        <f>IF(AND(DN$2&gt;=$J38,DN$2&lt;=$K38),1,"")</f>
        <v/>
      </c>
      <c r="DO38" s="452" t="str">
        <f t="shared" si="33"/>
        <v/>
      </c>
      <c r="DP38" s="452" t="str">
        <f t="shared" si="33"/>
        <v/>
      </c>
      <c r="DQ38" s="452" t="str">
        <f t="shared" si="33"/>
        <v/>
      </c>
      <c r="DR38" s="453" t="str">
        <f t="shared" si="33"/>
        <v/>
      </c>
      <c r="DS38" s="451" t="str">
        <f>IF(AND(DS$2&gt;=$J38,DS$2&lt;=$K38),1,"")</f>
        <v/>
      </c>
      <c r="DT38" s="452" t="str">
        <f t="shared" ref="DT38:EI55" si="58">IF(AND(DT$2&gt;=$J38,DT$2&lt;=$K38),1,"")</f>
        <v/>
      </c>
      <c r="DU38" s="452" t="str">
        <f t="shared" si="58"/>
        <v/>
      </c>
      <c r="DV38" s="452" t="str">
        <f t="shared" si="58"/>
        <v/>
      </c>
      <c r="DW38" s="453" t="str">
        <f t="shared" si="58"/>
        <v/>
      </c>
      <c r="DX38" s="451" t="str">
        <f>IF(AND(DX$2&gt;=$J38,DX$2&lt;=$K38),1,"")</f>
        <v/>
      </c>
      <c r="DY38" s="452" t="str">
        <f t="shared" si="58"/>
        <v/>
      </c>
      <c r="DZ38" s="452" t="str">
        <f t="shared" si="58"/>
        <v/>
      </c>
      <c r="EA38" s="452" t="str">
        <f t="shared" si="58"/>
        <v/>
      </c>
      <c r="EB38" s="453" t="str">
        <f t="shared" si="58"/>
        <v/>
      </c>
      <c r="EC38" s="451" t="str">
        <f>IF(AND(EC$2&gt;=$J38,EC$2&lt;=$K38),1,"")</f>
        <v/>
      </c>
      <c r="ED38" s="452" t="str">
        <f t="shared" si="58"/>
        <v/>
      </c>
      <c r="EE38" s="452" t="str">
        <f t="shared" si="58"/>
        <v/>
      </c>
      <c r="EF38" s="452" t="str">
        <f t="shared" si="58"/>
        <v/>
      </c>
      <c r="EG38" s="453" t="str">
        <f t="shared" si="58"/>
        <v/>
      </c>
      <c r="EH38" s="451" t="str">
        <f>IF(AND(EH$2&gt;=$J38,EH$2&lt;=$K38),1,"")</f>
        <v/>
      </c>
      <c r="EI38" s="452" t="str">
        <f t="shared" si="58"/>
        <v/>
      </c>
      <c r="EJ38" s="452" t="str">
        <f t="shared" si="34"/>
        <v/>
      </c>
      <c r="EK38" s="452" t="str">
        <f t="shared" si="34"/>
        <v/>
      </c>
      <c r="EL38" s="453" t="str">
        <f t="shared" si="34"/>
        <v/>
      </c>
      <c r="EM38" s="451" t="str">
        <f>IF(AND(EM$2&gt;=$J38,EM$2&lt;=$K38),1,"")</f>
        <v/>
      </c>
      <c r="EN38" s="452" t="str">
        <f t="shared" si="34"/>
        <v/>
      </c>
      <c r="EO38" s="452" t="str">
        <f t="shared" si="34"/>
        <v/>
      </c>
      <c r="EP38" s="452" t="str">
        <f t="shared" si="34"/>
        <v/>
      </c>
      <c r="EQ38" s="453" t="str">
        <f t="shared" si="34"/>
        <v/>
      </c>
      <c r="ER38" s="451" t="str">
        <f>IF(AND(ER$2&gt;=$J38,ER$2&lt;=$K38),1,"")</f>
        <v/>
      </c>
      <c r="ES38" s="452" t="str">
        <f t="shared" si="34"/>
        <v/>
      </c>
      <c r="ET38" s="452" t="str">
        <f t="shared" si="47"/>
        <v/>
      </c>
      <c r="EU38" s="452" t="str">
        <f t="shared" si="47"/>
        <v/>
      </c>
      <c r="EV38" s="453" t="str">
        <f t="shared" si="47"/>
        <v/>
      </c>
      <c r="EW38" s="451" t="str">
        <f>IF(AND(EW$2&gt;=$J38,EW$2&lt;=$K38),1,"")</f>
        <v/>
      </c>
      <c r="EX38" s="452" t="str">
        <f t="shared" si="47"/>
        <v/>
      </c>
      <c r="EY38" s="452" t="str">
        <f t="shared" si="47"/>
        <v/>
      </c>
      <c r="EZ38" s="452" t="str">
        <f t="shared" si="47"/>
        <v/>
      </c>
      <c r="FA38" s="453" t="str">
        <f t="shared" si="44"/>
        <v/>
      </c>
      <c r="FB38" s="451" t="str">
        <f>IF(AND(FB$2&gt;=$J38,FB$2&lt;=$K38),1,"")</f>
        <v/>
      </c>
      <c r="FC38" s="452" t="str">
        <f t="shared" si="44"/>
        <v/>
      </c>
      <c r="FD38" s="452" t="str">
        <f t="shared" si="44"/>
        <v/>
      </c>
      <c r="FE38" s="452" t="str">
        <f t="shared" si="44"/>
        <v/>
      </c>
      <c r="FF38" s="453" t="str">
        <f t="shared" si="44"/>
        <v/>
      </c>
      <c r="FG38" s="451" t="str">
        <f>IF(AND(FG$2&gt;=$J38,FG$2&lt;=$K38),1,"")</f>
        <v/>
      </c>
      <c r="FH38" s="452" t="str">
        <f t="shared" si="44"/>
        <v/>
      </c>
      <c r="FI38" s="452" t="str">
        <f t="shared" si="44"/>
        <v/>
      </c>
      <c r="FJ38" s="452" t="str">
        <f t="shared" si="44"/>
        <v/>
      </c>
      <c r="FK38" s="453" t="str">
        <f t="shared" si="44"/>
        <v/>
      </c>
      <c r="FL38" s="451" t="str">
        <f>IF(AND(FL$2&gt;=$J38,FL$2&lt;=$K38),1,"")</f>
        <v/>
      </c>
      <c r="FM38" s="452" t="str">
        <f t="shared" si="44"/>
        <v/>
      </c>
      <c r="FN38" s="452" t="str">
        <f t="shared" si="44"/>
        <v/>
      </c>
      <c r="FO38" s="452" t="str">
        <f t="shared" si="48"/>
        <v/>
      </c>
      <c r="FP38" s="453" t="str">
        <f t="shared" si="48"/>
        <v/>
      </c>
      <c r="FQ38" s="451" t="str">
        <f>IF(AND(FQ$2&gt;=$J38,FQ$2&lt;=$K38),1,"")</f>
        <v/>
      </c>
      <c r="FR38" s="452" t="str">
        <f t="shared" si="48"/>
        <v/>
      </c>
      <c r="FS38" s="452" t="str">
        <f t="shared" si="48"/>
        <v/>
      </c>
      <c r="FT38" s="452" t="str">
        <f t="shared" si="48"/>
        <v/>
      </c>
      <c r="FU38" s="453" t="str">
        <f t="shared" si="48"/>
        <v/>
      </c>
      <c r="FV38" s="451" t="str">
        <f>IF(AND(FV$2&gt;=$J38,FV$2&lt;=$K38),1,"")</f>
        <v/>
      </c>
      <c r="FW38" s="452" t="str">
        <f t="shared" si="48"/>
        <v/>
      </c>
      <c r="FX38" s="452" t="str">
        <f t="shared" si="48"/>
        <v/>
      </c>
      <c r="FY38" s="452" t="str">
        <f t="shared" si="48"/>
        <v/>
      </c>
      <c r="FZ38" s="453" t="str">
        <f t="shared" si="48"/>
        <v/>
      </c>
      <c r="GA38" s="451" t="str">
        <f>IF(AND(GA$2&gt;=$J38,GA$2&lt;=$K38),1,"")</f>
        <v/>
      </c>
      <c r="GB38" s="452" t="str">
        <f t="shared" si="40"/>
        <v/>
      </c>
      <c r="GC38" s="452" t="str">
        <f t="shared" si="40"/>
        <v/>
      </c>
      <c r="GD38" s="452" t="str">
        <f t="shared" si="40"/>
        <v/>
      </c>
      <c r="GE38" s="453" t="str">
        <f t="shared" si="40"/>
        <v/>
      </c>
      <c r="GF38" s="451" t="str">
        <f>IF(AND(GF$2&gt;=$J38,GF$2&lt;=$K38),1,"")</f>
        <v/>
      </c>
      <c r="GG38" s="452" t="str">
        <f t="shared" si="40"/>
        <v/>
      </c>
      <c r="GH38" s="452" t="str">
        <f t="shared" si="40"/>
        <v/>
      </c>
      <c r="GI38" s="452" t="str">
        <f t="shared" si="40"/>
        <v/>
      </c>
      <c r="GJ38" s="453" t="str">
        <f t="shared" si="40"/>
        <v/>
      </c>
      <c r="GK38" s="451" t="str">
        <f>IF(AND(GK$2&gt;=$J38,GK$2&lt;=$K38),1,"")</f>
        <v/>
      </c>
      <c r="GL38" s="452" t="str">
        <f t="shared" si="40"/>
        <v/>
      </c>
      <c r="GM38" s="452" t="str">
        <f t="shared" si="40"/>
        <v/>
      </c>
      <c r="GN38" s="452" t="str">
        <f t="shared" si="40"/>
        <v/>
      </c>
      <c r="GO38" s="453" t="str">
        <f t="shared" si="40"/>
        <v/>
      </c>
      <c r="GP38" s="451" t="str">
        <f>IF(AND(GP$2&gt;=$J38,GP$2&lt;=$K38),1,"")</f>
        <v/>
      </c>
      <c r="GQ38" s="452" t="str">
        <f t="shared" si="46"/>
        <v/>
      </c>
      <c r="GR38" s="452" t="str">
        <f t="shared" si="46"/>
        <v/>
      </c>
      <c r="GS38" s="452" t="str">
        <f t="shared" si="46"/>
        <v/>
      </c>
      <c r="GT38" s="453" t="str">
        <f t="shared" si="46"/>
        <v/>
      </c>
      <c r="GU38" s="451" t="str">
        <f>IF(AND(GU$2&gt;=$J38,GU$2&lt;=$K38),1,"")</f>
        <v/>
      </c>
      <c r="GV38" s="452" t="str">
        <f t="shared" si="46"/>
        <v/>
      </c>
      <c r="GW38" s="452" t="str">
        <f t="shared" si="46"/>
        <v/>
      </c>
      <c r="GX38" s="452" t="str">
        <f t="shared" si="46"/>
        <v/>
      </c>
      <c r="GY38" s="453" t="str">
        <f t="shared" si="46"/>
        <v/>
      </c>
      <c r="GZ38" s="451" t="str">
        <f>IF(AND(GZ$2&gt;=$J38,GZ$2&lt;=$K38),1,"")</f>
        <v/>
      </c>
      <c r="HA38" s="452" t="str">
        <f t="shared" si="46"/>
        <v/>
      </c>
      <c r="HB38" s="452" t="str">
        <f t="shared" si="46"/>
        <v/>
      </c>
      <c r="HC38" s="452" t="str">
        <f t="shared" si="46"/>
        <v/>
      </c>
      <c r="HD38" s="453" t="str">
        <f t="shared" si="46"/>
        <v/>
      </c>
      <c r="HE38" s="451" t="str">
        <f>IF(AND(HE$2&gt;=$J38,HE$2&lt;=$K38),1,"")</f>
        <v/>
      </c>
      <c r="HF38" s="452" t="str">
        <f t="shared" si="35"/>
        <v/>
      </c>
      <c r="HG38" s="452" t="str">
        <f t="shared" si="35"/>
        <v/>
      </c>
      <c r="HH38" s="452" t="str">
        <f t="shared" si="35"/>
        <v/>
      </c>
      <c r="HI38" s="453" t="str">
        <f t="shared" si="35"/>
        <v/>
      </c>
      <c r="HJ38" s="451" t="str">
        <f>IF(AND(HJ$2&gt;=$J38,HJ$2&lt;=$K38),1,"")</f>
        <v/>
      </c>
      <c r="HK38" s="452" t="str">
        <f t="shared" si="35"/>
        <v/>
      </c>
      <c r="HL38" s="452" t="str">
        <f t="shared" si="35"/>
        <v/>
      </c>
      <c r="HM38" s="452" t="str">
        <f t="shared" si="35"/>
        <v/>
      </c>
      <c r="HN38" s="453" t="str">
        <f t="shared" si="35"/>
        <v/>
      </c>
      <c r="HO38" s="451" t="str">
        <f>IF(AND(HO$2&gt;=$J38,HO$2&lt;=$K38),1,"")</f>
        <v/>
      </c>
      <c r="HP38" s="452" t="str">
        <f t="shared" si="35"/>
        <v/>
      </c>
      <c r="HQ38" s="452" t="str">
        <f t="shared" si="35"/>
        <v/>
      </c>
      <c r="HR38" s="452" t="str">
        <f t="shared" si="35"/>
        <v/>
      </c>
      <c r="HS38" s="453" t="str">
        <f t="shared" si="35"/>
        <v/>
      </c>
      <c r="HT38" s="451" t="str">
        <f>IF(AND(HT$2&gt;=$J38,HT$2&lt;=$K38),1,"")</f>
        <v/>
      </c>
      <c r="HU38" s="452" t="str">
        <f t="shared" si="35"/>
        <v/>
      </c>
      <c r="HV38" s="452" t="str">
        <f t="shared" si="36"/>
        <v/>
      </c>
      <c r="HW38" s="452" t="str">
        <f t="shared" si="36"/>
        <v/>
      </c>
      <c r="HX38" s="453" t="str">
        <f t="shared" si="36"/>
        <v/>
      </c>
      <c r="HY38" s="451" t="str">
        <f>IF(AND(HY$2&gt;=$J38,HY$2&lt;=$K38),1,"")</f>
        <v/>
      </c>
      <c r="HZ38" s="452" t="str">
        <f t="shared" si="36"/>
        <v/>
      </c>
      <c r="IA38" s="452" t="str">
        <f t="shared" si="36"/>
        <v/>
      </c>
      <c r="IB38" s="452" t="str">
        <f t="shared" si="36"/>
        <v/>
      </c>
      <c r="IC38" s="453" t="str">
        <f t="shared" si="36"/>
        <v/>
      </c>
      <c r="ID38" s="451" t="str">
        <f>IF(AND(ID$2&gt;=$J38,ID$2&lt;=$K38),1,"")</f>
        <v/>
      </c>
      <c r="IE38" s="452" t="str">
        <f t="shared" si="36"/>
        <v/>
      </c>
      <c r="IF38" s="452" t="str">
        <f t="shared" si="36"/>
        <v/>
      </c>
      <c r="IG38" s="452" t="str">
        <f t="shared" si="36"/>
        <v/>
      </c>
      <c r="IH38" s="453" t="str">
        <f t="shared" si="36"/>
        <v/>
      </c>
      <c r="II38" s="451" t="str">
        <f>IF(AND(II$2&gt;=$J38,II$2&lt;=$K38),1,"")</f>
        <v/>
      </c>
      <c r="IJ38" s="452" t="str">
        <f t="shared" si="36"/>
        <v/>
      </c>
      <c r="IK38" s="452" t="str">
        <f t="shared" si="36"/>
        <v/>
      </c>
      <c r="IL38" s="452" t="str">
        <f t="shared" si="37"/>
        <v/>
      </c>
      <c r="IM38" s="453" t="str">
        <f t="shared" si="37"/>
        <v/>
      </c>
      <c r="IN38" s="451" t="str">
        <f>IF(AND(IN$2&gt;=$J38,IN$2&lt;=$K38),1,"")</f>
        <v/>
      </c>
      <c r="IO38" s="452" t="str">
        <f t="shared" si="37"/>
        <v/>
      </c>
      <c r="IP38" s="452" t="str">
        <f t="shared" si="37"/>
        <v/>
      </c>
      <c r="IQ38" s="452" t="str">
        <f t="shared" si="37"/>
        <v/>
      </c>
      <c r="IR38" s="453" t="str">
        <f t="shared" si="37"/>
        <v/>
      </c>
    </row>
    <row r="39" spans="1:252" x14ac:dyDescent="0.2">
      <c r="A39" s="461">
        <v>4.2</v>
      </c>
      <c r="C39" s="447" t="s">
        <v>1352</v>
      </c>
      <c r="D39" s="447"/>
      <c r="E39" s="448"/>
      <c r="F39" s="448"/>
      <c r="G39" s="448"/>
      <c r="H39" s="448"/>
      <c r="I39" s="448"/>
      <c r="J39" s="449" t="str">
        <f t="shared" si="56"/>
        <v/>
      </c>
      <c r="K39" s="449" t="str">
        <f t="shared" si="57"/>
        <v/>
      </c>
      <c r="L39" s="450">
        <f t="shared" si="0"/>
        <v>0</v>
      </c>
      <c r="M39" s="451" t="str">
        <f t="shared" si="42"/>
        <v/>
      </c>
      <c r="N39" s="452" t="str">
        <f t="shared" si="42"/>
        <v/>
      </c>
      <c r="O39" s="452" t="str">
        <f t="shared" si="42"/>
        <v/>
      </c>
      <c r="P39" s="452" t="str">
        <f t="shared" si="42"/>
        <v/>
      </c>
      <c r="Q39" s="453" t="str">
        <f t="shared" si="42"/>
        <v/>
      </c>
      <c r="R39" s="451" t="str">
        <f t="shared" si="42"/>
        <v/>
      </c>
      <c r="S39" s="452" t="str">
        <f t="shared" si="42"/>
        <v/>
      </c>
      <c r="T39" s="452" t="str">
        <f t="shared" si="42"/>
        <v/>
      </c>
      <c r="U39" s="452" t="str">
        <f t="shared" si="42"/>
        <v/>
      </c>
      <c r="V39" s="453" t="str">
        <f t="shared" si="42"/>
        <v/>
      </c>
      <c r="W39" s="451" t="str">
        <f t="shared" si="42"/>
        <v/>
      </c>
      <c r="X39" s="452" t="str">
        <f t="shared" si="42"/>
        <v/>
      </c>
      <c r="Y39" s="452" t="str">
        <f t="shared" si="42"/>
        <v/>
      </c>
      <c r="Z39" s="452" t="str">
        <f t="shared" si="42"/>
        <v/>
      </c>
      <c r="AA39" s="453" t="str">
        <f t="shared" si="42"/>
        <v/>
      </c>
      <c r="AB39" s="451" t="str">
        <f t="shared" si="42"/>
        <v/>
      </c>
      <c r="AC39" s="452" t="str">
        <f t="shared" si="49"/>
        <v/>
      </c>
      <c r="AD39" s="452" t="str">
        <f t="shared" si="49"/>
        <v/>
      </c>
      <c r="AE39" s="452" t="str">
        <f t="shared" si="49"/>
        <v/>
      </c>
      <c r="AF39" s="453" t="str">
        <f t="shared" si="49"/>
        <v/>
      </c>
      <c r="AG39" s="451" t="str">
        <f t="shared" si="49"/>
        <v/>
      </c>
      <c r="AH39" s="452" t="str">
        <f t="shared" si="49"/>
        <v/>
      </c>
      <c r="AI39" s="452" t="str">
        <f t="shared" si="49"/>
        <v/>
      </c>
      <c r="AJ39" s="452" t="str">
        <f t="shared" si="49"/>
        <v/>
      </c>
      <c r="AK39" s="453" t="str">
        <f t="shared" si="49"/>
        <v/>
      </c>
      <c r="AL39" s="451" t="str">
        <f t="shared" si="49"/>
        <v/>
      </c>
      <c r="AM39" s="452" t="str">
        <f t="shared" si="49"/>
        <v/>
      </c>
      <c r="AN39" s="452" t="str">
        <f t="shared" si="49"/>
        <v/>
      </c>
      <c r="AO39" s="452" t="str">
        <f t="shared" si="49"/>
        <v/>
      </c>
      <c r="AP39" s="453" t="str">
        <f t="shared" si="49"/>
        <v/>
      </c>
      <c r="AQ39" s="451" t="str">
        <f t="shared" si="49"/>
        <v/>
      </c>
      <c r="AR39" s="452" t="str">
        <f t="shared" si="43"/>
        <v/>
      </c>
      <c r="AS39" s="452" t="str">
        <f t="shared" si="43"/>
        <v/>
      </c>
      <c r="AT39" s="452" t="str">
        <f t="shared" si="43"/>
        <v/>
      </c>
      <c r="AU39" s="453" t="str">
        <f t="shared" si="43"/>
        <v/>
      </c>
      <c r="AV39" s="451" t="str">
        <f t="shared" si="43"/>
        <v/>
      </c>
      <c r="AW39" s="452" t="str">
        <f t="shared" si="43"/>
        <v/>
      </c>
      <c r="AX39" s="452" t="str">
        <f t="shared" si="43"/>
        <v/>
      </c>
      <c r="AY39" s="452" t="str">
        <f t="shared" si="43"/>
        <v/>
      </c>
      <c r="AZ39" s="453" t="str">
        <f t="shared" si="43"/>
        <v/>
      </c>
      <c r="BA39" s="451" t="str">
        <f t="shared" si="43"/>
        <v/>
      </c>
      <c r="BB39" s="452" t="str">
        <f t="shared" si="43"/>
        <v/>
      </c>
      <c r="BC39" s="452" t="str">
        <f t="shared" si="43"/>
        <v/>
      </c>
      <c r="BD39" s="452" t="str">
        <f t="shared" si="43"/>
        <v/>
      </c>
      <c r="BE39" s="453" t="str">
        <f t="shared" si="43"/>
        <v/>
      </c>
      <c r="BF39" s="451" t="str">
        <f t="shared" si="43"/>
        <v/>
      </c>
      <c r="BG39" s="452" t="str">
        <f t="shared" si="53"/>
        <v/>
      </c>
      <c r="BH39" s="452" t="str">
        <f t="shared" si="53"/>
        <v/>
      </c>
      <c r="BI39" s="452" t="str">
        <f t="shared" si="53"/>
        <v/>
      </c>
      <c r="BJ39" s="453" t="str">
        <f t="shared" si="53"/>
        <v/>
      </c>
      <c r="BK39" s="451" t="str">
        <f t="shared" si="53"/>
        <v/>
      </c>
      <c r="BL39" s="452" t="str">
        <f t="shared" si="50"/>
        <v/>
      </c>
      <c r="BM39" s="452" t="str">
        <f t="shared" si="50"/>
        <v/>
      </c>
      <c r="BN39" s="452" t="str">
        <f t="shared" si="50"/>
        <v/>
      </c>
      <c r="BO39" s="453" t="str">
        <f t="shared" si="50"/>
        <v/>
      </c>
      <c r="BP39" s="451" t="str">
        <f t="shared" si="50"/>
        <v/>
      </c>
      <c r="BQ39" s="452" t="str">
        <f t="shared" si="50"/>
        <v/>
      </c>
      <c r="BR39" s="452" t="str">
        <f t="shared" si="50"/>
        <v/>
      </c>
      <c r="BS39" s="452" t="str">
        <f t="shared" si="50"/>
        <v/>
      </c>
      <c r="BT39" s="453" t="str">
        <f t="shared" si="50"/>
        <v/>
      </c>
      <c r="BU39" s="451" t="str">
        <f t="shared" si="50"/>
        <v/>
      </c>
      <c r="BV39" s="452" t="str">
        <f t="shared" si="50"/>
        <v/>
      </c>
      <c r="BW39" s="452" t="str">
        <f t="shared" si="50"/>
        <v/>
      </c>
      <c r="BX39" s="452" t="str">
        <f t="shared" si="50"/>
        <v/>
      </c>
      <c r="BY39" s="453" t="str">
        <f t="shared" si="54"/>
        <v/>
      </c>
      <c r="BZ39" s="451" t="str">
        <f t="shared" si="54"/>
        <v/>
      </c>
      <c r="CA39" s="452" t="str">
        <f t="shared" si="54"/>
        <v/>
      </c>
      <c r="CB39" s="452" t="str">
        <f t="shared" si="54"/>
        <v/>
      </c>
      <c r="CC39" s="452" t="str">
        <f t="shared" si="54"/>
        <v/>
      </c>
      <c r="CD39" s="453" t="str">
        <f t="shared" si="54"/>
        <v/>
      </c>
      <c r="CE39" s="451" t="str">
        <f t="shared" si="54"/>
        <v/>
      </c>
      <c r="CF39" s="452" t="str">
        <f t="shared" si="54"/>
        <v/>
      </c>
      <c r="CG39" s="452" t="str">
        <f t="shared" si="54"/>
        <v/>
      </c>
      <c r="CH39" s="452" t="str">
        <f t="shared" si="54"/>
        <v/>
      </c>
      <c r="CI39" s="453" t="str">
        <f t="shared" si="54"/>
        <v/>
      </c>
      <c r="CJ39" s="451" t="str">
        <f t="shared" si="54"/>
        <v/>
      </c>
      <c r="CK39" s="452" t="str">
        <f t="shared" si="54"/>
        <v/>
      </c>
      <c r="CL39" s="452" t="str">
        <f t="shared" si="54"/>
        <v/>
      </c>
      <c r="CM39" s="452" t="str">
        <f t="shared" si="54"/>
        <v/>
      </c>
      <c r="CN39" s="453" t="str">
        <f t="shared" si="54"/>
        <v/>
      </c>
      <c r="CO39" s="451" t="str">
        <f t="shared" ref="CO39:CO41" si="59">IF(AND(CO$2&gt;=$J39,CO$2&lt;=$K39),1,"")</f>
        <v/>
      </c>
      <c r="CP39" s="452" t="str">
        <f t="shared" si="55"/>
        <v/>
      </c>
      <c r="CQ39" s="452" t="str">
        <f t="shared" si="55"/>
        <v/>
      </c>
      <c r="CR39" s="452" t="str">
        <f t="shared" si="55"/>
        <v/>
      </c>
      <c r="CS39" s="453" t="str">
        <f t="shared" si="55"/>
        <v/>
      </c>
      <c r="CT39" s="451" t="str">
        <f t="shared" si="55"/>
        <v/>
      </c>
      <c r="CU39" s="452" t="str">
        <f t="shared" si="55"/>
        <v/>
      </c>
      <c r="CV39" s="452" t="str">
        <f t="shared" si="55"/>
        <v/>
      </c>
      <c r="CW39" s="452" t="str">
        <f t="shared" si="55"/>
        <v/>
      </c>
      <c r="CX39" s="453" t="str">
        <f t="shared" si="55"/>
        <v/>
      </c>
      <c r="CY39" s="451" t="str">
        <f t="shared" si="55"/>
        <v/>
      </c>
      <c r="CZ39" s="452" t="str">
        <f t="shared" si="55"/>
        <v/>
      </c>
      <c r="DA39" s="452" t="str">
        <f t="shared" si="55"/>
        <v/>
      </c>
      <c r="DB39" s="452" t="str">
        <f t="shared" si="55"/>
        <v/>
      </c>
      <c r="DC39" s="453" t="str">
        <f t="shared" si="55"/>
        <v/>
      </c>
      <c r="DD39" s="451" t="str">
        <f t="shared" si="55"/>
        <v/>
      </c>
      <c r="DE39" s="452" t="str">
        <f t="shared" si="33"/>
        <v/>
      </c>
      <c r="DF39" s="452" t="str">
        <f t="shared" si="33"/>
        <v/>
      </c>
      <c r="DG39" s="452" t="str">
        <f t="shared" si="33"/>
        <v/>
      </c>
      <c r="DH39" s="453" t="str">
        <f t="shared" si="33"/>
        <v/>
      </c>
      <c r="DI39" s="451" t="str">
        <f t="shared" si="33"/>
        <v/>
      </c>
      <c r="DJ39" s="452" t="str">
        <f t="shared" si="33"/>
        <v/>
      </c>
      <c r="DK39" s="452" t="str">
        <f t="shared" si="33"/>
        <v/>
      </c>
      <c r="DL39" s="452" t="str">
        <f t="shared" si="33"/>
        <v/>
      </c>
      <c r="DM39" s="453" t="str">
        <f t="shared" si="33"/>
        <v/>
      </c>
      <c r="DN39" s="451" t="str">
        <f t="shared" si="33"/>
        <v/>
      </c>
      <c r="DO39" s="452" t="str">
        <f t="shared" si="33"/>
        <v/>
      </c>
      <c r="DP39" s="452" t="str">
        <f t="shared" si="33"/>
        <v/>
      </c>
      <c r="DQ39" s="452" t="str">
        <f t="shared" ref="DQ39:DT39" si="60">IF(AND(DQ$2&gt;=$J39,DQ$2&lt;=$K39),1,"")</f>
        <v/>
      </c>
      <c r="DR39" s="453" t="str">
        <f t="shared" si="60"/>
        <v/>
      </c>
      <c r="DS39" s="451" t="str">
        <f t="shared" si="60"/>
        <v/>
      </c>
      <c r="DT39" s="452" t="str">
        <f t="shared" si="60"/>
        <v/>
      </c>
      <c r="DU39" s="452" t="str">
        <f t="shared" si="58"/>
        <v/>
      </c>
      <c r="DV39" s="452" t="str">
        <f t="shared" si="58"/>
        <v/>
      </c>
      <c r="DW39" s="453" t="str">
        <f t="shared" si="58"/>
        <v/>
      </c>
      <c r="DX39" s="451" t="str">
        <f t="shared" si="58"/>
        <v/>
      </c>
      <c r="DY39" s="452" t="str">
        <f t="shared" si="58"/>
        <v/>
      </c>
      <c r="DZ39" s="452" t="str">
        <f t="shared" si="58"/>
        <v/>
      </c>
      <c r="EA39" s="452" t="str">
        <f t="shared" si="58"/>
        <v/>
      </c>
      <c r="EB39" s="453" t="str">
        <f t="shared" si="58"/>
        <v/>
      </c>
      <c r="EC39" s="451" t="str">
        <f t="shared" si="58"/>
        <v/>
      </c>
      <c r="ED39" s="452" t="str">
        <f t="shared" si="58"/>
        <v/>
      </c>
      <c r="EE39" s="452" t="str">
        <f t="shared" si="58"/>
        <v/>
      </c>
      <c r="EF39" s="452" t="str">
        <f t="shared" si="58"/>
        <v/>
      </c>
      <c r="EG39" s="453" t="str">
        <f t="shared" si="58"/>
        <v/>
      </c>
      <c r="EH39" s="451" t="str">
        <f t="shared" si="58"/>
        <v/>
      </c>
      <c r="EI39" s="452" t="str">
        <f t="shared" si="58"/>
        <v/>
      </c>
      <c r="EJ39" s="452" t="str">
        <f t="shared" si="34"/>
        <v/>
      </c>
      <c r="EK39" s="452" t="str">
        <f t="shared" si="34"/>
        <v/>
      </c>
      <c r="EL39" s="453" t="str">
        <f t="shared" si="34"/>
        <v/>
      </c>
      <c r="EM39" s="451" t="str">
        <f t="shared" si="34"/>
        <v/>
      </c>
      <c r="EN39" s="452" t="str">
        <f t="shared" si="34"/>
        <v/>
      </c>
      <c r="EO39" s="452" t="str">
        <f t="shared" si="34"/>
        <v/>
      </c>
      <c r="EP39" s="452" t="str">
        <f t="shared" si="34"/>
        <v/>
      </c>
      <c r="EQ39" s="453" t="str">
        <f t="shared" si="34"/>
        <v/>
      </c>
      <c r="ER39" s="451" t="str">
        <f t="shared" si="34"/>
        <v/>
      </c>
      <c r="ES39" s="452" t="str">
        <f t="shared" si="34"/>
        <v/>
      </c>
      <c r="ET39" s="452" t="str">
        <f t="shared" si="47"/>
        <v/>
      </c>
      <c r="EU39" s="452" t="str">
        <f t="shared" si="47"/>
        <v/>
      </c>
      <c r="EV39" s="453" t="str">
        <f t="shared" si="47"/>
        <v/>
      </c>
      <c r="EW39" s="451" t="str">
        <f t="shared" si="47"/>
        <v/>
      </c>
      <c r="EX39" s="452" t="str">
        <f t="shared" si="47"/>
        <v/>
      </c>
      <c r="EY39" s="452" t="str">
        <f t="shared" si="47"/>
        <v/>
      </c>
      <c r="EZ39" s="452" t="str">
        <f t="shared" si="47"/>
        <v/>
      </c>
      <c r="FA39" s="453" t="str">
        <f t="shared" si="44"/>
        <v/>
      </c>
      <c r="FB39" s="451" t="str">
        <f t="shared" si="44"/>
        <v/>
      </c>
      <c r="FC39" s="452" t="str">
        <f t="shared" si="44"/>
        <v/>
      </c>
      <c r="FD39" s="452" t="str">
        <f t="shared" si="44"/>
        <v/>
      </c>
      <c r="FE39" s="452" t="str">
        <f t="shared" si="44"/>
        <v/>
      </c>
      <c r="FF39" s="453" t="str">
        <f t="shared" si="44"/>
        <v/>
      </c>
      <c r="FG39" s="451" t="str">
        <f t="shared" si="44"/>
        <v/>
      </c>
      <c r="FH39" s="452" t="str">
        <f t="shared" si="44"/>
        <v/>
      </c>
      <c r="FI39" s="452" t="str">
        <f t="shared" si="44"/>
        <v/>
      </c>
      <c r="FJ39" s="452" t="str">
        <f t="shared" si="44"/>
        <v/>
      </c>
      <c r="FK39" s="453" t="str">
        <f t="shared" si="44"/>
        <v/>
      </c>
      <c r="FL39" s="451" t="str">
        <f t="shared" si="44"/>
        <v/>
      </c>
      <c r="FM39" s="452" t="str">
        <f t="shared" si="44"/>
        <v/>
      </c>
      <c r="FN39" s="452" t="str">
        <f t="shared" si="44"/>
        <v/>
      </c>
      <c r="FO39" s="452" t="str">
        <f t="shared" si="48"/>
        <v/>
      </c>
      <c r="FP39" s="453" t="str">
        <f t="shared" si="48"/>
        <v/>
      </c>
      <c r="FQ39" s="451" t="str">
        <f t="shared" si="48"/>
        <v/>
      </c>
      <c r="FR39" s="452" t="str">
        <f t="shared" si="48"/>
        <v/>
      </c>
      <c r="FS39" s="452" t="str">
        <f t="shared" si="48"/>
        <v/>
      </c>
      <c r="FT39" s="452" t="str">
        <f t="shared" si="48"/>
        <v/>
      </c>
      <c r="FU39" s="453" t="str">
        <f t="shared" si="48"/>
        <v/>
      </c>
      <c r="FV39" s="451" t="str">
        <f t="shared" si="48"/>
        <v/>
      </c>
      <c r="FW39" s="452" t="str">
        <f t="shared" si="48"/>
        <v/>
      </c>
      <c r="FX39" s="452" t="str">
        <f t="shared" si="48"/>
        <v/>
      </c>
      <c r="FY39" s="452" t="str">
        <f t="shared" si="48"/>
        <v/>
      </c>
      <c r="FZ39" s="453" t="str">
        <f t="shared" si="48"/>
        <v/>
      </c>
      <c r="GA39" s="451" t="str">
        <f t="shared" si="48"/>
        <v/>
      </c>
      <c r="GB39" s="452" t="str">
        <f t="shared" si="40"/>
        <v/>
      </c>
      <c r="GC39" s="452" t="str">
        <f t="shared" si="40"/>
        <v/>
      </c>
      <c r="GD39" s="452" t="str">
        <f t="shared" si="40"/>
        <v/>
      </c>
      <c r="GE39" s="453" t="str">
        <f t="shared" si="40"/>
        <v/>
      </c>
      <c r="GF39" s="451" t="str">
        <f t="shared" si="40"/>
        <v/>
      </c>
      <c r="GG39" s="452" t="str">
        <f t="shared" si="40"/>
        <v/>
      </c>
      <c r="GH39" s="452" t="str">
        <f t="shared" si="40"/>
        <v/>
      </c>
      <c r="GI39" s="452" t="str">
        <f t="shared" si="40"/>
        <v/>
      </c>
      <c r="GJ39" s="453" t="str">
        <f t="shared" si="40"/>
        <v/>
      </c>
      <c r="GK39" s="451" t="str">
        <f t="shared" si="40"/>
        <v/>
      </c>
      <c r="GL39" s="452" t="str">
        <f t="shared" si="40"/>
        <v/>
      </c>
      <c r="GM39" s="452" t="str">
        <f t="shared" si="40"/>
        <v/>
      </c>
      <c r="GN39" s="452" t="str">
        <f t="shared" si="40"/>
        <v/>
      </c>
      <c r="GO39" s="453" t="str">
        <f t="shared" si="40"/>
        <v/>
      </c>
      <c r="GP39" s="451" t="str">
        <f t="shared" ref="GP39:HE45" si="61">IF(AND(GP$2&gt;=$J39,GP$2&lt;=$K39),1,"")</f>
        <v/>
      </c>
      <c r="GQ39" s="452" t="str">
        <f t="shared" si="61"/>
        <v/>
      </c>
      <c r="GR39" s="452" t="str">
        <f t="shared" si="61"/>
        <v/>
      </c>
      <c r="GS39" s="452" t="str">
        <f t="shared" si="61"/>
        <v/>
      </c>
      <c r="GT39" s="453" t="str">
        <f t="shared" si="61"/>
        <v/>
      </c>
      <c r="GU39" s="451" t="str">
        <f t="shared" si="61"/>
        <v/>
      </c>
      <c r="GV39" s="452" t="str">
        <f t="shared" si="61"/>
        <v/>
      </c>
      <c r="GW39" s="452" t="str">
        <f t="shared" si="61"/>
        <v/>
      </c>
      <c r="GX39" s="452" t="str">
        <f t="shared" si="61"/>
        <v/>
      </c>
      <c r="GY39" s="453" t="str">
        <f t="shared" si="61"/>
        <v/>
      </c>
      <c r="GZ39" s="451" t="str">
        <f t="shared" si="61"/>
        <v/>
      </c>
      <c r="HA39" s="452" t="str">
        <f t="shared" si="61"/>
        <v/>
      </c>
      <c r="HB39" s="452" t="str">
        <f t="shared" si="61"/>
        <v/>
      </c>
      <c r="HC39" s="452" t="str">
        <f t="shared" si="61"/>
        <v/>
      </c>
      <c r="HD39" s="453" t="str">
        <f t="shared" si="61"/>
        <v/>
      </c>
      <c r="HE39" s="451" t="str">
        <f t="shared" si="61"/>
        <v/>
      </c>
      <c r="HF39" s="452" t="str">
        <f t="shared" si="35"/>
        <v/>
      </c>
      <c r="HG39" s="452" t="str">
        <f t="shared" si="35"/>
        <v/>
      </c>
      <c r="HH39" s="452" t="str">
        <f t="shared" si="35"/>
        <v/>
      </c>
      <c r="HI39" s="453" t="str">
        <f t="shared" si="35"/>
        <v/>
      </c>
      <c r="HJ39" s="451" t="str">
        <f t="shared" si="35"/>
        <v/>
      </c>
      <c r="HK39" s="452" t="str">
        <f t="shared" si="35"/>
        <v/>
      </c>
      <c r="HL39" s="452" t="str">
        <f t="shared" si="35"/>
        <v/>
      </c>
      <c r="HM39" s="452" t="str">
        <f t="shared" si="35"/>
        <v/>
      </c>
      <c r="HN39" s="453" t="str">
        <f t="shared" si="35"/>
        <v/>
      </c>
      <c r="HO39" s="451" t="str">
        <f t="shared" si="35"/>
        <v/>
      </c>
      <c r="HP39" s="452" t="str">
        <f t="shared" si="35"/>
        <v/>
      </c>
      <c r="HQ39" s="452" t="str">
        <f t="shared" si="35"/>
        <v/>
      </c>
      <c r="HR39" s="452" t="str">
        <f t="shared" si="35"/>
        <v/>
      </c>
      <c r="HS39" s="453" t="str">
        <f t="shared" si="35"/>
        <v/>
      </c>
      <c r="HT39" s="451" t="str">
        <f t="shared" si="35"/>
        <v/>
      </c>
      <c r="HU39" s="452" t="str">
        <f t="shared" si="35"/>
        <v/>
      </c>
      <c r="HV39" s="452" t="str">
        <f t="shared" si="36"/>
        <v/>
      </c>
      <c r="HW39" s="452" t="str">
        <f t="shared" si="36"/>
        <v/>
      </c>
      <c r="HX39" s="453" t="str">
        <f t="shared" si="36"/>
        <v/>
      </c>
      <c r="HY39" s="451" t="str">
        <f t="shared" si="36"/>
        <v/>
      </c>
      <c r="HZ39" s="452" t="str">
        <f t="shared" si="36"/>
        <v/>
      </c>
      <c r="IA39" s="452" t="str">
        <f t="shared" si="36"/>
        <v/>
      </c>
      <c r="IB39" s="452" t="str">
        <f t="shared" si="36"/>
        <v/>
      </c>
      <c r="IC39" s="453" t="str">
        <f t="shared" si="36"/>
        <v/>
      </c>
      <c r="ID39" s="451" t="str">
        <f t="shared" si="36"/>
        <v/>
      </c>
      <c r="IE39" s="452" t="str">
        <f t="shared" si="36"/>
        <v/>
      </c>
      <c r="IF39" s="452" t="str">
        <f t="shared" si="36"/>
        <v/>
      </c>
      <c r="IG39" s="452" t="str">
        <f t="shared" si="36"/>
        <v/>
      </c>
      <c r="IH39" s="453" t="str">
        <f t="shared" si="36"/>
        <v/>
      </c>
      <c r="II39" s="451" t="str">
        <f t="shared" si="36"/>
        <v/>
      </c>
      <c r="IJ39" s="452" t="str">
        <f t="shared" si="36"/>
        <v/>
      </c>
      <c r="IK39" s="452" t="str">
        <f t="shared" si="36"/>
        <v/>
      </c>
      <c r="IL39" s="452" t="str">
        <f t="shared" si="37"/>
        <v/>
      </c>
      <c r="IM39" s="453" t="str">
        <f t="shared" si="37"/>
        <v/>
      </c>
      <c r="IN39" s="451" t="str">
        <f t="shared" si="37"/>
        <v/>
      </c>
      <c r="IO39" s="452" t="str">
        <f t="shared" si="37"/>
        <v/>
      </c>
      <c r="IP39" s="452" t="str">
        <f t="shared" si="37"/>
        <v/>
      </c>
      <c r="IQ39" s="452" t="str">
        <f t="shared" si="37"/>
        <v/>
      </c>
      <c r="IR39" s="453" t="str">
        <f t="shared" si="37"/>
        <v/>
      </c>
    </row>
    <row r="40" spans="1:252" x14ac:dyDescent="0.2">
      <c r="A40" s="461">
        <v>4.3</v>
      </c>
      <c r="C40" s="447" t="s">
        <v>1353</v>
      </c>
      <c r="D40" s="447"/>
      <c r="E40" s="448"/>
      <c r="F40" s="448"/>
      <c r="G40" s="448"/>
      <c r="H40" s="448"/>
      <c r="I40" s="448"/>
      <c r="J40" s="449" t="str">
        <f t="shared" si="56"/>
        <v/>
      </c>
      <c r="K40" s="449" t="str">
        <f t="shared" si="57"/>
        <v/>
      </c>
      <c r="L40" s="450">
        <f t="shared" si="0"/>
        <v>0</v>
      </c>
      <c r="M40" s="451" t="str">
        <f t="shared" si="42"/>
        <v/>
      </c>
      <c r="N40" s="452" t="str">
        <f t="shared" si="42"/>
        <v/>
      </c>
      <c r="O40" s="452" t="str">
        <f t="shared" si="42"/>
        <v/>
      </c>
      <c r="P40" s="452" t="str">
        <f t="shared" si="42"/>
        <v/>
      </c>
      <c r="Q40" s="453" t="str">
        <f t="shared" si="42"/>
        <v/>
      </c>
      <c r="R40" s="451" t="str">
        <f t="shared" si="42"/>
        <v/>
      </c>
      <c r="S40" s="452" t="str">
        <f t="shared" si="42"/>
        <v/>
      </c>
      <c r="T40" s="452" t="str">
        <f t="shared" si="42"/>
        <v/>
      </c>
      <c r="U40" s="452" t="str">
        <f t="shared" si="42"/>
        <v/>
      </c>
      <c r="V40" s="453" t="str">
        <f t="shared" si="42"/>
        <v/>
      </c>
      <c r="W40" s="451" t="str">
        <f t="shared" si="42"/>
        <v/>
      </c>
      <c r="X40" s="452" t="str">
        <f t="shared" si="42"/>
        <v/>
      </c>
      <c r="Y40" s="452" t="str">
        <f t="shared" si="42"/>
        <v/>
      </c>
      <c r="Z40" s="452" t="str">
        <f t="shared" si="42"/>
        <v/>
      </c>
      <c r="AA40" s="453" t="str">
        <f t="shared" si="42"/>
        <v/>
      </c>
      <c r="AB40" s="451" t="str">
        <f t="shared" si="42"/>
        <v/>
      </c>
      <c r="AC40" s="452" t="str">
        <f t="shared" si="49"/>
        <v/>
      </c>
      <c r="AD40" s="452" t="str">
        <f t="shared" si="49"/>
        <v/>
      </c>
      <c r="AE40" s="452" t="str">
        <f t="shared" si="49"/>
        <v/>
      </c>
      <c r="AF40" s="453" t="str">
        <f t="shared" si="49"/>
        <v/>
      </c>
      <c r="AG40" s="451" t="str">
        <f t="shared" si="49"/>
        <v/>
      </c>
      <c r="AH40" s="452" t="str">
        <f t="shared" si="49"/>
        <v/>
      </c>
      <c r="AI40" s="452" t="str">
        <f t="shared" si="49"/>
        <v/>
      </c>
      <c r="AJ40" s="452" t="str">
        <f t="shared" si="49"/>
        <v/>
      </c>
      <c r="AK40" s="453" t="str">
        <f t="shared" si="49"/>
        <v/>
      </c>
      <c r="AL40" s="451" t="str">
        <f t="shared" si="49"/>
        <v/>
      </c>
      <c r="AM40" s="452" t="str">
        <f t="shared" si="49"/>
        <v/>
      </c>
      <c r="AN40" s="452" t="str">
        <f t="shared" si="49"/>
        <v/>
      </c>
      <c r="AO40" s="452" t="str">
        <f t="shared" si="49"/>
        <v/>
      </c>
      <c r="AP40" s="453" t="str">
        <f t="shared" si="49"/>
        <v/>
      </c>
      <c r="AQ40" s="451" t="str">
        <f t="shared" si="49"/>
        <v/>
      </c>
      <c r="AR40" s="452" t="str">
        <f t="shared" si="43"/>
        <v/>
      </c>
      <c r="AS40" s="452" t="str">
        <f t="shared" si="43"/>
        <v/>
      </c>
      <c r="AT40" s="452" t="str">
        <f t="shared" si="43"/>
        <v/>
      </c>
      <c r="AU40" s="453" t="str">
        <f t="shared" si="43"/>
        <v/>
      </c>
      <c r="AV40" s="451" t="str">
        <f t="shared" si="43"/>
        <v/>
      </c>
      <c r="AW40" s="452" t="str">
        <f t="shared" si="43"/>
        <v/>
      </c>
      <c r="AX40" s="452" t="str">
        <f t="shared" si="43"/>
        <v/>
      </c>
      <c r="AY40" s="452" t="str">
        <f t="shared" si="43"/>
        <v/>
      </c>
      <c r="AZ40" s="453" t="str">
        <f t="shared" si="43"/>
        <v/>
      </c>
      <c r="BA40" s="451" t="str">
        <f t="shared" si="43"/>
        <v/>
      </c>
      <c r="BB40" s="452" t="str">
        <f t="shared" si="43"/>
        <v/>
      </c>
      <c r="BC40" s="452" t="str">
        <f t="shared" si="43"/>
        <v/>
      </c>
      <c r="BD40" s="452" t="str">
        <f t="shared" si="43"/>
        <v/>
      </c>
      <c r="BE40" s="453" t="str">
        <f t="shared" si="43"/>
        <v/>
      </c>
      <c r="BF40" s="451" t="str">
        <f t="shared" si="43"/>
        <v/>
      </c>
      <c r="BG40" s="452" t="str">
        <f t="shared" si="53"/>
        <v/>
      </c>
      <c r="BH40" s="452" t="str">
        <f t="shared" si="53"/>
        <v/>
      </c>
      <c r="BI40" s="452" t="str">
        <f t="shared" si="53"/>
        <v/>
      </c>
      <c r="BJ40" s="453" t="str">
        <f t="shared" si="53"/>
        <v/>
      </c>
      <c r="BK40" s="451" t="str">
        <f t="shared" si="53"/>
        <v/>
      </c>
      <c r="BL40" s="452" t="str">
        <f t="shared" si="50"/>
        <v/>
      </c>
      <c r="BM40" s="452" t="str">
        <f t="shared" si="50"/>
        <v/>
      </c>
      <c r="BN40" s="452" t="str">
        <f t="shared" si="50"/>
        <v/>
      </c>
      <c r="BO40" s="453" t="str">
        <f t="shared" si="50"/>
        <v/>
      </c>
      <c r="BP40" s="451" t="str">
        <f t="shared" si="50"/>
        <v/>
      </c>
      <c r="BQ40" s="452" t="str">
        <f t="shared" si="50"/>
        <v/>
      </c>
      <c r="BR40" s="452" t="str">
        <f t="shared" si="50"/>
        <v/>
      </c>
      <c r="BS40" s="452" t="str">
        <f t="shared" si="50"/>
        <v/>
      </c>
      <c r="BT40" s="453" t="str">
        <f t="shared" si="50"/>
        <v/>
      </c>
      <c r="BU40" s="451" t="str">
        <f t="shared" si="50"/>
        <v/>
      </c>
      <c r="BV40" s="452" t="str">
        <f t="shared" si="50"/>
        <v/>
      </c>
      <c r="BW40" s="452" t="str">
        <f t="shared" si="50"/>
        <v/>
      </c>
      <c r="BX40" s="452" t="str">
        <f t="shared" si="50"/>
        <v/>
      </c>
      <c r="BY40" s="453" t="str">
        <f t="shared" si="54"/>
        <v/>
      </c>
      <c r="BZ40" s="451" t="str">
        <f t="shared" si="54"/>
        <v/>
      </c>
      <c r="CA40" s="452" t="str">
        <f t="shared" si="54"/>
        <v/>
      </c>
      <c r="CB40" s="452" t="str">
        <f t="shared" si="54"/>
        <v/>
      </c>
      <c r="CC40" s="452" t="str">
        <f t="shared" si="54"/>
        <v/>
      </c>
      <c r="CD40" s="453" t="str">
        <f t="shared" si="54"/>
        <v/>
      </c>
      <c r="CE40" s="451" t="str">
        <f t="shared" si="54"/>
        <v/>
      </c>
      <c r="CF40" s="452" t="str">
        <f t="shared" si="54"/>
        <v/>
      </c>
      <c r="CG40" s="452" t="str">
        <f t="shared" si="54"/>
        <v/>
      </c>
      <c r="CH40" s="452" t="str">
        <f t="shared" si="54"/>
        <v/>
      </c>
      <c r="CI40" s="453" t="str">
        <f t="shared" si="54"/>
        <v/>
      </c>
      <c r="CJ40" s="451" t="str">
        <f t="shared" si="54"/>
        <v/>
      </c>
      <c r="CK40" s="452" t="str">
        <f t="shared" si="54"/>
        <v/>
      </c>
      <c r="CL40" s="452" t="str">
        <f t="shared" si="54"/>
        <v/>
      </c>
      <c r="CM40" s="452" t="str">
        <f t="shared" si="54"/>
        <v/>
      </c>
      <c r="CN40" s="453" t="str">
        <f t="shared" si="54"/>
        <v/>
      </c>
      <c r="CO40" s="451" t="str">
        <f t="shared" si="59"/>
        <v/>
      </c>
      <c r="CP40" s="452" t="str">
        <f t="shared" si="55"/>
        <v/>
      </c>
      <c r="CQ40" s="452" t="str">
        <f t="shared" si="55"/>
        <v/>
      </c>
      <c r="CR40" s="452" t="str">
        <f t="shared" si="55"/>
        <v/>
      </c>
      <c r="CS40" s="453" t="str">
        <f t="shared" si="55"/>
        <v/>
      </c>
      <c r="CT40" s="451" t="str">
        <f t="shared" si="55"/>
        <v/>
      </c>
      <c r="CU40" s="452" t="str">
        <f t="shared" si="55"/>
        <v/>
      </c>
      <c r="CV40" s="452" t="str">
        <f t="shared" si="55"/>
        <v/>
      </c>
      <c r="CW40" s="452" t="str">
        <f t="shared" si="55"/>
        <v/>
      </c>
      <c r="CX40" s="453" t="str">
        <f t="shared" si="55"/>
        <v/>
      </c>
      <c r="CY40" s="451" t="str">
        <f t="shared" si="55"/>
        <v/>
      </c>
      <c r="CZ40" s="452" t="str">
        <f t="shared" si="55"/>
        <v/>
      </c>
      <c r="DA40" s="452" t="str">
        <f t="shared" si="55"/>
        <v/>
      </c>
      <c r="DB40" s="452" t="str">
        <f t="shared" si="55"/>
        <v/>
      </c>
      <c r="DC40" s="453" t="str">
        <f t="shared" si="55"/>
        <v/>
      </c>
      <c r="DD40" s="451" t="str">
        <f t="shared" si="55"/>
        <v/>
      </c>
      <c r="DE40" s="452" t="str">
        <f t="shared" ref="DE40:DT56" si="62">IF(AND(DE$2&gt;=$J40,DE$2&lt;=$K40),1,"")</f>
        <v/>
      </c>
      <c r="DF40" s="452" t="str">
        <f t="shared" si="62"/>
        <v/>
      </c>
      <c r="DG40" s="452" t="str">
        <f t="shared" si="62"/>
        <v/>
      </c>
      <c r="DH40" s="453" t="str">
        <f t="shared" si="62"/>
        <v/>
      </c>
      <c r="DI40" s="451" t="str">
        <f t="shared" si="62"/>
        <v/>
      </c>
      <c r="DJ40" s="452" t="str">
        <f t="shared" si="62"/>
        <v/>
      </c>
      <c r="DK40" s="452" t="str">
        <f t="shared" si="62"/>
        <v/>
      </c>
      <c r="DL40" s="452" t="str">
        <f t="shared" si="62"/>
        <v/>
      </c>
      <c r="DM40" s="453" t="str">
        <f t="shared" si="62"/>
        <v/>
      </c>
      <c r="DN40" s="451" t="str">
        <f t="shared" si="62"/>
        <v/>
      </c>
      <c r="DO40" s="452" t="str">
        <f t="shared" si="62"/>
        <v/>
      </c>
      <c r="DP40" s="452" t="str">
        <f t="shared" si="62"/>
        <v/>
      </c>
      <c r="DQ40" s="452" t="str">
        <f t="shared" si="62"/>
        <v/>
      </c>
      <c r="DR40" s="453" t="str">
        <f t="shared" si="62"/>
        <v/>
      </c>
      <c r="DS40" s="451" t="str">
        <f t="shared" si="62"/>
        <v/>
      </c>
      <c r="DT40" s="452" t="str">
        <f t="shared" si="62"/>
        <v/>
      </c>
      <c r="DU40" s="452" t="str">
        <f t="shared" si="58"/>
        <v/>
      </c>
      <c r="DV40" s="452" t="str">
        <f t="shared" si="58"/>
        <v/>
      </c>
      <c r="DW40" s="453" t="str">
        <f t="shared" si="58"/>
        <v/>
      </c>
      <c r="DX40" s="451" t="str">
        <f t="shared" si="58"/>
        <v/>
      </c>
      <c r="DY40" s="452" t="str">
        <f t="shared" si="58"/>
        <v/>
      </c>
      <c r="DZ40" s="452" t="str">
        <f t="shared" si="58"/>
        <v/>
      </c>
      <c r="EA40" s="452" t="str">
        <f t="shared" si="58"/>
        <v/>
      </c>
      <c r="EB40" s="453" t="str">
        <f t="shared" si="58"/>
        <v/>
      </c>
      <c r="EC40" s="451" t="str">
        <f t="shared" si="58"/>
        <v/>
      </c>
      <c r="ED40" s="452" t="str">
        <f t="shared" si="58"/>
        <v/>
      </c>
      <c r="EE40" s="452" t="str">
        <f t="shared" si="58"/>
        <v/>
      </c>
      <c r="EF40" s="452" t="str">
        <f t="shared" si="58"/>
        <v/>
      </c>
      <c r="EG40" s="453" t="str">
        <f t="shared" si="58"/>
        <v/>
      </c>
      <c r="EH40" s="451" t="str">
        <f t="shared" si="58"/>
        <v/>
      </c>
      <c r="EI40" s="452" t="str">
        <f t="shared" si="58"/>
        <v/>
      </c>
      <c r="EJ40" s="452" t="str">
        <f t="shared" si="34"/>
        <v/>
      </c>
      <c r="EK40" s="452" t="str">
        <f t="shared" si="34"/>
        <v/>
      </c>
      <c r="EL40" s="453" t="str">
        <f t="shared" si="34"/>
        <v/>
      </c>
      <c r="EM40" s="451" t="str">
        <f t="shared" si="34"/>
        <v/>
      </c>
      <c r="EN40" s="452" t="str">
        <f t="shared" si="34"/>
        <v/>
      </c>
      <c r="EO40" s="452" t="str">
        <f t="shared" si="34"/>
        <v/>
      </c>
      <c r="EP40" s="452" t="str">
        <f t="shared" si="34"/>
        <v/>
      </c>
      <c r="EQ40" s="453" t="str">
        <f t="shared" si="34"/>
        <v/>
      </c>
      <c r="ER40" s="451" t="str">
        <f t="shared" si="34"/>
        <v/>
      </c>
      <c r="ES40" s="452" t="str">
        <f t="shared" si="34"/>
        <v/>
      </c>
      <c r="ET40" s="452" t="str">
        <f t="shared" si="47"/>
        <v/>
      </c>
      <c r="EU40" s="452" t="str">
        <f t="shared" si="47"/>
        <v/>
      </c>
      <c r="EV40" s="453" t="str">
        <f t="shared" si="47"/>
        <v/>
      </c>
      <c r="EW40" s="451" t="str">
        <f t="shared" si="47"/>
        <v/>
      </c>
      <c r="EX40" s="452" t="str">
        <f t="shared" si="47"/>
        <v/>
      </c>
      <c r="EY40" s="452" t="str">
        <f t="shared" si="47"/>
        <v/>
      </c>
      <c r="EZ40" s="452" t="str">
        <f t="shared" si="47"/>
        <v/>
      </c>
      <c r="FA40" s="453" t="str">
        <f t="shared" si="44"/>
        <v/>
      </c>
      <c r="FB40" s="451" t="str">
        <f t="shared" si="44"/>
        <v/>
      </c>
      <c r="FC40" s="452" t="str">
        <f t="shared" si="44"/>
        <v/>
      </c>
      <c r="FD40" s="452" t="str">
        <f t="shared" si="44"/>
        <v/>
      </c>
      <c r="FE40" s="452" t="str">
        <f t="shared" si="44"/>
        <v/>
      </c>
      <c r="FF40" s="453" t="str">
        <f t="shared" si="44"/>
        <v/>
      </c>
      <c r="FG40" s="451" t="str">
        <f t="shared" si="44"/>
        <v/>
      </c>
      <c r="FH40" s="452" t="str">
        <f t="shared" si="44"/>
        <v/>
      </c>
      <c r="FI40" s="452" t="str">
        <f t="shared" si="44"/>
        <v/>
      </c>
      <c r="FJ40" s="452" t="str">
        <f t="shared" si="44"/>
        <v/>
      </c>
      <c r="FK40" s="453" t="str">
        <f t="shared" si="44"/>
        <v/>
      </c>
      <c r="FL40" s="451" t="str">
        <f t="shared" si="44"/>
        <v/>
      </c>
      <c r="FM40" s="452" t="str">
        <f t="shared" si="44"/>
        <v/>
      </c>
      <c r="FN40" s="452" t="str">
        <f t="shared" si="44"/>
        <v/>
      </c>
      <c r="FO40" s="452" t="str">
        <f t="shared" si="48"/>
        <v/>
      </c>
      <c r="FP40" s="453" t="str">
        <f t="shared" si="48"/>
        <v/>
      </c>
      <c r="FQ40" s="451" t="str">
        <f t="shared" si="48"/>
        <v/>
      </c>
      <c r="FR40" s="452" t="str">
        <f t="shared" si="48"/>
        <v/>
      </c>
      <c r="FS40" s="452" t="str">
        <f t="shared" si="48"/>
        <v/>
      </c>
      <c r="FT40" s="452" t="str">
        <f t="shared" si="48"/>
        <v/>
      </c>
      <c r="FU40" s="453" t="str">
        <f t="shared" si="48"/>
        <v/>
      </c>
      <c r="FV40" s="451" t="str">
        <f t="shared" si="48"/>
        <v/>
      </c>
      <c r="FW40" s="452" t="str">
        <f t="shared" si="48"/>
        <v/>
      </c>
      <c r="FX40" s="452" t="str">
        <f t="shared" si="48"/>
        <v/>
      </c>
      <c r="FY40" s="452" t="str">
        <f t="shared" si="48"/>
        <v/>
      </c>
      <c r="FZ40" s="453" t="str">
        <f t="shared" si="48"/>
        <v/>
      </c>
      <c r="GA40" s="451" t="str">
        <f t="shared" si="48"/>
        <v/>
      </c>
      <c r="GB40" s="452" t="str">
        <f t="shared" si="40"/>
        <v/>
      </c>
      <c r="GC40" s="452" t="str">
        <f t="shared" si="40"/>
        <v/>
      </c>
      <c r="GD40" s="452" t="str">
        <f t="shared" si="40"/>
        <v/>
      </c>
      <c r="GE40" s="453" t="str">
        <f t="shared" si="40"/>
        <v/>
      </c>
      <c r="GF40" s="451" t="str">
        <f t="shared" si="40"/>
        <v/>
      </c>
      <c r="GG40" s="452" t="str">
        <f t="shared" si="40"/>
        <v/>
      </c>
      <c r="GH40" s="452" t="str">
        <f t="shared" si="40"/>
        <v/>
      </c>
      <c r="GI40" s="452" t="str">
        <f t="shared" si="40"/>
        <v/>
      </c>
      <c r="GJ40" s="453" t="str">
        <f t="shared" si="40"/>
        <v/>
      </c>
      <c r="GK40" s="451" t="str">
        <f t="shared" si="40"/>
        <v/>
      </c>
      <c r="GL40" s="452" t="str">
        <f t="shared" si="40"/>
        <v/>
      </c>
      <c r="GM40" s="452" t="str">
        <f t="shared" si="40"/>
        <v/>
      </c>
      <c r="GN40" s="452" t="str">
        <f t="shared" si="40"/>
        <v/>
      </c>
      <c r="GO40" s="453" t="str">
        <f t="shared" si="40"/>
        <v/>
      </c>
      <c r="GP40" s="451" t="str">
        <f t="shared" si="61"/>
        <v/>
      </c>
      <c r="GQ40" s="452" t="str">
        <f t="shared" si="61"/>
        <v/>
      </c>
      <c r="GR40" s="452" t="str">
        <f t="shared" si="61"/>
        <v/>
      </c>
      <c r="GS40" s="452" t="str">
        <f t="shared" si="61"/>
        <v/>
      </c>
      <c r="GT40" s="453" t="str">
        <f t="shared" si="61"/>
        <v/>
      </c>
      <c r="GU40" s="451" t="str">
        <f t="shared" si="61"/>
        <v/>
      </c>
      <c r="GV40" s="452" t="str">
        <f t="shared" si="61"/>
        <v/>
      </c>
      <c r="GW40" s="452" t="str">
        <f t="shared" si="61"/>
        <v/>
      </c>
      <c r="GX40" s="452" t="str">
        <f t="shared" si="61"/>
        <v/>
      </c>
      <c r="GY40" s="453" t="str">
        <f t="shared" si="61"/>
        <v/>
      </c>
      <c r="GZ40" s="451" t="str">
        <f t="shared" si="61"/>
        <v/>
      </c>
      <c r="HA40" s="452" t="str">
        <f t="shared" si="61"/>
        <v/>
      </c>
      <c r="HB40" s="452" t="str">
        <f t="shared" si="61"/>
        <v/>
      </c>
      <c r="HC40" s="452" t="str">
        <f t="shared" si="61"/>
        <v/>
      </c>
      <c r="HD40" s="453" t="str">
        <f t="shared" si="61"/>
        <v/>
      </c>
      <c r="HE40" s="451" t="str">
        <f t="shared" si="61"/>
        <v/>
      </c>
      <c r="HF40" s="452" t="str">
        <f t="shared" si="35"/>
        <v/>
      </c>
      <c r="HG40" s="452" t="str">
        <f t="shared" si="35"/>
        <v/>
      </c>
      <c r="HH40" s="452" t="str">
        <f t="shared" si="35"/>
        <v/>
      </c>
      <c r="HI40" s="453" t="str">
        <f t="shared" si="35"/>
        <v/>
      </c>
      <c r="HJ40" s="451" t="str">
        <f t="shared" si="35"/>
        <v/>
      </c>
      <c r="HK40" s="452" t="str">
        <f t="shared" ref="HK40:HZ63" si="63">IF(AND(HK$2&gt;=$J40,HK$2&lt;=$K40),1,"")</f>
        <v/>
      </c>
      <c r="HL40" s="452" t="str">
        <f t="shared" si="63"/>
        <v/>
      </c>
      <c r="HM40" s="452" t="str">
        <f t="shared" si="63"/>
        <v/>
      </c>
      <c r="HN40" s="453" t="str">
        <f t="shared" si="63"/>
        <v/>
      </c>
      <c r="HO40" s="451" t="str">
        <f t="shared" si="63"/>
        <v/>
      </c>
      <c r="HP40" s="452" t="str">
        <f t="shared" si="63"/>
        <v/>
      </c>
      <c r="HQ40" s="452" t="str">
        <f t="shared" si="63"/>
        <v/>
      </c>
      <c r="HR40" s="452" t="str">
        <f t="shared" si="63"/>
        <v/>
      </c>
      <c r="HS40" s="453" t="str">
        <f t="shared" si="63"/>
        <v/>
      </c>
      <c r="HT40" s="451" t="str">
        <f t="shared" si="63"/>
        <v/>
      </c>
      <c r="HU40" s="452" t="str">
        <f t="shared" si="63"/>
        <v/>
      </c>
      <c r="HV40" s="452" t="str">
        <f t="shared" si="63"/>
        <v/>
      </c>
      <c r="HW40" s="452" t="str">
        <f t="shared" si="63"/>
        <v/>
      </c>
      <c r="HX40" s="453" t="str">
        <f t="shared" si="63"/>
        <v/>
      </c>
      <c r="HY40" s="451" t="str">
        <f t="shared" si="63"/>
        <v/>
      </c>
      <c r="HZ40" s="452" t="str">
        <f t="shared" si="63"/>
        <v/>
      </c>
      <c r="IA40" s="452" t="str">
        <f t="shared" si="36"/>
        <v/>
      </c>
      <c r="IB40" s="452" t="str">
        <f t="shared" si="36"/>
        <v/>
      </c>
      <c r="IC40" s="453" t="str">
        <f t="shared" si="36"/>
        <v/>
      </c>
      <c r="ID40" s="451" t="str">
        <f t="shared" si="36"/>
        <v/>
      </c>
      <c r="IE40" s="452" t="str">
        <f t="shared" si="36"/>
        <v/>
      </c>
      <c r="IF40" s="452" t="str">
        <f t="shared" ref="IE40:IR58" si="64">IF(AND(IF$2&gt;=$J40,IF$2&lt;=$K40),1,"")</f>
        <v/>
      </c>
      <c r="IG40" s="452" t="str">
        <f t="shared" si="64"/>
        <v/>
      </c>
      <c r="IH40" s="453" t="str">
        <f t="shared" si="64"/>
        <v/>
      </c>
      <c r="II40" s="451" t="str">
        <f t="shared" si="64"/>
        <v/>
      </c>
      <c r="IJ40" s="452" t="str">
        <f t="shared" si="64"/>
        <v/>
      </c>
      <c r="IK40" s="452" t="str">
        <f t="shared" si="64"/>
        <v/>
      </c>
      <c r="IL40" s="452" t="str">
        <f t="shared" si="64"/>
        <v/>
      </c>
      <c r="IM40" s="453" t="str">
        <f t="shared" si="64"/>
        <v/>
      </c>
      <c r="IN40" s="451" t="str">
        <f t="shared" si="64"/>
        <v/>
      </c>
      <c r="IO40" s="452" t="str">
        <f t="shared" si="64"/>
        <v/>
      </c>
      <c r="IP40" s="452" t="str">
        <f t="shared" si="64"/>
        <v/>
      </c>
      <c r="IQ40" s="452" t="str">
        <f t="shared" si="64"/>
        <v/>
      </c>
      <c r="IR40" s="453" t="str">
        <f t="shared" si="64"/>
        <v/>
      </c>
    </row>
    <row r="41" spans="1:252" x14ac:dyDescent="0.2">
      <c r="A41" s="461">
        <v>4.4000000000000004</v>
      </c>
      <c r="C41" s="447" t="s">
        <v>1354</v>
      </c>
      <c r="D41" s="447"/>
      <c r="E41" s="448"/>
      <c r="F41" s="448"/>
      <c r="G41" s="448"/>
      <c r="H41" s="448"/>
      <c r="I41" s="448"/>
      <c r="J41" s="449" t="str">
        <f t="shared" si="56"/>
        <v/>
      </c>
      <c r="K41" s="449" t="str">
        <f t="shared" si="57"/>
        <v/>
      </c>
      <c r="L41" s="450">
        <f t="shared" si="0"/>
        <v>0</v>
      </c>
      <c r="M41" s="451" t="str">
        <f t="shared" si="42"/>
        <v/>
      </c>
      <c r="N41" s="452" t="str">
        <f t="shared" si="42"/>
        <v/>
      </c>
      <c r="O41" s="452" t="str">
        <f t="shared" si="42"/>
        <v/>
      </c>
      <c r="P41" s="452" t="str">
        <f t="shared" si="42"/>
        <v/>
      </c>
      <c r="Q41" s="453" t="str">
        <f t="shared" si="42"/>
        <v/>
      </c>
      <c r="R41" s="451" t="str">
        <f t="shared" si="42"/>
        <v/>
      </c>
      <c r="S41" s="452" t="str">
        <f t="shared" si="42"/>
        <v/>
      </c>
      <c r="T41" s="452" t="str">
        <f t="shared" si="42"/>
        <v/>
      </c>
      <c r="U41" s="452" t="str">
        <f t="shared" si="42"/>
        <v/>
      </c>
      <c r="V41" s="453" t="str">
        <f t="shared" si="42"/>
        <v/>
      </c>
      <c r="W41" s="451" t="str">
        <f t="shared" si="42"/>
        <v/>
      </c>
      <c r="X41" s="452" t="str">
        <f t="shared" si="42"/>
        <v/>
      </c>
      <c r="Y41" s="452" t="str">
        <f t="shared" si="42"/>
        <v/>
      </c>
      <c r="Z41" s="452" t="str">
        <f t="shared" si="42"/>
        <v/>
      </c>
      <c r="AA41" s="453" t="str">
        <f t="shared" si="42"/>
        <v/>
      </c>
      <c r="AB41" s="451" t="str">
        <f t="shared" si="42"/>
        <v/>
      </c>
      <c r="AC41" s="452" t="str">
        <f t="shared" si="49"/>
        <v/>
      </c>
      <c r="AD41" s="452" t="str">
        <f t="shared" si="49"/>
        <v/>
      </c>
      <c r="AE41" s="452" t="str">
        <f t="shared" si="49"/>
        <v/>
      </c>
      <c r="AF41" s="453" t="str">
        <f t="shared" si="49"/>
        <v/>
      </c>
      <c r="AG41" s="451" t="str">
        <f t="shared" si="49"/>
        <v/>
      </c>
      <c r="AH41" s="452" t="str">
        <f t="shared" si="49"/>
        <v/>
      </c>
      <c r="AI41" s="452" t="str">
        <f t="shared" si="49"/>
        <v/>
      </c>
      <c r="AJ41" s="452" t="str">
        <f t="shared" si="49"/>
        <v/>
      </c>
      <c r="AK41" s="453" t="str">
        <f t="shared" si="49"/>
        <v/>
      </c>
      <c r="AL41" s="451" t="str">
        <f t="shared" si="49"/>
        <v/>
      </c>
      <c r="AM41" s="452" t="str">
        <f t="shared" si="49"/>
        <v/>
      </c>
      <c r="AN41" s="452" t="str">
        <f t="shared" si="49"/>
        <v/>
      </c>
      <c r="AO41" s="452" t="str">
        <f t="shared" si="49"/>
        <v/>
      </c>
      <c r="AP41" s="453" t="str">
        <f t="shared" si="49"/>
        <v/>
      </c>
      <c r="AQ41" s="451" t="str">
        <f t="shared" si="49"/>
        <v/>
      </c>
      <c r="AR41" s="452" t="str">
        <f t="shared" si="43"/>
        <v/>
      </c>
      <c r="AS41" s="452" t="str">
        <f t="shared" si="43"/>
        <v/>
      </c>
      <c r="AT41" s="452" t="str">
        <f t="shared" si="43"/>
        <v/>
      </c>
      <c r="AU41" s="453" t="str">
        <f t="shared" si="43"/>
        <v/>
      </c>
      <c r="AV41" s="451" t="str">
        <f t="shared" si="43"/>
        <v/>
      </c>
      <c r="AW41" s="452" t="str">
        <f t="shared" si="43"/>
        <v/>
      </c>
      <c r="AX41" s="452" t="str">
        <f t="shared" si="43"/>
        <v/>
      </c>
      <c r="AY41" s="452" t="str">
        <f t="shared" si="43"/>
        <v/>
      </c>
      <c r="AZ41" s="453" t="str">
        <f t="shared" si="43"/>
        <v/>
      </c>
      <c r="BA41" s="451" t="str">
        <f t="shared" si="43"/>
        <v/>
      </c>
      <c r="BB41" s="452" t="str">
        <f t="shared" si="43"/>
        <v/>
      </c>
      <c r="BC41" s="452" t="str">
        <f t="shared" si="43"/>
        <v/>
      </c>
      <c r="BD41" s="452" t="str">
        <f t="shared" si="43"/>
        <v/>
      </c>
      <c r="BE41" s="453" t="str">
        <f t="shared" si="43"/>
        <v/>
      </c>
      <c r="BF41" s="451" t="str">
        <f t="shared" si="43"/>
        <v/>
      </c>
      <c r="BG41" s="452" t="str">
        <f t="shared" si="53"/>
        <v/>
      </c>
      <c r="BH41" s="452" t="str">
        <f t="shared" si="53"/>
        <v/>
      </c>
      <c r="BI41" s="452" t="str">
        <f t="shared" si="53"/>
        <v/>
      </c>
      <c r="BJ41" s="453" t="str">
        <f t="shared" si="53"/>
        <v/>
      </c>
      <c r="BK41" s="451" t="str">
        <f t="shared" si="53"/>
        <v/>
      </c>
      <c r="BL41" s="452" t="str">
        <f t="shared" si="50"/>
        <v/>
      </c>
      <c r="BM41" s="452" t="str">
        <f t="shared" si="50"/>
        <v/>
      </c>
      <c r="BN41" s="452" t="str">
        <f t="shared" si="50"/>
        <v/>
      </c>
      <c r="BO41" s="453" t="str">
        <f t="shared" si="50"/>
        <v/>
      </c>
      <c r="BP41" s="451" t="str">
        <f t="shared" si="50"/>
        <v/>
      </c>
      <c r="BQ41" s="452" t="str">
        <f t="shared" si="50"/>
        <v/>
      </c>
      <c r="BR41" s="452" t="str">
        <f t="shared" si="50"/>
        <v/>
      </c>
      <c r="BS41" s="452" t="str">
        <f t="shared" si="50"/>
        <v/>
      </c>
      <c r="BT41" s="453" t="str">
        <f t="shared" si="50"/>
        <v/>
      </c>
      <c r="BU41" s="451" t="str">
        <f t="shared" si="50"/>
        <v/>
      </c>
      <c r="BV41" s="452" t="str">
        <f t="shared" si="50"/>
        <v/>
      </c>
      <c r="BW41" s="452" t="str">
        <f t="shared" si="50"/>
        <v/>
      </c>
      <c r="BX41" s="452" t="str">
        <f t="shared" si="50"/>
        <v/>
      </c>
      <c r="BY41" s="453" t="str">
        <f t="shared" si="54"/>
        <v/>
      </c>
      <c r="BZ41" s="451" t="str">
        <f t="shared" si="54"/>
        <v/>
      </c>
      <c r="CA41" s="452" t="str">
        <f t="shared" si="54"/>
        <v/>
      </c>
      <c r="CB41" s="452" t="str">
        <f t="shared" si="54"/>
        <v/>
      </c>
      <c r="CC41" s="452" t="str">
        <f t="shared" si="54"/>
        <v/>
      </c>
      <c r="CD41" s="453" t="str">
        <f t="shared" si="54"/>
        <v/>
      </c>
      <c r="CE41" s="451" t="str">
        <f t="shared" si="54"/>
        <v/>
      </c>
      <c r="CF41" s="452" t="str">
        <f t="shared" si="54"/>
        <v/>
      </c>
      <c r="CG41" s="452" t="str">
        <f t="shared" si="54"/>
        <v/>
      </c>
      <c r="CH41" s="452" t="str">
        <f t="shared" si="54"/>
        <v/>
      </c>
      <c r="CI41" s="453" t="str">
        <f t="shared" si="54"/>
        <v/>
      </c>
      <c r="CJ41" s="451" t="str">
        <f t="shared" si="54"/>
        <v/>
      </c>
      <c r="CK41" s="452" t="str">
        <f t="shared" si="54"/>
        <v/>
      </c>
      <c r="CL41" s="452" t="str">
        <f t="shared" si="54"/>
        <v/>
      </c>
      <c r="CM41" s="452" t="str">
        <f t="shared" si="54"/>
        <v/>
      </c>
      <c r="CN41" s="453" t="str">
        <f t="shared" si="54"/>
        <v/>
      </c>
      <c r="CO41" s="451" t="str">
        <f t="shared" si="59"/>
        <v/>
      </c>
      <c r="CP41" s="452" t="str">
        <f t="shared" si="55"/>
        <v/>
      </c>
      <c r="CQ41" s="452" t="str">
        <f t="shared" si="55"/>
        <v/>
      </c>
      <c r="CR41" s="452" t="str">
        <f t="shared" si="55"/>
        <v/>
      </c>
      <c r="CS41" s="453" t="str">
        <f t="shared" si="55"/>
        <v/>
      </c>
      <c r="CT41" s="451" t="str">
        <f t="shared" si="55"/>
        <v/>
      </c>
      <c r="CU41" s="452" t="str">
        <f t="shared" si="55"/>
        <v/>
      </c>
      <c r="CV41" s="452" t="str">
        <f t="shared" si="55"/>
        <v/>
      </c>
      <c r="CW41" s="452" t="str">
        <f t="shared" si="55"/>
        <v/>
      </c>
      <c r="CX41" s="453" t="str">
        <f t="shared" si="55"/>
        <v/>
      </c>
      <c r="CY41" s="451" t="str">
        <f t="shared" si="55"/>
        <v/>
      </c>
      <c r="CZ41" s="452" t="str">
        <f t="shared" si="55"/>
        <v/>
      </c>
      <c r="DA41" s="452" t="str">
        <f t="shared" si="55"/>
        <v/>
      </c>
      <c r="DB41" s="452" t="str">
        <f t="shared" si="55"/>
        <v/>
      </c>
      <c r="DC41" s="453" t="str">
        <f t="shared" si="55"/>
        <v/>
      </c>
      <c r="DD41" s="451" t="str">
        <f t="shared" si="55"/>
        <v/>
      </c>
      <c r="DE41" s="452" t="str">
        <f t="shared" si="62"/>
        <v/>
      </c>
      <c r="DF41" s="452" t="str">
        <f t="shared" si="62"/>
        <v/>
      </c>
      <c r="DG41" s="452" t="str">
        <f t="shared" si="62"/>
        <v/>
      </c>
      <c r="DH41" s="453" t="str">
        <f t="shared" si="62"/>
        <v/>
      </c>
      <c r="DI41" s="451" t="str">
        <f t="shared" si="62"/>
        <v/>
      </c>
      <c r="DJ41" s="452" t="str">
        <f t="shared" si="62"/>
        <v/>
      </c>
      <c r="DK41" s="452" t="str">
        <f t="shared" si="62"/>
        <v/>
      </c>
      <c r="DL41" s="452" t="str">
        <f t="shared" si="62"/>
        <v/>
      </c>
      <c r="DM41" s="453" t="str">
        <f t="shared" si="62"/>
        <v/>
      </c>
      <c r="DN41" s="451" t="str">
        <f t="shared" si="62"/>
        <v/>
      </c>
      <c r="DO41" s="452" t="str">
        <f t="shared" si="62"/>
        <v/>
      </c>
      <c r="DP41" s="452" t="str">
        <f t="shared" si="62"/>
        <v/>
      </c>
      <c r="DQ41" s="452" t="str">
        <f t="shared" si="62"/>
        <v/>
      </c>
      <c r="DR41" s="453" t="str">
        <f t="shared" si="62"/>
        <v/>
      </c>
      <c r="DS41" s="451" t="str">
        <f t="shared" si="62"/>
        <v/>
      </c>
      <c r="DT41" s="452" t="str">
        <f t="shared" si="62"/>
        <v/>
      </c>
      <c r="DU41" s="452" t="str">
        <f t="shared" si="58"/>
        <v/>
      </c>
      <c r="DV41" s="452" t="str">
        <f t="shared" si="58"/>
        <v/>
      </c>
      <c r="DW41" s="453" t="str">
        <f t="shared" si="58"/>
        <v/>
      </c>
      <c r="DX41" s="451" t="str">
        <f t="shared" si="58"/>
        <v/>
      </c>
      <c r="DY41" s="452" t="str">
        <f t="shared" si="58"/>
        <v/>
      </c>
      <c r="DZ41" s="452" t="str">
        <f t="shared" si="58"/>
        <v/>
      </c>
      <c r="EA41" s="452" t="str">
        <f t="shared" si="58"/>
        <v/>
      </c>
      <c r="EB41" s="453" t="str">
        <f t="shared" si="58"/>
        <v/>
      </c>
      <c r="EC41" s="451" t="str">
        <f t="shared" si="58"/>
        <v/>
      </c>
      <c r="ED41" s="452" t="str">
        <f t="shared" si="58"/>
        <v/>
      </c>
      <c r="EE41" s="452" t="str">
        <f t="shared" si="58"/>
        <v/>
      </c>
      <c r="EF41" s="452" t="str">
        <f t="shared" si="58"/>
        <v/>
      </c>
      <c r="EG41" s="453" t="str">
        <f t="shared" si="58"/>
        <v/>
      </c>
      <c r="EH41" s="451" t="str">
        <f t="shared" si="58"/>
        <v/>
      </c>
      <c r="EI41" s="452" t="str">
        <f t="shared" si="58"/>
        <v/>
      </c>
      <c r="EJ41" s="452" t="str">
        <f t="shared" si="34"/>
        <v/>
      </c>
      <c r="EK41" s="452" t="str">
        <f t="shared" si="34"/>
        <v/>
      </c>
      <c r="EL41" s="453" t="str">
        <f t="shared" si="34"/>
        <v/>
      </c>
      <c r="EM41" s="451" t="str">
        <f t="shared" si="34"/>
        <v/>
      </c>
      <c r="EN41" s="452" t="str">
        <f t="shared" si="34"/>
        <v/>
      </c>
      <c r="EO41" s="452" t="str">
        <f t="shared" si="34"/>
        <v/>
      </c>
      <c r="EP41" s="452" t="str">
        <f t="shared" si="34"/>
        <v/>
      </c>
      <c r="EQ41" s="453" t="str">
        <f t="shared" si="34"/>
        <v/>
      </c>
      <c r="ER41" s="451" t="str">
        <f t="shared" si="34"/>
        <v/>
      </c>
      <c r="ES41" s="452" t="str">
        <f t="shared" si="34"/>
        <v/>
      </c>
      <c r="ET41" s="452" t="str">
        <f t="shared" si="47"/>
        <v/>
      </c>
      <c r="EU41" s="452" t="str">
        <f t="shared" si="47"/>
        <v/>
      </c>
      <c r="EV41" s="453" t="str">
        <f t="shared" si="47"/>
        <v/>
      </c>
      <c r="EW41" s="451" t="str">
        <f t="shared" si="47"/>
        <v/>
      </c>
      <c r="EX41" s="452" t="str">
        <f t="shared" si="47"/>
        <v/>
      </c>
      <c r="EY41" s="452" t="str">
        <f t="shared" si="47"/>
        <v/>
      </c>
      <c r="EZ41" s="452" t="str">
        <f t="shared" si="47"/>
        <v/>
      </c>
      <c r="FA41" s="453" t="str">
        <f t="shared" si="44"/>
        <v/>
      </c>
      <c r="FB41" s="451" t="str">
        <f t="shared" si="44"/>
        <v/>
      </c>
      <c r="FC41" s="452" t="str">
        <f t="shared" si="44"/>
        <v/>
      </c>
      <c r="FD41" s="452" t="str">
        <f t="shared" si="44"/>
        <v/>
      </c>
      <c r="FE41" s="452" t="str">
        <f t="shared" si="44"/>
        <v/>
      </c>
      <c r="FF41" s="453" t="str">
        <f t="shared" si="44"/>
        <v/>
      </c>
      <c r="FG41" s="451" t="str">
        <f t="shared" si="44"/>
        <v/>
      </c>
      <c r="FH41" s="452" t="str">
        <f t="shared" si="44"/>
        <v/>
      </c>
      <c r="FI41" s="452" t="str">
        <f t="shared" si="44"/>
        <v/>
      </c>
      <c r="FJ41" s="452" t="str">
        <f t="shared" si="44"/>
        <v/>
      </c>
      <c r="FK41" s="453" t="str">
        <f t="shared" si="44"/>
        <v/>
      </c>
      <c r="FL41" s="451" t="str">
        <f t="shared" si="44"/>
        <v/>
      </c>
      <c r="FM41" s="452" t="str">
        <f t="shared" si="44"/>
        <v/>
      </c>
      <c r="FN41" s="452" t="str">
        <f t="shared" si="44"/>
        <v/>
      </c>
      <c r="FO41" s="452" t="str">
        <f t="shared" si="48"/>
        <v/>
      </c>
      <c r="FP41" s="453" t="str">
        <f t="shared" si="48"/>
        <v/>
      </c>
      <c r="FQ41" s="451" t="str">
        <f t="shared" si="48"/>
        <v/>
      </c>
      <c r="FR41" s="452" t="str">
        <f t="shared" si="48"/>
        <v/>
      </c>
      <c r="FS41" s="452" t="str">
        <f t="shared" si="48"/>
        <v/>
      </c>
      <c r="FT41" s="452" t="str">
        <f t="shared" si="48"/>
        <v/>
      </c>
      <c r="FU41" s="453" t="str">
        <f t="shared" si="48"/>
        <v/>
      </c>
      <c r="FV41" s="451" t="str">
        <f t="shared" si="48"/>
        <v/>
      </c>
      <c r="FW41" s="452" t="str">
        <f t="shared" si="48"/>
        <v/>
      </c>
      <c r="FX41" s="452" t="str">
        <f t="shared" si="48"/>
        <v/>
      </c>
      <c r="FY41" s="452" t="str">
        <f t="shared" si="48"/>
        <v/>
      </c>
      <c r="FZ41" s="453" t="str">
        <f t="shared" si="48"/>
        <v/>
      </c>
      <c r="GA41" s="451" t="str">
        <f t="shared" si="48"/>
        <v/>
      </c>
      <c r="GB41" s="452" t="str">
        <f t="shared" si="48"/>
        <v/>
      </c>
      <c r="GC41" s="452" t="str">
        <f t="shared" si="48"/>
        <v/>
      </c>
      <c r="GD41" s="452" t="str">
        <f t="shared" si="48"/>
        <v/>
      </c>
      <c r="GE41" s="453" t="str">
        <f t="shared" si="40"/>
        <v/>
      </c>
      <c r="GF41" s="451" t="str">
        <f t="shared" si="40"/>
        <v/>
      </c>
      <c r="GG41" s="452" t="str">
        <f t="shared" si="40"/>
        <v/>
      </c>
      <c r="GH41" s="452" t="str">
        <f t="shared" si="40"/>
        <v/>
      </c>
      <c r="GI41" s="452" t="str">
        <f t="shared" si="40"/>
        <v/>
      </c>
      <c r="GJ41" s="453" t="str">
        <f t="shared" si="40"/>
        <v/>
      </c>
      <c r="GK41" s="451" t="str">
        <f t="shared" si="40"/>
        <v/>
      </c>
      <c r="GL41" s="452" t="str">
        <f t="shared" si="40"/>
        <v/>
      </c>
      <c r="GM41" s="452" t="str">
        <f t="shared" si="40"/>
        <v/>
      </c>
      <c r="GN41" s="452" t="str">
        <f t="shared" si="40"/>
        <v/>
      </c>
      <c r="GO41" s="453" t="str">
        <f t="shared" si="40"/>
        <v/>
      </c>
      <c r="GP41" s="451" t="str">
        <f t="shared" si="61"/>
        <v/>
      </c>
      <c r="GQ41" s="452" t="str">
        <f t="shared" si="61"/>
        <v/>
      </c>
      <c r="GR41" s="452" t="str">
        <f t="shared" si="61"/>
        <v/>
      </c>
      <c r="GS41" s="452" t="str">
        <f t="shared" si="61"/>
        <v/>
      </c>
      <c r="GT41" s="453" t="str">
        <f t="shared" si="61"/>
        <v/>
      </c>
      <c r="GU41" s="451" t="str">
        <f t="shared" si="61"/>
        <v/>
      </c>
      <c r="GV41" s="452" t="str">
        <f t="shared" si="61"/>
        <v/>
      </c>
      <c r="GW41" s="452" t="str">
        <f t="shared" si="61"/>
        <v/>
      </c>
      <c r="GX41" s="452" t="str">
        <f t="shared" si="61"/>
        <v/>
      </c>
      <c r="GY41" s="453" t="str">
        <f t="shared" si="61"/>
        <v/>
      </c>
      <c r="GZ41" s="451" t="str">
        <f t="shared" si="61"/>
        <v/>
      </c>
      <c r="HA41" s="452" t="str">
        <f t="shared" si="61"/>
        <v/>
      </c>
      <c r="HB41" s="452" t="str">
        <f t="shared" si="61"/>
        <v/>
      </c>
      <c r="HC41" s="452" t="str">
        <f t="shared" si="61"/>
        <v/>
      </c>
      <c r="HD41" s="453" t="str">
        <f t="shared" si="61"/>
        <v/>
      </c>
      <c r="HE41" s="451" t="str">
        <f t="shared" si="61"/>
        <v/>
      </c>
      <c r="HF41" s="452" t="str">
        <f t="shared" ref="HF41:HU59" si="65">IF(AND(HF$2&gt;=$J41,HF$2&lt;=$K41),1,"")</f>
        <v/>
      </c>
      <c r="HG41" s="452" t="str">
        <f t="shared" si="65"/>
        <v/>
      </c>
      <c r="HH41" s="452" t="str">
        <f t="shared" si="65"/>
        <v/>
      </c>
      <c r="HI41" s="453" t="str">
        <f t="shared" si="65"/>
        <v/>
      </c>
      <c r="HJ41" s="451" t="str">
        <f t="shared" si="65"/>
        <v/>
      </c>
      <c r="HK41" s="452" t="str">
        <f t="shared" si="65"/>
        <v/>
      </c>
      <c r="HL41" s="452" t="str">
        <f t="shared" si="65"/>
        <v/>
      </c>
      <c r="HM41" s="452" t="str">
        <f t="shared" si="65"/>
        <v/>
      </c>
      <c r="HN41" s="453" t="str">
        <f t="shared" si="65"/>
        <v/>
      </c>
      <c r="HO41" s="451" t="str">
        <f t="shared" si="63"/>
        <v/>
      </c>
      <c r="HP41" s="452" t="str">
        <f t="shared" si="63"/>
        <v/>
      </c>
      <c r="HQ41" s="452" t="str">
        <f t="shared" si="63"/>
        <v/>
      </c>
      <c r="HR41" s="452" t="str">
        <f t="shared" si="63"/>
        <v/>
      </c>
      <c r="HS41" s="453" t="str">
        <f t="shared" si="63"/>
        <v/>
      </c>
      <c r="HT41" s="451" t="str">
        <f t="shared" si="63"/>
        <v/>
      </c>
      <c r="HU41" s="452" t="str">
        <f t="shared" si="63"/>
        <v/>
      </c>
      <c r="HV41" s="452" t="str">
        <f t="shared" si="63"/>
        <v/>
      </c>
      <c r="HW41" s="452" t="str">
        <f t="shared" si="63"/>
        <v/>
      </c>
      <c r="HX41" s="453" t="str">
        <f t="shared" si="63"/>
        <v/>
      </c>
      <c r="HY41" s="451" t="str">
        <f t="shared" si="63"/>
        <v/>
      </c>
      <c r="HZ41" s="452" t="str">
        <f t="shared" si="63"/>
        <v/>
      </c>
      <c r="IA41" s="452" t="str">
        <f t="shared" ref="IA41:IP59" si="66">IF(AND(IA$2&gt;=$J41,IA$2&lt;=$K41),1,"")</f>
        <v/>
      </c>
      <c r="IB41" s="452" t="str">
        <f t="shared" si="66"/>
        <v/>
      </c>
      <c r="IC41" s="453" t="str">
        <f t="shared" si="66"/>
        <v/>
      </c>
      <c r="ID41" s="451" t="str">
        <f t="shared" si="66"/>
        <v/>
      </c>
      <c r="IE41" s="452" t="str">
        <f t="shared" si="66"/>
        <v/>
      </c>
      <c r="IF41" s="452" t="str">
        <f t="shared" si="66"/>
        <v/>
      </c>
      <c r="IG41" s="452" t="str">
        <f t="shared" si="66"/>
        <v/>
      </c>
      <c r="IH41" s="453" t="str">
        <f t="shared" si="66"/>
        <v/>
      </c>
      <c r="II41" s="451" t="str">
        <f t="shared" si="66"/>
        <v/>
      </c>
      <c r="IJ41" s="452" t="str">
        <f t="shared" si="66"/>
        <v/>
      </c>
      <c r="IK41" s="452" t="str">
        <f t="shared" si="66"/>
        <v/>
      </c>
      <c r="IL41" s="452" t="str">
        <f t="shared" si="66"/>
        <v/>
      </c>
      <c r="IM41" s="453" t="str">
        <f t="shared" si="66"/>
        <v/>
      </c>
      <c r="IN41" s="451" t="str">
        <f t="shared" si="66"/>
        <v/>
      </c>
      <c r="IO41" s="452" t="str">
        <f t="shared" si="66"/>
        <v/>
      </c>
      <c r="IP41" s="452" t="str">
        <f t="shared" si="66"/>
        <v/>
      </c>
      <c r="IQ41" s="452" t="str">
        <f t="shared" si="64"/>
        <v/>
      </c>
      <c r="IR41" s="453" t="str">
        <f t="shared" si="64"/>
        <v/>
      </c>
    </row>
    <row r="42" spans="1:252" x14ac:dyDescent="0.2">
      <c r="A42" s="461">
        <v>4.5</v>
      </c>
      <c r="C42" s="447" t="s">
        <v>1355</v>
      </c>
      <c r="D42" s="447"/>
      <c r="E42" s="448"/>
      <c r="F42" s="448"/>
      <c r="G42" s="448"/>
      <c r="H42" s="448"/>
      <c r="I42" s="448"/>
      <c r="J42" s="449" t="str">
        <f t="shared" si="56"/>
        <v/>
      </c>
      <c r="K42" s="449" t="str">
        <f t="shared" si="57"/>
        <v/>
      </c>
      <c r="L42" s="450">
        <f t="shared" si="0"/>
        <v>0</v>
      </c>
      <c r="M42" s="451" t="str">
        <f t="shared" si="42"/>
        <v/>
      </c>
      <c r="N42" s="452" t="str">
        <f t="shared" si="42"/>
        <v/>
      </c>
      <c r="O42" s="452" t="str">
        <f t="shared" si="42"/>
        <v/>
      </c>
      <c r="P42" s="452" t="str">
        <f t="shared" si="42"/>
        <v/>
      </c>
      <c r="Q42" s="453" t="str">
        <f t="shared" si="42"/>
        <v/>
      </c>
      <c r="R42" s="451" t="str">
        <f t="shared" si="42"/>
        <v/>
      </c>
      <c r="S42" s="452" t="str">
        <f t="shared" si="42"/>
        <v/>
      </c>
      <c r="T42" s="452" t="str">
        <f t="shared" si="42"/>
        <v/>
      </c>
      <c r="U42" s="452" t="str">
        <f t="shared" si="42"/>
        <v/>
      </c>
      <c r="V42" s="453" t="str">
        <f t="shared" si="42"/>
        <v/>
      </c>
      <c r="W42" s="451" t="str">
        <f t="shared" si="42"/>
        <v/>
      </c>
      <c r="X42" s="452" t="str">
        <f t="shared" si="42"/>
        <v/>
      </c>
      <c r="Y42" s="452" t="str">
        <f t="shared" si="42"/>
        <v/>
      </c>
      <c r="Z42" s="452" t="str">
        <f t="shared" si="42"/>
        <v/>
      </c>
      <c r="AA42" s="453" t="str">
        <f t="shared" si="42"/>
        <v/>
      </c>
      <c r="AB42" s="451" t="str">
        <f t="shared" si="42"/>
        <v/>
      </c>
      <c r="AC42" s="452" t="str">
        <f t="shared" si="49"/>
        <v/>
      </c>
      <c r="AD42" s="452" t="str">
        <f t="shared" si="49"/>
        <v/>
      </c>
      <c r="AE42" s="452" t="str">
        <f t="shared" si="49"/>
        <v/>
      </c>
      <c r="AF42" s="453" t="str">
        <f t="shared" si="49"/>
        <v/>
      </c>
      <c r="AG42" s="451" t="str">
        <f>IF(AND(AG$2&gt;=$J42,AG$2&lt;=$K42),1,"")</f>
        <v/>
      </c>
      <c r="AH42" s="452" t="str">
        <f t="shared" si="49"/>
        <v/>
      </c>
      <c r="AI42" s="452" t="str">
        <f t="shared" si="49"/>
        <v/>
      </c>
      <c r="AJ42" s="452" t="str">
        <f t="shared" si="49"/>
        <v/>
      </c>
      <c r="AK42" s="453" t="str">
        <f t="shared" si="49"/>
        <v/>
      </c>
      <c r="AL42" s="451" t="str">
        <f>IF(AND(AL$2&gt;=$J42,AL$2&lt;=$K42),1,"")</f>
        <v/>
      </c>
      <c r="AM42" s="452" t="str">
        <f t="shared" si="49"/>
        <v/>
      </c>
      <c r="AN42" s="452" t="str">
        <f t="shared" si="49"/>
        <v/>
      </c>
      <c r="AO42" s="452" t="str">
        <f t="shared" si="49"/>
        <v/>
      </c>
      <c r="AP42" s="453" t="str">
        <f t="shared" si="49"/>
        <v/>
      </c>
      <c r="AQ42" s="451" t="str">
        <f>IF(AND(AQ$2&gt;=$J42,AQ$2&lt;=$K42),1,"")</f>
        <v/>
      </c>
      <c r="AR42" s="452" t="str">
        <f t="shared" si="43"/>
        <v/>
      </c>
      <c r="AS42" s="452" t="str">
        <f t="shared" si="43"/>
        <v/>
      </c>
      <c r="AT42" s="452" t="str">
        <f t="shared" si="43"/>
        <v/>
      </c>
      <c r="AU42" s="453" t="str">
        <f t="shared" si="43"/>
        <v/>
      </c>
      <c r="AV42" s="451" t="str">
        <f>IF(AND(AV$2&gt;=$J42,AV$2&lt;=$K42),1,"")</f>
        <v/>
      </c>
      <c r="AW42" s="452" t="str">
        <f t="shared" si="43"/>
        <v/>
      </c>
      <c r="AX42" s="452" t="str">
        <f t="shared" si="43"/>
        <v/>
      </c>
      <c r="AY42" s="452" t="str">
        <f t="shared" si="43"/>
        <v/>
      </c>
      <c r="AZ42" s="453" t="str">
        <f t="shared" si="43"/>
        <v/>
      </c>
      <c r="BA42" s="451" t="str">
        <f>IF(AND(BA$2&gt;=$J42,BA$2&lt;=$K42),1,"")</f>
        <v/>
      </c>
      <c r="BB42" s="452" t="str">
        <f t="shared" si="43"/>
        <v/>
      </c>
      <c r="BC42" s="452" t="str">
        <f t="shared" si="43"/>
        <v/>
      </c>
      <c r="BD42" s="452" t="str">
        <f t="shared" si="43"/>
        <v/>
      </c>
      <c r="BE42" s="453" t="str">
        <f t="shared" si="43"/>
        <v/>
      </c>
      <c r="BF42" s="451" t="str">
        <f>IF(AND(BF$2&gt;=$J42,BF$2&lt;=$K42),1,"")</f>
        <v/>
      </c>
      <c r="BG42" s="452" t="str">
        <f t="shared" si="53"/>
        <v/>
      </c>
      <c r="BH42" s="452" t="str">
        <f t="shared" si="53"/>
        <v/>
      </c>
      <c r="BI42" s="452" t="str">
        <f t="shared" si="53"/>
        <v/>
      </c>
      <c r="BJ42" s="453" t="str">
        <f t="shared" si="53"/>
        <v/>
      </c>
      <c r="BK42" s="451" t="str">
        <f>IF(AND(BK$2&gt;=$J42,BK$2&lt;=$K42),1,"")</f>
        <v/>
      </c>
      <c r="BL42" s="452" t="str">
        <f t="shared" si="50"/>
        <v/>
      </c>
      <c r="BM42" s="452" t="str">
        <f t="shared" si="50"/>
        <v/>
      </c>
      <c r="BN42" s="452" t="str">
        <f t="shared" si="50"/>
        <v/>
      </c>
      <c r="BO42" s="453" t="str">
        <f t="shared" si="50"/>
        <v/>
      </c>
      <c r="BP42" s="451" t="str">
        <f>IF(AND(BP$2&gt;=$J42,BP$2&lt;=$K42),1,"")</f>
        <v/>
      </c>
      <c r="BQ42" s="452" t="str">
        <f t="shared" si="50"/>
        <v/>
      </c>
      <c r="BR42" s="452" t="str">
        <f t="shared" si="50"/>
        <v/>
      </c>
      <c r="BS42" s="452" t="str">
        <f t="shared" si="50"/>
        <v/>
      </c>
      <c r="BT42" s="453" t="str">
        <f t="shared" si="50"/>
        <v/>
      </c>
      <c r="BU42" s="451" t="str">
        <f>IF(AND(BU$2&gt;=$J42,BU$2&lt;=$K42),1,"")</f>
        <v/>
      </c>
      <c r="BV42" s="452" t="str">
        <f t="shared" si="50"/>
        <v/>
      </c>
      <c r="BW42" s="452" t="str">
        <f t="shared" si="50"/>
        <v/>
      </c>
      <c r="BX42" s="452" t="str">
        <f t="shared" si="50"/>
        <v/>
      </c>
      <c r="BY42" s="453" t="str">
        <f t="shared" si="54"/>
        <v/>
      </c>
      <c r="BZ42" s="451" t="str">
        <f>IF(AND(BZ$2&gt;=$J42,BZ$2&lt;=$K42),1,"")</f>
        <v/>
      </c>
      <c r="CA42" s="452" t="str">
        <f t="shared" si="54"/>
        <v/>
      </c>
      <c r="CB42" s="452" t="str">
        <f t="shared" si="54"/>
        <v/>
      </c>
      <c r="CC42" s="452" t="str">
        <f t="shared" si="54"/>
        <v/>
      </c>
      <c r="CD42" s="453" t="str">
        <f t="shared" si="54"/>
        <v/>
      </c>
      <c r="CE42" s="451" t="str">
        <f>IF(AND(CE$2&gt;=$J42,CE$2&lt;=$K42),1,"")</f>
        <v/>
      </c>
      <c r="CF42" s="452" t="str">
        <f t="shared" si="54"/>
        <v/>
      </c>
      <c r="CG42" s="452" t="str">
        <f t="shared" si="54"/>
        <v/>
      </c>
      <c r="CH42" s="452" t="str">
        <f t="shared" si="54"/>
        <v/>
      </c>
      <c r="CI42" s="453" t="str">
        <f t="shared" si="54"/>
        <v/>
      </c>
      <c r="CJ42" s="451" t="str">
        <f>IF(AND(CJ$2&gt;=$J42,CJ$2&lt;=$K42),1,"")</f>
        <v/>
      </c>
      <c r="CK42" s="452" t="str">
        <f t="shared" si="54"/>
        <v/>
      </c>
      <c r="CL42" s="452" t="str">
        <f t="shared" si="54"/>
        <v/>
      </c>
      <c r="CM42" s="452" t="str">
        <f t="shared" si="54"/>
        <v/>
      </c>
      <c r="CN42" s="453" t="str">
        <f t="shared" si="54"/>
        <v/>
      </c>
      <c r="CO42" s="451" t="str">
        <f>IF(AND(CO$2&gt;=$J42,CO$2&lt;=$K42),1,"")</f>
        <v/>
      </c>
      <c r="CP42" s="452" t="str">
        <f t="shared" si="55"/>
        <v/>
      </c>
      <c r="CQ42" s="452" t="str">
        <f t="shared" si="55"/>
        <v/>
      </c>
      <c r="CR42" s="452" t="str">
        <f t="shared" si="55"/>
        <v/>
      </c>
      <c r="CS42" s="453" t="str">
        <f t="shared" si="55"/>
        <v/>
      </c>
      <c r="CT42" s="451" t="str">
        <f>IF(AND(CT$2&gt;=$J42,CT$2&lt;=$K42),1,"")</f>
        <v/>
      </c>
      <c r="CU42" s="452" t="str">
        <f t="shared" si="55"/>
        <v/>
      </c>
      <c r="CV42" s="452" t="str">
        <f t="shared" si="55"/>
        <v/>
      </c>
      <c r="CW42" s="452" t="str">
        <f t="shared" si="55"/>
        <v/>
      </c>
      <c r="CX42" s="453" t="str">
        <f t="shared" si="55"/>
        <v/>
      </c>
      <c r="CY42" s="451" t="str">
        <f>IF(AND(CY$2&gt;=$J42,CY$2&lt;=$K42),1,"")</f>
        <v/>
      </c>
      <c r="CZ42" s="452" t="str">
        <f t="shared" si="55"/>
        <v/>
      </c>
      <c r="DA42" s="452" t="str">
        <f t="shared" si="55"/>
        <v/>
      </c>
      <c r="DB42" s="452" t="str">
        <f t="shared" si="55"/>
        <v/>
      </c>
      <c r="DC42" s="453" t="str">
        <f t="shared" si="55"/>
        <v/>
      </c>
      <c r="DD42" s="451" t="str">
        <f>IF(AND(DD$2&gt;=$J42,DD$2&lt;=$K42),1,"")</f>
        <v/>
      </c>
      <c r="DE42" s="452" t="str">
        <f t="shared" si="62"/>
        <v/>
      </c>
      <c r="DF42" s="452" t="str">
        <f t="shared" si="62"/>
        <v/>
      </c>
      <c r="DG42" s="452" t="str">
        <f t="shared" si="62"/>
        <v/>
      </c>
      <c r="DH42" s="453" t="str">
        <f t="shared" si="62"/>
        <v/>
      </c>
      <c r="DI42" s="451" t="str">
        <f>IF(AND(DI$2&gt;=$J42,DI$2&lt;=$K42),1,"")</f>
        <v/>
      </c>
      <c r="DJ42" s="452" t="str">
        <f t="shared" si="62"/>
        <v/>
      </c>
      <c r="DK42" s="452" t="str">
        <f t="shared" si="62"/>
        <v/>
      </c>
      <c r="DL42" s="452" t="str">
        <f t="shared" si="62"/>
        <v/>
      </c>
      <c r="DM42" s="453" t="str">
        <f t="shared" si="62"/>
        <v/>
      </c>
      <c r="DN42" s="451" t="str">
        <f>IF(AND(DN$2&gt;=$J42,DN$2&lt;=$K42),1,"")</f>
        <v/>
      </c>
      <c r="DO42" s="452" t="str">
        <f t="shared" si="62"/>
        <v/>
      </c>
      <c r="DP42" s="452" t="str">
        <f t="shared" si="62"/>
        <v/>
      </c>
      <c r="DQ42" s="452" t="str">
        <f t="shared" si="62"/>
        <v/>
      </c>
      <c r="DR42" s="453" t="str">
        <f t="shared" si="62"/>
        <v/>
      </c>
      <c r="DS42" s="451" t="str">
        <f>IF(AND(DS$2&gt;=$J42,DS$2&lt;=$K42),1,"")</f>
        <v/>
      </c>
      <c r="DT42" s="452" t="str">
        <f t="shared" si="62"/>
        <v/>
      </c>
      <c r="DU42" s="452" t="str">
        <f t="shared" si="58"/>
        <v/>
      </c>
      <c r="DV42" s="452" t="str">
        <f t="shared" si="58"/>
        <v/>
      </c>
      <c r="DW42" s="453" t="str">
        <f t="shared" si="58"/>
        <v/>
      </c>
      <c r="DX42" s="451" t="str">
        <f>IF(AND(DX$2&gt;=$J42,DX$2&lt;=$K42),1,"")</f>
        <v/>
      </c>
      <c r="DY42" s="452" t="str">
        <f t="shared" si="58"/>
        <v/>
      </c>
      <c r="DZ42" s="452" t="str">
        <f t="shared" si="58"/>
        <v/>
      </c>
      <c r="EA42" s="452" t="str">
        <f t="shared" si="58"/>
        <v/>
      </c>
      <c r="EB42" s="453" t="str">
        <f t="shared" si="58"/>
        <v/>
      </c>
      <c r="EC42" s="451" t="str">
        <f>IF(AND(EC$2&gt;=$J42,EC$2&lt;=$K42),1,"")</f>
        <v/>
      </c>
      <c r="ED42" s="452" t="str">
        <f t="shared" si="58"/>
        <v/>
      </c>
      <c r="EE42" s="452" t="str">
        <f t="shared" si="58"/>
        <v/>
      </c>
      <c r="EF42" s="452" t="str">
        <f t="shared" si="58"/>
        <v/>
      </c>
      <c r="EG42" s="453" t="str">
        <f t="shared" si="58"/>
        <v/>
      </c>
      <c r="EH42" s="451" t="str">
        <f>IF(AND(EH$2&gt;=$J42,EH$2&lt;=$K42),1,"")</f>
        <v/>
      </c>
      <c r="EI42" s="452" t="str">
        <f t="shared" si="58"/>
        <v/>
      </c>
      <c r="EJ42" s="452" t="str">
        <f t="shared" ref="EJ42:EY59" si="67">IF(AND(EJ$2&gt;=$J42,EJ$2&lt;=$K42),1,"")</f>
        <v/>
      </c>
      <c r="EK42" s="452" t="str">
        <f t="shared" si="67"/>
        <v/>
      </c>
      <c r="EL42" s="453" t="str">
        <f t="shared" si="67"/>
        <v/>
      </c>
      <c r="EM42" s="451" t="str">
        <f>IF(AND(EM$2&gt;=$J42,EM$2&lt;=$K42),1,"")</f>
        <v/>
      </c>
      <c r="EN42" s="452" t="str">
        <f t="shared" si="67"/>
        <v/>
      </c>
      <c r="EO42" s="452" t="str">
        <f t="shared" si="67"/>
        <v/>
      </c>
      <c r="EP42" s="452" t="str">
        <f t="shared" si="67"/>
        <v/>
      </c>
      <c r="EQ42" s="453" t="str">
        <f t="shared" si="67"/>
        <v/>
      </c>
      <c r="ER42" s="451" t="str">
        <f>IF(AND(ER$2&gt;=$J42,ER$2&lt;=$K42),1,"")</f>
        <v/>
      </c>
      <c r="ES42" s="452" t="str">
        <f t="shared" si="67"/>
        <v/>
      </c>
      <c r="ET42" s="452" t="str">
        <f t="shared" si="67"/>
        <v/>
      </c>
      <c r="EU42" s="452" t="str">
        <f t="shared" si="67"/>
        <v/>
      </c>
      <c r="EV42" s="453" t="str">
        <f t="shared" si="67"/>
        <v/>
      </c>
      <c r="EW42" s="451" t="str">
        <f>IF(AND(EW$2&gt;=$J42,EW$2&lt;=$K42),1,"")</f>
        <v/>
      </c>
      <c r="EX42" s="452" t="str">
        <f t="shared" si="67"/>
        <v/>
      </c>
      <c r="EY42" s="452" t="str">
        <f t="shared" si="67"/>
        <v/>
      </c>
      <c r="EZ42" s="452" t="str">
        <f t="shared" si="47"/>
        <v/>
      </c>
      <c r="FA42" s="453" t="str">
        <f t="shared" si="44"/>
        <v/>
      </c>
      <c r="FB42" s="451" t="str">
        <f>IF(AND(FB$2&gt;=$J42,FB$2&lt;=$K42),1,"")</f>
        <v/>
      </c>
      <c r="FC42" s="452" t="str">
        <f t="shared" si="44"/>
        <v/>
      </c>
      <c r="FD42" s="452" t="str">
        <f t="shared" si="44"/>
        <v/>
      </c>
      <c r="FE42" s="452" t="str">
        <f t="shared" si="44"/>
        <v/>
      </c>
      <c r="FF42" s="453" t="str">
        <f t="shared" si="44"/>
        <v/>
      </c>
      <c r="FG42" s="451" t="str">
        <f>IF(AND(FG$2&gt;=$J42,FG$2&lt;=$K42),1,"")</f>
        <v/>
      </c>
      <c r="FH42" s="452" t="str">
        <f t="shared" si="44"/>
        <v/>
      </c>
      <c r="FI42" s="452" t="str">
        <f t="shared" si="44"/>
        <v/>
      </c>
      <c r="FJ42" s="452" t="str">
        <f t="shared" si="44"/>
        <v/>
      </c>
      <c r="FK42" s="453" t="str">
        <f t="shared" si="44"/>
        <v/>
      </c>
      <c r="FL42" s="451" t="str">
        <f>IF(AND(FL$2&gt;=$J42,FL$2&lt;=$K42),1,"")</f>
        <v/>
      </c>
      <c r="FM42" s="452" t="str">
        <f t="shared" si="44"/>
        <v/>
      </c>
      <c r="FN42" s="452" t="str">
        <f t="shared" si="44"/>
        <v/>
      </c>
      <c r="FO42" s="452" t="str">
        <f t="shared" si="48"/>
        <v/>
      </c>
      <c r="FP42" s="453" t="str">
        <f t="shared" si="48"/>
        <v/>
      </c>
      <c r="FQ42" s="451" t="str">
        <f>IF(AND(FQ$2&gt;=$J42,FQ$2&lt;=$K42),1,"")</f>
        <v/>
      </c>
      <c r="FR42" s="452" t="str">
        <f t="shared" si="48"/>
        <v/>
      </c>
      <c r="FS42" s="452" t="str">
        <f t="shared" si="48"/>
        <v/>
      </c>
      <c r="FT42" s="452" t="str">
        <f t="shared" si="48"/>
        <v/>
      </c>
      <c r="FU42" s="453" t="str">
        <f t="shared" si="48"/>
        <v/>
      </c>
      <c r="FV42" s="451" t="str">
        <f>IF(AND(FV$2&gt;=$J42,FV$2&lt;=$K42),1,"")</f>
        <v/>
      </c>
      <c r="FW42" s="452" t="str">
        <f t="shared" si="48"/>
        <v/>
      </c>
      <c r="FX42" s="452" t="str">
        <f t="shared" si="48"/>
        <v/>
      </c>
      <c r="FY42" s="452" t="str">
        <f t="shared" si="48"/>
        <v/>
      </c>
      <c r="FZ42" s="453" t="str">
        <f t="shared" si="48"/>
        <v/>
      </c>
      <c r="GA42" s="451" t="str">
        <f>IF(AND(GA$2&gt;=$J42,GA$2&lt;=$K42),1,"")</f>
        <v/>
      </c>
      <c r="GB42" s="452" t="str">
        <f t="shared" si="48"/>
        <v/>
      </c>
      <c r="GC42" s="452" t="str">
        <f t="shared" si="48"/>
        <v/>
      </c>
      <c r="GD42" s="452" t="str">
        <f t="shared" si="48"/>
        <v/>
      </c>
      <c r="GE42" s="453" t="str">
        <f t="shared" si="40"/>
        <v/>
      </c>
      <c r="GF42" s="451" t="str">
        <f>IF(AND(GF$2&gt;=$J42,GF$2&lt;=$K42),1,"")</f>
        <v/>
      </c>
      <c r="GG42" s="452" t="str">
        <f t="shared" si="40"/>
        <v/>
      </c>
      <c r="GH42" s="452" t="str">
        <f t="shared" si="40"/>
        <v/>
      </c>
      <c r="GI42" s="452" t="str">
        <f t="shared" si="40"/>
        <v/>
      </c>
      <c r="GJ42" s="453" t="str">
        <f t="shared" si="40"/>
        <v/>
      </c>
      <c r="GK42" s="451" t="str">
        <f>IF(AND(GK$2&gt;=$J42,GK$2&lt;=$K42),1,"")</f>
        <v/>
      </c>
      <c r="GL42" s="452" t="str">
        <f t="shared" si="40"/>
        <v/>
      </c>
      <c r="GM42" s="452" t="str">
        <f t="shared" si="40"/>
        <v/>
      </c>
      <c r="GN42" s="452" t="str">
        <f t="shared" si="40"/>
        <v/>
      </c>
      <c r="GO42" s="453" t="str">
        <f t="shared" si="40"/>
        <v/>
      </c>
      <c r="GP42" s="451" t="str">
        <f>IF(AND(GP$2&gt;=$J42,GP$2&lt;=$K42),1,"")</f>
        <v/>
      </c>
      <c r="GQ42" s="452" t="str">
        <f t="shared" si="61"/>
        <v/>
      </c>
      <c r="GR42" s="452" t="str">
        <f t="shared" si="61"/>
        <v/>
      </c>
      <c r="GS42" s="452" t="str">
        <f t="shared" si="61"/>
        <v/>
      </c>
      <c r="GT42" s="453" t="str">
        <f t="shared" si="61"/>
        <v/>
      </c>
      <c r="GU42" s="451" t="str">
        <f>IF(AND(GU$2&gt;=$J42,GU$2&lt;=$K42),1,"")</f>
        <v/>
      </c>
      <c r="GV42" s="452" t="str">
        <f t="shared" si="61"/>
        <v/>
      </c>
      <c r="GW42" s="452" t="str">
        <f t="shared" si="61"/>
        <v/>
      </c>
      <c r="GX42" s="452" t="str">
        <f t="shared" si="61"/>
        <v/>
      </c>
      <c r="GY42" s="453" t="str">
        <f t="shared" si="61"/>
        <v/>
      </c>
      <c r="GZ42" s="451" t="str">
        <f>IF(AND(GZ$2&gt;=$J42,GZ$2&lt;=$K42),1,"")</f>
        <v/>
      </c>
      <c r="HA42" s="452" t="str">
        <f t="shared" si="61"/>
        <v/>
      </c>
      <c r="HB42" s="452" t="str">
        <f t="shared" si="61"/>
        <v/>
      </c>
      <c r="HC42" s="452" t="str">
        <f t="shared" si="61"/>
        <v/>
      </c>
      <c r="HD42" s="453" t="str">
        <f t="shared" si="61"/>
        <v/>
      </c>
      <c r="HE42" s="451" t="str">
        <f>IF(AND(HE$2&gt;=$J42,HE$2&lt;=$K42),1,"")</f>
        <v/>
      </c>
      <c r="HF42" s="452" t="str">
        <f t="shared" si="65"/>
        <v/>
      </c>
      <c r="HG42" s="452" t="str">
        <f t="shared" si="65"/>
        <v/>
      </c>
      <c r="HH42" s="452" t="str">
        <f t="shared" si="65"/>
        <v/>
      </c>
      <c r="HI42" s="453" t="str">
        <f t="shared" si="65"/>
        <v/>
      </c>
      <c r="HJ42" s="451" t="str">
        <f>IF(AND(HJ$2&gt;=$J42,HJ$2&lt;=$K42),1,"")</f>
        <v/>
      </c>
      <c r="HK42" s="452" t="str">
        <f t="shared" si="65"/>
        <v/>
      </c>
      <c r="HL42" s="452" t="str">
        <f t="shared" si="65"/>
        <v/>
      </c>
      <c r="HM42" s="452" t="str">
        <f t="shared" si="65"/>
        <v/>
      </c>
      <c r="HN42" s="453" t="str">
        <f t="shared" si="65"/>
        <v/>
      </c>
      <c r="HO42" s="451" t="str">
        <f>IF(AND(HO$2&gt;=$J42,HO$2&lt;=$K42),1,"")</f>
        <v/>
      </c>
      <c r="HP42" s="452" t="str">
        <f t="shared" si="63"/>
        <v/>
      </c>
      <c r="HQ42" s="452" t="str">
        <f t="shared" si="63"/>
        <v/>
      </c>
      <c r="HR42" s="452" t="str">
        <f t="shared" si="63"/>
        <v/>
      </c>
      <c r="HS42" s="453" t="str">
        <f t="shared" si="63"/>
        <v/>
      </c>
      <c r="HT42" s="451" t="str">
        <f>IF(AND(HT$2&gt;=$J42,HT$2&lt;=$K42),1,"")</f>
        <v/>
      </c>
      <c r="HU42" s="452" t="str">
        <f t="shared" si="63"/>
        <v/>
      </c>
      <c r="HV42" s="452" t="str">
        <f t="shared" si="63"/>
        <v/>
      </c>
      <c r="HW42" s="452" t="str">
        <f t="shared" si="63"/>
        <v/>
      </c>
      <c r="HX42" s="453" t="str">
        <f t="shared" si="63"/>
        <v/>
      </c>
      <c r="HY42" s="451" t="str">
        <f>IF(AND(HY$2&gt;=$J42,HY$2&lt;=$K42),1,"")</f>
        <v/>
      </c>
      <c r="HZ42" s="452" t="str">
        <f t="shared" si="63"/>
        <v/>
      </c>
      <c r="IA42" s="452" t="str">
        <f t="shared" si="66"/>
        <v/>
      </c>
      <c r="IB42" s="452" t="str">
        <f t="shared" si="66"/>
        <v/>
      </c>
      <c r="IC42" s="453" t="str">
        <f t="shared" si="66"/>
        <v/>
      </c>
      <c r="ID42" s="451" t="str">
        <f>IF(AND(ID$2&gt;=$J42,ID$2&lt;=$K42),1,"")</f>
        <v/>
      </c>
      <c r="IE42" s="452" t="str">
        <f t="shared" si="66"/>
        <v/>
      </c>
      <c r="IF42" s="452" t="str">
        <f t="shared" si="66"/>
        <v/>
      </c>
      <c r="IG42" s="452" t="str">
        <f t="shared" si="66"/>
        <v/>
      </c>
      <c r="IH42" s="453" t="str">
        <f t="shared" si="66"/>
        <v/>
      </c>
      <c r="II42" s="451" t="str">
        <f>IF(AND(II$2&gt;=$J42,II$2&lt;=$K42),1,"")</f>
        <v/>
      </c>
      <c r="IJ42" s="452" t="str">
        <f t="shared" si="66"/>
        <v/>
      </c>
      <c r="IK42" s="452" t="str">
        <f t="shared" si="66"/>
        <v/>
      </c>
      <c r="IL42" s="452" t="str">
        <f t="shared" si="66"/>
        <v/>
      </c>
      <c r="IM42" s="453" t="str">
        <f t="shared" si="66"/>
        <v/>
      </c>
      <c r="IN42" s="451" t="str">
        <f>IF(AND(IN$2&gt;=$J42,IN$2&lt;=$K42),1,"")</f>
        <v/>
      </c>
      <c r="IO42" s="452" t="str">
        <f t="shared" si="66"/>
        <v/>
      </c>
      <c r="IP42" s="452" t="str">
        <f t="shared" si="66"/>
        <v/>
      </c>
      <c r="IQ42" s="452" t="str">
        <f t="shared" si="64"/>
        <v/>
      </c>
      <c r="IR42" s="453" t="str">
        <f t="shared" si="64"/>
        <v/>
      </c>
    </row>
    <row r="43" spans="1:252" x14ac:dyDescent="0.2">
      <c r="A43" s="461">
        <v>4.5999999999999996</v>
      </c>
      <c r="C43" s="447" t="s">
        <v>1356</v>
      </c>
      <c r="D43" s="447"/>
      <c r="E43" s="448"/>
      <c r="F43" s="448"/>
      <c r="G43" s="448"/>
      <c r="H43" s="448"/>
      <c r="I43" s="448"/>
      <c r="J43" s="449" t="str">
        <f t="shared" si="56"/>
        <v/>
      </c>
      <c r="K43" s="449" t="str">
        <f t="shared" si="57"/>
        <v/>
      </c>
      <c r="L43" s="450">
        <f t="shared" si="0"/>
        <v>0</v>
      </c>
      <c r="M43" s="451" t="str">
        <f t="shared" si="42"/>
        <v/>
      </c>
      <c r="N43" s="452" t="str">
        <f t="shared" si="42"/>
        <v/>
      </c>
      <c r="O43" s="452" t="str">
        <f t="shared" si="42"/>
        <v/>
      </c>
      <c r="P43" s="452" t="str">
        <f t="shared" si="42"/>
        <v/>
      </c>
      <c r="Q43" s="453" t="str">
        <f t="shared" si="42"/>
        <v/>
      </c>
      <c r="R43" s="451" t="str">
        <f t="shared" si="42"/>
        <v/>
      </c>
      <c r="S43" s="452" t="str">
        <f t="shared" si="42"/>
        <v/>
      </c>
      <c r="T43" s="452" t="str">
        <f t="shared" si="42"/>
        <v/>
      </c>
      <c r="U43" s="452" t="str">
        <f t="shared" si="42"/>
        <v/>
      </c>
      <c r="V43" s="453" t="str">
        <f t="shared" si="42"/>
        <v/>
      </c>
      <c r="W43" s="451" t="str">
        <f t="shared" si="42"/>
        <v/>
      </c>
      <c r="X43" s="452" t="str">
        <f t="shared" si="42"/>
        <v/>
      </c>
      <c r="Y43" s="452" t="str">
        <f t="shared" si="42"/>
        <v/>
      </c>
      <c r="Z43" s="452" t="str">
        <f t="shared" si="42"/>
        <v/>
      </c>
      <c r="AA43" s="453" t="str">
        <f t="shared" si="42"/>
        <v/>
      </c>
      <c r="AB43" s="451" t="str">
        <f t="shared" si="42"/>
        <v/>
      </c>
      <c r="AC43" s="452" t="str">
        <f t="shared" si="49"/>
        <v/>
      </c>
      <c r="AD43" s="452" t="str">
        <f t="shared" si="49"/>
        <v/>
      </c>
      <c r="AE43" s="452" t="str">
        <f t="shared" si="49"/>
        <v/>
      </c>
      <c r="AF43" s="453" t="str">
        <f t="shared" si="49"/>
        <v/>
      </c>
      <c r="AG43" s="451" t="str">
        <f t="shared" si="49"/>
        <v/>
      </c>
      <c r="AH43" s="452" t="str">
        <f t="shared" si="49"/>
        <v/>
      </c>
      <c r="AI43" s="452" t="str">
        <f t="shared" si="49"/>
        <v/>
      </c>
      <c r="AJ43" s="452" t="str">
        <f t="shared" si="49"/>
        <v/>
      </c>
      <c r="AK43" s="453" t="str">
        <f t="shared" si="49"/>
        <v/>
      </c>
      <c r="AL43" s="451" t="str">
        <f t="shared" si="49"/>
        <v/>
      </c>
      <c r="AM43" s="452" t="str">
        <f t="shared" si="49"/>
        <v/>
      </c>
      <c r="AN43" s="452" t="str">
        <f t="shared" si="49"/>
        <v/>
      </c>
      <c r="AO43" s="452" t="str">
        <f t="shared" si="49"/>
        <v/>
      </c>
      <c r="AP43" s="453" t="str">
        <f t="shared" si="49"/>
        <v/>
      </c>
      <c r="AQ43" s="451" t="str">
        <f t="shared" si="49"/>
        <v/>
      </c>
      <c r="AR43" s="452" t="str">
        <f t="shared" si="43"/>
        <v/>
      </c>
      <c r="AS43" s="452" t="str">
        <f t="shared" si="43"/>
        <v/>
      </c>
      <c r="AT43" s="452" t="str">
        <f t="shared" si="43"/>
        <v/>
      </c>
      <c r="AU43" s="453" t="str">
        <f t="shared" si="43"/>
        <v/>
      </c>
      <c r="AV43" s="451" t="str">
        <f t="shared" si="43"/>
        <v/>
      </c>
      <c r="AW43" s="452" t="str">
        <f t="shared" si="43"/>
        <v/>
      </c>
      <c r="AX43" s="452" t="str">
        <f t="shared" si="43"/>
        <v/>
      </c>
      <c r="AY43" s="452" t="str">
        <f t="shared" si="43"/>
        <v/>
      </c>
      <c r="AZ43" s="453" t="str">
        <f t="shared" si="43"/>
        <v/>
      </c>
      <c r="BA43" s="451" t="str">
        <f t="shared" si="43"/>
        <v/>
      </c>
      <c r="BB43" s="452" t="str">
        <f t="shared" si="43"/>
        <v/>
      </c>
      <c r="BC43" s="452" t="str">
        <f t="shared" si="43"/>
        <v/>
      </c>
      <c r="BD43" s="452" t="str">
        <f t="shared" si="43"/>
        <v/>
      </c>
      <c r="BE43" s="453" t="str">
        <f t="shared" si="43"/>
        <v/>
      </c>
      <c r="BF43" s="451" t="str">
        <f t="shared" si="43"/>
        <v/>
      </c>
      <c r="BG43" s="452" t="str">
        <f t="shared" si="53"/>
        <v/>
      </c>
      <c r="BH43" s="452" t="str">
        <f t="shared" si="53"/>
        <v/>
      </c>
      <c r="BI43" s="452" t="str">
        <f t="shared" si="53"/>
        <v/>
      </c>
      <c r="BJ43" s="453" t="str">
        <f t="shared" si="53"/>
        <v/>
      </c>
      <c r="BK43" s="451" t="str">
        <f t="shared" si="53"/>
        <v/>
      </c>
      <c r="BL43" s="452" t="str">
        <f t="shared" si="50"/>
        <v/>
      </c>
      <c r="BM43" s="452" t="str">
        <f t="shared" si="50"/>
        <v/>
      </c>
      <c r="BN43" s="452" t="str">
        <f t="shared" si="50"/>
        <v/>
      </c>
      <c r="BO43" s="453" t="str">
        <f t="shared" si="50"/>
        <v/>
      </c>
      <c r="BP43" s="451" t="str">
        <f t="shared" si="50"/>
        <v/>
      </c>
      <c r="BQ43" s="452" t="str">
        <f t="shared" si="50"/>
        <v/>
      </c>
      <c r="BR43" s="452" t="str">
        <f t="shared" si="50"/>
        <v/>
      </c>
      <c r="BS43" s="452" t="str">
        <f t="shared" si="50"/>
        <v/>
      </c>
      <c r="BT43" s="453" t="str">
        <f t="shared" si="50"/>
        <v/>
      </c>
      <c r="BU43" s="451" t="str">
        <f t="shared" si="50"/>
        <v/>
      </c>
      <c r="BV43" s="452" t="str">
        <f t="shared" si="50"/>
        <v/>
      </c>
      <c r="BW43" s="452" t="str">
        <f t="shared" si="50"/>
        <v/>
      </c>
      <c r="BX43" s="452" t="str">
        <f t="shared" si="50"/>
        <v/>
      </c>
      <c r="BY43" s="453" t="str">
        <f t="shared" si="54"/>
        <v/>
      </c>
      <c r="BZ43" s="451" t="str">
        <f t="shared" si="54"/>
        <v/>
      </c>
      <c r="CA43" s="452" t="str">
        <f t="shared" si="54"/>
        <v/>
      </c>
      <c r="CB43" s="452" t="str">
        <f t="shared" si="54"/>
        <v/>
      </c>
      <c r="CC43" s="452" t="str">
        <f t="shared" si="54"/>
        <v/>
      </c>
      <c r="CD43" s="453" t="str">
        <f t="shared" si="54"/>
        <v/>
      </c>
      <c r="CE43" s="451" t="str">
        <f t="shared" si="54"/>
        <v/>
      </c>
      <c r="CF43" s="452" t="str">
        <f t="shared" si="54"/>
        <v/>
      </c>
      <c r="CG43" s="452" t="str">
        <f t="shared" si="54"/>
        <v/>
      </c>
      <c r="CH43" s="452" t="str">
        <f t="shared" si="54"/>
        <v/>
      </c>
      <c r="CI43" s="453" t="str">
        <f t="shared" si="54"/>
        <v/>
      </c>
      <c r="CJ43" s="451" t="str">
        <f t="shared" si="54"/>
        <v/>
      </c>
      <c r="CK43" s="452" t="str">
        <f t="shared" si="54"/>
        <v/>
      </c>
      <c r="CL43" s="452" t="str">
        <f t="shared" si="54"/>
        <v/>
      </c>
      <c r="CM43" s="452" t="str">
        <f t="shared" si="54"/>
        <v/>
      </c>
      <c r="CN43" s="453" t="str">
        <f t="shared" si="54"/>
        <v/>
      </c>
      <c r="CO43" s="451" t="str">
        <f t="shared" ref="CO43:CY49" si="68">IF(AND(CO$2&gt;=$J43,CO$2&lt;=$K43),1,"")</f>
        <v/>
      </c>
      <c r="CP43" s="452" t="str">
        <f t="shared" si="55"/>
        <v/>
      </c>
      <c r="CQ43" s="452" t="str">
        <f t="shared" si="55"/>
        <v/>
      </c>
      <c r="CR43" s="452" t="str">
        <f t="shared" si="55"/>
        <v/>
      </c>
      <c r="CS43" s="453" t="str">
        <f t="shared" si="55"/>
        <v/>
      </c>
      <c r="CT43" s="451" t="str">
        <f t="shared" si="55"/>
        <v/>
      </c>
      <c r="CU43" s="452" t="str">
        <f t="shared" si="55"/>
        <v/>
      </c>
      <c r="CV43" s="452" t="str">
        <f t="shared" si="55"/>
        <v/>
      </c>
      <c r="CW43" s="452" t="str">
        <f t="shared" si="55"/>
        <v/>
      </c>
      <c r="CX43" s="453" t="str">
        <f t="shared" si="55"/>
        <v/>
      </c>
      <c r="CY43" s="451" t="str">
        <f t="shared" si="55"/>
        <v/>
      </c>
      <c r="CZ43" s="452" t="str">
        <f t="shared" si="55"/>
        <v/>
      </c>
      <c r="DA43" s="452" t="str">
        <f t="shared" si="55"/>
        <v/>
      </c>
      <c r="DB43" s="452" t="str">
        <f t="shared" si="55"/>
        <v/>
      </c>
      <c r="DC43" s="453" t="str">
        <f t="shared" si="55"/>
        <v/>
      </c>
      <c r="DD43" s="451" t="str">
        <f t="shared" si="55"/>
        <v/>
      </c>
      <c r="DE43" s="452" t="str">
        <f t="shared" si="62"/>
        <v/>
      </c>
      <c r="DF43" s="452" t="str">
        <f t="shared" si="62"/>
        <v/>
      </c>
      <c r="DG43" s="452" t="str">
        <f t="shared" si="62"/>
        <v/>
      </c>
      <c r="DH43" s="453" t="str">
        <f t="shared" si="62"/>
        <v/>
      </c>
      <c r="DI43" s="451" t="str">
        <f t="shared" si="62"/>
        <v/>
      </c>
      <c r="DJ43" s="452" t="str">
        <f t="shared" si="62"/>
        <v/>
      </c>
      <c r="DK43" s="452" t="str">
        <f t="shared" si="62"/>
        <v/>
      </c>
      <c r="DL43" s="452" t="str">
        <f t="shared" si="62"/>
        <v/>
      </c>
      <c r="DM43" s="453" t="str">
        <f t="shared" si="62"/>
        <v/>
      </c>
      <c r="DN43" s="451" t="str">
        <f t="shared" si="62"/>
        <v/>
      </c>
      <c r="DO43" s="452" t="str">
        <f t="shared" si="62"/>
        <v/>
      </c>
      <c r="DP43" s="452" t="str">
        <f t="shared" si="62"/>
        <v/>
      </c>
      <c r="DQ43" s="452" t="str">
        <f t="shared" si="62"/>
        <v/>
      </c>
      <c r="DR43" s="453" t="str">
        <f t="shared" si="62"/>
        <v/>
      </c>
      <c r="DS43" s="451" t="str">
        <f t="shared" si="62"/>
        <v/>
      </c>
      <c r="DT43" s="452" t="str">
        <f t="shared" si="62"/>
        <v/>
      </c>
      <c r="DU43" s="452" t="str">
        <f t="shared" si="58"/>
        <v/>
      </c>
      <c r="DV43" s="452" t="str">
        <f t="shared" si="58"/>
        <v/>
      </c>
      <c r="DW43" s="453" t="str">
        <f t="shared" si="58"/>
        <v/>
      </c>
      <c r="DX43" s="451" t="str">
        <f t="shared" si="58"/>
        <v/>
      </c>
      <c r="DY43" s="452" t="str">
        <f t="shared" si="58"/>
        <v/>
      </c>
      <c r="DZ43" s="452" t="str">
        <f t="shared" si="58"/>
        <v/>
      </c>
      <c r="EA43" s="452" t="str">
        <f t="shared" si="58"/>
        <v/>
      </c>
      <c r="EB43" s="453" t="str">
        <f t="shared" si="58"/>
        <v/>
      </c>
      <c r="EC43" s="451" t="str">
        <f t="shared" si="58"/>
        <v/>
      </c>
      <c r="ED43" s="452" t="str">
        <f t="shared" si="58"/>
        <v/>
      </c>
      <c r="EE43" s="452" t="str">
        <f t="shared" si="58"/>
        <v/>
      </c>
      <c r="EF43" s="452" t="str">
        <f t="shared" si="58"/>
        <v/>
      </c>
      <c r="EG43" s="453" t="str">
        <f t="shared" si="58"/>
        <v/>
      </c>
      <c r="EH43" s="451" t="str">
        <f t="shared" si="58"/>
        <v/>
      </c>
      <c r="EI43" s="452" t="str">
        <f t="shared" si="58"/>
        <v/>
      </c>
      <c r="EJ43" s="452" t="str">
        <f t="shared" si="67"/>
        <v/>
      </c>
      <c r="EK43" s="452" t="str">
        <f t="shared" si="67"/>
        <v/>
      </c>
      <c r="EL43" s="453" t="str">
        <f t="shared" si="67"/>
        <v/>
      </c>
      <c r="EM43" s="451" t="str">
        <f t="shared" si="67"/>
        <v/>
      </c>
      <c r="EN43" s="452" t="str">
        <f t="shared" si="67"/>
        <v/>
      </c>
      <c r="EO43" s="452" t="str">
        <f t="shared" si="67"/>
        <v/>
      </c>
      <c r="EP43" s="452" t="str">
        <f t="shared" si="67"/>
        <v/>
      </c>
      <c r="EQ43" s="453" t="str">
        <f t="shared" si="67"/>
        <v/>
      </c>
      <c r="ER43" s="451" t="str">
        <f t="shared" si="67"/>
        <v/>
      </c>
      <c r="ES43" s="452" t="str">
        <f t="shared" si="67"/>
        <v/>
      </c>
      <c r="ET43" s="452" t="str">
        <f t="shared" si="67"/>
        <v/>
      </c>
      <c r="EU43" s="452" t="str">
        <f t="shared" si="67"/>
        <v/>
      </c>
      <c r="EV43" s="453" t="str">
        <f t="shared" si="67"/>
        <v/>
      </c>
      <c r="EW43" s="451" t="str">
        <f t="shared" si="67"/>
        <v/>
      </c>
      <c r="EX43" s="452" t="str">
        <f t="shared" si="67"/>
        <v/>
      </c>
      <c r="EY43" s="452" t="str">
        <f t="shared" si="67"/>
        <v/>
      </c>
      <c r="EZ43" s="452" t="str">
        <f t="shared" si="47"/>
        <v/>
      </c>
      <c r="FA43" s="453" t="str">
        <f t="shared" si="44"/>
        <v/>
      </c>
      <c r="FB43" s="451" t="str">
        <f t="shared" si="44"/>
        <v/>
      </c>
      <c r="FC43" s="452" t="str">
        <f t="shared" si="44"/>
        <v/>
      </c>
      <c r="FD43" s="452" t="str">
        <f t="shared" si="44"/>
        <v/>
      </c>
      <c r="FE43" s="452" t="str">
        <f t="shared" si="44"/>
        <v/>
      </c>
      <c r="FF43" s="453" t="str">
        <f t="shared" si="44"/>
        <v/>
      </c>
      <c r="FG43" s="451" t="str">
        <f t="shared" si="44"/>
        <v/>
      </c>
      <c r="FH43" s="452" t="str">
        <f t="shared" si="44"/>
        <v/>
      </c>
      <c r="FI43" s="452" t="str">
        <f t="shared" si="44"/>
        <v/>
      </c>
      <c r="FJ43" s="452" t="str">
        <f t="shared" si="44"/>
        <v/>
      </c>
      <c r="FK43" s="453" t="str">
        <f t="shared" si="44"/>
        <v/>
      </c>
      <c r="FL43" s="451" t="str">
        <f t="shared" si="44"/>
        <v/>
      </c>
      <c r="FM43" s="452" t="str">
        <f t="shared" si="44"/>
        <v/>
      </c>
      <c r="FN43" s="452" t="str">
        <f t="shared" si="44"/>
        <v/>
      </c>
      <c r="FO43" s="452" t="str">
        <f t="shared" si="48"/>
        <v/>
      </c>
      <c r="FP43" s="453" t="str">
        <f t="shared" si="48"/>
        <v/>
      </c>
      <c r="FQ43" s="451" t="str">
        <f t="shared" si="48"/>
        <v/>
      </c>
      <c r="FR43" s="452" t="str">
        <f t="shared" si="48"/>
        <v/>
      </c>
      <c r="FS43" s="452" t="str">
        <f t="shared" si="48"/>
        <v/>
      </c>
      <c r="FT43" s="452" t="str">
        <f t="shared" si="48"/>
        <v/>
      </c>
      <c r="FU43" s="453" t="str">
        <f t="shared" si="48"/>
        <v/>
      </c>
      <c r="FV43" s="451" t="str">
        <f t="shared" si="48"/>
        <v/>
      </c>
      <c r="FW43" s="452" t="str">
        <f t="shared" si="48"/>
        <v/>
      </c>
      <c r="FX43" s="452" t="str">
        <f t="shared" si="48"/>
        <v/>
      </c>
      <c r="FY43" s="452" t="str">
        <f t="shared" si="48"/>
        <v/>
      </c>
      <c r="FZ43" s="453" t="str">
        <f t="shared" si="48"/>
        <v/>
      </c>
      <c r="GA43" s="451" t="str">
        <f t="shared" si="48"/>
        <v/>
      </c>
      <c r="GB43" s="452" t="str">
        <f t="shared" si="40"/>
        <v/>
      </c>
      <c r="GC43" s="452" t="str">
        <f t="shared" si="40"/>
        <v/>
      </c>
      <c r="GD43" s="452" t="str">
        <f t="shared" si="40"/>
        <v/>
      </c>
      <c r="GE43" s="453" t="str">
        <f t="shared" si="40"/>
        <v/>
      </c>
      <c r="GF43" s="451" t="str">
        <f t="shared" si="40"/>
        <v/>
      </c>
      <c r="GG43" s="452" t="str">
        <f t="shared" si="40"/>
        <v/>
      </c>
      <c r="GH43" s="452" t="str">
        <f t="shared" si="40"/>
        <v/>
      </c>
      <c r="GI43" s="452" t="str">
        <f t="shared" si="40"/>
        <v/>
      </c>
      <c r="GJ43" s="453" t="str">
        <f t="shared" si="40"/>
        <v/>
      </c>
      <c r="GK43" s="451" t="str">
        <f t="shared" si="40"/>
        <v/>
      </c>
      <c r="GL43" s="452" t="str">
        <f t="shared" si="40"/>
        <v/>
      </c>
      <c r="GM43" s="452" t="str">
        <f t="shared" si="40"/>
        <v/>
      </c>
      <c r="GN43" s="452" t="str">
        <f t="shared" si="40"/>
        <v/>
      </c>
      <c r="GO43" s="453" t="str">
        <f t="shared" si="40"/>
        <v/>
      </c>
      <c r="GP43" s="451" t="str">
        <f t="shared" ref="GP43:HE58" si="69">IF(AND(GP$2&gt;=$J43,GP$2&lt;=$K43),1,"")</f>
        <v/>
      </c>
      <c r="GQ43" s="452" t="str">
        <f t="shared" si="69"/>
        <v/>
      </c>
      <c r="GR43" s="452" t="str">
        <f t="shared" si="69"/>
        <v/>
      </c>
      <c r="GS43" s="452" t="str">
        <f t="shared" si="69"/>
        <v/>
      </c>
      <c r="GT43" s="453" t="str">
        <f t="shared" si="69"/>
        <v/>
      </c>
      <c r="GU43" s="451" t="str">
        <f t="shared" si="69"/>
        <v/>
      </c>
      <c r="GV43" s="452" t="str">
        <f t="shared" si="69"/>
        <v/>
      </c>
      <c r="GW43" s="452" t="str">
        <f t="shared" si="69"/>
        <v/>
      </c>
      <c r="GX43" s="452" t="str">
        <f t="shared" si="69"/>
        <v/>
      </c>
      <c r="GY43" s="453" t="str">
        <f t="shared" si="69"/>
        <v/>
      </c>
      <c r="GZ43" s="451" t="str">
        <f t="shared" si="69"/>
        <v/>
      </c>
      <c r="HA43" s="452" t="str">
        <f t="shared" si="69"/>
        <v/>
      </c>
      <c r="HB43" s="452" t="str">
        <f t="shared" si="69"/>
        <v/>
      </c>
      <c r="HC43" s="452" t="str">
        <f t="shared" si="61"/>
        <v/>
      </c>
      <c r="HD43" s="453" t="str">
        <f t="shared" si="61"/>
        <v/>
      </c>
      <c r="HE43" s="451" t="str">
        <f t="shared" si="61"/>
        <v/>
      </c>
      <c r="HF43" s="452" t="str">
        <f t="shared" si="65"/>
        <v/>
      </c>
      <c r="HG43" s="452" t="str">
        <f t="shared" si="65"/>
        <v/>
      </c>
      <c r="HH43" s="452" t="str">
        <f t="shared" si="65"/>
        <v/>
      </c>
      <c r="HI43" s="453" t="str">
        <f t="shared" si="65"/>
        <v/>
      </c>
      <c r="HJ43" s="451" t="str">
        <f t="shared" si="65"/>
        <v/>
      </c>
      <c r="HK43" s="452" t="str">
        <f t="shared" si="65"/>
        <v/>
      </c>
      <c r="HL43" s="452" t="str">
        <f t="shared" si="65"/>
        <v/>
      </c>
      <c r="HM43" s="452" t="str">
        <f t="shared" si="65"/>
        <v/>
      </c>
      <c r="HN43" s="453" t="str">
        <f t="shared" si="65"/>
        <v/>
      </c>
      <c r="HO43" s="451" t="str">
        <f t="shared" si="65"/>
        <v/>
      </c>
      <c r="HP43" s="452" t="str">
        <f t="shared" si="65"/>
        <v/>
      </c>
      <c r="HQ43" s="452" t="str">
        <f t="shared" si="63"/>
        <v/>
      </c>
      <c r="HR43" s="452" t="str">
        <f t="shared" si="63"/>
        <v/>
      </c>
      <c r="HS43" s="453" t="str">
        <f t="shared" si="63"/>
        <v/>
      </c>
      <c r="HT43" s="451" t="str">
        <f t="shared" si="63"/>
        <v/>
      </c>
      <c r="HU43" s="452" t="str">
        <f t="shared" si="63"/>
        <v/>
      </c>
      <c r="HV43" s="452" t="str">
        <f t="shared" si="63"/>
        <v/>
      </c>
      <c r="HW43" s="452" t="str">
        <f t="shared" si="63"/>
        <v/>
      </c>
      <c r="HX43" s="453" t="str">
        <f t="shared" si="63"/>
        <v/>
      </c>
      <c r="HY43" s="451" t="str">
        <f t="shared" si="63"/>
        <v/>
      </c>
      <c r="HZ43" s="452" t="str">
        <f t="shared" si="63"/>
        <v/>
      </c>
      <c r="IA43" s="452" t="str">
        <f t="shared" si="66"/>
        <v/>
      </c>
      <c r="IB43" s="452" t="str">
        <f t="shared" si="66"/>
        <v/>
      </c>
      <c r="IC43" s="453" t="str">
        <f t="shared" si="66"/>
        <v/>
      </c>
      <c r="ID43" s="451" t="str">
        <f t="shared" si="66"/>
        <v/>
      </c>
      <c r="IE43" s="452" t="str">
        <f t="shared" si="66"/>
        <v/>
      </c>
      <c r="IF43" s="452" t="str">
        <f t="shared" si="66"/>
        <v/>
      </c>
      <c r="IG43" s="452" t="str">
        <f t="shared" si="66"/>
        <v/>
      </c>
      <c r="IH43" s="453" t="str">
        <f t="shared" si="66"/>
        <v/>
      </c>
      <c r="II43" s="451" t="str">
        <f t="shared" si="66"/>
        <v/>
      </c>
      <c r="IJ43" s="452" t="str">
        <f t="shared" si="66"/>
        <v/>
      </c>
      <c r="IK43" s="452" t="str">
        <f t="shared" si="66"/>
        <v/>
      </c>
      <c r="IL43" s="452" t="str">
        <f t="shared" si="66"/>
        <v/>
      </c>
      <c r="IM43" s="453" t="str">
        <f t="shared" si="66"/>
        <v/>
      </c>
      <c r="IN43" s="451" t="str">
        <f t="shared" si="66"/>
        <v/>
      </c>
      <c r="IO43" s="452" t="str">
        <f t="shared" si="66"/>
        <v/>
      </c>
      <c r="IP43" s="452" t="str">
        <f t="shared" si="66"/>
        <v/>
      </c>
      <c r="IQ43" s="452" t="str">
        <f t="shared" si="64"/>
        <v/>
      </c>
      <c r="IR43" s="453" t="str">
        <f t="shared" si="64"/>
        <v/>
      </c>
    </row>
    <row r="44" spans="1:252" x14ac:dyDescent="0.2">
      <c r="A44" s="461">
        <v>4.7</v>
      </c>
      <c r="C44" s="447" t="s">
        <v>1357</v>
      </c>
      <c r="D44" s="447"/>
      <c r="E44" s="448"/>
      <c r="F44" s="448"/>
      <c r="G44" s="448"/>
      <c r="H44" s="448"/>
      <c r="I44" s="448"/>
      <c r="J44" s="449" t="str">
        <f t="shared" si="56"/>
        <v/>
      </c>
      <c r="K44" s="449" t="str">
        <f t="shared" si="57"/>
        <v/>
      </c>
      <c r="L44" s="450">
        <f t="shared" si="0"/>
        <v>0</v>
      </c>
      <c r="M44" s="451" t="str">
        <f t="shared" ref="M44:AB59" si="70">IF(AND(M$2&gt;=$J44,M$2&lt;=$K44),1,"")</f>
        <v/>
      </c>
      <c r="N44" s="452" t="str">
        <f t="shared" si="70"/>
        <v/>
      </c>
      <c r="O44" s="452" t="str">
        <f t="shared" si="70"/>
        <v/>
      </c>
      <c r="P44" s="452" t="str">
        <f t="shared" si="70"/>
        <v/>
      </c>
      <c r="Q44" s="453" t="str">
        <f t="shared" si="70"/>
        <v/>
      </c>
      <c r="R44" s="451" t="str">
        <f t="shared" si="70"/>
        <v/>
      </c>
      <c r="S44" s="452" t="str">
        <f t="shared" si="70"/>
        <v/>
      </c>
      <c r="T44" s="452" t="str">
        <f t="shared" si="70"/>
        <v/>
      </c>
      <c r="U44" s="452" t="str">
        <f t="shared" si="70"/>
        <v/>
      </c>
      <c r="V44" s="453" t="str">
        <f t="shared" si="70"/>
        <v/>
      </c>
      <c r="W44" s="451" t="str">
        <f t="shared" si="70"/>
        <v/>
      </c>
      <c r="X44" s="452" t="str">
        <f t="shared" si="70"/>
        <v/>
      </c>
      <c r="Y44" s="452" t="str">
        <f t="shared" si="70"/>
        <v/>
      </c>
      <c r="Z44" s="452" t="str">
        <f t="shared" si="70"/>
        <v/>
      </c>
      <c r="AA44" s="453" t="str">
        <f t="shared" si="70"/>
        <v/>
      </c>
      <c r="AB44" s="451" t="str">
        <f t="shared" si="70"/>
        <v/>
      </c>
      <c r="AC44" s="452" t="str">
        <f t="shared" si="49"/>
        <v/>
      </c>
      <c r="AD44" s="452" t="str">
        <f t="shared" si="49"/>
        <v/>
      </c>
      <c r="AE44" s="452" t="str">
        <f t="shared" si="49"/>
        <v/>
      </c>
      <c r="AF44" s="453" t="str">
        <f t="shared" si="49"/>
        <v/>
      </c>
      <c r="AG44" s="451" t="str">
        <f t="shared" si="49"/>
        <v/>
      </c>
      <c r="AH44" s="452" t="str">
        <f t="shared" si="49"/>
        <v/>
      </c>
      <c r="AI44" s="452" t="str">
        <f t="shared" si="49"/>
        <v/>
      </c>
      <c r="AJ44" s="452" t="str">
        <f t="shared" si="49"/>
        <v/>
      </c>
      <c r="AK44" s="453" t="str">
        <f t="shared" si="49"/>
        <v/>
      </c>
      <c r="AL44" s="451" t="str">
        <f t="shared" si="49"/>
        <v/>
      </c>
      <c r="AM44" s="452" t="str">
        <f t="shared" si="49"/>
        <v/>
      </c>
      <c r="AN44" s="452" t="str">
        <f t="shared" si="49"/>
        <v/>
      </c>
      <c r="AO44" s="452" t="str">
        <f t="shared" si="49"/>
        <v/>
      </c>
      <c r="AP44" s="453" t="str">
        <f t="shared" si="49"/>
        <v/>
      </c>
      <c r="AQ44" s="451" t="str">
        <f t="shared" si="49"/>
        <v/>
      </c>
      <c r="AR44" s="452" t="str">
        <f t="shared" si="43"/>
        <v/>
      </c>
      <c r="AS44" s="452" t="str">
        <f t="shared" si="43"/>
        <v/>
      </c>
      <c r="AT44" s="452" t="str">
        <f t="shared" si="43"/>
        <v/>
      </c>
      <c r="AU44" s="453" t="str">
        <f t="shared" si="43"/>
        <v/>
      </c>
      <c r="AV44" s="451" t="str">
        <f t="shared" si="43"/>
        <v/>
      </c>
      <c r="AW44" s="452" t="str">
        <f t="shared" si="43"/>
        <v/>
      </c>
      <c r="AX44" s="452" t="str">
        <f t="shared" si="43"/>
        <v/>
      </c>
      <c r="AY44" s="452" t="str">
        <f t="shared" si="43"/>
        <v/>
      </c>
      <c r="AZ44" s="453" t="str">
        <f t="shared" si="43"/>
        <v/>
      </c>
      <c r="BA44" s="451" t="str">
        <f t="shared" si="43"/>
        <v/>
      </c>
      <c r="BB44" s="452" t="str">
        <f t="shared" si="43"/>
        <v/>
      </c>
      <c r="BC44" s="452" t="str">
        <f t="shared" si="43"/>
        <v/>
      </c>
      <c r="BD44" s="452" t="str">
        <f t="shared" si="43"/>
        <v/>
      </c>
      <c r="BE44" s="453" t="str">
        <f t="shared" si="43"/>
        <v/>
      </c>
      <c r="BF44" s="451" t="str">
        <f t="shared" si="43"/>
        <v/>
      </c>
      <c r="BG44" s="452" t="str">
        <f t="shared" si="53"/>
        <v/>
      </c>
      <c r="BH44" s="452" t="str">
        <f t="shared" si="53"/>
        <v/>
      </c>
      <c r="BI44" s="452" t="str">
        <f t="shared" si="53"/>
        <v/>
      </c>
      <c r="BJ44" s="453" t="str">
        <f t="shared" si="53"/>
        <v/>
      </c>
      <c r="BK44" s="451" t="str">
        <f t="shared" si="53"/>
        <v/>
      </c>
      <c r="BL44" s="452" t="str">
        <f t="shared" si="50"/>
        <v/>
      </c>
      <c r="BM44" s="452" t="str">
        <f t="shared" si="50"/>
        <v/>
      </c>
      <c r="BN44" s="452" t="str">
        <f t="shared" si="50"/>
        <v/>
      </c>
      <c r="BO44" s="453" t="str">
        <f t="shared" si="50"/>
        <v/>
      </c>
      <c r="BP44" s="451" t="str">
        <f t="shared" si="50"/>
        <v/>
      </c>
      <c r="BQ44" s="452" t="str">
        <f t="shared" si="50"/>
        <v/>
      </c>
      <c r="BR44" s="452" t="str">
        <f t="shared" si="50"/>
        <v/>
      </c>
      <c r="BS44" s="452" t="str">
        <f t="shared" si="50"/>
        <v/>
      </c>
      <c r="BT44" s="453" t="str">
        <f t="shared" si="50"/>
        <v/>
      </c>
      <c r="BU44" s="451" t="str">
        <f t="shared" si="50"/>
        <v/>
      </c>
      <c r="BV44" s="452" t="str">
        <f t="shared" si="50"/>
        <v/>
      </c>
      <c r="BW44" s="452" t="str">
        <f t="shared" si="50"/>
        <v/>
      </c>
      <c r="BX44" s="452" t="str">
        <f t="shared" si="50"/>
        <v/>
      </c>
      <c r="BY44" s="453" t="str">
        <f t="shared" si="54"/>
        <v/>
      </c>
      <c r="BZ44" s="451" t="str">
        <f t="shared" si="54"/>
        <v/>
      </c>
      <c r="CA44" s="452" t="str">
        <f t="shared" si="54"/>
        <v/>
      </c>
      <c r="CB44" s="452" t="str">
        <f t="shared" si="54"/>
        <v/>
      </c>
      <c r="CC44" s="452" t="str">
        <f t="shared" si="54"/>
        <v/>
      </c>
      <c r="CD44" s="453" t="str">
        <f t="shared" si="54"/>
        <v/>
      </c>
      <c r="CE44" s="451" t="str">
        <f t="shared" si="54"/>
        <v/>
      </c>
      <c r="CF44" s="452" t="str">
        <f t="shared" si="54"/>
        <v/>
      </c>
      <c r="CG44" s="452" t="str">
        <f t="shared" si="54"/>
        <v/>
      </c>
      <c r="CH44" s="452" t="str">
        <f t="shared" si="54"/>
        <v/>
      </c>
      <c r="CI44" s="453" t="str">
        <f t="shared" si="54"/>
        <v/>
      </c>
      <c r="CJ44" s="451" t="str">
        <f t="shared" si="54"/>
        <v/>
      </c>
      <c r="CK44" s="452" t="str">
        <f t="shared" si="54"/>
        <v/>
      </c>
      <c r="CL44" s="452" t="str">
        <f t="shared" si="54"/>
        <v/>
      </c>
      <c r="CM44" s="452" t="str">
        <f t="shared" si="54"/>
        <v/>
      </c>
      <c r="CN44" s="453" t="str">
        <f t="shared" si="54"/>
        <v/>
      </c>
      <c r="CO44" s="451" t="str">
        <f t="shared" si="68"/>
        <v/>
      </c>
      <c r="CP44" s="452" t="str">
        <f t="shared" si="55"/>
        <v/>
      </c>
      <c r="CQ44" s="452" t="str">
        <f t="shared" si="55"/>
        <v/>
      </c>
      <c r="CR44" s="452" t="str">
        <f t="shared" si="55"/>
        <v/>
      </c>
      <c r="CS44" s="453" t="str">
        <f t="shared" si="55"/>
        <v/>
      </c>
      <c r="CT44" s="451" t="str">
        <f t="shared" si="55"/>
        <v/>
      </c>
      <c r="CU44" s="452" t="str">
        <f t="shared" si="55"/>
        <v/>
      </c>
      <c r="CV44" s="452" t="str">
        <f t="shared" si="55"/>
        <v/>
      </c>
      <c r="CW44" s="452" t="str">
        <f t="shared" si="55"/>
        <v/>
      </c>
      <c r="CX44" s="453" t="str">
        <f t="shared" si="55"/>
        <v/>
      </c>
      <c r="CY44" s="451" t="str">
        <f t="shared" si="55"/>
        <v/>
      </c>
      <c r="CZ44" s="452" t="str">
        <f t="shared" si="55"/>
        <v/>
      </c>
      <c r="DA44" s="452" t="str">
        <f t="shared" si="55"/>
        <v/>
      </c>
      <c r="DB44" s="452" t="str">
        <f t="shared" si="55"/>
        <v/>
      </c>
      <c r="DC44" s="453" t="str">
        <f t="shared" si="55"/>
        <v/>
      </c>
      <c r="DD44" s="451" t="str">
        <f t="shared" si="55"/>
        <v/>
      </c>
      <c r="DE44" s="452" t="str">
        <f t="shared" si="62"/>
        <v/>
      </c>
      <c r="DF44" s="452" t="str">
        <f t="shared" si="62"/>
        <v/>
      </c>
      <c r="DG44" s="452" t="str">
        <f t="shared" si="62"/>
        <v/>
      </c>
      <c r="DH44" s="453" t="str">
        <f t="shared" si="62"/>
        <v/>
      </c>
      <c r="DI44" s="451" t="str">
        <f t="shared" si="62"/>
        <v/>
      </c>
      <c r="DJ44" s="452" t="str">
        <f t="shared" si="62"/>
        <v/>
      </c>
      <c r="DK44" s="452" t="str">
        <f t="shared" si="62"/>
        <v/>
      </c>
      <c r="DL44" s="452" t="str">
        <f t="shared" si="62"/>
        <v/>
      </c>
      <c r="DM44" s="453" t="str">
        <f t="shared" si="62"/>
        <v/>
      </c>
      <c r="DN44" s="451" t="str">
        <f t="shared" si="62"/>
        <v/>
      </c>
      <c r="DO44" s="452" t="str">
        <f t="shared" si="62"/>
        <v/>
      </c>
      <c r="DP44" s="452" t="str">
        <f t="shared" si="62"/>
        <v/>
      </c>
      <c r="DQ44" s="452" t="str">
        <f t="shared" si="62"/>
        <v/>
      </c>
      <c r="DR44" s="453" t="str">
        <f t="shared" si="62"/>
        <v/>
      </c>
      <c r="DS44" s="451" t="str">
        <f t="shared" si="62"/>
        <v/>
      </c>
      <c r="DT44" s="452" t="str">
        <f t="shared" si="62"/>
        <v/>
      </c>
      <c r="DU44" s="452" t="str">
        <f t="shared" si="58"/>
        <v/>
      </c>
      <c r="DV44" s="452" t="str">
        <f t="shared" si="58"/>
        <v/>
      </c>
      <c r="DW44" s="453" t="str">
        <f t="shared" si="58"/>
        <v/>
      </c>
      <c r="DX44" s="451" t="str">
        <f t="shared" si="58"/>
        <v/>
      </c>
      <c r="DY44" s="452" t="str">
        <f t="shared" si="58"/>
        <v/>
      </c>
      <c r="DZ44" s="452" t="str">
        <f t="shared" si="58"/>
        <v/>
      </c>
      <c r="EA44" s="452" t="str">
        <f t="shared" si="58"/>
        <v/>
      </c>
      <c r="EB44" s="453" t="str">
        <f t="shared" si="58"/>
        <v/>
      </c>
      <c r="EC44" s="451" t="str">
        <f t="shared" si="58"/>
        <v/>
      </c>
      <c r="ED44" s="452" t="str">
        <f t="shared" si="58"/>
        <v/>
      </c>
      <c r="EE44" s="452" t="str">
        <f t="shared" si="58"/>
        <v/>
      </c>
      <c r="EF44" s="452" t="str">
        <f t="shared" si="58"/>
        <v/>
      </c>
      <c r="EG44" s="453" t="str">
        <f t="shared" si="58"/>
        <v/>
      </c>
      <c r="EH44" s="451" t="str">
        <f t="shared" si="58"/>
        <v/>
      </c>
      <c r="EI44" s="452" t="str">
        <f t="shared" si="58"/>
        <v/>
      </c>
      <c r="EJ44" s="452" t="str">
        <f t="shared" si="67"/>
        <v/>
      </c>
      <c r="EK44" s="452" t="str">
        <f t="shared" si="67"/>
        <v/>
      </c>
      <c r="EL44" s="453" t="str">
        <f t="shared" si="67"/>
        <v/>
      </c>
      <c r="EM44" s="451" t="str">
        <f t="shared" si="67"/>
        <v/>
      </c>
      <c r="EN44" s="452" t="str">
        <f t="shared" si="67"/>
        <v/>
      </c>
      <c r="EO44" s="452" t="str">
        <f t="shared" si="67"/>
        <v/>
      </c>
      <c r="EP44" s="452" t="str">
        <f t="shared" si="67"/>
        <v/>
      </c>
      <c r="EQ44" s="453" t="str">
        <f t="shared" si="67"/>
        <v/>
      </c>
      <c r="ER44" s="451" t="str">
        <f t="shared" si="67"/>
        <v/>
      </c>
      <c r="ES44" s="452" t="str">
        <f t="shared" si="67"/>
        <v/>
      </c>
      <c r="ET44" s="452" t="str">
        <f t="shared" si="67"/>
        <v/>
      </c>
      <c r="EU44" s="452" t="str">
        <f t="shared" si="67"/>
        <v/>
      </c>
      <c r="EV44" s="453" t="str">
        <f t="shared" si="67"/>
        <v/>
      </c>
      <c r="EW44" s="451" t="str">
        <f t="shared" si="67"/>
        <v/>
      </c>
      <c r="EX44" s="452" t="str">
        <f t="shared" si="67"/>
        <v/>
      </c>
      <c r="EY44" s="452" t="str">
        <f t="shared" si="67"/>
        <v/>
      </c>
      <c r="EZ44" s="452" t="str">
        <f t="shared" si="47"/>
        <v/>
      </c>
      <c r="FA44" s="453" t="str">
        <f t="shared" si="44"/>
        <v/>
      </c>
      <c r="FB44" s="451" t="str">
        <f t="shared" si="44"/>
        <v/>
      </c>
      <c r="FC44" s="452" t="str">
        <f t="shared" si="44"/>
        <v/>
      </c>
      <c r="FD44" s="452" t="str">
        <f t="shared" si="44"/>
        <v/>
      </c>
      <c r="FE44" s="452" t="str">
        <f t="shared" si="44"/>
        <v/>
      </c>
      <c r="FF44" s="453" t="str">
        <f t="shared" si="44"/>
        <v/>
      </c>
      <c r="FG44" s="451" t="str">
        <f t="shared" si="44"/>
        <v/>
      </c>
      <c r="FH44" s="452" t="str">
        <f t="shared" si="44"/>
        <v/>
      </c>
      <c r="FI44" s="452" t="str">
        <f t="shared" si="44"/>
        <v/>
      </c>
      <c r="FJ44" s="452" t="str">
        <f t="shared" si="44"/>
        <v/>
      </c>
      <c r="FK44" s="453" t="str">
        <f t="shared" si="44"/>
        <v/>
      </c>
      <c r="FL44" s="451" t="str">
        <f t="shared" si="44"/>
        <v/>
      </c>
      <c r="FM44" s="452" t="str">
        <f t="shared" si="44"/>
        <v/>
      </c>
      <c r="FN44" s="452" t="str">
        <f t="shared" si="44"/>
        <v/>
      </c>
      <c r="FO44" s="452" t="str">
        <f t="shared" si="48"/>
        <v/>
      </c>
      <c r="FP44" s="453" t="str">
        <f t="shared" si="48"/>
        <v/>
      </c>
      <c r="FQ44" s="451" t="str">
        <f t="shared" si="48"/>
        <v/>
      </c>
      <c r="FR44" s="452" t="str">
        <f t="shared" si="48"/>
        <v/>
      </c>
      <c r="FS44" s="452" t="str">
        <f t="shared" si="48"/>
        <v/>
      </c>
      <c r="FT44" s="452" t="str">
        <f t="shared" si="48"/>
        <v/>
      </c>
      <c r="FU44" s="453" t="str">
        <f t="shared" si="48"/>
        <v/>
      </c>
      <c r="FV44" s="451" t="str">
        <f t="shared" si="48"/>
        <v/>
      </c>
      <c r="FW44" s="452" t="str">
        <f t="shared" si="48"/>
        <v/>
      </c>
      <c r="FX44" s="452" t="str">
        <f t="shared" si="48"/>
        <v/>
      </c>
      <c r="FY44" s="452" t="str">
        <f t="shared" si="48"/>
        <v/>
      </c>
      <c r="FZ44" s="453" t="str">
        <f t="shared" si="48"/>
        <v/>
      </c>
      <c r="GA44" s="451" t="str">
        <f t="shared" si="48"/>
        <v/>
      </c>
      <c r="GB44" s="452" t="str">
        <f t="shared" si="40"/>
        <v/>
      </c>
      <c r="GC44" s="452" t="str">
        <f t="shared" si="40"/>
        <v/>
      </c>
      <c r="GD44" s="452" t="str">
        <f t="shared" si="40"/>
        <v/>
      </c>
      <c r="GE44" s="453" t="str">
        <f t="shared" si="40"/>
        <v/>
      </c>
      <c r="GF44" s="451" t="str">
        <f t="shared" si="40"/>
        <v/>
      </c>
      <c r="GG44" s="452" t="str">
        <f t="shared" si="40"/>
        <v/>
      </c>
      <c r="GH44" s="452" t="str">
        <f t="shared" si="40"/>
        <v/>
      </c>
      <c r="GI44" s="452" t="str">
        <f t="shared" si="40"/>
        <v/>
      </c>
      <c r="GJ44" s="453" t="str">
        <f t="shared" si="40"/>
        <v/>
      </c>
      <c r="GK44" s="451" t="str">
        <f t="shared" si="40"/>
        <v/>
      </c>
      <c r="GL44" s="452" t="str">
        <f t="shared" si="40"/>
        <v/>
      </c>
      <c r="GM44" s="452" t="str">
        <f t="shared" si="40"/>
        <v/>
      </c>
      <c r="GN44" s="452" t="str">
        <f t="shared" si="40"/>
        <v/>
      </c>
      <c r="GO44" s="453" t="str">
        <f t="shared" si="40"/>
        <v/>
      </c>
      <c r="GP44" s="451" t="str">
        <f t="shared" si="69"/>
        <v/>
      </c>
      <c r="GQ44" s="452" t="str">
        <f t="shared" si="69"/>
        <v/>
      </c>
      <c r="GR44" s="452" t="str">
        <f t="shared" si="69"/>
        <v/>
      </c>
      <c r="GS44" s="452" t="str">
        <f t="shared" si="69"/>
        <v/>
      </c>
      <c r="GT44" s="453" t="str">
        <f t="shared" si="69"/>
        <v/>
      </c>
      <c r="GU44" s="451" t="str">
        <f t="shared" si="69"/>
        <v/>
      </c>
      <c r="GV44" s="452" t="str">
        <f t="shared" si="69"/>
        <v/>
      </c>
      <c r="GW44" s="452" t="str">
        <f t="shared" si="69"/>
        <v/>
      </c>
      <c r="GX44" s="452" t="str">
        <f t="shared" si="69"/>
        <v/>
      </c>
      <c r="GY44" s="453" t="str">
        <f t="shared" si="69"/>
        <v/>
      </c>
      <c r="GZ44" s="451" t="str">
        <f t="shared" si="69"/>
        <v/>
      </c>
      <c r="HA44" s="452" t="str">
        <f t="shared" si="69"/>
        <v/>
      </c>
      <c r="HB44" s="452" t="str">
        <f t="shared" si="69"/>
        <v/>
      </c>
      <c r="HC44" s="452" t="str">
        <f t="shared" si="61"/>
        <v/>
      </c>
      <c r="HD44" s="453" t="str">
        <f t="shared" si="61"/>
        <v/>
      </c>
      <c r="HE44" s="451" t="str">
        <f t="shared" si="61"/>
        <v/>
      </c>
      <c r="HF44" s="452" t="str">
        <f t="shared" si="65"/>
        <v/>
      </c>
      <c r="HG44" s="452" t="str">
        <f t="shared" si="65"/>
        <v/>
      </c>
      <c r="HH44" s="452" t="str">
        <f t="shared" si="65"/>
        <v/>
      </c>
      <c r="HI44" s="453" t="str">
        <f t="shared" si="65"/>
        <v/>
      </c>
      <c r="HJ44" s="451" t="str">
        <f t="shared" si="65"/>
        <v/>
      </c>
      <c r="HK44" s="452" t="str">
        <f t="shared" si="65"/>
        <v/>
      </c>
      <c r="HL44" s="452" t="str">
        <f t="shared" si="65"/>
        <v/>
      </c>
      <c r="HM44" s="452" t="str">
        <f t="shared" si="65"/>
        <v/>
      </c>
      <c r="HN44" s="453" t="str">
        <f t="shared" si="65"/>
        <v/>
      </c>
      <c r="HO44" s="451" t="str">
        <f t="shared" si="65"/>
        <v/>
      </c>
      <c r="HP44" s="452" t="str">
        <f t="shared" si="65"/>
        <v/>
      </c>
      <c r="HQ44" s="452" t="str">
        <f t="shared" si="63"/>
        <v/>
      </c>
      <c r="HR44" s="452" t="str">
        <f t="shared" si="63"/>
        <v/>
      </c>
      <c r="HS44" s="453" t="str">
        <f t="shared" si="63"/>
        <v/>
      </c>
      <c r="HT44" s="451" t="str">
        <f t="shared" si="63"/>
        <v/>
      </c>
      <c r="HU44" s="452" t="str">
        <f t="shared" si="63"/>
        <v/>
      </c>
      <c r="HV44" s="452" t="str">
        <f t="shared" si="63"/>
        <v/>
      </c>
      <c r="HW44" s="452" t="str">
        <f t="shared" si="63"/>
        <v/>
      </c>
      <c r="HX44" s="453" t="str">
        <f t="shared" si="63"/>
        <v/>
      </c>
      <c r="HY44" s="451" t="str">
        <f t="shared" si="63"/>
        <v/>
      </c>
      <c r="HZ44" s="452" t="str">
        <f t="shared" si="63"/>
        <v/>
      </c>
      <c r="IA44" s="452" t="str">
        <f t="shared" si="66"/>
        <v/>
      </c>
      <c r="IB44" s="452" t="str">
        <f t="shared" si="66"/>
        <v/>
      </c>
      <c r="IC44" s="453" t="str">
        <f t="shared" si="66"/>
        <v/>
      </c>
      <c r="ID44" s="451" t="str">
        <f t="shared" si="66"/>
        <v/>
      </c>
      <c r="IE44" s="452" t="str">
        <f t="shared" si="66"/>
        <v/>
      </c>
      <c r="IF44" s="452" t="str">
        <f t="shared" si="66"/>
        <v/>
      </c>
      <c r="IG44" s="452" t="str">
        <f t="shared" si="66"/>
        <v/>
      </c>
      <c r="IH44" s="453" t="str">
        <f t="shared" si="66"/>
        <v/>
      </c>
      <c r="II44" s="451" t="str">
        <f t="shared" si="66"/>
        <v/>
      </c>
      <c r="IJ44" s="452" t="str">
        <f t="shared" si="66"/>
        <v/>
      </c>
      <c r="IK44" s="452" t="str">
        <f t="shared" si="66"/>
        <v/>
      </c>
      <c r="IL44" s="452" t="str">
        <f t="shared" si="66"/>
        <v/>
      </c>
      <c r="IM44" s="453" t="str">
        <f t="shared" si="66"/>
        <v/>
      </c>
      <c r="IN44" s="451" t="str">
        <f t="shared" si="66"/>
        <v/>
      </c>
      <c r="IO44" s="452" t="str">
        <f t="shared" si="66"/>
        <v/>
      </c>
      <c r="IP44" s="452" t="str">
        <f t="shared" si="66"/>
        <v/>
      </c>
      <c r="IQ44" s="452" t="str">
        <f t="shared" si="64"/>
        <v/>
      </c>
      <c r="IR44" s="453" t="str">
        <f t="shared" si="64"/>
        <v/>
      </c>
    </row>
    <row r="45" spans="1:252" x14ac:dyDescent="0.2">
      <c r="A45" s="461">
        <v>4.8</v>
      </c>
      <c r="C45" s="447" t="s">
        <v>1358</v>
      </c>
      <c r="D45" s="447"/>
      <c r="E45" s="448"/>
      <c r="F45" s="448"/>
      <c r="G45" s="448"/>
      <c r="H45" s="448"/>
      <c r="I45" s="448"/>
      <c r="J45" s="449" t="str">
        <f t="shared" si="56"/>
        <v/>
      </c>
      <c r="K45" s="449" t="str">
        <f t="shared" si="57"/>
        <v/>
      </c>
      <c r="L45" s="450">
        <f t="shared" si="0"/>
        <v>0</v>
      </c>
      <c r="M45" s="451" t="str">
        <f t="shared" si="70"/>
        <v/>
      </c>
      <c r="N45" s="452" t="str">
        <f t="shared" si="70"/>
        <v/>
      </c>
      <c r="O45" s="452" t="str">
        <f t="shared" si="70"/>
        <v/>
      </c>
      <c r="P45" s="452" t="str">
        <f t="shared" si="70"/>
        <v/>
      </c>
      <c r="Q45" s="453" t="str">
        <f t="shared" si="70"/>
        <v/>
      </c>
      <c r="R45" s="451" t="str">
        <f t="shared" si="70"/>
        <v/>
      </c>
      <c r="S45" s="452" t="str">
        <f t="shared" si="70"/>
        <v/>
      </c>
      <c r="T45" s="452" t="str">
        <f t="shared" si="70"/>
        <v/>
      </c>
      <c r="U45" s="452" t="str">
        <f t="shared" si="70"/>
        <v/>
      </c>
      <c r="V45" s="453" t="str">
        <f t="shared" si="70"/>
        <v/>
      </c>
      <c r="W45" s="451" t="str">
        <f t="shared" si="70"/>
        <v/>
      </c>
      <c r="X45" s="452" t="str">
        <f t="shared" si="70"/>
        <v/>
      </c>
      <c r="Y45" s="452" t="str">
        <f t="shared" si="70"/>
        <v/>
      </c>
      <c r="Z45" s="452" t="str">
        <f t="shared" si="70"/>
        <v/>
      </c>
      <c r="AA45" s="453" t="str">
        <f t="shared" si="70"/>
        <v/>
      </c>
      <c r="AB45" s="451" t="str">
        <f t="shared" si="70"/>
        <v/>
      </c>
      <c r="AC45" s="452" t="str">
        <f t="shared" si="49"/>
        <v/>
      </c>
      <c r="AD45" s="452" t="str">
        <f t="shared" si="49"/>
        <v/>
      </c>
      <c r="AE45" s="452" t="str">
        <f t="shared" si="49"/>
        <v/>
      </c>
      <c r="AF45" s="453" t="str">
        <f t="shared" si="49"/>
        <v/>
      </c>
      <c r="AG45" s="451" t="str">
        <f t="shared" si="49"/>
        <v/>
      </c>
      <c r="AH45" s="452" t="str">
        <f t="shared" si="49"/>
        <v/>
      </c>
      <c r="AI45" s="452" t="str">
        <f t="shared" si="49"/>
        <v/>
      </c>
      <c r="AJ45" s="452" t="str">
        <f t="shared" si="49"/>
        <v/>
      </c>
      <c r="AK45" s="453" t="str">
        <f t="shared" si="49"/>
        <v/>
      </c>
      <c r="AL45" s="451" t="str">
        <f t="shared" si="49"/>
        <v/>
      </c>
      <c r="AM45" s="452" t="str">
        <f t="shared" si="49"/>
        <v/>
      </c>
      <c r="AN45" s="452" t="str">
        <f t="shared" si="49"/>
        <v/>
      </c>
      <c r="AO45" s="452" t="str">
        <f t="shared" si="49"/>
        <v/>
      </c>
      <c r="AP45" s="453" t="str">
        <f t="shared" si="49"/>
        <v/>
      </c>
      <c r="AQ45" s="451" t="str">
        <f t="shared" si="49"/>
        <v/>
      </c>
      <c r="AR45" s="452" t="str">
        <f t="shared" si="43"/>
        <v/>
      </c>
      <c r="AS45" s="452" t="str">
        <f t="shared" si="43"/>
        <v/>
      </c>
      <c r="AT45" s="452" t="str">
        <f t="shared" si="43"/>
        <v/>
      </c>
      <c r="AU45" s="453" t="str">
        <f t="shared" si="43"/>
        <v/>
      </c>
      <c r="AV45" s="451" t="str">
        <f t="shared" si="43"/>
        <v/>
      </c>
      <c r="AW45" s="452" t="str">
        <f t="shared" si="43"/>
        <v/>
      </c>
      <c r="AX45" s="452" t="str">
        <f t="shared" si="43"/>
        <v/>
      </c>
      <c r="AY45" s="452" t="str">
        <f t="shared" si="43"/>
        <v/>
      </c>
      <c r="AZ45" s="453" t="str">
        <f t="shared" si="43"/>
        <v/>
      </c>
      <c r="BA45" s="451" t="str">
        <f t="shared" si="43"/>
        <v/>
      </c>
      <c r="BB45" s="452" t="str">
        <f t="shared" si="43"/>
        <v/>
      </c>
      <c r="BC45" s="452" t="str">
        <f t="shared" si="43"/>
        <v/>
      </c>
      <c r="BD45" s="452" t="str">
        <f t="shared" si="43"/>
        <v/>
      </c>
      <c r="BE45" s="453" t="str">
        <f t="shared" si="43"/>
        <v/>
      </c>
      <c r="BF45" s="451" t="str">
        <f t="shared" si="43"/>
        <v/>
      </c>
      <c r="BG45" s="452" t="str">
        <f t="shared" si="53"/>
        <v/>
      </c>
      <c r="BH45" s="452" t="str">
        <f t="shared" si="53"/>
        <v/>
      </c>
      <c r="BI45" s="452" t="str">
        <f t="shared" si="53"/>
        <v/>
      </c>
      <c r="BJ45" s="453" t="str">
        <f t="shared" si="53"/>
        <v/>
      </c>
      <c r="BK45" s="451" t="str">
        <f t="shared" si="53"/>
        <v/>
      </c>
      <c r="BL45" s="452" t="str">
        <f t="shared" si="50"/>
        <v/>
      </c>
      <c r="BM45" s="452" t="str">
        <f t="shared" si="50"/>
        <v/>
      </c>
      <c r="BN45" s="452" t="str">
        <f t="shared" si="50"/>
        <v/>
      </c>
      <c r="BO45" s="453" t="str">
        <f t="shared" si="50"/>
        <v/>
      </c>
      <c r="BP45" s="451" t="str">
        <f t="shared" si="50"/>
        <v/>
      </c>
      <c r="BQ45" s="452" t="str">
        <f t="shared" si="50"/>
        <v/>
      </c>
      <c r="BR45" s="452" t="str">
        <f t="shared" si="50"/>
        <v/>
      </c>
      <c r="BS45" s="452" t="str">
        <f t="shared" si="50"/>
        <v/>
      </c>
      <c r="BT45" s="453" t="str">
        <f t="shared" si="50"/>
        <v/>
      </c>
      <c r="BU45" s="451" t="str">
        <f t="shared" si="50"/>
        <v/>
      </c>
      <c r="BV45" s="452" t="str">
        <f t="shared" si="50"/>
        <v/>
      </c>
      <c r="BW45" s="452" t="str">
        <f t="shared" si="50"/>
        <v/>
      </c>
      <c r="BX45" s="452" t="str">
        <f t="shared" si="50"/>
        <v/>
      </c>
      <c r="BY45" s="453" t="str">
        <f t="shared" si="54"/>
        <v/>
      </c>
      <c r="BZ45" s="451" t="str">
        <f t="shared" si="54"/>
        <v/>
      </c>
      <c r="CA45" s="452" t="str">
        <f t="shared" si="54"/>
        <v/>
      </c>
      <c r="CB45" s="452" t="str">
        <f t="shared" si="54"/>
        <v/>
      </c>
      <c r="CC45" s="452" t="str">
        <f t="shared" si="54"/>
        <v/>
      </c>
      <c r="CD45" s="453" t="str">
        <f t="shared" si="54"/>
        <v/>
      </c>
      <c r="CE45" s="451" t="str">
        <f t="shared" si="54"/>
        <v/>
      </c>
      <c r="CF45" s="452" t="str">
        <f t="shared" si="54"/>
        <v/>
      </c>
      <c r="CG45" s="452" t="str">
        <f t="shared" si="54"/>
        <v/>
      </c>
      <c r="CH45" s="452" t="str">
        <f t="shared" si="54"/>
        <v/>
      </c>
      <c r="CI45" s="453" t="str">
        <f t="shared" si="54"/>
        <v/>
      </c>
      <c r="CJ45" s="451" t="str">
        <f t="shared" si="54"/>
        <v/>
      </c>
      <c r="CK45" s="452" t="str">
        <f t="shared" si="54"/>
        <v/>
      </c>
      <c r="CL45" s="452" t="str">
        <f t="shared" si="54"/>
        <v/>
      </c>
      <c r="CM45" s="452" t="str">
        <f t="shared" si="54"/>
        <v/>
      </c>
      <c r="CN45" s="453" t="str">
        <f t="shared" si="54"/>
        <v/>
      </c>
      <c r="CO45" s="451" t="str">
        <f t="shared" si="68"/>
        <v/>
      </c>
      <c r="CP45" s="452" t="str">
        <f t="shared" si="55"/>
        <v/>
      </c>
      <c r="CQ45" s="452" t="str">
        <f t="shared" si="55"/>
        <v/>
      </c>
      <c r="CR45" s="452" t="str">
        <f t="shared" si="55"/>
        <v/>
      </c>
      <c r="CS45" s="453" t="str">
        <f t="shared" si="55"/>
        <v/>
      </c>
      <c r="CT45" s="451" t="str">
        <f t="shared" si="55"/>
        <v/>
      </c>
      <c r="CU45" s="452" t="str">
        <f t="shared" si="55"/>
        <v/>
      </c>
      <c r="CV45" s="452" t="str">
        <f t="shared" si="55"/>
        <v/>
      </c>
      <c r="CW45" s="452" t="str">
        <f t="shared" si="55"/>
        <v/>
      </c>
      <c r="CX45" s="453" t="str">
        <f t="shared" si="55"/>
        <v/>
      </c>
      <c r="CY45" s="451" t="str">
        <f t="shared" si="55"/>
        <v/>
      </c>
      <c r="CZ45" s="452" t="str">
        <f t="shared" si="55"/>
        <v/>
      </c>
      <c r="DA45" s="452" t="str">
        <f t="shared" si="55"/>
        <v/>
      </c>
      <c r="DB45" s="452" t="str">
        <f t="shared" si="55"/>
        <v/>
      </c>
      <c r="DC45" s="453" t="str">
        <f t="shared" si="55"/>
        <v/>
      </c>
      <c r="DD45" s="451" t="str">
        <f t="shared" si="55"/>
        <v/>
      </c>
      <c r="DE45" s="452" t="str">
        <f t="shared" si="62"/>
        <v/>
      </c>
      <c r="DF45" s="452" t="str">
        <f t="shared" si="62"/>
        <v/>
      </c>
      <c r="DG45" s="452" t="str">
        <f t="shared" si="62"/>
        <v/>
      </c>
      <c r="DH45" s="453" t="str">
        <f t="shared" si="62"/>
        <v/>
      </c>
      <c r="DI45" s="451" t="str">
        <f t="shared" si="62"/>
        <v/>
      </c>
      <c r="DJ45" s="452" t="str">
        <f t="shared" si="62"/>
        <v/>
      </c>
      <c r="DK45" s="452" t="str">
        <f t="shared" si="62"/>
        <v/>
      </c>
      <c r="DL45" s="452" t="str">
        <f t="shared" si="62"/>
        <v/>
      </c>
      <c r="DM45" s="453" t="str">
        <f t="shared" si="62"/>
        <v/>
      </c>
      <c r="DN45" s="451" t="str">
        <f t="shared" si="62"/>
        <v/>
      </c>
      <c r="DO45" s="452" t="str">
        <f t="shared" si="62"/>
        <v/>
      </c>
      <c r="DP45" s="452" t="str">
        <f t="shared" si="62"/>
        <v/>
      </c>
      <c r="DQ45" s="452" t="str">
        <f t="shared" si="62"/>
        <v/>
      </c>
      <c r="DR45" s="453" t="str">
        <f t="shared" si="62"/>
        <v/>
      </c>
      <c r="DS45" s="451" t="str">
        <f t="shared" si="62"/>
        <v/>
      </c>
      <c r="DT45" s="452" t="str">
        <f t="shared" si="62"/>
        <v/>
      </c>
      <c r="DU45" s="452" t="str">
        <f t="shared" si="58"/>
        <v/>
      </c>
      <c r="DV45" s="452" t="str">
        <f t="shared" si="58"/>
        <v/>
      </c>
      <c r="DW45" s="453" t="str">
        <f t="shared" si="58"/>
        <v/>
      </c>
      <c r="DX45" s="451" t="str">
        <f t="shared" si="58"/>
        <v/>
      </c>
      <c r="DY45" s="452" t="str">
        <f t="shared" si="58"/>
        <v/>
      </c>
      <c r="DZ45" s="452" t="str">
        <f t="shared" si="58"/>
        <v/>
      </c>
      <c r="EA45" s="452" t="str">
        <f t="shared" si="58"/>
        <v/>
      </c>
      <c r="EB45" s="453" t="str">
        <f t="shared" si="58"/>
        <v/>
      </c>
      <c r="EC45" s="451" t="str">
        <f t="shared" si="58"/>
        <v/>
      </c>
      <c r="ED45" s="452" t="str">
        <f t="shared" si="58"/>
        <v/>
      </c>
      <c r="EE45" s="452" t="str">
        <f t="shared" si="58"/>
        <v/>
      </c>
      <c r="EF45" s="452" t="str">
        <f t="shared" si="58"/>
        <v/>
      </c>
      <c r="EG45" s="453" t="str">
        <f t="shared" si="58"/>
        <v/>
      </c>
      <c r="EH45" s="451" t="str">
        <f t="shared" si="58"/>
        <v/>
      </c>
      <c r="EI45" s="452" t="str">
        <f t="shared" si="58"/>
        <v/>
      </c>
      <c r="EJ45" s="452" t="str">
        <f t="shared" si="67"/>
        <v/>
      </c>
      <c r="EK45" s="452" t="str">
        <f t="shared" si="67"/>
        <v/>
      </c>
      <c r="EL45" s="453" t="str">
        <f t="shared" si="67"/>
        <v/>
      </c>
      <c r="EM45" s="451" t="str">
        <f t="shared" si="67"/>
        <v/>
      </c>
      <c r="EN45" s="452" t="str">
        <f t="shared" si="67"/>
        <v/>
      </c>
      <c r="EO45" s="452" t="str">
        <f t="shared" si="67"/>
        <v/>
      </c>
      <c r="EP45" s="452" t="str">
        <f t="shared" si="67"/>
        <v/>
      </c>
      <c r="EQ45" s="453" t="str">
        <f t="shared" si="67"/>
        <v/>
      </c>
      <c r="ER45" s="451" t="str">
        <f t="shared" si="67"/>
        <v/>
      </c>
      <c r="ES45" s="452" t="str">
        <f t="shared" si="67"/>
        <v/>
      </c>
      <c r="ET45" s="452" t="str">
        <f t="shared" si="67"/>
        <v/>
      </c>
      <c r="EU45" s="452" t="str">
        <f t="shared" si="67"/>
        <v/>
      </c>
      <c r="EV45" s="453" t="str">
        <f t="shared" si="67"/>
        <v/>
      </c>
      <c r="EW45" s="451" t="str">
        <f t="shared" si="67"/>
        <v/>
      </c>
      <c r="EX45" s="452" t="str">
        <f t="shared" si="67"/>
        <v/>
      </c>
      <c r="EY45" s="452" t="str">
        <f t="shared" si="67"/>
        <v/>
      </c>
      <c r="EZ45" s="452" t="str">
        <f t="shared" si="47"/>
        <v/>
      </c>
      <c r="FA45" s="453" t="str">
        <f t="shared" si="44"/>
        <v/>
      </c>
      <c r="FB45" s="451" t="str">
        <f t="shared" si="44"/>
        <v/>
      </c>
      <c r="FC45" s="452" t="str">
        <f t="shared" si="44"/>
        <v/>
      </c>
      <c r="FD45" s="452" t="str">
        <f t="shared" si="44"/>
        <v/>
      </c>
      <c r="FE45" s="452" t="str">
        <f t="shared" si="44"/>
        <v/>
      </c>
      <c r="FF45" s="453" t="str">
        <f t="shared" si="44"/>
        <v/>
      </c>
      <c r="FG45" s="451" t="str">
        <f t="shared" si="44"/>
        <v/>
      </c>
      <c r="FH45" s="452" t="str">
        <f t="shared" si="44"/>
        <v/>
      </c>
      <c r="FI45" s="452" t="str">
        <f t="shared" si="44"/>
        <v/>
      </c>
      <c r="FJ45" s="452" t="str">
        <f t="shared" si="44"/>
        <v/>
      </c>
      <c r="FK45" s="453" t="str">
        <f t="shared" si="44"/>
        <v/>
      </c>
      <c r="FL45" s="451" t="str">
        <f t="shared" si="44"/>
        <v/>
      </c>
      <c r="FM45" s="452" t="str">
        <f t="shared" si="44"/>
        <v/>
      </c>
      <c r="FN45" s="452" t="str">
        <f t="shared" si="44"/>
        <v/>
      </c>
      <c r="FO45" s="452" t="str">
        <f t="shared" si="48"/>
        <v/>
      </c>
      <c r="FP45" s="453" t="str">
        <f t="shared" si="48"/>
        <v/>
      </c>
      <c r="FQ45" s="451" t="str">
        <f t="shared" si="48"/>
        <v/>
      </c>
      <c r="FR45" s="452" t="str">
        <f t="shared" si="48"/>
        <v/>
      </c>
      <c r="FS45" s="452" t="str">
        <f t="shared" si="48"/>
        <v/>
      </c>
      <c r="FT45" s="452" t="str">
        <f t="shared" si="48"/>
        <v/>
      </c>
      <c r="FU45" s="453" t="str">
        <f t="shared" si="48"/>
        <v/>
      </c>
      <c r="FV45" s="451" t="str">
        <f t="shared" si="48"/>
        <v/>
      </c>
      <c r="FW45" s="452" t="str">
        <f t="shared" si="48"/>
        <v/>
      </c>
      <c r="FX45" s="452" t="str">
        <f t="shared" si="48"/>
        <v/>
      </c>
      <c r="FY45" s="452" t="str">
        <f t="shared" si="48"/>
        <v/>
      </c>
      <c r="FZ45" s="453" t="str">
        <f t="shared" si="48"/>
        <v/>
      </c>
      <c r="GA45" s="451" t="str">
        <f t="shared" si="48"/>
        <v/>
      </c>
      <c r="GB45" s="452" t="str">
        <f t="shared" si="48"/>
        <v/>
      </c>
      <c r="GC45" s="452" t="str">
        <f t="shared" si="48"/>
        <v/>
      </c>
      <c r="GD45" s="452" t="str">
        <f t="shared" si="48"/>
        <v/>
      </c>
      <c r="GE45" s="453" t="str">
        <f t="shared" si="40"/>
        <v/>
      </c>
      <c r="GF45" s="451" t="str">
        <f t="shared" si="40"/>
        <v/>
      </c>
      <c r="GG45" s="452" t="str">
        <f t="shared" si="40"/>
        <v/>
      </c>
      <c r="GH45" s="452" t="str">
        <f t="shared" si="40"/>
        <v/>
      </c>
      <c r="GI45" s="452" t="str">
        <f t="shared" si="40"/>
        <v/>
      </c>
      <c r="GJ45" s="453" t="str">
        <f t="shared" si="40"/>
        <v/>
      </c>
      <c r="GK45" s="451" t="str">
        <f t="shared" si="40"/>
        <v/>
      </c>
      <c r="GL45" s="452" t="str">
        <f t="shared" si="40"/>
        <v/>
      </c>
      <c r="GM45" s="452" t="str">
        <f t="shared" si="40"/>
        <v/>
      </c>
      <c r="GN45" s="452" t="str">
        <f t="shared" si="40"/>
        <v/>
      </c>
      <c r="GO45" s="453" t="str">
        <f t="shared" si="40"/>
        <v/>
      </c>
      <c r="GP45" s="451" t="str">
        <f t="shared" si="69"/>
        <v/>
      </c>
      <c r="GQ45" s="452" t="str">
        <f t="shared" si="69"/>
        <v/>
      </c>
      <c r="GR45" s="452" t="str">
        <f t="shared" si="69"/>
        <v/>
      </c>
      <c r="GS45" s="452" t="str">
        <f t="shared" si="69"/>
        <v/>
      </c>
      <c r="GT45" s="453" t="str">
        <f t="shared" si="69"/>
        <v/>
      </c>
      <c r="GU45" s="451" t="str">
        <f t="shared" si="69"/>
        <v/>
      </c>
      <c r="GV45" s="452" t="str">
        <f t="shared" si="69"/>
        <v/>
      </c>
      <c r="GW45" s="452" t="str">
        <f t="shared" si="69"/>
        <v/>
      </c>
      <c r="GX45" s="452" t="str">
        <f t="shared" si="69"/>
        <v/>
      </c>
      <c r="GY45" s="453" t="str">
        <f t="shared" si="69"/>
        <v/>
      </c>
      <c r="GZ45" s="451" t="str">
        <f t="shared" si="69"/>
        <v/>
      </c>
      <c r="HA45" s="452" t="str">
        <f t="shared" si="69"/>
        <v/>
      </c>
      <c r="HB45" s="452" t="str">
        <f t="shared" si="69"/>
        <v/>
      </c>
      <c r="HC45" s="452" t="str">
        <f t="shared" si="61"/>
        <v/>
      </c>
      <c r="HD45" s="453" t="str">
        <f t="shared" si="61"/>
        <v/>
      </c>
      <c r="HE45" s="451" t="str">
        <f t="shared" si="61"/>
        <v/>
      </c>
      <c r="HF45" s="452" t="str">
        <f t="shared" si="65"/>
        <v/>
      </c>
      <c r="HG45" s="452" t="str">
        <f t="shared" si="65"/>
        <v/>
      </c>
      <c r="HH45" s="452" t="str">
        <f t="shared" si="65"/>
        <v/>
      </c>
      <c r="HI45" s="453" t="str">
        <f t="shared" si="65"/>
        <v/>
      </c>
      <c r="HJ45" s="451" t="str">
        <f t="shared" si="65"/>
        <v/>
      </c>
      <c r="HK45" s="452" t="str">
        <f t="shared" si="65"/>
        <v/>
      </c>
      <c r="HL45" s="452" t="str">
        <f t="shared" si="65"/>
        <v/>
      </c>
      <c r="HM45" s="452" t="str">
        <f t="shared" si="65"/>
        <v/>
      </c>
      <c r="HN45" s="453" t="str">
        <f t="shared" si="65"/>
        <v/>
      </c>
      <c r="HO45" s="451" t="str">
        <f t="shared" si="65"/>
        <v/>
      </c>
      <c r="HP45" s="452" t="str">
        <f t="shared" si="65"/>
        <v/>
      </c>
      <c r="HQ45" s="452" t="str">
        <f t="shared" si="63"/>
        <v/>
      </c>
      <c r="HR45" s="452" t="str">
        <f t="shared" si="63"/>
        <v/>
      </c>
      <c r="HS45" s="453" t="str">
        <f t="shared" si="63"/>
        <v/>
      </c>
      <c r="HT45" s="451" t="str">
        <f t="shared" si="63"/>
        <v/>
      </c>
      <c r="HU45" s="452" t="str">
        <f t="shared" si="63"/>
        <v/>
      </c>
      <c r="HV45" s="452" t="str">
        <f t="shared" si="63"/>
        <v/>
      </c>
      <c r="HW45" s="452" t="str">
        <f t="shared" si="63"/>
        <v/>
      </c>
      <c r="HX45" s="453" t="str">
        <f t="shared" si="63"/>
        <v/>
      </c>
      <c r="HY45" s="451" t="str">
        <f t="shared" si="63"/>
        <v/>
      </c>
      <c r="HZ45" s="452" t="str">
        <f t="shared" si="63"/>
        <v/>
      </c>
      <c r="IA45" s="452" t="str">
        <f t="shared" si="66"/>
        <v/>
      </c>
      <c r="IB45" s="452" t="str">
        <f t="shared" si="66"/>
        <v/>
      </c>
      <c r="IC45" s="453" t="str">
        <f t="shared" si="66"/>
        <v/>
      </c>
      <c r="ID45" s="451" t="str">
        <f t="shared" si="66"/>
        <v/>
      </c>
      <c r="IE45" s="452" t="str">
        <f t="shared" si="66"/>
        <v/>
      </c>
      <c r="IF45" s="452" t="str">
        <f t="shared" si="66"/>
        <v/>
      </c>
      <c r="IG45" s="452" t="str">
        <f t="shared" si="66"/>
        <v/>
      </c>
      <c r="IH45" s="453" t="str">
        <f t="shared" si="66"/>
        <v/>
      </c>
      <c r="II45" s="451" t="str">
        <f t="shared" si="66"/>
        <v/>
      </c>
      <c r="IJ45" s="452" t="str">
        <f t="shared" si="66"/>
        <v/>
      </c>
      <c r="IK45" s="452" t="str">
        <f t="shared" si="66"/>
        <v/>
      </c>
      <c r="IL45" s="452" t="str">
        <f t="shared" si="66"/>
        <v/>
      </c>
      <c r="IM45" s="453" t="str">
        <f t="shared" si="66"/>
        <v/>
      </c>
      <c r="IN45" s="451" t="str">
        <f t="shared" si="66"/>
        <v/>
      </c>
      <c r="IO45" s="452" t="str">
        <f t="shared" si="66"/>
        <v/>
      </c>
      <c r="IP45" s="452" t="str">
        <f t="shared" si="66"/>
        <v/>
      </c>
      <c r="IQ45" s="452" t="str">
        <f t="shared" si="64"/>
        <v/>
      </c>
      <c r="IR45" s="453" t="str">
        <f t="shared" si="64"/>
        <v/>
      </c>
    </row>
    <row r="46" spans="1:252" x14ac:dyDescent="0.2">
      <c r="A46" s="461">
        <v>4.9000000000000004</v>
      </c>
      <c r="C46" s="447" t="s">
        <v>1359</v>
      </c>
      <c r="D46" s="447"/>
      <c r="E46" s="448"/>
      <c r="F46" s="448"/>
      <c r="G46" s="448"/>
      <c r="H46" s="448"/>
      <c r="I46" s="448"/>
      <c r="J46" s="449" t="str">
        <f t="shared" si="56"/>
        <v/>
      </c>
      <c r="K46" s="449" t="str">
        <f t="shared" si="57"/>
        <v/>
      </c>
      <c r="L46" s="450">
        <f t="shared" si="0"/>
        <v>0</v>
      </c>
      <c r="M46" s="451" t="str">
        <f t="shared" si="70"/>
        <v/>
      </c>
      <c r="N46" s="452" t="str">
        <f t="shared" si="70"/>
        <v/>
      </c>
      <c r="O46" s="452" t="str">
        <f t="shared" si="70"/>
        <v/>
      </c>
      <c r="P46" s="452" t="str">
        <f t="shared" si="70"/>
        <v/>
      </c>
      <c r="Q46" s="453" t="str">
        <f t="shared" si="70"/>
        <v/>
      </c>
      <c r="R46" s="451" t="str">
        <f t="shared" si="70"/>
        <v/>
      </c>
      <c r="S46" s="452" t="str">
        <f t="shared" si="70"/>
        <v/>
      </c>
      <c r="T46" s="452" t="str">
        <f t="shared" si="70"/>
        <v/>
      </c>
      <c r="U46" s="452" t="str">
        <f t="shared" si="70"/>
        <v/>
      </c>
      <c r="V46" s="453" t="str">
        <f t="shared" si="70"/>
        <v/>
      </c>
      <c r="W46" s="451" t="str">
        <f t="shared" si="70"/>
        <v/>
      </c>
      <c r="X46" s="452" t="str">
        <f t="shared" si="70"/>
        <v/>
      </c>
      <c r="Y46" s="452" t="str">
        <f t="shared" si="70"/>
        <v/>
      </c>
      <c r="Z46" s="452" t="str">
        <f t="shared" si="70"/>
        <v/>
      </c>
      <c r="AA46" s="453" t="str">
        <f t="shared" si="70"/>
        <v/>
      </c>
      <c r="AB46" s="451" t="str">
        <f t="shared" si="70"/>
        <v/>
      </c>
      <c r="AC46" s="452" t="str">
        <f t="shared" si="49"/>
        <v/>
      </c>
      <c r="AD46" s="452" t="str">
        <f t="shared" si="49"/>
        <v/>
      </c>
      <c r="AE46" s="452" t="str">
        <f t="shared" si="49"/>
        <v/>
      </c>
      <c r="AF46" s="453" t="str">
        <f t="shared" si="49"/>
        <v/>
      </c>
      <c r="AG46" s="451" t="str">
        <f t="shared" si="49"/>
        <v/>
      </c>
      <c r="AH46" s="452" t="str">
        <f t="shared" si="49"/>
        <v/>
      </c>
      <c r="AI46" s="452" t="str">
        <f t="shared" si="49"/>
        <v/>
      </c>
      <c r="AJ46" s="452" t="str">
        <f t="shared" si="49"/>
        <v/>
      </c>
      <c r="AK46" s="453" t="str">
        <f t="shared" si="49"/>
        <v/>
      </c>
      <c r="AL46" s="451" t="str">
        <f t="shared" si="49"/>
        <v/>
      </c>
      <c r="AM46" s="452" t="str">
        <f t="shared" si="49"/>
        <v/>
      </c>
      <c r="AN46" s="452" t="str">
        <f t="shared" si="49"/>
        <v/>
      </c>
      <c r="AO46" s="452" t="str">
        <f t="shared" si="49"/>
        <v/>
      </c>
      <c r="AP46" s="453" t="str">
        <f t="shared" si="49"/>
        <v/>
      </c>
      <c r="AQ46" s="451" t="str">
        <f t="shared" si="49"/>
        <v/>
      </c>
      <c r="AR46" s="452" t="str">
        <f t="shared" si="43"/>
        <v/>
      </c>
      <c r="AS46" s="452" t="str">
        <f t="shared" si="43"/>
        <v/>
      </c>
      <c r="AT46" s="452" t="str">
        <f t="shared" si="43"/>
        <v/>
      </c>
      <c r="AU46" s="453" t="str">
        <f t="shared" si="43"/>
        <v/>
      </c>
      <c r="AV46" s="451" t="str">
        <f t="shared" si="43"/>
        <v/>
      </c>
      <c r="AW46" s="452" t="str">
        <f t="shared" si="43"/>
        <v/>
      </c>
      <c r="AX46" s="452" t="str">
        <f t="shared" si="43"/>
        <v/>
      </c>
      <c r="AY46" s="452" t="str">
        <f t="shared" si="43"/>
        <v/>
      </c>
      <c r="AZ46" s="453" t="str">
        <f t="shared" si="43"/>
        <v/>
      </c>
      <c r="BA46" s="451" t="str">
        <f t="shared" si="43"/>
        <v/>
      </c>
      <c r="BB46" s="452" t="str">
        <f t="shared" si="43"/>
        <v/>
      </c>
      <c r="BC46" s="452" t="str">
        <f t="shared" si="43"/>
        <v/>
      </c>
      <c r="BD46" s="452" t="str">
        <f t="shared" si="43"/>
        <v/>
      </c>
      <c r="BE46" s="453" t="str">
        <f t="shared" si="43"/>
        <v/>
      </c>
      <c r="BF46" s="451" t="str">
        <f t="shared" si="43"/>
        <v/>
      </c>
      <c r="BG46" s="452" t="str">
        <f t="shared" si="53"/>
        <v/>
      </c>
      <c r="BH46" s="452" t="str">
        <f t="shared" si="53"/>
        <v/>
      </c>
      <c r="BI46" s="452" t="str">
        <f t="shared" si="53"/>
        <v/>
      </c>
      <c r="BJ46" s="453" t="str">
        <f t="shared" si="53"/>
        <v/>
      </c>
      <c r="BK46" s="451" t="str">
        <f t="shared" si="53"/>
        <v/>
      </c>
      <c r="BL46" s="452" t="str">
        <f t="shared" si="53"/>
        <v/>
      </c>
      <c r="BM46" s="452" t="str">
        <f t="shared" si="53"/>
        <v/>
      </c>
      <c r="BN46" s="452" t="str">
        <f t="shared" si="53"/>
        <v/>
      </c>
      <c r="BO46" s="453" t="str">
        <f t="shared" si="53"/>
        <v/>
      </c>
      <c r="BP46" s="451" t="str">
        <f t="shared" si="53"/>
        <v/>
      </c>
      <c r="BQ46" s="452" t="str">
        <f t="shared" si="53"/>
        <v/>
      </c>
      <c r="BR46" s="452" t="str">
        <f t="shared" si="53"/>
        <v/>
      </c>
      <c r="BS46" s="452" t="str">
        <f t="shared" si="53"/>
        <v/>
      </c>
      <c r="BT46" s="453" t="str">
        <f t="shared" si="53"/>
        <v/>
      </c>
      <c r="BU46" s="451" t="str">
        <f t="shared" si="53"/>
        <v/>
      </c>
      <c r="BV46" s="452" t="str">
        <f t="shared" si="50"/>
        <v/>
      </c>
      <c r="BW46" s="452" t="str">
        <f t="shared" si="50"/>
        <v/>
      </c>
      <c r="BX46" s="452" t="str">
        <f t="shared" si="50"/>
        <v/>
      </c>
      <c r="BY46" s="453" t="str">
        <f t="shared" si="54"/>
        <v/>
      </c>
      <c r="BZ46" s="451" t="str">
        <f t="shared" si="54"/>
        <v/>
      </c>
      <c r="CA46" s="452" t="str">
        <f t="shared" si="54"/>
        <v/>
      </c>
      <c r="CB46" s="452" t="str">
        <f t="shared" si="54"/>
        <v/>
      </c>
      <c r="CC46" s="452" t="str">
        <f t="shared" si="54"/>
        <v/>
      </c>
      <c r="CD46" s="453" t="str">
        <f t="shared" si="54"/>
        <v/>
      </c>
      <c r="CE46" s="451" t="str">
        <f t="shared" si="54"/>
        <v/>
      </c>
      <c r="CF46" s="452" t="str">
        <f t="shared" si="54"/>
        <v/>
      </c>
      <c r="CG46" s="452" t="str">
        <f t="shared" si="54"/>
        <v/>
      </c>
      <c r="CH46" s="452" t="str">
        <f t="shared" si="54"/>
        <v/>
      </c>
      <c r="CI46" s="453" t="str">
        <f t="shared" si="54"/>
        <v/>
      </c>
      <c r="CJ46" s="451" t="str">
        <f t="shared" si="54"/>
        <v/>
      </c>
      <c r="CK46" s="452" t="str">
        <f t="shared" si="54"/>
        <v/>
      </c>
      <c r="CL46" s="452" t="str">
        <f t="shared" si="54"/>
        <v/>
      </c>
      <c r="CM46" s="452" t="str">
        <f t="shared" si="54"/>
        <v/>
      </c>
      <c r="CN46" s="453" t="str">
        <f t="shared" si="54"/>
        <v/>
      </c>
      <c r="CO46" s="451" t="str">
        <f t="shared" si="68"/>
        <v/>
      </c>
      <c r="CP46" s="452" t="str">
        <f t="shared" si="68"/>
        <v/>
      </c>
      <c r="CQ46" s="452" t="str">
        <f t="shared" si="68"/>
        <v/>
      </c>
      <c r="CR46" s="452" t="str">
        <f t="shared" si="68"/>
        <v/>
      </c>
      <c r="CS46" s="453" t="str">
        <f t="shared" si="68"/>
        <v/>
      </c>
      <c r="CT46" s="451" t="str">
        <f t="shared" si="68"/>
        <v/>
      </c>
      <c r="CU46" s="452" t="str">
        <f t="shared" si="68"/>
        <v/>
      </c>
      <c r="CV46" s="452" t="str">
        <f t="shared" si="68"/>
        <v/>
      </c>
      <c r="CW46" s="452" t="str">
        <f t="shared" si="68"/>
        <v/>
      </c>
      <c r="CX46" s="453" t="str">
        <f t="shared" si="68"/>
        <v/>
      </c>
      <c r="CY46" s="451" t="str">
        <f t="shared" si="68"/>
        <v/>
      </c>
      <c r="CZ46" s="452" t="str">
        <f t="shared" si="55"/>
        <v/>
      </c>
      <c r="DA46" s="452" t="str">
        <f t="shared" si="55"/>
        <v/>
      </c>
      <c r="DB46" s="452" t="str">
        <f t="shared" si="55"/>
        <v/>
      </c>
      <c r="DC46" s="453" t="str">
        <f t="shared" si="55"/>
        <v/>
      </c>
      <c r="DD46" s="451" t="str">
        <f t="shared" si="55"/>
        <v/>
      </c>
      <c r="DE46" s="452" t="str">
        <f t="shared" si="62"/>
        <v/>
      </c>
      <c r="DF46" s="452" t="str">
        <f t="shared" si="62"/>
        <v/>
      </c>
      <c r="DG46" s="452" t="str">
        <f t="shared" si="62"/>
        <v/>
      </c>
      <c r="DH46" s="453" t="str">
        <f t="shared" si="62"/>
        <v/>
      </c>
      <c r="DI46" s="451" t="str">
        <f t="shared" si="62"/>
        <v/>
      </c>
      <c r="DJ46" s="452" t="str">
        <f t="shared" si="62"/>
        <v/>
      </c>
      <c r="DK46" s="452" t="str">
        <f t="shared" si="62"/>
        <v/>
      </c>
      <c r="DL46" s="452" t="str">
        <f t="shared" si="62"/>
        <v/>
      </c>
      <c r="DM46" s="453" t="str">
        <f t="shared" si="62"/>
        <v/>
      </c>
      <c r="DN46" s="451" t="str">
        <f t="shared" si="62"/>
        <v/>
      </c>
      <c r="DO46" s="452" t="str">
        <f t="shared" si="62"/>
        <v/>
      </c>
      <c r="DP46" s="452" t="str">
        <f t="shared" si="62"/>
        <v/>
      </c>
      <c r="DQ46" s="452" t="str">
        <f t="shared" si="62"/>
        <v/>
      </c>
      <c r="DR46" s="453" t="str">
        <f t="shared" si="62"/>
        <v/>
      </c>
      <c r="DS46" s="451" t="str">
        <f t="shared" si="62"/>
        <v/>
      </c>
      <c r="DT46" s="452" t="str">
        <f t="shared" si="62"/>
        <v/>
      </c>
      <c r="DU46" s="452" t="str">
        <f t="shared" si="58"/>
        <v/>
      </c>
      <c r="DV46" s="452" t="str">
        <f t="shared" si="58"/>
        <v/>
      </c>
      <c r="DW46" s="453" t="str">
        <f t="shared" si="58"/>
        <v/>
      </c>
      <c r="DX46" s="451" t="str">
        <f t="shared" si="58"/>
        <v/>
      </c>
      <c r="DY46" s="452" t="str">
        <f t="shared" si="58"/>
        <v/>
      </c>
      <c r="DZ46" s="452" t="str">
        <f t="shared" si="58"/>
        <v/>
      </c>
      <c r="EA46" s="452" t="str">
        <f t="shared" si="58"/>
        <v/>
      </c>
      <c r="EB46" s="453" t="str">
        <f t="shared" si="58"/>
        <v/>
      </c>
      <c r="EC46" s="451" t="str">
        <f t="shared" si="58"/>
        <v/>
      </c>
      <c r="ED46" s="452" t="str">
        <f t="shared" si="58"/>
        <v/>
      </c>
      <c r="EE46" s="452" t="str">
        <f t="shared" si="58"/>
        <v/>
      </c>
      <c r="EF46" s="452" t="str">
        <f t="shared" si="58"/>
        <v/>
      </c>
      <c r="EG46" s="453" t="str">
        <f t="shared" si="58"/>
        <v/>
      </c>
      <c r="EH46" s="451" t="str">
        <f t="shared" si="58"/>
        <v/>
      </c>
      <c r="EI46" s="452" t="str">
        <f t="shared" si="58"/>
        <v/>
      </c>
      <c r="EJ46" s="452" t="str">
        <f t="shared" si="67"/>
        <v/>
      </c>
      <c r="EK46" s="452" t="str">
        <f t="shared" si="67"/>
        <v/>
      </c>
      <c r="EL46" s="453" t="str">
        <f t="shared" si="67"/>
        <v/>
      </c>
      <c r="EM46" s="451" t="str">
        <f t="shared" si="67"/>
        <v/>
      </c>
      <c r="EN46" s="452" t="str">
        <f t="shared" si="67"/>
        <v/>
      </c>
      <c r="EO46" s="452" t="str">
        <f t="shared" si="67"/>
        <v/>
      </c>
      <c r="EP46" s="452" t="str">
        <f t="shared" si="67"/>
        <v/>
      </c>
      <c r="EQ46" s="453" t="str">
        <f t="shared" si="67"/>
        <v/>
      </c>
      <c r="ER46" s="451" t="str">
        <f t="shared" si="67"/>
        <v/>
      </c>
      <c r="ES46" s="452" t="str">
        <f t="shared" si="67"/>
        <v/>
      </c>
      <c r="ET46" s="452" t="str">
        <f t="shared" si="67"/>
        <v/>
      </c>
      <c r="EU46" s="452" t="str">
        <f t="shared" si="67"/>
        <v/>
      </c>
      <c r="EV46" s="453" t="str">
        <f t="shared" si="67"/>
        <v/>
      </c>
      <c r="EW46" s="451" t="str">
        <f t="shared" si="67"/>
        <v/>
      </c>
      <c r="EX46" s="452" t="str">
        <f t="shared" si="67"/>
        <v/>
      </c>
      <c r="EY46" s="452" t="str">
        <f t="shared" si="67"/>
        <v/>
      </c>
      <c r="EZ46" s="452" t="str">
        <f t="shared" si="47"/>
        <v/>
      </c>
      <c r="FA46" s="453" t="str">
        <f t="shared" si="47"/>
        <v/>
      </c>
      <c r="FB46" s="451" t="str">
        <f t="shared" si="47"/>
        <v/>
      </c>
      <c r="FC46" s="452" t="str">
        <f t="shared" si="47"/>
        <v/>
      </c>
      <c r="FD46" s="452" t="str">
        <f t="shared" si="47"/>
        <v/>
      </c>
      <c r="FE46" s="452" t="str">
        <f t="shared" si="47"/>
        <v/>
      </c>
      <c r="FF46" s="453" t="str">
        <f t="shared" si="47"/>
        <v/>
      </c>
      <c r="FG46" s="451" t="str">
        <f t="shared" si="47"/>
        <v/>
      </c>
      <c r="FH46" s="452" t="str">
        <f t="shared" si="47"/>
        <v/>
      </c>
      <c r="FI46" s="452" t="str">
        <f t="shared" si="47"/>
        <v/>
      </c>
      <c r="FJ46" s="452" t="str">
        <f t="shared" ref="FJ46:FY68" si="71">IF(AND(FJ$2&gt;=$J46,FJ$2&lt;=$K46),1,"")</f>
        <v/>
      </c>
      <c r="FK46" s="453" t="str">
        <f t="shared" si="71"/>
        <v/>
      </c>
      <c r="FL46" s="451" t="str">
        <f t="shared" si="71"/>
        <v/>
      </c>
      <c r="FM46" s="452" t="str">
        <f t="shared" si="71"/>
        <v/>
      </c>
      <c r="FN46" s="452" t="str">
        <f t="shared" si="71"/>
        <v/>
      </c>
      <c r="FO46" s="452" t="str">
        <f t="shared" si="71"/>
        <v/>
      </c>
      <c r="FP46" s="453" t="str">
        <f t="shared" si="71"/>
        <v/>
      </c>
      <c r="FQ46" s="451" t="str">
        <f t="shared" si="48"/>
        <v/>
      </c>
      <c r="FR46" s="452" t="str">
        <f t="shared" si="48"/>
        <v/>
      </c>
      <c r="FS46" s="452" t="str">
        <f t="shared" si="48"/>
        <v/>
      </c>
      <c r="FT46" s="452" t="str">
        <f t="shared" si="48"/>
        <v/>
      </c>
      <c r="FU46" s="453" t="str">
        <f t="shared" si="48"/>
        <v/>
      </c>
      <c r="FV46" s="451" t="str">
        <f t="shared" si="48"/>
        <v/>
      </c>
      <c r="FW46" s="452" t="str">
        <f t="shared" si="48"/>
        <v/>
      </c>
      <c r="FX46" s="452" t="str">
        <f t="shared" si="48"/>
        <v/>
      </c>
      <c r="FY46" s="452" t="str">
        <f t="shared" si="48"/>
        <v/>
      </c>
      <c r="FZ46" s="453" t="str">
        <f t="shared" si="48"/>
        <v/>
      </c>
      <c r="GA46" s="451" t="str">
        <f t="shared" si="48"/>
        <v/>
      </c>
      <c r="GB46" s="452" t="str">
        <f t="shared" si="48"/>
        <v/>
      </c>
      <c r="GC46" s="452" t="str">
        <f t="shared" si="48"/>
        <v/>
      </c>
      <c r="GD46" s="452" t="str">
        <f t="shared" si="48"/>
        <v/>
      </c>
      <c r="GE46" s="453" t="str">
        <f t="shared" si="40"/>
        <v/>
      </c>
      <c r="GF46" s="451" t="str">
        <f t="shared" si="40"/>
        <v/>
      </c>
      <c r="GG46" s="452" t="str">
        <f t="shared" si="40"/>
        <v/>
      </c>
      <c r="GH46" s="452" t="str">
        <f t="shared" si="40"/>
        <v/>
      </c>
      <c r="GI46" s="452" t="str">
        <f t="shared" si="40"/>
        <v/>
      </c>
      <c r="GJ46" s="453" t="str">
        <f t="shared" si="40"/>
        <v/>
      </c>
      <c r="GK46" s="451" t="str">
        <f t="shared" si="40"/>
        <v/>
      </c>
      <c r="GL46" s="452" t="str">
        <f t="shared" si="40"/>
        <v/>
      </c>
      <c r="GM46" s="452" t="str">
        <f t="shared" si="40"/>
        <v/>
      </c>
      <c r="GN46" s="452" t="str">
        <f t="shared" si="40"/>
        <v/>
      </c>
      <c r="GO46" s="453" t="str">
        <f t="shared" si="40"/>
        <v/>
      </c>
      <c r="GP46" s="451" t="str">
        <f t="shared" si="69"/>
        <v/>
      </c>
      <c r="GQ46" s="452" t="str">
        <f t="shared" si="69"/>
        <v/>
      </c>
      <c r="GR46" s="452" t="str">
        <f t="shared" si="69"/>
        <v/>
      </c>
      <c r="GS46" s="452" t="str">
        <f t="shared" si="69"/>
        <v/>
      </c>
      <c r="GT46" s="453" t="str">
        <f t="shared" si="69"/>
        <v/>
      </c>
      <c r="GU46" s="451" t="str">
        <f t="shared" si="69"/>
        <v/>
      </c>
      <c r="GV46" s="452" t="str">
        <f t="shared" si="69"/>
        <v/>
      </c>
      <c r="GW46" s="452" t="str">
        <f t="shared" si="69"/>
        <v/>
      </c>
      <c r="GX46" s="452" t="str">
        <f t="shared" si="69"/>
        <v/>
      </c>
      <c r="GY46" s="453" t="str">
        <f t="shared" si="69"/>
        <v/>
      </c>
      <c r="GZ46" s="451" t="str">
        <f t="shared" si="69"/>
        <v/>
      </c>
      <c r="HA46" s="452" t="str">
        <f t="shared" si="69"/>
        <v/>
      </c>
      <c r="HB46" s="452" t="str">
        <f t="shared" si="69"/>
        <v/>
      </c>
      <c r="HC46" s="452" t="str">
        <f t="shared" si="69"/>
        <v/>
      </c>
      <c r="HD46" s="453" t="str">
        <f t="shared" si="69"/>
        <v/>
      </c>
      <c r="HE46" s="451" t="str">
        <f t="shared" si="69"/>
        <v/>
      </c>
      <c r="HF46" s="452" t="str">
        <f t="shared" si="65"/>
        <v/>
      </c>
      <c r="HG46" s="452" t="str">
        <f t="shared" si="65"/>
        <v/>
      </c>
      <c r="HH46" s="452" t="str">
        <f t="shared" si="65"/>
        <v/>
      </c>
      <c r="HI46" s="453" t="str">
        <f t="shared" si="65"/>
        <v/>
      </c>
      <c r="HJ46" s="451" t="str">
        <f t="shared" si="65"/>
        <v/>
      </c>
      <c r="HK46" s="452" t="str">
        <f t="shared" si="65"/>
        <v/>
      </c>
      <c r="HL46" s="452" t="str">
        <f t="shared" si="65"/>
        <v/>
      </c>
      <c r="HM46" s="452" t="str">
        <f t="shared" si="65"/>
        <v/>
      </c>
      <c r="HN46" s="453" t="str">
        <f t="shared" si="65"/>
        <v/>
      </c>
      <c r="HO46" s="451" t="str">
        <f t="shared" si="65"/>
        <v/>
      </c>
      <c r="HP46" s="452" t="str">
        <f t="shared" si="65"/>
        <v/>
      </c>
      <c r="HQ46" s="452" t="str">
        <f t="shared" si="65"/>
        <v/>
      </c>
      <c r="HR46" s="452" t="str">
        <f t="shared" si="65"/>
        <v/>
      </c>
      <c r="HS46" s="453" t="str">
        <f t="shared" si="65"/>
        <v/>
      </c>
      <c r="HT46" s="451" t="str">
        <f t="shared" si="65"/>
        <v/>
      </c>
      <c r="HU46" s="452" t="str">
        <f t="shared" si="65"/>
        <v/>
      </c>
      <c r="HV46" s="452" t="str">
        <f t="shared" si="63"/>
        <v/>
      </c>
      <c r="HW46" s="452" t="str">
        <f t="shared" si="63"/>
        <v/>
      </c>
      <c r="HX46" s="453" t="str">
        <f t="shared" si="63"/>
        <v/>
      </c>
      <c r="HY46" s="451" t="str">
        <f t="shared" si="63"/>
        <v/>
      </c>
      <c r="HZ46" s="452" t="str">
        <f t="shared" si="63"/>
        <v/>
      </c>
      <c r="IA46" s="452" t="str">
        <f t="shared" si="66"/>
        <v/>
      </c>
      <c r="IB46" s="452" t="str">
        <f t="shared" si="66"/>
        <v/>
      </c>
      <c r="IC46" s="453" t="str">
        <f t="shared" si="66"/>
        <v/>
      </c>
      <c r="ID46" s="451" t="str">
        <f t="shared" si="66"/>
        <v/>
      </c>
      <c r="IE46" s="452" t="str">
        <f t="shared" si="66"/>
        <v/>
      </c>
      <c r="IF46" s="452" t="str">
        <f t="shared" si="66"/>
        <v/>
      </c>
      <c r="IG46" s="452" t="str">
        <f t="shared" si="66"/>
        <v/>
      </c>
      <c r="IH46" s="453" t="str">
        <f t="shared" si="66"/>
        <v/>
      </c>
      <c r="II46" s="451" t="str">
        <f t="shared" si="66"/>
        <v/>
      </c>
      <c r="IJ46" s="452" t="str">
        <f t="shared" si="66"/>
        <v/>
      </c>
      <c r="IK46" s="452" t="str">
        <f t="shared" si="66"/>
        <v/>
      </c>
      <c r="IL46" s="452" t="str">
        <f t="shared" si="66"/>
        <v/>
      </c>
      <c r="IM46" s="453" t="str">
        <f t="shared" si="66"/>
        <v/>
      </c>
      <c r="IN46" s="451" t="str">
        <f t="shared" si="66"/>
        <v/>
      </c>
      <c r="IO46" s="452" t="str">
        <f t="shared" si="66"/>
        <v/>
      </c>
      <c r="IP46" s="452" t="str">
        <f t="shared" si="66"/>
        <v/>
      </c>
      <c r="IQ46" s="452" t="str">
        <f t="shared" si="64"/>
        <v/>
      </c>
      <c r="IR46" s="453" t="str">
        <f t="shared" si="64"/>
        <v/>
      </c>
    </row>
    <row r="47" spans="1:252" x14ac:dyDescent="0.2">
      <c r="A47" s="454">
        <v>4.0999999999999996</v>
      </c>
      <c r="C47" s="447" t="s">
        <v>1360</v>
      </c>
      <c r="D47" s="447"/>
      <c r="E47" s="448"/>
      <c r="F47" s="448"/>
      <c r="G47" s="448"/>
      <c r="H47" s="448"/>
      <c r="I47" s="448"/>
      <c r="J47" s="449" t="str">
        <f t="shared" si="56"/>
        <v/>
      </c>
      <c r="K47" s="449" t="str">
        <f t="shared" si="57"/>
        <v/>
      </c>
      <c r="L47" s="450">
        <f t="shared" si="0"/>
        <v>0</v>
      </c>
      <c r="M47" s="451" t="str">
        <f t="shared" si="70"/>
        <v/>
      </c>
      <c r="N47" s="452" t="str">
        <f t="shared" si="70"/>
        <v/>
      </c>
      <c r="O47" s="452" t="str">
        <f t="shared" si="70"/>
        <v/>
      </c>
      <c r="P47" s="452" t="str">
        <f t="shared" si="70"/>
        <v/>
      </c>
      <c r="Q47" s="453" t="str">
        <f t="shared" si="70"/>
        <v/>
      </c>
      <c r="R47" s="451" t="str">
        <f t="shared" si="70"/>
        <v/>
      </c>
      <c r="S47" s="452" t="str">
        <f t="shared" si="70"/>
        <v/>
      </c>
      <c r="T47" s="452" t="str">
        <f t="shared" si="70"/>
        <v/>
      </c>
      <c r="U47" s="452" t="str">
        <f t="shared" si="70"/>
        <v/>
      </c>
      <c r="V47" s="453" t="str">
        <f t="shared" si="70"/>
        <v/>
      </c>
      <c r="W47" s="451" t="str">
        <f t="shared" si="70"/>
        <v/>
      </c>
      <c r="X47" s="452" t="str">
        <f t="shared" si="70"/>
        <v/>
      </c>
      <c r="Y47" s="452" t="str">
        <f t="shared" si="70"/>
        <v/>
      </c>
      <c r="Z47" s="452" t="str">
        <f t="shared" si="70"/>
        <v/>
      </c>
      <c r="AA47" s="453" t="str">
        <f t="shared" si="70"/>
        <v/>
      </c>
      <c r="AB47" s="451" t="str">
        <f t="shared" si="70"/>
        <v/>
      </c>
      <c r="AC47" s="452" t="str">
        <f t="shared" si="49"/>
        <v/>
      </c>
      <c r="AD47" s="452" t="str">
        <f t="shared" ref="AD47:AP47" si="72">IF(AND(AD$2&gt;=$J47,AD$2&lt;=$K47),1,"")</f>
        <v/>
      </c>
      <c r="AE47" s="452" t="str">
        <f t="shared" si="72"/>
        <v/>
      </c>
      <c r="AF47" s="453" t="str">
        <f t="shared" si="72"/>
        <v/>
      </c>
      <c r="AG47" s="451" t="str">
        <f t="shared" si="72"/>
        <v/>
      </c>
      <c r="AH47" s="452" t="str">
        <f t="shared" si="72"/>
        <v/>
      </c>
      <c r="AI47" s="452" t="str">
        <f t="shared" si="72"/>
        <v/>
      </c>
      <c r="AJ47" s="452" t="str">
        <f t="shared" si="72"/>
        <v/>
      </c>
      <c r="AK47" s="453" t="str">
        <f t="shared" si="72"/>
        <v/>
      </c>
      <c r="AL47" s="451" t="str">
        <f t="shared" si="72"/>
        <v/>
      </c>
      <c r="AM47" s="452" t="str">
        <f t="shared" si="72"/>
        <v/>
      </c>
      <c r="AN47" s="452" t="str">
        <f t="shared" si="72"/>
        <v/>
      </c>
      <c r="AO47" s="452" t="str">
        <f t="shared" si="72"/>
        <v/>
      </c>
      <c r="AP47" s="453" t="str">
        <f t="shared" si="72"/>
        <v/>
      </c>
      <c r="AQ47" s="451" t="str">
        <f t="shared" si="43"/>
        <v/>
      </c>
      <c r="AR47" s="452" t="str">
        <f t="shared" si="43"/>
        <v/>
      </c>
      <c r="AS47" s="452" t="str">
        <f t="shared" si="43"/>
        <v/>
      </c>
      <c r="AT47" s="452" t="str">
        <f t="shared" si="43"/>
        <v/>
      </c>
      <c r="AU47" s="453" t="str">
        <f t="shared" si="43"/>
        <v/>
      </c>
      <c r="AV47" s="451" t="str">
        <f t="shared" si="43"/>
        <v/>
      </c>
      <c r="AW47" s="452" t="str">
        <f t="shared" si="43"/>
        <v/>
      </c>
      <c r="AX47" s="452" t="str">
        <f t="shared" si="43"/>
        <v/>
      </c>
      <c r="AY47" s="452" t="str">
        <f t="shared" si="43"/>
        <v/>
      </c>
      <c r="AZ47" s="453" t="str">
        <f t="shared" si="43"/>
        <v/>
      </c>
      <c r="BA47" s="451" t="str">
        <f t="shared" si="43"/>
        <v/>
      </c>
      <c r="BB47" s="452" t="str">
        <f t="shared" si="43"/>
        <v/>
      </c>
      <c r="BC47" s="452" t="str">
        <f t="shared" si="43"/>
        <v/>
      </c>
      <c r="BD47" s="452" t="str">
        <f t="shared" si="43"/>
        <v/>
      </c>
      <c r="BE47" s="453" t="str">
        <f t="shared" si="43"/>
        <v/>
      </c>
      <c r="BF47" s="451" t="str">
        <f t="shared" si="43"/>
        <v/>
      </c>
      <c r="BG47" s="452" t="str">
        <f t="shared" si="53"/>
        <v/>
      </c>
      <c r="BH47" s="452" t="str">
        <f t="shared" si="53"/>
        <v/>
      </c>
      <c r="BI47" s="452" t="str">
        <f t="shared" si="53"/>
        <v/>
      </c>
      <c r="BJ47" s="453" t="str">
        <f t="shared" si="53"/>
        <v/>
      </c>
      <c r="BK47" s="451" t="str">
        <f t="shared" si="53"/>
        <v/>
      </c>
      <c r="BL47" s="452" t="str">
        <f t="shared" si="53"/>
        <v/>
      </c>
      <c r="BM47" s="452" t="str">
        <f t="shared" si="53"/>
        <v/>
      </c>
      <c r="BN47" s="452" t="str">
        <f t="shared" si="53"/>
        <v/>
      </c>
      <c r="BO47" s="453" t="str">
        <f t="shared" si="53"/>
        <v/>
      </c>
      <c r="BP47" s="451" t="str">
        <f t="shared" si="53"/>
        <v/>
      </c>
      <c r="BQ47" s="452" t="str">
        <f t="shared" si="53"/>
        <v/>
      </c>
      <c r="BR47" s="452" t="str">
        <f t="shared" si="53"/>
        <v/>
      </c>
      <c r="BS47" s="452" t="str">
        <f t="shared" si="53"/>
        <v/>
      </c>
      <c r="BT47" s="453" t="str">
        <f t="shared" si="53"/>
        <v/>
      </c>
      <c r="BU47" s="451" t="str">
        <f t="shared" si="53"/>
        <v/>
      </c>
      <c r="BV47" s="452" t="str">
        <f t="shared" si="53"/>
        <v/>
      </c>
      <c r="BW47" s="452" t="str">
        <f t="shared" si="50"/>
        <v/>
      </c>
      <c r="BX47" s="452" t="str">
        <f t="shared" si="50"/>
        <v/>
      </c>
      <c r="BY47" s="453" t="str">
        <f t="shared" si="54"/>
        <v/>
      </c>
      <c r="BZ47" s="451" t="str">
        <f t="shared" si="54"/>
        <v/>
      </c>
      <c r="CA47" s="452" t="str">
        <f t="shared" si="54"/>
        <v/>
      </c>
      <c r="CB47" s="452" t="str">
        <f t="shared" si="54"/>
        <v/>
      </c>
      <c r="CC47" s="452" t="str">
        <f t="shared" si="54"/>
        <v/>
      </c>
      <c r="CD47" s="453" t="str">
        <f t="shared" si="54"/>
        <v/>
      </c>
      <c r="CE47" s="451" t="str">
        <f t="shared" si="54"/>
        <v/>
      </c>
      <c r="CF47" s="452" t="str">
        <f t="shared" si="54"/>
        <v/>
      </c>
      <c r="CG47" s="452" t="str">
        <f t="shared" si="54"/>
        <v/>
      </c>
      <c r="CH47" s="452" t="str">
        <f t="shared" si="54"/>
        <v/>
      </c>
      <c r="CI47" s="453" t="str">
        <f t="shared" si="54"/>
        <v/>
      </c>
      <c r="CJ47" s="451" t="str">
        <f t="shared" si="54"/>
        <v/>
      </c>
      <c r="CK47" s="452" t="str">
        <f t="shared" si="54"/>
        <v/>
      </c>
      <c r="CL47" s="452" t="str">
        <f t="shared" si="54"/>
        <v/>
      </c>
      <c r="CM47" s="452" t="str">
        <f t="shared" si="54"/>
        <v/>
      </c>
      <c r="CN47" s="453" t="str">
        <f t="shared" si="54"/>
        <v/>
      </c>
      <c r="CO47" s="451" t="str">
        <f t="shared" si="68"/>
        <v/>
      </c>
      <c r="CP47" s="452" t="str">
        <f t="shared" si="68"/>
        <v/>
      </c>
      <c r="CQ47" s="452" t="str">
        <f t="shared" si="68"/>
        <v/>
      </c>
      <c r="CR47" s="452" t="str">
        <f t="shared" si="68"/>
        <v/>
      </c>
      <c r="CS47" s="453" t="str">
        <f t="shared" si="68"/>
        <v/>
      </c>
      <c r="CT47" s="451" t="str">
        <f t="shared" si="68"/>
        <v/>
      </c>
      <c r="CU47" s="452" t="str">
        <f t="shared" si="68"/>
        <v/>
      </c>
      <c r="CV47" s="452" t="str">
        <f t="shared" si="68"/>
        <v/>
      </c>
      <c r="CW47" s="452" t="str">
        <f t="shared" si="68"/>
        <v/>
      </c>
      <c r="CX47" s="453" t="str">
        <f t="shared" si="68"/>
        <v/>
      </c>
      <c r="CY47" s="451" t="str">
        <f t="shared" si="68"/>
        <v/>
      </c>
      <c r="CZ47" s="452" t="str">
        <f t="shared" si="55"/>
        <v/>
      </c>
      <c r="DA47" s="452" t="str">
        <f t="shared" si="55"/>
        <v/>
      </c>
      <c r="DB47" s="452" t="str">
        <f t="shared" si="55"/>
        <v/>
      </c>
      <c r="DC47" s="453" t="str">
        <f t="shared" si="55"/>
        <v/>
      </c>
      <c r="DD47" s="451" t="str">
        <f t="shared" si="55"/>
        <v/>
      </c>
      <c r="DE47" s="452" t="str">
        <f t="shared" si="62"/>
        <v/>
      </c>
      <c r="DF47" s="452" t="str">
        <f t="shared" si="62"/>
        <v/>
      </c>
      <c r="DG47" s="452" t="str">
        <f t="shared" si="62"/>
        <v/>
      </c>
      <c r="DH47" s="453" t="str">
        <f t="shared" si="62"/>
        <v/>
      </c>
      <c r="DI47" s="451" t="str">
        <f t="shared" si="62"/>
        <v/>
      </c>
      <c r="DJ47" s="452" t="str">
        <f t="shared" si="62"/>
        <v/>
      </c>
      <c r="DK47" s="452" t="str">
        <f t="shared" si="62"/>
        <v/>
      </c>
      <c r="DL47" s="452" t="str">
        <f t="shared" si="62"/>
        <v/>
      </c>
      <c r="DM47" s="453" t="str">
        <f t="shared" si="62"/>
        <v/>
      </c>
      <c r="DN47" s="451" t="str">
        <f t="shared" si="62"/>
        <v/>
      </c>
      <c r="DO47" s="452" t="str">
        <f t="shared" si="62"/>
        <v/>
      </c>
      <c r="DP47" s="452" t="str">
        <f t="shared" si="62"/>
        <v/>
      </c>
      <c r="DQ47" s="452" t="str">
        <f t="shared" si="62"/>
        <v/>
      </c>
      <c r="DR47" s="453" t="str">
        <f t="shared" si="62"/>
        <v/>
      </c>
      <c r="DS47" s="451" t="str">
        <f t="shared" si="62"/>
        <v/>
      </c>
      <c r="DT47" s="452" t="str">
        <f t="shared" si="62"/>
        <v/>
      </c>
      <c r="DU47" s="452" t="str">
        <f t="shared" si="58"/>
        <v/>
      </c>
      <c r="DV47" s="452" t="str">
        <f t="shared" si="58"/>
        <v/>
      </c>
      <c r="DW47" s="453" t="str">
        <f t="shared" si="58"/>
        <v/>
      </c>
      <c r="DX47" s="451" t="str">
        <f t="shared" si="58"/>
        <v/>
      </c>
      <c r="DY47" s="452" t="str">
        <f t="shared" si="58"/>
        <v/>
      </c>
      <c r="DZ47" s="452" t="str">
        <f t="shared" si="58"/>
        <v/>
      </c>
      <c r="EA47" s="452" t="str">
        <f t="shared" si="58"/>
        <v/>
      </c>
      <c r="EB47" s="453" t="str">
        <f t="shared" si="58"/>
        <v/>
      </c>
      <c r="EC47" s="451" t="str">
        <f t="shared" si="58"/>
        <v/>
      </c>
      <c r="ED47" s="452" t="str">
        <f t="shared" si="58"/>
        <v/>
      </c>
      <c r="EE47" s="452" t="str">
        <f t="shared" si="58"/>
        <v/>
      </c>
      <c r="EF47" s="452" t="str">
        <f t="shared" si="58"/>
        <v/>
      </c>
      <c r="EG47" s="453" t="str">
        <f t="shared" si="58"/>
        <v/>
      </c>
      <c r="EH47" s="451" t="str">
        <f t="shared" si="58"/>
        <v/>
      </c>
      <c r="EI47" s="452" t="str">
        <f t="shared" si="58"/>
        <v/>
      </c>
      <c r="EJ47" s="452" t="str">
        <f t="shared" si="67"/>
        <v/>
      </c>
      <c r="EK47" s="452" t="str">
        <f t="shared" si="67"/>
        <v/>
      </c>
      <c r="EL47" s="453" t="str">
        <f t="shared" si="67"/>
        <v/>
      </c>
      <c r="EM47" s="451" t="str">
        <f t="shared" si="67"/>
        <v/>
      </c>
      <c r="EN47" s="452" t="str">
        <f t="shared" si="67"/>
        <v/>
      </c>
      <c r="EO47" s="452" t="str">
        <f t="shared" si="67"/>
        <v/>
      </c>
      <c r="EP47" s="452" t="str">
        <f t="shared" si="67"/>
        <v/>
      </c>
      <c r="EQ47" s="453" t="str">
        <f t="shared" si="67"/>
        <v/>
      </c>
      <c r="ER47" s="451" t="str">
        <f t="shared" si="67"/>
        <v/>
      </c>
      <c r="ES47" s="452" t="str">
        <f t="shared" si="67"/>
        <v/>
      </c>
      <c r="ET47" s="452" t="str">
        <f t="shared" si="67"/>
        <v/>
      </c>
      <c r="EU47" s="452" t="str">
        <f t="shared" si="67"/>
        <v/>
      </c>
      <c r="EV47" s="453" t="str">
        <f t="shared" si="67"/>
        <v/>
      </c>
      <c r="EW47" s="451" t="str">
        <f t="shared" si="67"/>
        <v/>
      </c>
      <c r="EX47" s="452" t="str">
        <f t="shared" si="67"/>
        <v/>
      </c>
      <c r="EY47" s="452" t="str">
        <f t="shared" si="67"/>
        <v/>
      </c>
      <c r="EZ47" s="452" t="str">
        <f t="shared" ref="EZ47:FO58" si="73">IF(AND(EZ$2&gt;=$J47,EZ$2&lt;=$K47),1,"")</f>
        <v/>
      </c>
      <c r="FA47" s="453" t="str">
        <f t="shared" si="73"/>
        <v/>
      </c>
      <c r="FB47" s="451" t="str">
        <f t="shared" si="73"/>
        <v/>
      </c>
      <c r="FC47" s="452" t="str">
        <f t="shared" si="73"/>
        <v/>
      </c>
      <c r="FD47" s="452" t="str">
        <f t="shared" si="73"/>
        <v/>
      </c>
      <c r="FE47" s="452" t="str">
        <f t="shared" si="73"/>
        <v/>
      </c>
      <c r="FF47" s="453" t="str">
        <f t="shared" si="73"/>
        <v/>
      </c>
      <c r="FG47" s="451" t="str">
        <f t="shared" si="73"/>
        <v/>
      </c>
      <c r="FH47" s="452" t="str">
        <f t="shared" si="73"/>
        <v/>
      </c>
      <c r="FI47" s="452" t="str">
        <f t="shared" si="73"/>
        <v/>
      </c>
      <c r="FJ47" s="452" t="str">
        <f t="shared" si="73"/>
        <v/>
      </c>
      <c r="FK47" s="453" t="str">
        <f t="shared" si="73"/>
        <v/>
      </c>
      <c r="FL47" s="451" t="str">
        <f t="shared" si="73"/>
        <v/>
      </c>
      <c r="FM47" s="452" t="str">
        <f t="shared" si="73"/>
        <v/>
      </c>
      <c r="FN47" s="452" t="str">
        <f t="shared" si="73"/>
        <v/>
      </c>
      <c r="FO47" s="452" t="str">
        <f t="shared" si="73"/>
        <v/>
      </c>
      <c r="FP47" s="453" t="str">
        <f t="shared" si="71"/>
        <v/>
      </c>
      <c r="FQ47" s="451" t="str">
        <f t="shared" si="71"/>
        <v/>
      </c>
      <c r="FR47" s="452" t="str">
        <f t="shared" si="71"/>
        <v/>
      </c>
      <c r="FS47" s="452" t="str">
        <f t="shared" si="71"/>
        <v/>
      </c>
      <c r="FT47" s="452" t="str">
        <f t="shared" si="71"/>
        <v/>
      </c>
      <c r="FU47" s="453" t="str">
        <f t="shared" si="71"/>
        <v/>
      </c>
      <c r="FV47" s="451" t="str">
        <f t="shared" si="71"/>
        <v/>
      </c>
      <c r="FW47" s="452" t="str">
        <f t="shared" si="71"/>
        <v/>
      </c>
      <c r="FX47" s="452" t="str">
        <f t="shared" si="71"/>
        <v/>
      </c>
      <c r="FY47" s="452" t="str">
        <f t="shared" si="71"/>
        <v/>
      </c>
      <c r="FZ47" s="453" t="str">
        <f t="shared" ref="FZ47:GP63" si="74">IF(AND(FZ$2&gt;=$J47,FZ$2&lt;=$K47),1,"")</f>
        <v/>
      </c>
      <c r="GA47" s="451" t="str">
        <f t="shared" si="74"/>
        <v/>
      </c>
      <c r="GB47" s="452" t="str">
        <f t="shared" si="74"/>
        <v/>
      </c>
      <c r="GC47" s="452" t="str">
        <f t="shared" si="74"/>
        <v/>
      </c>
      <c r="GD47" s="452" t="str">
        <f t="shared" si="74"/>
        <v/>
      </c>
      <c r="GE47" s="453" t="str">
        <f t="shared" si="74"/>
        <v/>
      </c>
      <c r="GF47" s="451" t="str">
        <f t="shared" si="74"/>
        <v/>
      </c>
      <c r="GG47" s="452" t="str">
        <f t="shared" si="74"/>
        <v/>
      </c>
      <c r="GH47" s="452" t="str">
        <f t="shared" si="74"/>
        <v/>
      </c>
      <c r="GI47" s="452" t="str">
        <f t="shared" si="74"/>
        <v/>
      </c>
      <c r="GJ47" s="453" t="str">
        <f t="shared" si="74"/>
        <v/>
      </c>
      <c r="GK47" s="451" t="str">
        <f t="shared" si="40"/>
        <v/>
      </c>
      <c r="GL47" s="452" t="str">
        <f t="shared" si="40"/>
        <v/>
      </c>
      <c r="GM47" s="452" t="str">
        <f t="shared" si="40"/>
        <v/>
      </c>
      <c r="GN47" s="452" t="str">
        <f t="shared" si="40"/>
        <v/>
      </c>
      <c r="GO47" s="453" t="str">
        <f t="shared" si="40"/>
        <v/>
      </c>
      <c r="GP47" s="451" t="str">
        <f t="shared" si="69"/>
        <v/>
      </c>
      <c r="GQ47" s="452" t="str">
        <f t="shared" si="69"/>
        <v/>
      </c>
      <c r="GR47" s="452" t="str">
        <f t="shared" si="69"/>
        <v/>
      </c>
      <c r="GS47" s="452" t="str">
        <f t="shared" si="69"/>
        <v/>
      </c>
      <c r="GT47" s="453" t="str">
        <f t="shared" si="69"/>
        <v/>
      </c>
      <c r="GU47" s="451" t="str">
        <f t="shared" si="69"/>
        <v/>
      </c>
      <c r="GV47" s="452" t="str">
        <f t="shared" si="69"/>
        <v/>
      </c>
      <c r="GW47" s="452" t="str">
        <f t="shared" si="69"/>
        <v/>
      </c>
      <c r="GX47" s="452" t="str">
        <f t="shared" si="69"/>
        <v/>
      </c>
      <c r="GY47" s="453" t="str">
        <f t="shared" si="69"/>
        <v/>
      </c>
      <c r="GZ47" s="451" t="str">
        <f t="shared" si="69"/>
        <v/>
      </c>
      <c r="HA47" s="452" t="str">
        <f t="shared" si="69"/>
        <v/>
      </c>
      <c r="HB47" s="452" t="str">
        <f t="shared" si="69"/>
        <v/>
      </c>
      <c r="HC47" s="452" t="str">
        <f t="shared" si="69"/>
        <v/>
      </c>
      <c r="HD47" s="453" t="str">
        <f t="shared" si="69"/>
        <v/>
      </c>
      <c r="HE47" s="451" t="str">
        <f t="shared" si="69"/>
        <v/>
      </c>
      <c r="HF47" s="452" t="str">
        <f t="shared" si="65"/>
        <v/>
      </c>
      <c r="HG47" s="452" t="str">
        <f t="shared" si="65"/>
        <v/>
      </c>
      <c r="HH47" s="452" t="str">
        <f t="shared" si="65"/>
        <v/>
      </c>
      <c r="HI47" s="453" t="str">
        <f t="shared" si="65"/>
        <v/>
      </c>
      <c r="HJ47" s="451" t="str">
        <f t="shared" si="65"/>
        <v/>
      </c>
      <c r="HK47" s="452" t="str">
        <f t="shared" si="65"/>
        <v/>
      </c>
      <c r="HL47" s="452" t="str">
        <f t="shared" si="65"/>
        <v/>
      </c>
      <c r="HM47" s="452" t="str">
        <f t="shared" si="65"/>
        <v/>
      </c>
      <c r="HN47" s="453" t="str">
        <f t="shared" si="65"/>
        <v/>
      </c>
      <c r="HO47" s="451" t="str">
        <f t="shared" si="65"/>
        <v/>
      </c>
      <c r="HP47" s="452" t="str">
        <f t="shared" si="65"/>
        <v/>
      </c>
      <c r="HQ47" s="452" t="str">
        <f t="shared" si="65"/>
        <v/>
      </c>
      <c r="HR47" s="452" t="str">
        <f t="shared" si="65"/>
        <v/>
      </c>
      <c r="HS47" s="453" t="str">
        <f t="shared" si="65"/>
        <v/>
      </c>
      <c r="HT47" s="451" t="str">
        <f t="shared" si="65"/>
        <v/>
      </c>
      <c r="HU47" s="452" t="str">
        <f t="shared" si="65"/>
        <v/>
      </c>
      <c r="HV47" s="452" t="str">
        <f t="shared" si="63"/>
        <v/>
      </c>
      <c r="HW47" s="452" t="str">
        <f t="shared" si="63"/>
        <v/>
      </c>
      <c r="HX47" s="453" t="str">
        <f t="shared" si="63"/>
        <v/>
      </c>
      <c r="HY47" s="451" t="str">
        <f t="shared" si="63"/>
        <v/>
      </c>
      <c r="HZ47" s="452" t="str">
        <f t="shared" si="63"/>
        <v/>
      </c>
      <c r="IA47" s="452" t="str">
        <f t="shared" si="66"/>
        <v/>
      </c>
      <c r="IB47" s="452" t="str">
        <f t="shared" si="66"/>
        <v/>
      </c>
      <c r="IC47" s="453" t="str">
        <f t="shared" si="66"/>
        <v/>
      </c>
      <c r="ID47" s="451" t="str">
        <f t="shared" si="66"/>
        <v/>
      </c>
      <c r="IE47" s="452" t="str">
        <f t="shared" si="66"/>
        <v/>
      </c>
      <c r="IF47" s="452" t="str">
        <f t="shared" si="66"/>
        <v/>
      </c>
      <c r="IG47" s="452" t="str">
        <f t="shared" si="66"/>
        <v/>
      </c>
      <c r="IH47" s="453" t="str">
        <f t="shared" si="66"/>
        <v/>
      </c>
      <c r="II47" s="451" t="str">
        <f t="shared" si="66"/>
        <v/>
      </c>
      <c r="IJ47" s="452" t="str">
        <f t="shared" si="66"/>
        <v/>
      </c>
      <c r="IK47" s="452" t="str">
        <f t="shared" si="66"/>
        <v/>
      </c>
      <c r="IL47" s="452" t="str">
        <f t="shared" si="66"/>
        <v/>
      </c>
      <c r="IM47" s="453" t="str">
        <f t="shared" si="66"/>
        <v/>
      </c>
      <c r="IN47" s="451" t="str">
        <f t="shared" si="66"/>
        <v/>
      </c>
      <c r="IO47" s="452" t="str">
        <f t="shared" si="66"/>
        <v/>
      </c>
      <c r="IP47" s="452" t="str">
        <f t="shared" si="66"/>
        <v/>
      </c>
      <c r="IQ47" s="452" t="str">
        <f t="shared" si="64"/>
        <v/>
      </c>
      <c r="IR47" s="453" t="str">
        <f t="shared" si="64"/>
        <v/>
      </c>
    </row>
    <row r="48" spans="1:252" x14ac:dyDescent="0.2">
      <c r="A48" s="455">
        <v>5</v>
      </c>
      <c r="B48" s="456"/>
      <c r="C48" s="456" t="str">
        <f>Breakdown!$A13</f>
        <v xml:space="preserve">Package 1 DOAS and temp ducting </v>
      </c>
      <c r="D48" s="457"/>
      <c r="E48" s="437" t="str">
        <f>IF(E49="","",MIN(E49:E58))</f>
        <v/>
      </c>
      <c r="F48" s="437" t="str">
        <f>IF(F49="","",MAX(F49:F58))</f>
        <v/>
      </c>
      <c r="G48" s="437"/>
      <c r="H48" s="437"/>
      <c r="I48" s="458"/>
      <c r="J48" s="459">
        <f>MIN(J49:J58)</f>
        <v>0</v>
      </c>
      <c r="K48" s="459">
        <f>MAX(K49:K58)</f>
        <v>0</v>
      </c>
      <c r="L48" s="460">
        <f t="shared" si="0"/>
        <v>0</v>
      </c>
      <c r="M48" s="451" t="str">
        <f t="shared" si="70"/>
        <v/>
      </c>
      <c r="N48" s="452" t="str">
        <f t="shared" si="70"/>
        <v/>
      </c>
      <c r="O48" s="452" t="str">
        <f t="shared" si="70"/>
        <v/>
      </c>
      <c r="P48" s="452" t="str">
        <f t="shared" si="70"/>
        <v/>
      </c>
      <c r="Q48" s="453" t="str">
        <f t="shared" si="70"/>
        <v/>
      </c>
      <c r="R48" s="451" t="str">
        <f t="shared" si="70"/>
        <v/>
      </c>
      <c r="S48" s="452" t="str">
        <f t="shared" si="70"/>
        <v/>
      </c>
      <c r="T48" s="452" t="str">
        <f t="shared" si="70"/>
        <v/>
      </c>
      <c r="U48" s="452" t="str">
        <f t="shared" si="70"/>
        <v/>
      </c>
      <c r="V48" s="453" t="str">
        <f t="shared" si="70"/>
        <v/>
      </c>
      <c r="W48" s="451" t="str">
        <f t="shared" si="70"/>
        <v/>
      </c>
      <c r="X48" s="452" t="str">
        <f t="shared" si="70"/>
        <v/>
      </c>
      <c r="Y48" s="452" t="str">
        <f t="shared" si="70"/>
        <v/>
      </c>
      <c r="Z48" s="452" t="str">
        <f t="shared" si="70"/>
        <v/>
      </c>
      <c r="AA48" s="453" t="str">
        <f t="shared" si="70"/>
        <v/>
      </c>
      <c r="AB48" s="451" t="str">
        <f t="shared" si="70"/>
        <v/>
      </c>
      <c r="AC48" s="452" t="str">
        <f t="shared" ref="AC48:AR64" si="75">IF(AND(AC$2&gt;=$J48,AC$2&lt;=$K48),1,"")</f>
        <v/>
      </c>
      <c r="AD48" s="452" t="str">
        <f t="shared" si="75"/>
        <v/>
      </c>
      <c r="AE48" s="452" t="str">
        <f t="shared" si="75"/>
        <v/>
      </c>
      <c r="AF48" s="453" t="str">
        <f t="shared" si="75"/>
        <v/>
      </c>
      <c r="AG48" s="451" t="str">
        <f t="shared" si="75"/>
        <v/>
      </c>
      <c r="AH48" s="452" t="str">
        <f t="shared" si="75"/>
        <v/>
      </c>
      <c r="AI48" s="452" t="str">
        <f t="shared" si="75"/>
        <v/>
      </c>
      <c r="AJ48" s="452" t="str">
        <f t="shared" si="75"/>
        <v/>
      </c>
      <c r="AK48" s="453" t="str">
        <f t="shared" si="75"/>
        <v/>
      </c>
      <c r="AL48" s="451" t="str">
        <f t="shared" si="75"/>
        <v/>
      </c>
      <c r="AM48" s="452" t="str">
        <f t="shared" si="75"/>
        <v/>
      </c>
      <c r="AN48" s="452" t="str">
        <f t="shared" si="75"/>
        <v/>
      </c>
      <c r="AO48" s="452" t="str">
        <f t="shared" si="75"/>
        <v/>
      </c>
      <c r="AP48" s="453" t="str">
        <f t="shared" si="75"/>
        <v/>
      </c>
      <c r="AQ48" s="451" t="str">
        <f t="shared" si="43"/>
        <v/>
      </c>
      <c r="AR48" s="452" t="str">
        <f t="shared" si="43"/>
        <v/>
      </c>
      <c r="AS48" s="452" t="str">
        <f t="shared" si="43"/>
        <v/>
      </c>
      <c r="AT48" s="452" t="str">
        <f t="shared" si="43"/>
        <v/>
      </c>
      <c r="AU48" s="453" t="str">
        <f t="shared" si="43"/>
        <v/>
      </c>
      <c r="AV48" s="451" t="str">
        <f t="shared" si="43"/>
        <v/>
      </c>
      <c r="AW48" s="452" t="str">
        <f t="shared" si="43"/>
        <v/>
      </c>
      <c r="AX48" s="452" t="str">
        <f t="shared" si="43"/>
        <v/>
      </c>
      <c r="AY48" s="452" t="str">
        <f t="shared" si="43"/>
        <v/>
      </c>
      <c r="AZ48" s="453" t="str">
        <f t="shared" si="43"/>
        <v/>
      </c>
      <c r="BA48" s="451" t="str">
        <f t="shared" si="43"/>
        <v/>
      </c>
      <c r="BB48" s="452" t="str">
        <f t="shared" si="43"/>
        <v/>
      </c>
      <c r="BC48" s="452" t="str">
        <f t="shared" si="43"/>
        <v/>
      </c>
      <c r="BD48" s="452" t="str">
        <f t="shared" si="43"/>
        <v/>
      </c>
      <c r="BE48" s="453" t="str">
        <f t="shared" si="43"/>
        <v/>
      </c>
      <c r="BF48" s="451" t="str">
        <f t="shared" si="43"/>
        <v/>
      </c>
      <c r="BG48" s="452" t="str">
        <f t="shared" si="53"/>
        <v/>
      </c>
      <c r="BH48" s="452" t="str">
        <f t="shared" si="53"/>
        <v/>
      </c>
      <c r="BI48" s="452" t="str">
        <f t="shared" si="53"/>
        <v/>
      </c>
      <c r="BJ48" s="453" t="str">
        <f t="shared" si="53"/>
        <v/>
      </c>
      <c r="BK48" s="451" t="str">
        <f t="shared" si="53"/>
        <v/>
      </c>
      <c r="BL48" s="452" t="str">
        <f t="shared" si="53"/>
        <v/>
      </c>
      <c r="BM48" s="452" t="str">
        <f t="shared" si="53"/>
        <v/>
      </c>
      <c r="BN48" s="452" t="str">
        <f t="shared" si="53"/>
        <v/>
      </c>
      <c r="BO48" s="453" t="str">
        <f t="shared" si="53"/>
        <v/>
      </c>
      <c r="BP48" s="451" t="str">
        <f t="shared" si="53"/>
        <v/>
      </c>
      <c r="BQ48" s="452" t="str">
        <f t="shared" si="53"/>
        <v/>
      </c>
      <c r="BR48" s="452" t="str">
        <f t="shared" si="53"/>
        <v/>
      </c>
      <c r="BS48" s="452" t="str">
        <f t="shared" si="53"/>
        <v/>
      </c>
      <c r="BT48" s="453" t="str">
        <f t="shared" si="53"/>
        <v/>
      </c>
      <c r="BU48" s="451" t="str">
        <f t="shared" si="53"/>
        <v/>
      </c>
      <c r="BV48" s="452" t="str">
        <f t="shared" si="53"/>
        <v/>
      </c>
      <c r="BW48" s="452" t="str">
        <f t="shared" si="50"/>
        <v/>
      </c>
      <c r="BX48" s="452" t="str">
        <f t="shared" si="50"/>
        <v/>
      </c>
      <c r="BY48" s="453" t="str">
        <f t="shared" si="54"/>
        <v/>
      </c>
      <c r="BZ48" s="451" t="str">
        <f t="shared" si="54"/>
        <v/>
      </c>
      <c r="CA48" s="452" t="str">
        <f t="shared" si="54"/>
        <v/>
      </c>
      <c r="CB48" s="452" t="str">
        <f t="shared" si="54"/>
        <v/>
      </c>
      <c r="CC48" s="452" t="str">
        <f t="shared" si="54"/>
        <v/>
      </c>
      <c r="CD48" s="453" t="str">
        <f t="shared" si="54"/>
        <v/>
      </c>
      <c r="CE48" s="451" t="str">
        <f t="shared" si="54"/>
        <v/>
      </c>
      <c r="CF48" s="452" t="str">
        <f t="shared" si="54"/>
        <v/>
      </c>
      <c r="CG48" s="452" t="str">
        <f t="shared" si="54"/>
        <v/>
      </c>
      <c r="CH48" s="452" t="str">
        <f t="shared" si="54"/>
        <v/>
      </c>
      <c r="CI48" s="453" t="str">
        <f t="shared" si="54"/>
        <v/>
      </c>
      <c r="CJ48" s="451" t="str">
        <f t="shared" si="54"/>
        <v/>
      </c>
      <c r="CK48" s="452" t="str">
        <f t="shared" si="54"/>
        <v/>
      </c>
      <c r="CL48" s="452" t="str">
        <f t="shared" si="54"/>
        <v/>
      </c>
      <c r="CM48" s="452" t="str">
        <f t="shared" si="54"/>
        <v/>
      </c>
      <c r="CN48" s="453" t="str">
        <f t="shared" si="54"/>
        <v/>
      </c>
      <c r="CO48" s="451" t="str">
        <f t="shared" si="68"/>
        <v/>
      </c>
      <c r="CP48" s="452" t="str">
        <f t="shared" si="68"/>
        <v/>
      </c>
      <c r="CQ48" s="452" t="str">
        <f t="shared" si="68"/>
        <v/>
      </c>
      <c r="CR48" s="452" t="str">
        <f t="shared" si="68"/>
        <v/>
      </c>
      <c r="CS48" s="453" t="str">
        <f t="shared" si="68"/>
        <v/>
      </c>
      <c r="CT48" s="451" t="str">
        <f t="shared" si="68"/>
        <v/>
      </c>
      <c r="CU48" s="452" t="str">
        <f t="shared" si="68"/>
        <v/>
      </c>
      <c r="CV48" s="452" t="str">
        <f t="shared" si="68"/>
        <v/>
      </c>
      <c r="CW48" s="452" t="str">
        <f t="shared" si="68"/>
        <v/>
      </c>
      <c r="CX48" s="453" t="str">
        <f t="shared" si="68"/>
        <v/>
      </c>
      <c r="CY48" s="451" t="str">
        <f t="shared" si="68"/>
        <v/>
      </c>
      <c r="CZ48" s="452" t="str">
        <f t="shared" si="55"/>
        <v/>
      </c>
      <c r="DA48" s="452" t="str">
        <f t="shared" si="55"/>
        <v/>
      </c>
      <c r="DB48" s="452" t="str">
        <f t="shared" si="55"/>
        <v/>
      </c>
      <c r="DC48" s="453" t="str">
        <f t="shared" si="55"/>
        <v/>
      </c>
      <c r="DD48" s="451" t="str">
        <f t="shared" si="55"/>
        <v/>
      </c>
      <c r="DE48" s="452" t="str">
        <f t="shared" si="62"/>
        <v/>
      </c>
      <c r="DF48" s="452" t="str">
        <f t="shared" si="62"/>
        <v/>
      </c>
      <c r="DG48" s="452" t="str">
        <f t="shared" si="62"/>
        <v/>
      </c>
      <c r="DH48" s="453" t="str">
        <f t="shared" si="62"/>
        <v/>
      </c>
      <c r="DI48" s="451" t="str">
        <f t="shared" si="62"/>
        <v/>
      </c>
      <c r="DJ48" s="452" t="str">
        <f t="shared" si="62"/>
        <v/>
      </c>
      <c r="DK48" s="452" t="str">
        <f t="shared" si="62"/>
        <v/>
      </c>
      <c r="DL48" s="452" t="str">
        <f t="shared" si="62"/>
        <v/>
      </c>
      <c r="DM48" s="453" t="str">
        <f t="shared" si="62"/>
        <v/>
      </c>
      <c r="DN48" s="451" t="str">
        <f t="shared" si="62"/>
        <v/>
      </c>
      <c r="DO48" s="452" t="str">
        <f t="shared" si="62"/>
        <v/>
      </c>
      <c r="DP48" s="452" t="str">
        <f t="shared" si="62"/>
        <v/>
      </c>
      <c r="DQ48" s="452" t="str">
        <f t="shared" si="62"/>
        <v/>
      </c>
      <c r="DR48" s="453" t="str">
        <f t="shared" si="62"/>
        <v/>
      </c>
      <c r="DS48" s="451" t="str">
        <f t="shared" si="62"/>
        <v/>
      </c>
      <c r="DT48" s="452" t="str">
        <f t="shared" si="62"/>
        <v/>
      </c>
      <c r="DU48" s="452" t="str">
        <f t="shared" si="58"/>
        <v/>
      </c>
      <c r="DV48" s="452" t="str">
        <f t="shared" si="58"/>
        <v/>
      </c>
      <c r="DW48" s="453" t="str">
        <f t="shared" si="58"/>
        <v/>
      </c>
      <c r="DX48" s="451" t="str">
        <f t="shared" si="58"/>
        <v/>
      </c>
      <c r="DY48" s="452" t="str">
        <f t="shared" si="58"/>
        <v/>
      </c>
      <c r="DZ48" s="452" t="str">
        <f t="shared" si="58"/>
        <v/>
      </c>
      <c r="EA48" s="452" t="str">
        <f t="shared" si="58"/>
        <v/>
      </c>
      <c r="EB48" s="453" t="str">
        <f t="shared" si="58"/>
        <v/>
      </c>
      <c r="EC48" s="451" t="str">
        <f t="shared" si="58"/>
        <v/>
      </c>
      <c r="ED48" s="452" t="str">
        <f t="shared" si="58"/>
        <v/>
      </c>
      <c r="EE48" s="452" t="str">
        <f t="shared" si="58"/>
        <v/>
      </c>
      <c r="EF48" s="452" t="str">
        <f t="shared" si="58"/>
        <v/>
      </c>
      <c r="EG48" s="453" t="str">
        <f t="shared" si="58"/>
        <v/>
      </c>
      <c r="EH48" s="451" t="str">
        <f t="shared" si="58"/>
        <v/>
      </c>
      <c r="EI48" s="452" t="str">
        <f t="shared" si="58"/>
        <v/>
      </c>
      <c r="EJ48" s="452" t="str">
        <f t="shared" si="67"/>
        <v/>
      </c>
      <c r="EK48" s="452" t="str">
        <f t="shared" si="67"/>
        <v/>
      </c>
      <c r="EL48" s="453" t="str">
        <f t="shared" si="67"/>
        <v/>
      </c>
      <c r="EM48" s="451" t="str">
        <f t="shared" si="67"/>
        <v/>
      </c>
      <c r="EN48" s="452" t="str">
        <f t="shared" si="67"/>
        <v/>
      </c>
      <c r="EO48" s="452" t="str">
        <f t="shared" si="67"/>
        <v/>
      </c>
      <c r="EP48" s="452" t="str">
        <f t="shared" si="67"/>
        <v/>
      </c>
      <c r="EQ48" s="453" t="str">
        <f t="shared" si="67"/>
        <v/>
      </c>
      <c r="ER48" s="451" t="str">
        <f t="shared" si="67"/>
        <v/>
      </c>
      <c r="ES48" s="452" t="str">
        <f t="shared" si="67"/>
        <v/>
      </c>
      <c r="ET48" s="452" t="str">
        <f t="shared" si="67"/>
        <v/>
      </c>
      <c r="EU48" s="452" t="str">
        <f t="shared" si="67"/>
        <v/>
      </c>
      <c r="EV48" s="453" t="str">
        <f t="shared" si="67"/>
        <v/>
      </c>
      <c r="EW48" s="451" t="str">
        <f t="shared" si="67"/>
        <v/>
      </c>
      <c r="EX48" s="452" t="str">
        <f t="shared" si="67"/>
        <v/>
      </c>
      <c r="EY48" s="452" t="str">
        <f t="shared" si="67"/>
        <v/>
      </c>
      <c r="EZ48" s="452" t="str">
        <f t="shared" si="73"/>
        <v/>
      </c>
      <c r="FA48" s="453" t="str">
        <f t="shared" si="73"/>
        <v/>
      </c>
      <c r="FB48" s="451" t="str">
        <f t="shared" si="73"/>
        <v/>
      </c>
      <c r="FC48" s="452" t="str">
        <f t="shared" si="73"/>
        <v/>
      </c>
      <c r="FD48" s="452" t="str">
        <f t="shared" si="73"/>
        <v/>
      </c>
      <c r="FE48" s="452" t="str">
        <f t="shared" si="73"/>
        <v/>
      </c>
      <c r="FF48" s="453" t="str">
        <f t="shared" si="73"/>
        <v/>
      </c>
      <c r="FG48" s="451" t="str">
        <f t="shared" si="73"/>
        <v/>
      </c>
      <c r="FH48" s="452" t="str">
        <f t="shared" si="73"/>
        <v/>
      </c>
      <c r="FI48" s="452" t="str">
        <f t="shared" si="73"/>
        <v/>
      </c>
      <c r="FJ48" s="452" t="str">
        <f t="shared" si="73"/>
        <v/>
      </c>
      <c r="FK48" s="453" t="str">
        <f t="shared" si="73"/>
        <v/>
      </c>
      <c r="FL48" s="451" t="str">
        <f t="shared" si="73"/>
        <v/>
      </c>
      <c r="FM48" s="452" t="str">
        <f t="shared" si="73"/>
        <v/>
      </c>
      <c r="FN48" s="452" t="str">
        <f t="shared" si="73"/>
        <v/>
      </c>
      <c r="FO48" s="452" t="str">
        <f t="shared" si="73"/>
        <v/>
      </c>
      <c r="FP48" s="453" t="str">
        <f t="shared" si="71"/>
        <v/>
      </c>
      <c r="FQ48" s="451" t="str">
        <f t="shared" si="71"/>
        <v/>
      </c>
      <c r="FR48" s="452" t="str">
        <f t="shared" si="71"/>
        <v/>
      </c>
      <c r="FS48" s="452" t="str">
        <f t="shared" si="71"/>
        <v/>
      </c>
      <c r="FT48" s="452" t="str">
        <f t="shared" si="71"/>
        <v/>
      </c>
      <c r="FU48" s="453" t="str">
        <f t="shared" si="71"/>
        <v/>
      </c>
      <c r="FV48" s="451" t="str">
        <f t="shared" si="71"/>
        <v/>
      </c>
      <c r="FW48" s="452" t="str">
        <f t="shared" si="71"/>
        <v/>
      </c>
      <c r="FX48" s="452" t="str">
        <f t="shared" si="71"/>
        <v/>
      </c>
      <c r="FY48" s="452" t="str">
        <f t="shared" si="71"/>
        <v/>
      </c>
      <c r="FZ48" s="453" t="str">
        <f t="shared" si="74"/>
        <v/>
      </c>
      <c r="GA48" s="451" t="str">
        <f t="shared" si="74"/>
        <v/>
      </c>
      <c r="GB48" s="452" t="str">
        <f t="shared" si="74"/>
        <v/>
      </c>
      <c r="GC48" s="452" t="str">
        <f t="shared" si="74"/>
        <v/>
      </c>
      <c r="GD48" s="452" t="str">
        <f t="shared" si="74"/>
        <v/>
      </c>
      <c r="GE48" s="453" t="str">
        <f t="shared" si="74"/>
        <v/>
      </c>
      <c r="GF48" s="451" t="str">
        <f t="shared" si="74"/>
        <v/>
      </c>
      <c r="GG48" s="452" t="str">
        <f t="shared" si="74"/>
        <v/>
      </c>
      <c r="GH48" s="452" t="str">
        <f t="shared" si="74"/>
        <v/>
      </c>
      <c r="GI48" s="452" t="str">
        <f t="shared" si="74"/>
        <v/>
      </c>
      <c r="GJ48" s="453" t="str">
        <f t="shared" si="74"/>
        <v/>
      </c>
      <c r="GK48" s="451" t="str">
        <f t="shared" si="40"/>
        <v/>
      </c>
      <c r="GL48" s="452" t="str">
        <f t="shared" si="40"/>
        <v/>
      </c>
      <c r="GM48" s="452" t="str">
        <f t="shared" si="40"/>
        <v/>
      </c>
      <c r="GN48" s="452" t="str">
        <f t="shared" si="40"/>
        <v/>
      </c>
      <c r="GO48" s="453" t="str">
        <f t="shared" si="40"/>
        <v/>
      </c>
      <c r="GP48" s="451" t="str">
        <f t="shared" si="69"/>
        <v/>
      </c>
      <c r="GQ48" s="452" t="str">
        <f t="shared" si="69"/>
        <v/>
      </c>
      <c r="GR48" s="452" t="str">
        <f t="shared" si="69"/>
        <v/>
      </c>
      <c r="GS48" s="452" t="str">
        <f t="shared" si="69"/>
        <v/>
      </c>
      <c r="GT48" s="453" t="str">
        <f t="shared" si="69"/>
        <v/>
      </c>
      <c r="GU48" s="451" t="str">
        <f t="shared" si="69"/>
        <v/>
      </c>
      <c r="GV48" s="452" t="str">
        <f t="shared" si="69"/>
        <v/>
      </c>
      <c r="GW48" s="452" t="str">
        <f t="shared" si="69"/>
        <v/>
      </c>
      <c r="GX48" s="452" t="str">
        <f t="shared" si="69"/>
        <v/>
      </c>
      <c r="GY48" s="453" t="str">
        <f t="shared" si="69"/>
        <v/>
      </c>
      <c r="GZ48" s="451" t="str">
        <f t="shared" si="69"/>
        <v/>
      </c>
      <c r="HA48" s="452" t="str">
        <f t="shared" si="69"/>
        <v/>
      </c>
      <c r="HB48" s="452" t="str">
        <f t="shared" si="69"/>
        <v/>
      </c>
      <c r="HC48" s="452" t="str">
        <f t="shared" si="69"/>
        <v/>
      </c>
      <c r="HD48" s="453" t="str">
        <f t="shared" si="69"/>
        <v/>
      </c>
      <c r="HE48" s="451" t="str">
        <f t="shared" si="69"/>
        <v/>
      </c>
      <c r="HF48" s="452" t="str">
        <f t="shared" si="65"/>
        <v/>
      </c>
      <c r="HG48" s="452" t="str">
        <f t="shared" si="65"/>
        <v/>
      </c>
      <c r="HH48" s="452" t="str">
        <f t="shared" si="65"/>
        <v/>
      </c>
      <c r="HI48" s="453" t="str">
        <f t="shared" si="65"/>
        <v/>
      </c>
      <c r="HJ48" s="451" t="str">
        <f t="shared" si="65"/>
        <v/>
      </c>
      <c r="HK48" s="452" t="str">
        <f t="shared" si="65"/>
        <v/>
      </c>
      <c r="HL48" s="452" t="str">
        <f t="shared" si="65"/>
        <v/>
      </c>
      <c r="HM48" s="452" t="str">
        <f t="shared" si="65"/>
        <v/>
      </c>
      <c r="HN48" s="453" t="str">
        <f t="shared" si="65"/>
        <v/>
      </c>
      <c r="HO48" s="451" t="str">
        <f t="shared" si="65"/>
        <v/>
      </c>
      <c r="HP48" s="452" t="str">
        <f t="shared" si="65"/>
        <v/>
      </c>
      <c r="HQ48" s="452" t="str">
        <f t="shared" si="65"/>
        <v/>
      </c>
      <c r="HR48" s="452" t="str">
        <f t="shared" si="65"/>
        <v/>
      </c>
      <c r="HS48" s="453" t="str">
        <f t="shared" si="65"/>
        <v/>
      </c>
      <c r="HT48" s="451" t="str">
        <f t="shared" si="65"/>
        <v/>
      </c>
      <c r="HU48" s="452" t="str">
        <f t="shared" si="65"/>
        <v/>
      </c>
      <c r="HV48" s="452" t="str">
        <f t="shared" si="63"/>
        <v/>
      </c>
      <c r="HW48" s="452" t="str">
        <f t="shared" si="63"/>
        <v/>
      </c>
      <c r="HX48" s="453" t="str">
        <f t="shared" si="63"/>
        <v/>
      </c>
      <c r="HY48" s="451" t="str">
        <f t="shared" si="63"/>
        <v/>
      </c>
      <c r="HZ48" s="452" t="str">
        <f t="shared" si="63"/>
        <v/>
      </c>
      <c r="IA48" s="452" t="str">
        <f t="shared" si="66"/>
        <v/>
      </c>
      <c r="IB48" s="452" t="str">
        <f t="shared" si="66"/>
        <v/>
      </c>
      <c r="IC48" s="453" t="str">
        <f t="shared" si="66"/>
        <v/>
      </c>
      <c r="ID48" s="451" t="str">
        <f t="shared" si="66"/>
        <v/>
      </c>
      <c r="IE48" s="452" t="str">
        <f t="shared" si="66"/>
        <v/>
      </c>
      <c r="IF48" s="452" t="str">
        <f t="shared" si="66"/>
        <v/>
      </c>
      <c r="IG48" s="452" t="str">
        <f t="shared" si="66"/>
        <v/>
      </c>
      <c r="IH48" s="453" t="str">
        <f t="shared" si="66"/>
        <v/>
      </c>
      <c r="II48" s="451" t="str">
        <f t="shared" si="66"/>
        <v/>
      </c>
      <c r="IJ48" s="452" t="str">
        <f t="shared" si="66"/>
        <v/>
      </c>
      <c r="IK48" s="452" t="str">
        <f t="shared" si="66"/>
        <v/>
      </c>
      <c r="IL48" s="452" t="str">
        <f t="shared" si="66"/>
        <v/>
      </c>
      <c r="IM48" s="453" t="str">
        <f t="shared" si="66"/>
        <v/>
      </c>
      <c r="IN48" s="451" t="str">
        <f t="shared" si="66"/>
        <v/>
      </c>
      <c r="IO48" s="452" t="str">
        <f t="shared" si="66"/>
        <v/>
      </c>
      <c r="IP48" s="452" t="str">
        <f t="shared" si="66"/>
        <v/>
      </c>
      <c r="IQ48" s="452" t="str">
        <f t="shared" si="64"/>
        <v/>
      </c>
      <c r="IR48" s="453" t="str">
        <f t="shared" si="64"/>
        <v/>
      </c>
    </row>
    <row r="49" spans="1:252" x14ac:dyDescent="0.2">
      <c r="A49" s="461">
        <v>5.0999999999999996</v>
      </c>
      <c r="C49" s="447" t="s">
        <v>1351</v>
      </c>
      <c r="D49" s="447"/>
      <c r="E49" s="448"/>
      <c r="F49" s="448"/>
      <c r="G49" s="448"/>
      <c r="H49" s="448"/>
      <c r="I49" s="448"/>
      <c r="J49" s="449" t="str">
        <f t="shared" ref="J49:J58" si="76">IF(E49="","",E49-$M$3+1)</f>
        <v/>
      </c>
      <c r="K49" s="449" t="str">
        <f t="shared" ref="K49:K58" si="77">IF(F49="","",F49-$M$3+1)</f>
        <v/>
      </c>
      <c r="L49" s="450">
        <f t="shared" si="0"/>
        <v>0</v>
      </c>
      <c r="M49" s="451" t="str">
        <f t="shared" si="70"/>
        <v/>
      </c>
      <c r="N49" s="452" t="str">
        <f t="shared" si="70"/>
        <v/>
      </c>
      <c r="O49" s="452" t="str">
        <f t="shared" si="70"/>
        <v/>
      </c>
      <c r="P49" s="452" t="str">
        <f t="shared" si="70"/>
        <v/>
      </c>
      <c r="Q49" s="453" t="str">
        <f t="shared" si="70"/>
        <v/>
      </c>
      <c r="R49" s="451" t="str">
        <f t="shared" si="70"/>
        <v/>
      </c>
      <c r="S49" s="452" t="str">
        <f t="shared" si="70"/>
        <v/>
      </c>
      <c r="T49" s="452" t="str">
        <f t="shared" si="70"/>
        <v/>
      </c>
      <c r="U49" s="452" t="str">
        <f t="shared" si="70"/>
        <v/>
      </c>
      <c r="V49" s="453" t="str">
        <f t="shared" si="70"/>
        <v/>
      </c>
      <c r="W49" s="451" t="str">
        <f t="shared" si="70"/>
        <v/>
      </c>
      <c r="X49" s="452" t="str">
        <f t="shared" si="70"/>
        <v/>
      </c>
      <c r="Y49" s="452" t="str">
        <f t="shared" si="70"/>
        <v/>
      </c>
      <c r="Z49" s="452" t="str">
        <f t="shared" si="70"/>
        <v/>
      </c>
      <c r="AA49" s="453" t="str">
        <f t="shared" si="70"/>
        <v/>
      </c>
      <c r="AB49" s="451" t="str">
        <f>IF(AND(AB$2&gt;=$J49,AB$2&lt;=$K49),1,"")</f>
        <v/>
      </c>
      <c r="AC49" s="452" t="str">
        <f t="shared" si="75"/>
        <v/>
      </c>
      <c r="AD49" s="452" t="str">
        <f t="shared" si="75"/>
        <v/>
      </c>
      <c r="AE49" s="452" t="str">
        <f t="shared" si="75"/>
        <v/>
      </c>
      <c r="AF49" s="453" t="str">
        <f t="shared" si="75"/>
        <v/>
      </c>
      <c r="AG49" s="451" t="str">
        <f>IF(AND(AG$2&gt;=$J49,AG$2&lt;=$K49),1,"")</f>
        <v/>
      </c>
      <c r="AH49" s="452" t="str">
        <f t="shared" si="75"/>
        <v/>
      </c>
      <c r="AI49" s="452" t="str">
        <f t="shared" si="75"/>
        <v/>
      </c>
      <c r="AJ49" s="452" t="str">
        <f t="shared" si="75"/>
        <v/>
      </c>
      <c r="AK49" s="453" t="str">
        <f t="shared" si="75"/>
        <v/>
      </c>
      <c r="AL49" s="451" t="str">
        <f>IF(AND(AL$2&gt;=$J49,AL$2&lt;=$K49),1,"")</f>
        <v/>
      </c>
      <c r="AM49" s="452" t="str">
        <f t="shared" si="75"/>
        <v/>
      </c>
      <c r="AN49" s="452" t="str">
        <f t="shared" si="75"/>
        <v/>
      </c>
      <c r="AO49" s="452" t="str">
        <f t="shared" si="75"/>
        <v/>
      </c>
      <c r="AP49" s="453" t="str">
        <f t="shared" si="75"/>
        <v/>
      </c>
      <c r="AQ49" s="451" t="str">
        <f>IF(AND(AQ$2&gt;=$J49,AQ$2&lt;=$K49),1,"")</f>
        <v/>
      </c>
      <c r="AR49" s="452" t="str">
        <f t="shared" si="43"/>
        <v/>
      </c>
      <c r="AS49" s="452" t="str">
        <f t="shared" si="43"/>
        <v/>
      </c>
      <c r="AT49" s="452" t="str">
        <f t="shared" si="43"/>
        <v/>
      </c>
      <c r="AU49" s="453" t="str">
        <f t="shared" si="43"/>
        <v/>
      </c>
      <c r="AV49" s="451" t="str">
        <f>IF(AND(AV$2&gt;=$J49,AV$2&lt;=$K49),1,"")</f>
        <v/>
      </c>
      <c r="AW49" s="452" t="str">
        <f t="shared" si="43"/>
        <v/>
      </c>
      <c r="AX49" s="452" t="str">
        <f t="shared" si="43"/>
        <v/>
      </c>
      <c r="AY49" s="452" t="str">
        <f t="shared" si="43"/>
        <v/>
      </c>
      <c r="AZ49" s="453" t="str">
        <f t="shared" si="43"/>
        <v/>
      </c>
      <c r="BA49" s="451" t="str">
        <f>IF(AND(BA$2&gt;=$J49,BA$2&lt;=$K49),1,"")</f>
        <v/>
      </c>
      <c r="BB49" s="452" t="str">
        <f t="shared" si="43"/>
        <v/>
      </c>
      <c r="BC49" s="452" t="str">
        <f t="shared" si="43"/>
        <v/>
      </c>
      <c r="BD49" s="452" t="str">
        <f t="shared" si="43"/>
        <v/>
      </c>
      <c r="BE49" s="453" t="str">
        <f t="shared" si="43"/>
        <v/>
      </c>
      <c r="BF49" s="451" t="str">
        <f>IF(AND(BF$2&gt;=$J49,BF$2&lt;=$K49),1,"")</f>
        <v/>
      </c>
      <c r="BG49" s="452" t="str">
        <f t="shared" si="53"/>
        <v/>
      </c>
      <c r="BH49" s="452" t="str">
        <f t="shared" si="53"/>
        <v/>
      </c>
      <c r="BI49" s="452" t="str">
        <f t="shared" si="53"/>
        <v/>
      </c>
      <c r="BJ49" s="453" t="str">
        <f t="shared" si="53"/>
        <v/>
      </c>
      <c r="BK49" s="451" t="str">
        <f>IF(AND(BK$2&gt;=$J49,BK$2&lt;=$K49),1,"")</f>
        <v/>
      </c>
      <c r="BL49" s="452" t="str">
        <f t="shared" si="53"/>
        <v/>
      </c>
      <c r="BM49" s="452" t="str">
        <f t="shared" si="53"/>
        <v/>
      </c>
      <c r="BN49" s="452" t="str">
        <f t="shared" si="53"/>
        <v/>
      </c>
      <c r="BO49" s="453" t="str">
        <f t="shared" si="53"/>
        <v/>
      </c>
      <c r="BP49" s="451" t="str">
        <f>IF(AND(BP$2&gt;=$J49,BP$2&lt;=$K49),1,"")</f>
        <v/>
      </c>
      <c r="BQ49" s="452" t="str">
        <f t="shared" si="53"/>
        <v/>
      </c>
      <c r="BR49" s="452" t="str">
        <f t="shared" si="53"/>
        <v/>
      </c>
      <c r="BS49" s="452" t="str">
        <f t="shared" si="53"/>
        <v/>
      </c>
      <c r="BT49" s="453" t="str">
        <f t="shared" si="53"/>
        <v/>
      </c>
      <c r="BU49" s="451" t="str">
        <f>IF(AND(BU$2&gt;=$J49,BU$2&lt;=$K49),1,"")</f>
        <v/>
      </c>
      <c r="BV49" s="452" t="str">
        <f t="shared" si="53"/>
        <v/>
      </c>
      <c r="BW49" s="452" t="str">
        <f t="shared" si="50"/>
        <v/>
      </c>
      <c r="BX49" s="452" t="str">
        <f t="shared" si="50"/>
        <v/>
      </c>
      <c r="BY49" s="453" t="str">
        <f t="shared" si="54"/>
        <v/>
      </c>
      <c r="BZ49" s="451" t="str">
        <f>IF(AND(BZ$2&gt;=$J49,BZ$2&lt;=$K49),1,"")</f>
        <v/>
      </c>
      <c r="CA49" s="452" t="str">
        <f t="shared" si="54"/>
        <v/>
      </c>
      <c r="CB49" s="452" t="str">
        <f t="shared" si="54"/>
        <v/>
      </c>
      <c r="CC49" s="452" t="str">
        <f t="shared" si="54"/>
        <v/>
      </c>
      <c r="CD49" s="453" t="str">
        <f t="shared" si="54"/>
        <v/>
      </c>
      <c r="CE49" s="451" t="str">
        <f>IF(AND(CE$2&gt;=$J49,CE$2&lt;=$K49),1,"")</f>
        <v/>
      </c>
      <c r="CF49" s="452" t="str">
        <f t="shared" si="54"/>
        <v/>
      </c>
      <c r="CG49" s="452" t="str">
        <f t="shared" si="54"/>
        <v/>
      </c>
      <c r="CH49" s="452" t="str">
        <f t="shared" si="54"/>
        <v/>
      </c>
      <c r="CI49" s="453" t="str">
        <f t="shared" si="54"/>
        <v/>
      </c>
      <c r="CJ49" s="451" t="str">
        <f>IF(AND(CJ$2&gt;=$J49,CJ$2&lt;=$K49),1,"")</f>
        <v/>
      </c>
      <c r="CK49" s="452" t="str">
        <f t="shared" si="54"/>
        <v/>
      </c>
      <c r="CL49" s="452" t="str">
        <f t="shared" si="54"/>
        <v/>
      </c>
      <c r="CM49" s="452" t="str">
        <f t="shared" si="54"/>
        <v/>
      </c>
      <c r="CN49" s="453" t="str">
        <f t="shared" si="54"/>
        <v/>
      </c>
      <c r="CO49" s="451" t="str">
        <f>IF(AND(CO$2&gt;=$J49,CO$2&lt;=$K49),1,"")</f>
        <v/>
      </c>
      <c r="CP49" s="452" t="str">
        <f t="shared" si="68"/>
        <v/>
      </c>
      <c r="CQ49" s="452" t="str">
        <f t="shared" si="68"/>
        <v/>
      </c>
      <c r="CR49" s="452" t="str">
        <f t="shared" si="68"/>
        <v/>
      </c>
      <c r="CS49" s="453" t="str">
        <f t="shared" si="68"/>
        <v/>
      </c>
      <c r="CT49" s="451" t="str">
        <f>IF(AND(CT$2&gt;=$J49,CT$2&lt;=$K49),1,"")</f>
        <v/>
      </c>
      <c r="CU49" s="452" t="str">
        <f t="shared" si="68"/>
        <v/>
      </c>
      <c r="CV49" s="452" t="str">
        <f t="shared" si="68"/>
        <v/>
      </c>
      <c r="CW49" s="452" t="str">
        <f t="shared" si="68"/>
        <v/>
      </c>
      <c r="CX49" s="453" t="str">
        <f t="shared" si="68"/>
        <v/>
      </c>
      <c r="CY49" s="451" t="str">
        <f>IF(AND(CY$2&gt;=$J49,CY$2&lt;=$K49),1,"")</f>
        <v/>
      </c>
      <c r="CZ49" s="452" t="str">
        <f t="shared" si="55"/>
        <v/>
      </c>
      <c r="DA49" s="452" t="str">
        <f t="shared" si="55"/>
        <v/>
      </c>
      <c r="DB49" s="452" t="str">
        <f t="shared" si="55"/>
        <v/>
      </c>
      <c r="DC49" s="453" t="str">
        <f t="shared" si="55"/>
        <v/>
      </c>
      <c r="DD49" s="451" t="str">
        <f>IF(AND(DD$2&gt;=$J49,DD$2&lt;=$K49),1,"")</f>
        <v/>
      </c>
      <c r="DE49" s="452" t="str">
        <f t="shared" si="62"/>
        <v/>
      </c>
      <c r="DF49" s="452" t="str">
        <f t="shared" si="62"/>
        <v/>
      </c>
      <c r="DG49" s="452" t="str">
        <f t="shared" si="62"/>
        <v/>
      </c>
      <c r="DH49" s="453" t="str">
        <f t="shared" si="62"/>
        <v/>
      </c>
      <c r="DI49" s="451" t="str">
        <f>IF(AND(DI$2&gt;=$J49,DI$2&lt;=$K49),1,"")</f>
        <v/>
      </c>
      <c r="DJ49" s="452" t="str">
        <f t="shared" si="62"/>
        <v/>
      </c>
      <c r="DK49" s="452" t="str">
        <f t="shared" si="62"/>
        <v/>
      </c>
      <c r="DL49" s="452" t="str">
        <f t="shared" si="62"/>
        <v/>
      </c>
      <c r="DM49" s="453" t="str">
        <f t="shared" si="62"/>
        <v/>
      </c>
      <c r="DN49" s="451" t="str">
        <f>IF(AND(DN$2&gt;=$J49,DN$2&lt;=$K49),1,"")</f>
        <v/>
      </c>
      <c r="DO49" s="452" t="str">
        <f t="shared" si="62"/>
        <v/>
      </c>
      <c r="DP49" s="452" t="str">
        <f t="shared" si="62"/>
        <v/>
      </c>
      <c r="DQ49" s="452" t="str">
        <f t="shared" si="62"/>
        <v/>
      </c>
      <c r="DR49" s="453" t="str">
        <f t="shared" si="62"/>
        <v/>
      </c>
      <c r="DS49" s="451" t="str">
        <f>IF(AND(DS$2&gt;=$J49,DS$2&lt;=$K49),1,"")</f>
        <v/>
      </c>
      <c r="DT49" s="452" t="str">
        <f t="shared" si="62"/>
        <v/>
      </c>
      <c r="DU49" s="452" t="str">
        <f t="shared" si="58"/>
        <v/>
      </c>
      <c r="DV49" s="452" t="str">
        <f t="shared" si="58"/>
        <v/>
      </c>
      <c r="DW49" s="453" t="str">
        <f t="shared" si="58"/>
        <v/>
      </c>
      <c r="DX49" s="451" t="str">
        <f>IF(AND(DX$2&gt;=$J49,DX$2&lt;=$K49),1,"")</f>
        <v/>
      </c>
      <c r="DY49" s="452" t="str">
        <f t="shared" si="58"/>
        <v/>
      </c>
      <c r="DZ49" s="452" t="str">
        <f t="shared" si="58"/>
        <v/>
      </c>
      <c r="EA49" s="452" t="str">
        <f t="shared" si="58"/>
        <v/>
      </c>
      <c r="EB49" s="453" t="str">
        <f t="shared" si="58"/>
        <v/>
      </c>
      <c r="EC49" s="451" t="str">
        <f>IF(AND(EC$2&gt;=$J49,EC$2&lt;=$K49),1,"")</f>
        <v/>
      </c>
      <c r="ED49" s="452" t="str">
        <f t="shared" si="58"/>
        <v/>
      </c>
      <c r="EE49" s="452" t="str">
        <f t="shared" si="58"/>
        <v/>
      </c>
      <c r="EF49" s="452" t="str">
        <f t="shared" si="58"/>
        <v/>
      </c>
      <c r="EG49" s="453" t="str">
        <f t="shared" si="58"/>
        <v/>
      </c>
      <c r="EH49" s="451" t="str">
        <f>IF(AND(EH$2&gt;=$J49,EH$2&lt;=$K49),1,"")</f>
        <v/>
      </c>
      <c r="EI49" s="452" t="str">
        <f t="shared" si="58"/>
        <v/>
      </c>
      <c r="EJ49" s="452" t="str">
        <f t="shared" si="67"/>
        <v/>
      </c>
      <c r="EK49" s="452" t="str">
        <f t="shared" si="67"/>
        <v/>
      </c>
      <c r="EL49" s="453" t="str">
        <f t="shared" si="67"/>
        <v/>
      </c>
      <c r="EM49" s="451" t="str">
        <f>IF(AND(EM$2&gt;=$J49,EM$2&lt;=$K49),1,"")</f>
        <v/>
      </c>
      <c r="EN49" s="452" t="str">
        <f t="shared" si="67"/>
        <v/>
      </c>
      <c r="EO49" s="452" t="str">
        <f t="shared" si="67"/>
        <v/>
      </c>
      <c r="EP49" s="452" t="str">
        <f t="shared" si="67"/>
        <v/>
      </c>
      <c r="EQ49" s="453" t="str">
        <f t="shared" si="67"/>
        <v/>
      </c>
      <c r="ER49" s="451" t="str">
        <f>IF(AND(ER$2&gt;=$J49,ER$2&lt;=$K49),1,"")</f>
        <v/>
      </c>
      <c r="ES49" s="452" t="str">
        <f t="shared" si="67"/>
        <v/>
      </c>
      <c r="ET49" s="452" t="str">
        <f t="shared" si="67"/>
        <v/>
      </c>
      <c r="EU49" s="452" t="str">
        <f t="shared" si="67"/>
        <v/>
      </c>
      <c r="EV49" s="453" t="str">
        <f t="shared" si="67"/>
        <v/>
      </c>
      <c r="EW49" s="451" t="str">
        <f>IF(AND(EW$2&gt;=$J49,EW$2&lt;=$K49),1,"")</f>
        <v/>
      </c>
      <c r="EX49" s="452" t="str">
        <f t="shared" si="67"/>
        <v/>
      </c>
      <c r="EY49" s="452" t="str">
        <f t="shared" si="67"/>
        <v/>
      </c>
      <c r="EZ49" s="452" t="str">
        <f t="shared" si="73"/>
        <v/>
      </c>
      <c r="FA49" s="453" t="str">
        <f t="shared" si="73"/>
        <v/>
      </c>
      <c r="FB49" s="451" t="str">
        <f>IF(AND(FB$2&gt;=$J49,FB$2&lt;=$K49),1,"")</f>
        <v/>
      </c>
      <c r="FC49" s="452" t="str">
        <f t="shared" si="73"/>
        <v/>
      </c>
      <c r="FD49" s="452" t="str">
        <f t="shared" si="73"/>
        <v/>
      </c>
      <c r="FE49" s="452" t="str">
        <f t="shared" si="73"/>
        <v/>
      </c>
      <c r="FF49" s="453" t="str">
        <f t="shared" si="73"/>
        <v/>
      </c>
      <c r="FG49" s="451" t="str">
        <f>IF(AND(FG$2&gt;=$J49,FG$2&lt;=$K49),1,"")</f>
        <v/>
      </c>
      <c r="FH49" s="452" t="str">
        <f t="shared" si="73"/>
        <v/>
      </c>
      <c r="FI49" s="452" t="str">
        <f t="shared" si="73"/>
        <v/>
      </c>
      <c r="FJ49" s="452" t="str">
        <f t="shared" si="73"/>
        <v/>
      </c>
      <c r="FK49" s="453" t="str">
        <f t="shared" si="73"/>
        <v/>
      </c>
      <c r="FL49" s="451" t="str">
        <f>IF(AND(FL$2&gt;=$J49,FL$2&lt;=$K49),1,"")</f>
        <v/>
      </c>
      <c r="FM49" s="452" t="str">
        <f t="shared" si="73"/>
        <v/>
      </c>
      <c r="FN49" s="452" t="str">
        <f t="shared" si="73"/>
        <v/>
      </c>
      <c r="FO49" s="452" t="str">
        <f t="shared" si="73"/>
        <v/>
      </c>
      <c r="FP49" s="453" t="str">
        <f t="shared" si="71"/>
        <v/>
      </c>
      <c r="FQ49" s="451" t="str">
        <f>IF(AND(FQ$2&gt;=$J49,FQ$2&lt;=$K49),1,"")</f>
        <v/>
      </c>
      <c r="FR49" s="452" t="str">
        <f t="shared" si="71"/>
        <v/>
      </c>
      <c r="FS49" s="452" t="str">
        <f t="shared" si="71"/>
        <v/>
      </c>
      <c r="FT49" s="452" t="str">
        <f t="shared" si="71"/>
        <v/>
      </c>
      <c r="FU49" s="453" t="str">
        <f t="shared" si="71"/>
        <v/>
      </c>
      <c r="FV49" s="451" t="str">
        <f>IF(AND(FV$2&gt;=$J49,FV$2&lt;=$K49),1,"")</f>
        <v/>
      </c>
      <c r="FW49" s="452" t="str">
        <f t="shared" si="71"/>
        <v/>
      </c>
      <c r="FX49" s="452" t="str">
        <f t="shared" si="71"/>
        <v/>
      </c>
      <c r="FY49" s="452" t="str">
        <f t="shared" si="71"/>
        <v/>
      </c>
      <c r="FZ49" s="453" t="str">
        <f t="shared" si="74"/>
        <v/>
      </c>
      <c r="GA49" s="451" t="str">
        <f>IF(AND(GA$2&gt;=$J49,GA$2&lt;=$K49),1,"")</f>
        <v/>
      </c>
      <c r="GB49" s="452" t="str">
        <f t="shared" si="74"/>
        <v/>
      </c>
      <c r="GC49" s="452" t="str">
        <f t="shared" si="74"/>
        <v/>
      </c>
      <c r="GD49" s="452" t="str">
        <f t="shared" si="74"/>
        <v/>
      </c>
      <c r="GE49" s="453" t="str">
        <f t="shared" si="74"/>
        <v/>
      </c>
      <c r="GF49" s="451" t="str">
        <f>IF(AND(GF$2&gt;=$J49,GF$2&lt;=$K49),1,"")</f>
        <v/>
      </c>
      <c r="GG49" s="452" t="str">
        <f t="shared" si="74"/>
        <v/>
      </c>
      <c r="GH49" s="452" t="str">
        <f t="shared" si="74"/>
        <v/>
      </c>
      <c r="GI49" s="452" t="str">
        <f t="shared" si="74"/>
        <v/>
      </c>
      <c r="GJ49" s="453" t="str">
        <f t="shared" si="74"/>
        <v/>
      </c>
      <c r="GK49" s="451" t="str">
        <f>IF(AND(GK$2&gt;=$J49,GK$2&lt;=$K49),1,"")</f>
        <v/>
      </c>
      <c r="GL49" s="452" t="str">
        <f t="shared" si="40"/>
        <v/>
      </c>
      <c r="GM49" s="452" t="str">
        <f t="shared" si="40"/>
        <v/>
      </c>
      <c r="GN49" s="452" t="str">
        <f t="shared" si="40"/>
        <v/>
      </c>
      <c r="GO49" s="453" t="str">
        <f t="shared" si="40"/>
        <v/>
      </c>
      <c r="GP49" s="451" t="str">
        <f>IF(AND(GP$2&gt;=$J49,GP$2&lt;=$K49),1,"")</f>
        <v/>
      </c>
      <c r="GQ49" s="452" t="str">
        <f t="shared" si="69"/>
        <v/>
      </c>
      <c r="GR49" s="452" t="str">
        <f t="shared" si="69"/>
        <v/>
      </c>
      <c r="GS49" s="452" t="str">
        <f t="shared" si="69"/>
        <v/>
      </c>
      <c r="GT49" s="453" t="str">
        <f t="shared" si="69"/>
        <v/>
      </c>
      <c r="GU49" s="451" t="str">
        <f>IF(AND(GU$2&gt;=$J49,GU$2&lt;=$K49),1,"")</f>
        <v/>
      </c>
      <c r="GV49" s="452" t="str">
        <f t="shared" si="69"/>
        <v/>
      </c>
      <c r="GW49" s="452" t="str">
        <f t="shared" si="69"/>
        <v/>
      </c>
      <c r="GX49" s="452" t="str">
        <f t="shared" si="69"/>
        <v/>
      </c>
      <c r="GY49" s="453" t="str">
        <f t="shared" si="69"/>
        <v/>
      </c>
      <c r="GZ49" s="451" t="str">
        <f>IF(AND(GZ$2&gt;=$J49,GZ$2&lt;=$K49),1,"")</f>
        <v/>
      </c>
      <c r="HA49" s="452" t="str">
        <f t="shared" si="69"/>
        <v/>
      </c>
      <c r="HB49" s="452" t="str">
        <f t="shared" si="69"/>
        <v/>
      </c>
      <c r="HC49" s="452" t="str">
        <f t="shared" si="69"/>
        <v/>
      </c>
      <c r="HD49" s="453" t="str">
        <f t="shared" si="69"/>
        <v/>
      </c>
      <c r="HE49" s="451" t="str">
        <f>IF(AND(HE$2&gt;=$J49,HE$2&lt;=$K49),1,"")</f>
        <v/>
      </c>
      <c r="HF49" s="452" t="str">
        <f t="shared" si="65"/>
        <v/>
      </c>
      <c r="HG49" s="452" t="str">
        <f t="shared" si="65"/>
        <v/>
      </c>
      <c r="HH49" s="452" t="str">
        <f t="shared" si="65"/>
        <v/>
      </c>
      <c r="HI49" s="453" t="str">
        <f t="shared" si="65"/>
        <v/>
      </c>
      <c r="HJ49" s="451" t="str">
        <f>IF(AND(HJ$2&gt;=$J49,HJ$2&lt;=$K49),1,"")</f>
        <v/>
      </c>
      <c r="HK49" s="452" t="str">
        <f t="shared" si="65"/>
        <v/>
      </c>
      <c r="HL49" s="452" t="str">
        <f t="shared" si="65"/>
        <v/>
      </c>
      <c r="HM49" s="452" t="str">
        <f t="shared" si="65"/>
        <v/>
      </c>
      <c r="HN49" s="453" t="str">
        <f t="shared" si="65"/>
        <v/>
      </c>
      <c r="HO49" s="451" t="str">
        <f>IF(AND(HO$2&gt;=$J49,HO$2&lt;=$K49),1,"")</f>
        <v/>
      </c>
      <c r="HP49" s="452" t="str">
        <f t="shared" si="65"/>
        <v/>
      </c>
      <c r="HQ49" s="452" t="str">
        <f t="shared" si="65"/>
        <v/>
      </c>
      <c r="HR49" s="452" t="str">
        <f t="shared" si="65"/>
        <v/>
      </c>
      <c r="HS49" s="453" t="str">
        <f t="shared" si="65"/>
        <v/>
      </c>
      <c r="HT49" s="451" t="str">
        <f>IF(AND(HT$2&gt;=$J49,HT$2&lt;=$K49),1,"")</f>
        <v/>
      </c>
      <c r="HU49" s="452" t="str">
        <f t="shared" si="65"/>
        <v/>
      </c>
      <c r="HV49" s="452" t="str">
        <f t="shared" si="63"/>
        <v/>
      </c>
      <c r="HW49" s="452" t="str">
        <f t="shared" si="63"/>
        <v/>
      </c>
      <c r="HX49" s="453" t="str">
        <f t="shared" si="63"/>
        <v/>
      </c>
      <c r="HY49" s="451" t="str">
        <f>IF(AND(HY$2&gt;=$J49,HY$2&lt;=$K49),1,"")</f>
        <v/>
      </c>
      <c r="HZ49" s="452" t="str">
        <f t="shared" si="63"/>
        <v/>
      </c>
      <c r="IA49" s="452" t="str">
        <f t="shared" si="66"/>
        <v/>
      </c>
      <c r="IB49" s="452" t="str">
        <f t="shared" si="66"/>
        <v/>
      </c>
      <c r="IC49" s="453" t="str">
        <f t="shared" si="66"/>
        <v/>
      </c>
      <c r="ID49" s="451" t="str">
        <f>IF(AND(ID$2&gt;=$J49,ID$2&lt;=$K49),1,"")</f>
        <v/>
      </c>
      <c r="IE49" s="452" t="str">
        <f t="shared" si="64"/>
        <v/>
      </c>
      <c r="IF49" s="452" t="str">
        <f t="shared" si="64"/>
        <v/>
      </c>
      <c r="IG49" s="452" t="str">
        <f t="shared" si="64"/>
        <v/>
      </c>
      <c r="IH49" s="453" t="str">
        <f t="shared" si="64"/>
        <v/>
      </c>
      <c r="II49" s="451" t="str">
        <f>IF(AND(II$2&gt;=$J49,II$2&lt;=$K49),1,"")</f>
        <v/>
      </c>
      <c r="IJ49" s="452" t="str">
        <f t="shared" si="64"/>
        <v/>
      </c>
      <c r="IK49" s="452" t="str">
        <f t="shared" si="64"/>
        <v/>
      </c>
      <c r="IL49" s="452" t="str">
        <f t="shared" si="64"/>
        <v/>
      </c>
      <c r="IM49" s="453" t="str">
        <f t="shared" si="64"/>
        <v/>
      </c>
      <c r="IN49" s="451" t="str">
        <f>IF(AND(IN$2&gt;=$J49,IN$2&lt;=$K49),1,"")</f>
        <v/>
      </c>
      <c r="IO49" s="452" t="str">
        <f t="shared" si="64"/>
        <v/>
      </c>
      <c r="IP49" s="452" t="str">
        <f t="shared" si="64"/>
        <v/>
      </c>
      <c r="IQ49" s="452" t="str">
        <f t="shared" si="64"/>
        <v/>
      </c>
      <c r="IR49" s="453" t="str">
        <f t="shared" si="64"/>
        <v/>
      </c>
    </row>
    <row r="50" spans="1:252" x14ac:dyDescent="0.2">
      <c r="A50" s="461">
        <v>5.2</v>
      </c>
      <c r="C50" s="447" t="s">
        <v>1352</v>
      </c>
      <c r="D50" s="447"/>
      <c r="E50" s="448"/>
      <c r="F50" s="448"/>
      <c r="G50" s="448"/>
      <c r="H50" s="448"/>
      <c r="I50" s="448"/>
      <c r="J50" s="449" t="str">
        <f t="shared" si="76"/>
        <v/>
      </c>
      <c r="K50" s="449" t="str">
        <f t="shared" si="77"/>
        <v/>
      </c>
      <c r="L50" s="450">
        <f t="shared" si="0"/>
        <v>0</v>
      </c>
      <c r="M50" s="451" t="str">
        <f t="shared" si="70"/>
        <v/>
      </c>
      <c r="N50" s="452" t="str">
        <f t="shared" si="70"/>
        <v/>
      </c>
      <c r="O50" s="452" t="str">
        <f t="shared" si="70"/>
        <v/>
      </c>
      <c r="P50" s="452" t="str">
        <f t="shared" si="70"/>
        <v/>
      </c>
      <c r="Q50" s="453" t="str">
        <f t="shared" si="70"/>
        <v/>
      </c>
      <c r="R50" s="451" t="str">
        <f t="shared" si="70"/>
        <v/>
      </c>
      <c r="S50" s="452" t="str">
        <f t="shared" si="70"/>
        <v/>
      </c>
      <c r="T50" s="452" t="str">
        <f t="shared" si="70"/>
        <v/>
      </c>
      <c r="U50" s="452" t="str">
        <f t="shared" si="70"/>
        <v/>
      </c>
      <c r="V50" s="453" t="str">
        <f t="shared" si="70"/>
        <v/>
      </c>
      <c r="W50" s="451" t="str">
        <f t="shared" si="70"/>
        <v/>
      </c>
      <c r="X50" s="452" t="str">
        <f t="shared" si="70"/>
        <v/>
      </c>
      <c r="Y50" s="452" t="str">
        <f t="shared" si="70"/>
        <v/>
      </c>
      <c r="Z50" s="452" t="str">
        <f t="shared" si="70"/>
        <v/>
      </c>
      <c r="AA50" s="453" t="str">
        <f t="shared" si="70"/>
        <v/>
      </c>
      <c r="AB50" s="451" t="str">
        <f t="shared" si="70"/>
        <v/>
      </c>
      <c r="AC50" s="452" t="str">
        <f t="shared" si="75"/>
        <v/>
      </c>
      <c r="AD50" s="452" t="str">
        <f t="shared" si="75"/>
        <v/>
      </c>
      <c r="AE50" s="452" t="str">
        <f t="shared" si="75"/>
        <v/>
      </c>
      <c r="AF50" s="453" t="str">
        <f t="shared" si="75"/>
        <v/>
      </c>
      <c r="AG50" s="451" t="str">
        <f t="shared" si="75"/>
        <v/>
      </c>
      <c r="AH50" s="452" t="str">
        <f t="shared" si="75"/>
        <v/>
      </c>
      <c r="AI50" s="452" t="str">
        <f t="shared" si="75"/>
        <v/>
      </c>
      <c r="AJ50" s="452" t="str">
        <f t="shared" si="75"/>
        <v/>
      </c>
      <c r="AK50" s="453" t="str">
        <f t="shared" si="75"/>
        <v/>
      </c>
      <c r="AL50" s="451" t="str">
        <f t="shared" si="75"/>
        <v/>
      </c>
      <c r="AM50" s="452" t="str">
        <f t="shared" si="75"/>
        <v/>
      </c>
      <c r="AN50" s="452" t="str">
        <f t="shared" si="75"/>
        <v/>
      </c>
      <c r="AO50" s="452" t="str">
        <f t="shared" si="75"/>
        <v/>
      </c>
      <c r="AP50" s="453" t="str">
        <f t="shared" si="75"/>
        <v/>
      </c>
      <c r="AQ50" s="451" t="str">
        <f t="shared" si="75"/>
        <v/>
      </c>
      <c r="AR50" s="452" t="str">
        <f t="shared" si="75"/>
        <v/>
      </c>
      <c r="AS50" s="452" t="str">
        <f t="shared" ref="AS50:BH70" si="78">IF(AND(AS$2&gt;=$J50,AS$2&lt;=$K50),1,"")</f>
        <v/>
      </c>
      <c r="AT50" s="452" t="str">
        <f t="shared" si="78"/>
        <v/>
      </c>
      <c r="AU50" s="453" t="str">
        <f t="shared" si="78"/>
        <v/>
      </c>
      <c r="AV50" s="451" t="str">
        <f t="shared" si="78"/>
        <v/>
      </c>
      <c r="AW50" s="452" t="str">
        <f t="shared" si="78"/>
        <v/>
      </c>
      <c r="AX50" s="452" t="str">
        <f t="shared" si="78"/>
        <v/>
      </c>
      <c r="AY50" s="452" t="str">
        <f t="shared" si="78"/>
        <v/>
      </c>
      <c r="AZ50" s="453" t="str">
        <f t="shared" si="78"/>
        <v/>
      </c>
      <c r="BA50" s="451" t="str">
        <f t="shared" si="78"/>
        <v/>
      </c>
      <c r="BB50" s="452" t="str">
        <f t="shared" si="78"/>
        <v/>
      </c>
      <c r="BC50" s="452" t="str">
        <f t="shared" si="78"/>
        <v/>
      </c>
      <c r="BD50" s="452" t="str">
        <f t="shared" si="78"/>
        <v/>
      </c>
      <c r="BE50" s="453" t="str">
        <f t="shared" si="78"/>
        <v/>
      </c>
      <c r="BF50" s="451" t="str">
        <f t="shared" si="78"/>
        <v/>
      </c>
      <c r="BG50" s="452" t="str">
        <f t="shared" si="53"/>
        <v/>
      </c>
      <c r="BH50" s="452" t="str">
        <f t="shared" si="53"/>
        <v/>
      </c>
      <c r="BI50" s="452" t="str">
        <f t="shared" si="53"/>
        <v/>
      </c>
      <c r="BJ50" s="453" t="str">
        <f t="shared" si="53"/>
        <v/>
      </c>
      <c r="BK50" s="451" t="str">
        <f t="shared" si="53"/>
        <v/>
      </c>
      <c r="BL50" s="452" t="str">
        <f t="shared" si="53"/>
        <v/>
      </c>
      <c r="BM50" s="452" t="str">
        <f t="shared" si="53"/>
        <v/>
      </c>
      <c r="BN50" s="452" t="str">
        <f t="shared" si="53"/>
        <v/>
      </c>
      <c r="BO50" s="453" t="str">
        <f t="shared" si="53"/>
        <v/>
      </c>
      <c r="BP50" s="451" t="str">
        <f t="shared" si="53"/>
        <v/>
      </c>
      <c r="BQ50" s="452" t="str">
        <f t="shared" si="53"/>
        <v/>
      </c>
      <c r="BR50" s="452" t="str">
        <f t="shared" si="53"/>
        <v/>
      </c>
      <c r="BS50" s="452" t="str">
        <f t="shared" si="53"/>
        <v/>
      </c>
      <c r="BT50" s="453" t="str">
        <f t="shared" si="53"/>
        <v/>
      </c>
      <c r="BU50" s="451" t="str">
        <f t="shared" si="53"/>
        <v/>
      </c>
      <c r="BV50" s="452" t="str">
        <f t="shared" si="53"/>
        <v/>
      </c>
      <c r="BW50" s="452" t="str">
        <f t="shared" si="50"/>
        <v/>
      </c>
      <c r="BX50" s="452" t="str">
        <f t="shared" si="50"/>
        <v/>
      </c>
      <c r="BY50" s="453" t="str">
        <f t="shared" si="54"/>
        <v/>
      </c>
      <c r="BZ50" s="451" t="str">
        <f t="shared" si="54"/>
        <v/>
      </c>
      <c r="CA50" s="452" t="str">
        <f t="shared" si="54"/>
        <v/>
      </c>
      <c r="CB50" s="452" t="str">
        <f t="shared" si="54"/>
        <v/>
      </c>
      <c r="CC50" s="452" t="str">
        <f t="shared" si="54"/>
        <v/>
      </c>
      <c r="CD50" s="453" t="str">
        <f t="shared" si="54"/>
        <v/>
      </c>
      <c r="CE50" s="451" t="str">
        <f t="shared" si="54"/>
        <v/>
      </c>
      <c r="CF50" s="452" t="str">
        <f t="shared" si="54"/>
        <v/>
      </c>
      <c r="CG50" s="452" t="str">
        <f t="shared" si="54"/>
        <v/>
      </c>
      <c r="CH50" s="452" t="str">
        <f t="shared" si="54"/>
        <v/>
      </c>
      <c r="CI50" s="453" t="str">
        <f t="shared" si="54"/>
        <v/>
      </c>
      <c r="CJ50" s="451" t="str">
        <f t="shared" si="54"/>
        <v/>
      </c>
      <c r="CK50" s="452" t="str">
        <f t="shared" si="54"/>
        <v/>
      </c>
      <c r="CL50" s="452" t="str">
        <f t="shared" si="54"/>
        <v/>
      </c>
      <c r="CM50" s="452" t="str">
        <f t="shared" si="54"/>
        <v/>
      </c>
      <c r="CN50" s="453" t="str">
        <f t="shared" si="54"/>
        <v/>
      </c>
      <c r="CO50" s="451" t="str">
        <f t="shared" ref="CO50:DD73" si="79">IF(AND(CO$2&gt;=$J50,CO$2&lt;=$K50),1,"")</f>
        <v/>
      </c>
      <c r="CP50" s="452" t="str">
        <f t="shared" si="79"/>
        <v/>
      </c>
      <c r="CQ50" s="452" t="str">
        <f t="shared" si="79"/>
        <v/>
      </c>
      <c r="CR50" s="452" t="str">
        <f t="shared" si="79"/>
        <v/>
      </c>
      <c r="CS50" s="453" t="str">
        <f t="shared" si="79"/>
        <v/>
      </c>
      <c r="CT50" s="451" t="str">
        <f t="shared" si="79"/>
        <v/>
      </c>
      <c r="CU50" s="452" t="str">
        <f t="shared" si="79"/>
        <v/>
      </c>
      <c r="CV50" s="452" t="str">
        <f t="shared" si="79"/>
        <v/>
      </c>
      <c r="CW50" s="452" t="str">
        <f t="shared" si="79"/>
        <v/>
      </c>
      <c r="CX50" s="453" t="str">
        <f t="shared" si="79"/>
        <v/>
      </c>
      <c r="CY50" s="451" t="str">
        <f t="shared" si="79"/>
        <v/>
      </c>
      <c r="CZ50" s="452" t="str">
        <f t="shared" si="55"/>
        <v/>
      </c>
      <c r="DA50" s="452" t="str">
        <f t="shared" si="55"/>
        <v/>
      </c>
      <c r="DB50" s="452" t="str">
        <f t="shared" si="55"/>
        <v/>
      </c>
      <c r="DC50" s="453" t="str">
        <f t="shared" si="55"/>
        <v/>
      </c>
      <c r="DD50" s="451" t="str">
        <f t="shared" si="55"/>
        <v/>
      </c>
      <c r="DE50" s="452" t="str">
        <f t="shared" si="62"/>
        <v/>
      </c>
      <c r="DF50" s="452" t="str">
        <f t="shared" si="62"/>
        <v/>
      </c>
      <c r="DG50" s="452" t="str">
        <f t="shared" si="62"/>
        <v/>
      </c>
      <c r="DH50" s="453" t="str">
        <f t="shared" si="62"/>
        <v/>
      </c>
      <c r="DI50" s="451" t="str">
        <f t="shared" si="62"/>
        <v/>
      </c>
      <c r="DJ50" s="452" t="str">
        <f t="shared" si="62"/>
        <v/>
      </c>
      <c r="DK50" s="452" t="str">
        <f t="shared" si="62"/>
        <v/>
      </c>
      <c r="DL50" s="452" t="str">
        <f t="shared" si="62"/>
        <v/>
      </c>
      <c r="DM50" s="453" t="str">
        <f t="shared" si="62"/>
        <v/>
      </c>
      <c r="DN50" s="451" t="str">
        <f t="shared" si="62"/>
        <v/>
      </c>
      <c r="DO50" s="452" t="str">
        <f t="shared" si="62"/>
        <v/>
      </c>
      <c r="DP50" s="452" t="str">
        <f t="shared" si="62"/>
        <v/>
      </c>
      <c r="DQ50" s="452" t="str">
        <f t="shared" si="62"/>
        <v/>
      </c>
      <c r="DR50" s="453" t="str">
        <f t="shared" si="62"/>
        <v/>
      </c>
      <c r="DS50" s="451" t="str">
        <f t="shared" si="62"/>
        <v/>
      </c>
      <c r="DT50" s="452" t="str">
        <f t="shared" si="62"/>
        <v/>
      </c>
      <c r="DU50" s="452" t="str">
        <f t="shared" si="58"/>
        <v/>
      </c>
      <c r="DV50" s="452" t="str">
        <f t="shared" si="58"/>
        <v/>
      </c>
      <c r="DW50" s="453" t="str">
        <f t="shared" si="58"/>
        <v/>
      </c>
      <c r="DX50" s="451" t="str">
        <f t="shared" si="58"/>
        <v/>
      </c>
      <c r="DY50" s="452" t="str">
        <f t="shared" si="58"/>
        <v/>
      </c>
      <c r="DZ50" s="452" t="str">
        <f t="shared" si="58"/>
        <v/>
      </c>
      <c r="EA50" s="452" t="str">
        <f t="shared" si="58"/>
        <v/>
      </c>
      <c r="EB50" s="453" t="str">
        <f t="shared" si="58"/>
        <v/>
      </c>
      <c r="EC50" s="451" t="str">
        <f t="shared" si="58"/>
        <v/>
      </c>
      <c r="ED50" s="452" t="str">
        <f t="shared" si="58"/>
        <v/>
      </c>
      <c r="EE50" s="452" t="str">
        <f t="shared" si="58"/>
        <v/>
      </c>
      <c r="EF50" s="452" t="str">
        <f t="shared" si="58"/>
        <v/>
      </c>
      <c r="EG50" s="453" t="str">
        <f t="shared" si="58"/>
        <v/>
      </c>
      <c r="EH50" s="451" t="str">
        <f t="shared" si="58"/>
        <v/>
      </c>
      <c r="EI50" s="452" t="str">
        <f t="shared" si="58"/>
        <v/>
      </c>
      <c r="EJ50" s="452" t="str">
        <f t="shared" si="67"/>
        <v/>
      </c>
      <c r="EK50" s="452" t="str">
        <f t="shared" si="67"/>
        <v/>
      </c>
      <c r="EL50" s="453" t="str">
        <f t="shared" si="67"/>
        <v/>
      </c>
      <c r="EM50" s="451" t="str">
        <f t="shared" si="67"/>
        <v/>
      </c>
      <c r="EN50" s="452" t="str">
        <f t="shared" si="67"/>
        <v/>
      </c>
      <c r="EO50" s="452" t="str">
        <f t="shared" si="67"/>
        <v/>
      </c>
      <c r="EP50" s="452" t="str">
        <f t="shared" si="67"/>
        <v/>
      </c>
      <c r="EQ50" s="453" t="str">
        <f t="shared" si="67"/>
        <v/>
      </c>
      <c r="ER50" s="451" t="str">
        <f t="shared" si="67"/>
        <v/>
      </c>
      <c r="ES50" s="452" t="str">
        <f t="shared" si="67"/>
        <v/>
      </c>
      <c r="ET50" s="452" t="str">
        <f t="shared" si="67"/>
        <v/>
      </c>
      <c r="EU50" s="452" t="str">
        <f t="shared" si="67"/>
        <v/>
      </c>
      <c r="EV50" s="453" t="str">
        <f t="shared" si="67"/>
        <v/>
      </c>
      <c r="EW50" s="451" t="str">
        <f t="shared" si="67"/>
        <v/>
      </c>
      <c r="EX50" s="452" t="str">
        <f t="shared" si="67"/>
        <v/>
      </c>
      <c r="EY50" s="452" t="str">
        <f t="shared" si="67"/>
        <v/>
      </c>
      <c r="EZ50" s="452" t="str">
        <f t="shared" si="73"/>
        <v/>
      </c>
      <c r="FA50" s="453" t="str">
        <f t="shared" si="73"/>
        <v/>
      </c>
      <c r="FB50" s="451" t="str">
        <f t="shared" si="73"/>
        <v/>
      </c>
      <c r="FC50" s="452" t="str">
        <f t="shared" si="73"/>
        <v/>
      </c>
      <c r="FD50" s="452" t="str">
        <f t="shared" si="73"/>
        <v/>
      </c>
      <c r="FE50" s="452" t="str">
        <f t="shared" si="73"/>
        <v/>
      </c>
      <c r="FF50" s="453" t="str">
        <f t="shared" si="73"/>
        <v/>
      </c>
      <c r="FG50" s="451" t="str">
        <f t="shared" si="73"/>
        <v/>
      </c>
      <c r="FH50" s="452" t="str">
        <f t="shared" si="73"/>
        <v/>
      </c>
      <c r="FI50" s="452" t="str">
        <f t="shared" si="73"/>
        <v/>
      </c>
      <c r="FJ50" s="452" t="str">
        <f t="shared" si="73"/>
        <v/>
      </c>
      <c r="FK50" s="453" t="str">
        <f t="shared" si="73"/>
        <v/>
      </c>
      <c r="FL50" s="451" t="str">
        <f t="shared" si="73"/>
        <v/>
      </c>
      <c r="FM50" s="452" t="str">
        <f t="shared" si="73"/>
        <v/>
      </c>
      <c r="FN50" s="452" t="str">
        <f t="shared" si="73"/>
        <v/>
      </c>
      <c r="FO50" s="452" t="str">
        <f t="shared" si="73"/>
        <v/>
      </c>
      <c r="FP50" s="453" t="str">
        <f t="shared" si="71"/>
        <v/>
      </c>
      <c r="FQ50" s="451" t="str">
        <f t="shared" si="71"/>
        <v/>
      </c>
      <c r="FR50" s="452" t="str">
        <f t="shared" si="71"/>
        <v/>
      </c>
      <c r="FS50" s="452" t="str">
        <f t="shared" si="71"/>
        <v/>
      </c>
      <c r="FT50" s="452" t="str">
        <f t="shared" si="71"/>
        <v/>
      </c>
      <c r="FU50" s="453" t="str">
        <f t="shared" si="71"/>
        <v/>
      </c>
      <c r="FV50" s="451" t="str">
        <f t="shared" si="71"/>
        <v/>
      </c>
      <c r="FW50" s="452" t="str">
        <f t="shared" si="71"/>
        <v/>
      </c>
      <c r="FX50" s="452" t="str">
        <f t="shared" si="71"/>
        <v/>
      </c>
      <c r="FY50" s="452" t="str">
        <f t="shared" si="71"/>
        <v/>
      </c>
      <c r="FZ50" s="453" t="str">
        <f t="shared" si="74"/>
        <v/>
      </c>
      <c r="GA50" s="451" t="str">
        <f t="shared" si="74"/>
        <v/>
      </c>
      <c r="GB50" s="452" t="str">
        <f t="shared" si="74"/>
        <v/>
      </c>
      <c r="GC50" s="452" t="str">
        <f t="shared" si="74"/>
        <v/>
      </c>
      <c r="GD50" s="452" t="str">
        <f t="shared" si="74"/>
        <v/>
      </c>
      <c r="GE50" s="453" t="str">
        <f t="shared" si="74"/>
        <v/>
      </c>
      <c r="GF50" s="451" t="str">
        <f t="shared" si="74"/>
        <v/>
      </c>
      <c r="GG50" s="452" t="str">
        <f t="shared" si="74"/>
        <v/>
      </c>
      <c r="GH50" s="452" t="str">
        <f t="shared" si="74"/>
        <v/>
      </c>
      <c r="GI50" s="452" t="str">
        <f t="shared" si="74"/>
        <v/>
      </c>
      <c r="GJ50" s="453" t="str">
        <f t="shared" si="74"/>
        <v/>
      </c>
      <c r="GK50" s="451" t="str">
        <f t="shared" si="74"/>
        <v/>
      </c>
      <c r="GL50" s="452" t="str">
        <f t="shared" si="74"/>
        <v/>
      </c>
      <c r="GM50" s="452" t="str">
        <f t="shared" si="74"/>
        <v/>
      </c>
      <c r="GN50" s="452" t="str">
        <f t="shared" si="74"/>
        <v/>
      </c>
      <c r="GO50" s="453" t="str">
        <f t="shared" si="74"/>
        <v/>
      </c>
      <c r="GP50" s="451" t="str">
        <f t="shared" si="74"/>
        <v/>
      </c>
      <c r="GQ50" s="452" t="str">
        <f t="shared" si="69"/>
        <v/>
      </c>
      <c r="GR50" s="452" t="str">
        <f t="shared" si="69"/>
        <v/>
      </c>
      <c r="GS50" s="452" t="str">
        <f t="shared" si="69"/>
        <v/>
      </c>
      <c r="GT50" s="453" t="str">
        <f t="shared" si="69"/>
        <v/>
      </c>
      <c r="GU50" s="451" t="str">
        <f t="shared" si="69"/>
        <v/>
      </c>
      <c r="GV50" s="452" t="str">
        <f t="shared" si="69"/>
        <v/>
      </c>
      <c r="GW50" s="452" t="str">
        <f t="shared" si="69"/>
        <v/>
      </c>
      <c r="GX50" s="452" t="str">
        <f t="shared" si="69"/>
        <v/>
      </c>
      <c r="GY50" s="453" t="str">
        <f t="shared" si="69"/>
        <v/>
      </c>
      <c r="GZ50" s="451" t="str">
        <f t="shared" si="69"/>
        <v/>
      </c>
      <c r="HA50" s="452" t="str">
        <f t="shared" si="69"/>
        <v/>
      </c>
      <c r="HB50" s="452" t="str">
        <f t="shared" si="69"/>
        <v/>
      </c>
      <c r="HC50" s="452" t="str">
        <f t="shared" si="69"/>
        <v/>
      </c>
      <c r="HD50" s="453" t="str">
        <f t="shared" si="69"/>
        <v/>
      </c>
      <c r="HE50" s="451" t="str">
        <f t="shared" si="69"/>
        <v/>
      </c>
      <c r="HF50" s="452" t="str">
        <f t="shared" si="65"/>
        <v/>
      </c>
      <c r="HG50" s="452" t="str">
        <f t="shared" si="65"/>
        <v/>
      </c>
      <c r="HH50" s="452" t="str">
        <f t="shared" si="65"/>
        <v/>
      </c>
      <c r="HI50" s="453" t="str">
        <f t="shared" si="65"/>
        <v/>
      </c>
      <c r="HJ50" s="451" t="str">
        <f t="shared" si="65"/>
        <v/>
      </c>
      <c r="HK50" s="452" t="str">
        <f t="shared" si="65"/>
        <v/>
      </c>
      <c r="HL50" s="452" t="str">
        <f t="shared" si="65"/>
        <v/>
      </c>
      <c r="HM50" s="452" t="str">
        <f t="shared" si="65"/>
        <v/>
      </c>
      <c r="HN50" s="453" t="str">
        <f t="shared" si="65"/>
        <v/>
      </c>
      <c r="HO50" s="451" t="str">
        <f t="shared" si="65"/>
        <v/>
      </c>
      <c r="HP50" s="452" t="str">
        <f t="shared" si="65"/>
        <v/>
      </c>
      <c r="HQ50" s="452" t="str">
        <f t="shared" si="65"/>
        <v/>
      </c>
      <c r="HR50" s="452" t="str">
        <f t="shared" si="65"/>
        <v/>
      </c>
      <c r="HS50" s="453" t="str">
        <f t="shared" si="65"/>
        <v/>
      </c>
      <c r="HT50" s="451" t="str">
        <f t="shared" si="65"/>
        <v/>
      </c>
      <c r="HU50" s="452" t="str">
        <f t="shared" si="65"/>
        <v/>
      </c>
      <c r="HV50" s="452" t="str">
        <f t="shared" si="63"/>
        <v/>
      </c>
      <c r="HW50" s="452" t="str">
        <f t="shared" si="63"/>
        <v/>
      </c>
      <c r="HX50" s="453" t="str">
        <f t="shared" si="63"/>
        <v/>
      </c>
      <c r="HY50" s="451" t="str">
        <f t="shared" si="63"/>
        <v/>
      </c>
      <c r="HZ50" s="452" t="str">
        <f t="shared" si="63"/>
        <v/>
      </c>
      <c r="IA50" s="452" t="str">
        <f t="shared" si="66"/>
        <v/>
      </c>
      <c r="IB50" s="452" t="str">
        <f t="shared" si="66"/>
        <v/>
      </c>
      <c r="IC50" s="453" t="str">
        <f t="shared" si="66"/>
        <v/>
      </c>
      <c r="ID50" s="451" t="str">
        <f t="shared" si="66"/>
        <v/>
      </c>
      <c r="IE50" s="452" t="str">
        <f t="shared" si="66"/>
        <v/>
      </c>
      <c r="IF50" s="452" t="str">
        <f t="shared" si="66"/>
        <v/>
      </c>
      <c r="IG50" s="452" t="str">
        <f t="shared" si="66"/>
        <v/>
      </c>
      <c r="IH50" s="453" t="str">
        <f t="shared" si="66"/>
        <v/>
      </c>
      <c r="II50" s="451" t="str">
        <f t="shared" si="66"/>
        <v/>
      </c>
      <c r="IJ50" s="452" t="str">
        <f t="shared" si="66"/>
        <v/>
      </c>
      <c r="IK50" s="452" t="str">
        <f t="shared" si="66"/>
        <v/>
      </c>
      <c r="IL50" s="452" t="str">
        <f t="shared" si="66"/>
        <v/>
      </c>
      <c r="IM50" s="453" t="str">
        <f t="shared" si="66"/>
        <v/>
      </c>
      <c r="IN50" s="451" t="str">
        <f t="shared" si="66"/>
        <v/>
      </c>
      <c r="IO50" s="452" t="str">
        <f t="shared" si="66"/>
        <v/>
      </c>
      <c r="IP50" s="452" t="str">
        <f t="shared" si="66"/>
        <v/>
      </c>
      <c r="IQ50" s="452" t="str">
        <f t="shared" si="64"/>
        <v/>
      </c>
      <c r="IR50" s="453" t="str">
        <f t="shared" si="64"/>
        <v/>
      </c>
    </row>
    <row r="51" spans="1:252" x14ac:dyDescent="0.2">
      <c r="A51" s="461">
        <v>5.3</v>
      </c>
      <c r="C51" s="447" t="s">
        <v>1353</v>
      </c>
      <c r="D51" s="447"/>
      <c r="E51" s="448"/>
      <c r="F51" s="448"/>
      <c r="G51" s="448"/>
      <c r="H51" s="448"/>
      <c r="I51" s="448"/>
      <c r="J51" s="449" t="str">
        <f t="shared" si="76"/>
        <v/>
      </c>
      <c r="K51" s="449" t="str">
        <f t="shared" si="77"/>
        <v/>
      </c>
      <c r="L51" s="450">
        <f t="shared" si="0"/>
        <v>0</v>
      </c>
      <c r="M51" s="451" t="str">
        <f t="shared" si="70"/>
        <v/>
      </c>
      <c r="N51" s="452" t="str">
        <f t="shared" si="70"/>
        <v/>
      </c>
      <c r="O51" s="452" t="str">
        <f t="shared" si="70"/>
        <v/>
      </c>
      <c r="P51" s="452" t="str">
        <f t="shared" si="70"/>
        <v/>
      </c>
      <c r="Q51" s="453" t="str">
        <f t="shared" si="70"/>
        <v/>
      </c>
      <c r="R51" s="451" t="str">
        <f t="shared" si="70"/>
        <v/>
      </c>
      <c r="S51" s="452" t="str">
        <f t="shared" si="70"/>
        <v/>
      </c>
      <c r="T51" s="452" t="str">
        <f t="shared" si="70"/>
        <v/>
      </c>
      <c r="U51" s="452" t="str">
        <f t="shared" si="70"/>
        <v/>
      </c>
      <c r="V51" s="453" t="str">
        <f t="shared" si="70"/>
        <v/>
      </c>
      <c r="W51" s="451" t="str">
        <f t="shared" si="70"/>
        <v/>
      </c>
      <c r="X51" s="452" t="str">
        <f t="shared" si="70"/>
        <v/>
      </c>
      <c r="Y51" s="452" t="str">
        <f t="shared" si="70"/>
        <v/>
      </c>
      <c r="Z51" s="452" t="str">
        <f t="shared" si="70"/>
        <v/>
      </c>
      <c r="AA51" s="453" t="str">
        <f t="shared" si="70"/>
        <v/>
      </c>
      <c r="AB51" s="451" t="str">
        <f t="shared" si="70"/>
        <v/>
      </c>
      <c r="AC51" s="452" t="str">
        <f t="shared" si="75"/>
        <v/>
      </c>
      <c r="AD51" s="452" t="str">
        <f t="shared" si="75"/>
        <v/>
      </c>
      <c r="AE51" s="452" t="str">
        <f t="shared" si="75"/>
        <v/>
      </c>
      <c r="AF51" s="453" t="str">
        <f t="shared" si="75"/>
        <v/>
      </c>
      <c r="AG51" s="451" t="str">
        <f t="shared" si="75"/>
        <v/>
      </c>
      <c r="AH51" s="452" t="str">
        <f t="shared" si="75"/>
        <v/>
      </c>
      <c r="AI51" s="452" t="str">
        <f t="shared" si="75"/>
        <v/>
      </c>
      <c r="AJ51" s="452" t="str">
        <f t="shared" si="75"/>
        <v/>
      </c>
      <c r="AK51" s="453" t="str">
        <f t="shared" si="75"/>
        <v/>
      </c>
      <c r="AL51" s="451" t="str">
        <f t="shared" si="75"/>
        <v/>
      </c>
      <c r="AM51" s="452" t="str">
        <f t="shared" si="75"/>
        <v/>
      </c>
      <c r="AN51" s="452" t="str">
        <f t="shared" si="75"/>
        <v/>
      </c>
      <c r="AO51" s="452" t="str">
        <f t="shared" si="75"/>
        <v/>
      </c>
      <c r="AP51" s="453" t="str">
        <f t="shared" si="75"/>
        <v/>
      </c>
      <c r="AQ51" s="451" t="str">
        <f t="shared" si="75"/>
        <v/>
      </c>
      <c r="AR51" s="452" t="str">
        <f t="shared" si="75"/>
        <v/>
      </c>
      <c r="AS51" s="452" t="str">
        <f t="shared" si="78"/>
        <v/>
      </c>
      <c r="AT51" s="452" t="str">
        <f t="shared" si="78"/>
        <v/>
      </c>
      <c r="AU51" s="453" t="str">
        <f t="shared" si="78"/>
        <v/>
      </c>
      <c r="AV51" s="451" t="str">
        <f t="shared" si="78"/>
        <v/>
      </c>
      <c r="AW51" s="452" t="str">
        <f t="shared" si="78"/>
        <v/>
      </c>
      <c r="AX51" s="452" t="str">
        <f t="shared" si="78"/>
        <v/>
      </c>
      <c r="AY51" s="452" t="str">
        <f t="shared" si="78"/>
        <v/>
      </c>
      <c r="AZ51" s="453" t="str">
        <f t="shared" si="78"/>
        <v/>
      </c>
      <c r="BA51" s="451" t="str">
        <f t="shared" si="78"/>
        <v/>
      </c>
      <c r="BB51" s="452" t="str">
        <f t="shared" si="78"/>
        <v/>
      </c>
      <c r="BC51" s="452" t="str">
        <f t="shared" si="78"/>
        <v/>
      </c>
      <c r="BD51" s="452" t="str">
        <f t="shared" si="78"/>
        <v/>
      </c>
      <c r="BE51" s="453" t="str">
        <f t="shared" si="78"/>
        <v/>
      </c>
      <c r="BF51" s="451" t="str">
        <f t="shared" si="78"/>
        <v/>
      </c>
      <c r="BG51" s="452" t="str">
        <f t="shared" si="53"/>
        <v/>
      </c>
      <c r="BH51" s="452" t="str">
        <f t="shared" si="53"/>
        <v/>
      </c>
      <c r="BI51" s="452" t="str">
        <f t="shared" si="53"/>
        <v/>
      </c>
      <c r="BJ51" s="453" t="str">
        <f t="shared" si="53"/>
        <v/>
      </c>
      <c r="BK51" s="451" t="str">
        <f t="shared" si="53"/>
        <v/>
      </c>
      <c r="BL51" s="452" t="str">
        <f t="shared" si="53"/>
        <v/>
      </c>
      <c r="BM51" s="452" t="str">
        <f t="shared" si="53"/>
        <v/>
      </c>
      <c r="BN51" s="452" t="str">
        <f t="shared" si="53"/>
        <v/>
      </c>
      <c r="BO51" s="453" t="str">
        <f t="shared" si="53"/>
        <v/>
      </c>
      <c r="BP51" s="451" t="str">
        <f t="shared" si="53"/>
        <v/>
      </c>
      <c r="BQ51" s="452" t="str">
        <f t="shared" si="53"/>
        <v/>
      </c>
      <c r="BR51" s="452" t="str">
        <f t="shared" si="53"/>
        <v/>
      </c>
      <c r="BS51" s="452" t="str">
        <f t="shared" si="53"/>
        <v/>
      </c>
      <c r="BT51" s="453" t="str">
        <f t="shared" si="53"/>
        <v/>
      </c>
      <c r="BU51" s="451" t="str">
        <f t="shared" si="53"/>
        <v/>
      </c>
      <c r="BV51" s="452" t="str">
        <f t="shared" si="53"/>
        <v/>
      </c>
      <c r="BW51" s="452" t="str">
        <f t="shared" si="50"/>
        <v/>
      </c>
      <c r="BX51" s="452" t="str">
        <f t="shared" si="50"/>
        <v/>
      </c>
      <c r="BY51" s="453" t="str">
        <f t="shared" si="54"/>
        <v/>
      </c>
      <c r="BZ51" s="451" t="str">
        <f t="shared" si="54"/>
        <v/>
      </c>
      <c r="CA51" s="452" t="str">
        <f t="shared" si="54"/>
        <v/>
      </c>
      <c r="CB51" s="452" t="str">
        <f t="shared" si="54"/>
        <v/>
      </c>
      <c r="CC51" s="452" t="str">
        <f t="shared" si="54"/>
        <v/>
      </c>
      <c r="CD51" s="453" t="str">
        <f t="shared" si="54"/>
        <v/>
      </c>
      <c r="CE51" s="451" t="str">
        <f t="shared" si="54"/>
        <v/>
      </c>
      <c r="CF51" s="452" t="str">
        <f t="shared" si="54"/>
        <v/>
      </c>
      <c r="CG51" s="452" t="str">
        <f t="shared" si="54"/>
        <v/>
      </c>
      <c r="CH51" s="452" t="str">
        <f t="shared" si="54"/>
        <v/>
      </c>
      <c r="CI51" s="453" t="str">
        <f t="shared" si="54"/>
        <v/>
      </c>
      <c r="CJ51" s="451" t="str">
        <f t="shared" si="54"/>
        <v/>
      </c>
      <c r="CK51" s="452" t="str">
        <f t="shared" si="54"/>
        <v/>
      </c>
      <c r="CL51" s="452" t="str">
        <f t="shared" si="54"/>
        <v/>
      </c>
      <c r="CM51" s="452" t="str">
        <f t="shared" si="54"/>
        <v/>
      </c>
      <c r="CN51" s="453" t="str">
        <f t="shared" si="54"/>
        <v/>
      </c>
      <c r="CO51" s="451" t="str">
        <f t="shared" si="79"/>
        <v/>
      </c>
      <c r="CP51" s="452" t="str">
        <f t="shared" si="79"/>
        <v/>
      </c>
      <c r="CQ51" s="452" t="str">
        <f t="shared" si="79"/>
        <v/>
      </c>
      <c r="CR51" s="452" t="str">
        <f t="shared" si="79"/>
        <v/>
      </c>
      <c r="CS51" s="453" t="str">
        <f t="shared" si="79"/>
        <v/>
      </c>
      <c r="CT51" s="451" t="str">
        <f t="shared" si="79"/>
        <v/>
      </c>
      <c r="CU51" s="452" t="str">
        <f t="shared" si="79"/>
        <v/>
      </c>
      <c r="CV51" s="452" t="str">
        <f t="shared" si="79"/>
        <v/>
      </c>
      <c r="CW51" s="452" t="str">
        <f t="shared" si="79"/>
        <v/>
      </c>
      <c r="CX51" s="453" t="str">
        <f t="shared" si="79"/>
        <v/>
      </c>
      <c r="CY51" s="451" t="str">
        <f t="shared" si="79"/>
        <v/>
      </c>
      <c r="CZ51" s="452" t="str">
        <f t="shared" si="55"/>
        <v/>
      </c>
      <c r="DA51" s="452" t="str">
        <f t="shared" si="55"/>
        <v/>
      </c>
      <c r="DB51" s="452" t="str">
        <f t="shared" si="55"/>
        <v/>
      </c>
      <c r="DC51" s="453" t="str">
        <f t="shared" si="55"/>
        <v/>
      </c>
      <c r="DD51" s="451" t="str">
        <f t="shared" si="55"/>
        <v/>
      </c>
      <c r="DE51" s="452" t="str">
        <f t="shared" si="62"/>
        <v/>
      </c>
      <c r="DF51" s="452" t="str">
        <f t="shared" si="62"/>
        <v/>
      </c>
      <c r="DG51" s="452" t="str">
        <f t="shared" si="62"/>
        <v/>
      </c>
      <c r="DH51" s="453" t="str">
        <f t="shared" si="62"/>
        <v/>
      </c>
      <c r="DI51" s="451" t="str">
        <f t="shared" si="62"/>
        <v/>
      </c>
      <c r="DJ51" s="452" t="str">
        <f t="shared" si="62"/>
        <v/>
      </c>
      <c r="DK51" s="452" t="str">
        <f t="shared" si="62"/>
        <v/>
      </c>
      <c r="DL51" s="452" t="str">
        <f t="shared" si="62"/>
        <v/>
      </c>
      <c r="DM51" s="453" t="str">
        <f t="shared" si="62"/>
        <v/>
      </c>
      <c r="DN51" s="451" t="str">
        <f t="shared" si="62"/>
        <v/>
      </c>
      <c r="DO51" s="452" t="str">
        <f t="shared" si="62"/>
        <v/>
      </c>
      <c r="DP51" s="452" t="str">
        <f t="shared" si="62"/>
        <v/>
      </c>
      <c r="DQ51" s="452" t="str">
        <f t="shared" si="62"/>
        <v/>
      </c>
      <c r="DR51" s="453" t="str">
        <f t="shared" si="62"/>
        <v/>
      </c>
      <c r="DS51" s="451" t="str">
        <f t="shared" si="62"/>
        <v/>
      </c>
      <c r="DT51" s="452" t="str">
        <f t="shared" si="62"/>
        <v/>
      </c>
      <c r="DU51" s="452" t="str">
        <f t="shared" si="58"/>
        <v/>
      </c>
      <c r="DV51" s="452" t="str">
        <f t="shared" si="58"/>
        <v/>
      </c>
      <c r="DW51" s="453" t="str">
        <f t="shared" si="58"/>
        <v/>
      </c>
      <c r="DX51" s="451" t="str">
        <f t="shared" si="58"/>
        <v/>
      </c>
      <c r="DY51" s="452" t="str">
        <f t="shared" si="58"/>
        <v/>
      </c>
      <c r="DZ51" s="452" t="str">
        <f t="shared" si="58"/>
        <v/>
      </c>
      <c r="EA51" s="452" t="str">
        <f t="shared" si="58"/>
        <v/>
      </c>
      <c r="EB51" s="453" t="str">
        <f t="shared" si="58"/>
        <v/>
      </c>
      <c r="EC51" s="451" t="str">
        <f t="shared" si="58"/>
        <v/>
      </c>
      <c r="ED51" s="452" t="str">
        <f t="shared" si="58"/>
        <v/>
      </c>
      <c r="EE51" s="452" t="str">
        <f t="shared" si="58"/>
        <v/>
      </c>
      <c r="EF51" s="452" t="str">
        <f t="shared" si="58"/>
        <v/>
      </c>
      <c r="EG51" s="453" t="str">
        <f t="shared" si="58"/>
        <v/>
      </c>
      <c r="EH51" s="451" t="str">
        <f t="shared" si="58"/>
        <v/>
      </c>
      <c r="EI51" s="452" t="str">
        <f t="shared" si="58"/>
        <v/>
      </c>
      <c r="EJ51" s="452" t="str">
        <f t="shared" si="67"/>
        <v/>
      </c>
      <c r="EK51" s="452" t="str">
        <f t="shared" si="67"/>
        <v/>
      </c>
      <c r="EL51" s="453" t="str">
        <f t="shared" si="67"/>
        <v/>
      </c>
      <c r="EM51" s="451" t="str">
        <f t="shared" si="67"/>
        <v/>
      </c>
      <c r="EN51" s="452" t="str">
        <f t="shared" si="67"/>
        <v/>
      </c>
      <c r="EO51" s="452" t="str">
        <f t="shared" si="67"/>
        <v/>
      </c>
      <c r="EP51" s="452" t="str">
        <f t="shared" si="67"/>
        <v/>
      </c>
      <c r="EQ51" s="453" t="str">
        <f t="shared" si="67"/>
        <v/>
      </c>
      <c r="ER51" s="451" t="str">
        <f t="shared" si="67"/>
        <v/>
      </c>
      <c r="ES51" s="452" t="str">
        <f t="shared" si="67"/>
        <v/>
      </c>
      <c r="ET51" s="452" t="str">
        <f t="shared" si="67"/>
        <v/>
      </c>
      <c r="EU51" s="452" t="str">
        <f t="shared" si="67"/>
        <v/>
      </c>
      <c r="EV51" s="453" t="str">
        <f t="shared" si="67"/>
        <v/>
      </c>
      <c r="EW51" s="451" t="str">
        <f t="shared" si="67"/>
        <v/>
      </c>
      <c r="EX51" s="452" t="str">
        <f t="shared" si="67"/>
        <v/>
      </c>
      <c r="EY51" s="452" t="str">
        <f t="shared" si="67"/>
        <v/>
      </c>
      <c r="EZ51" s="452" t="str">
        <f t="shared" si="73"/>
        <v/>
      </c>
      <c r="FA51" s="453" t="str">
        <f t="shared" si="73"/>
        <v/>
      </c>
      <c r="FB51" s="451" t="str">
        <f t="shared" si="73"/>
        <v/>
      </c>
      <c r="FC51" s="452" t="str">
        <f t="shared" si="73"/>
        <v/>
      </c>
      <c r="FD51" s="452" t="str">
        <f t="shared" si="73"/>
        <v/>
      </c>
      <c r="FE51" s="452" t="str">
        <f t="shared" si="73"/>
        <v/>
      </c>
      <c r="FF51" s="453" t="str">
        <f t="shared" si="73"/>
        <v/>
      </c>
      <c r="FG51" s="451" t="str">
        <f t="shared" si="73"/>
        <v/>
      </c>
      <c r="FH51" s="452" t="str">
        <f t="shared" si="73"/>
        <v/>
      </c>
      <c r="FI51" s="452" t="str">
        <f t="shared" si="73"/>
        <v/>
      </c>
      <c r="FJ51" s="452" t="str">
        <f t="shared" si="73"/>
        <v/>
      </c>
      <c r="FK51" s="453" t="str">
        <f t="shared" si="73"/>
        <v/>
      </c>
      <c r="FL51" s="451" t="str">
        <f t="shared" si="73"/>
        <v/>
      </c>
      <c r="FM51" s="452" t="str">
        <f t="shared" si="73"/>
        <v/>
      </c>
      <c r="FN51" s="452" t="str">
        <f t="shared" si="73"/>
        <v/>
      </c>
      <c r="FO51" s="452" t="str">
        <f t="shared" si="73"/>
        <v/>
      </c>
      <c r="FP51" s="453" t="str">
        <f t="shared" si="71"/>
        <v/>
      </c>
      <c r="FQ51" s="451" t="str">
        <f t="shared" si="71"/>
        <v/>
      </c>
      <c r="FR51" s="452" t="str">
        <f t="shared" si="71"/>
        <v/>
      </c>
      <c r="FS51" s="452" t="str">
        <f t="shared" si="71"/>
        <v/>
      </c>
      <c r="FT51" s="452" t="str">
        <f t="shared" si="71"/>
        <v/>
      </c>
      <c r="FU51" s="453" t="str">
        <f t="shared" si="71"/>
        <v/>
      </c>
      <c r="FV51" s="451" t="str">
        <f t="shared" si="71"/>
        <v/>
      </c>
      <c r="FW51" s="452" t="str">
        <f t="shared" si="71"/>
        <v/>
      </c>
      <c r="FX51" s="452" t="str">
        <f t="shared" si="71"/>
        <v/>
      </c>
      <c r="FY51" s="452" t="str">
        <f t="shared" si="71"/>
        <v/>
      </c>
      <c r="FZ51" s="453" t="str">
        <f t="shared" si="74"/>
        <v/>
      </c>
      <c r="GA51" s="451" t="str">
        <f t="shared" si="74"/>
        <v/>
      </c>
      <c r="GB51" s="452" t="str">
        <f t="shared" si="74"/>
        <v/>
      </c>
      <c r="GC51" s="452" t="str">
        <f t="shared" si="74"/>
        <v/>
      </c>
      <c r="GD51" s="452" t="str">
        <f t="shared" si="74"/>
        <v/>
      </c>
      <c r="GE51" s="453" t="str">
        <f t="shared" si="74"/>
        <v/>
      </c>
      <c r="GF51" s="451" t="str">
        <f t="shared" si="74"/>
        <v/>
      </c>
      <c r="GG51" s="452" t="str">
        <f t="shared" si="74"/>
        <v/>
      </c>
      <c r="GH51" s="452" t="str">
        <f t="shared" si="74"/>
        <v/>
      </c>
      <c r="GI51" s="452" t="str">
        <f t="shared" si="74"/>
        <v/>
      </c>
      <c r="GJ51" s="453" t="str">
        <f t="shared" si="74"/>
        <v/>
      </c>
      <c r="GK51" s="451" t="str">
        <f t="shared" si="74"/>
        <v/>
      </c>
      <c r="GL51" s="452" t="str">
        <f t="shared" si="74"/>
        <v/>
      </c>
      <c r="GM51" s="452" t="str">
        <f t="shared" si="74"/>
        <v/>
      </c>
      <c r="GN51" s="452" t="str">
        <f t="shared" si="74"/>
        <v/>
      </c>
      <c r="GO51" s="453" t="str">
        <f t="shared" si="74"/>
        <v/>
      </c>
      <c r="GP51" s="451" t="str">
        <f t="shared" si="74"/>
        <v/>
      </c>
      <c r="GQ51" s="452" t="str">
        <f t="shared" si="69"/>
        <v/>
      </c>
      <c r="GR51" s="452" t="str">
        <f t="shared" si="69"/>
        <v/>
      </c>
      <c r="GS51" s="452" t="str">
        <f t="shared" si="69"/>
        <v/>
      </c>
      <c r="GT51" s="453" t="str">
        <f t="shared" si="69"/>
        <v/>
      </c>
      <c r="GU51" s="451" t="str">
        <f t="shared" si="69"/>
        <v/>
      </c>
      <c r="GV51" s="452" t="str">
        <f t="shared" si="69"/>
        <v/>
      </c>
      <c r="GW51" s="452" t="str">
        <f t="shared" si="69"/>
        <v/>
      </c>
      <c r="GX51" s="452" t="str">
        <f t="shared" si="69"/>
        <v/>
      </c>
      <c r="GY51" s="453" t="str">
        <f t="shared" si="69"/>
        <v/>
      </c>
      <c r="GZ51" s="451" t="str">
        <f t="shared" si="69"/>
        <v/>
      </c>
      <c r="HA51" s="452" t="str">
        <f t="shared" si="69"/>
        <v/>
      </c>
      <c r="HB51" s="452" t="str">
        <f t="shared" si="69"/>
        <v/>
      </c>
      <c r="HC51" s="452" t="str">
        <f t="shared" si="69"/>
        <v/>
      </c>
      <c r="HD51" s="453" t="str">
        <f t="shared" si="69"/>
        <v/>
      </c>
      <c r="HE51" s="451" t="str">
        <f t="shared" si="69"/>
        <v/>
      </c>
      <c r="HF51" s="452" t="str">
        <f t="shared" si="65"/>
        <v/>
      </c>
      <c r="HG51" s="452" t="str">
        <f t="shared" si="65"/>
        <v/>
      </c>
      <c r="HH51" s="452" t="str">
        <f t="shared" si="65"/>
        <v/>
      </c>
      <c r="HI51" s="453" t="str">
        <f t="shared" si="65"/>
        <v/>
      </c>
      <c r="HJ51" s="451" t="str">
        <f t="shared" si="65"/>
        <v/>
      </c>
      <c r="HK51" s="452" t="str">
        <f t="shared" si="65"/>
        <v/>
      </c>
      <c r="HL51" s="452" t="str">
        <f t="shared" si="65"/>
        <v/>
      </c>
      <c r="HM51" s="452" t="str">
        <f t="shared" si="65"/>
        <v/>
      </c>
      <c r="HN51" s="453" t="str">
        <f t="shared" si="65"/>
        <v/>
      </c>
      <c r="HO51" s="451" t="str">
        <f t="shared" si="65"/>
        <v/>
      </c>
      <c r="HP51" s="452" t="str">
        <f t="shared" si="65"/>
        <v/>
      </c>
      <c r="HQ51" s="452" t="str">
        <f t="shared" si="65"/>
        <v/>
      </c>
      <c r="HR51" s="452" t="str">
        <f t="shared" si="65"/>
        <v/>
      </c>
      <c r="HS51" s="453" t="str">
        <f t="shared" si="65"/>
        <v/>
      </c>
      <c r="HT51" s="451" t="str">
        <f t="shared" si="65"/>
        <v/>
      </c>
      <c r="HU51" s="452" t="str">
        <f t="shared" si="65"/>
        <v/>
      </c>
      <c r="HV51" s="452" t="str">
        <f t="shared" si="63"/>
        <v/>
      </c>
      <c r="HW51" s="452" t="str">
        <f t="shared" si="63"/>
        <v/>
      </c>
      <c r="HX51" s="453" t="str">
        <f t="shared" si="63"/>
        <v/>
      </c>
      <c r="HY51" s="451" t="str">
        <f t="shared" si="63"/>
        <v/>
      </c>
      <c r="HZ51" s="452" t="str">
        <f t="shared" si="63"/>
        <v/>
      </c>
      <c r="IA51" s="452" t="str">
        <f t="shared" si="66"/>
        <v/>
      </c>
      <c r="IB51" s="452" t="str">
        <f t="shared" si="66"/>
        <v/>
      </c>
      <c r="IC51" s="453" t="str">
        <f t="shared" si="66"/>
        <v/>
      </c>
      <c r="ID51" s="451" t="str">
        <f t="shared" si="66"/>
        <v/>
      </c>
      <c r="IE51" s="452" t="str">
        <f t="shared" si="66"/>
        <v/>
      </c>
      <c r="IF51" s="452" t="str">
        <f t="shared" si="66"/>
        <v/>
      </c>
      <c r="IG51" s="452" t="str">
        <f t="shared" si="66"/>
        <v/>
      </c>
      <c r="IH51" s="453" t="str">
        <f t="shared" si="66"/>
        <v/>
      </c>
      <c r="II51" s="451" t="str">
        <f t="shared" si="66"/>
        <v/>
      </c>
      <c r="IJ51" s="452" t="str">
        <f t="shared" si="66"/>
        <v/>
      </c>
      <c r="IK51" s="452" t="str">
        <f t="shared" si="66"/>
        <v/>
      </c>
      <c r="IL51" s="452" t="str">
        <f t="shared" si="66"/>
        <v/>
      </c>
      <c r="IM51" s="453" t="str">
        <f t="shared" si="66"/>
        <v/>
      </c>
      <c r="IN51" s="451" t="str">
        <f t="shared" si="66"/>
        <v/>
      </c>
      <c r="IO51" s="452" t="str">
        <f t="shared" si="66"/>
        <v/>
      </c>
      <c r="IP51" s="452" t="str">
        <f t="shared" si="66"/>
        <v/>
      </c>
      <c r="IQ51" s="452" t="str">
        <f t="shared" si="64"/>
        <v/>
      </c>
      <c r="IR51" s="453" t="str">
        <f t="shared" si="64"/>
        <v/>
      </c>
    </row>
    <row r="52" spans="1:252" x14ac:dyDescent="0.2">
      <c r="A52" s="461">
        <v>5.4</v>
      </c>
      <c r="C52" s="447" t="s">
        <v>1354</v>
      </c>
      <c r="D52" s="447"/>
      <c r="E52" s="448"/>
      <c r="F52" s="448"/>
      <c r="G52" s="448"/>
      <c r="H52" s="448"/>
      <c r="I52" s="448"/>
      <c r="J52" s="449" t="str">
        <f t="shared" si="76"/>
        <v/>
      </c>
      <c r="K52" s="449" t="str">
        <f t="shared" si="77"/>
        <v/>
      </c>
      <c r="L52" s="450">
        <f t="shared" si="0"/>
        <v>0</v>
      </c>
      <c r="M52" s="451" t="str">
        <f t="shared" si="70"/>
        <v/>
      </c>
      <c r="N52" s="452" t="str">
        <f t="shared" si="70"/>
        <v/>
      </c>
      <c r="O52" s="452" t="str">
        <f t="shared" si="70"/>
        <v/>
      </c>
      <c r="P52" s="452" t="str">
        <f t="shared" si="70"/>
        <v/>
      </c>
      <c r="Q52" s="453" t="str">
        <f t="shared" si="70"/>
        <v/>
      </c>
      <c r="R52" s="451" t="str">
        <f t="shared" si="70"/>
        <v/>
      </c>
      <c r="S52" s="452" t="str">
        <f t="shared" si="70"/>
        <v/>
      </c>
      <c r="T52" s="452" t="str">
        <f t="shared" si="70"/>
        <v/>
      </c>
      <c r="U52" s="452" t="str">
        <f t="shared" si="70"/>
        <v/>
      </c>
      <c r="V52" s="453" t="str">
        <f t="shared" si="70"/>
        <v/>
      </c>
      <c r="W52" s="451" t="str">
        <f t="shared" si="70"/>
        <v/>
      </c>
      <c r="X52" s="452" t="str">
        <f t="shared" si="70"/>
        <v/>
      </c>
      <c r="Y52" s="452" t="str">
        <f t="shared" si="70"/>
        <v/>
      </c>
      <c r="Z52" s="452" t="str">
        <f t="shared" si="70"/>
        <v/>
      </c>
      <c r="AA52" s="453" t="str">
        <f t="shared" si="70"/>
        <v/>
      </c>
      <c r="AB52" s="451" t="str">
        <f t="shared" si="70"/>
        <v/>
      </c>
      <c r="AC52" s="452" t="str">
        <f t="shared" si="75"/>
        <v/>
      </c>
      <c r="AD52" s="452" t="str">
        <f t="shared" si="75"/>
        <v/>
      </c>
      <c r="AE52" s="452" t="str">
        <f t="shared" si="75"/>
        <v/>
      </c>
      <c r="AF52" s="453" t="str">
        <f t="shared" si="75"/>
        <v/>
      </c>
      <c r="AG52" s="451" t="str">
        <f t="shared" si="75"/>
        <v/>
      </c>
      <c r="AH52" s="452" t="str">
        <f t="shared" si="75"/>
        <v/>
      </c>
      <c r="AI52" s="452" t="str">
        <f t="shared" si="75"/>
        <v/>
      </c>
      <c r="AJ52" s="452" t="str">
        <f t="shared" si="75"/>
        <v/>
      </c>
      <c r="AK52" s="453" t="str">
        <f t="shared" si="75"/>
        <v/>
      </c>
      <c r="AL52" s="451" t="str">
        <f t="shared" si="75"/>
        <v/>
      </c>
      <c r="AM52" s="452" t="str">
        <f t="shared" si="75"/>
        <v/>
      </c>
      <c r="AN52" s="452" t="str">
        <f t="shared" si="75"/>
        <v/>
      </c>
      <c r="AO52" s="452" t="str">
        <f t="shared" si="75"/>
        <v/>
      </c>
      <c r="AP52" s="453" t="str">
        <f t="shared" si="75"/>
        <v/>
      </c>
      <c r="AQ52" s="451" t="str">
        <f t="shared" si="75"/>
        <v/>
      </c>
      <c r="AR52" s="452" t="str">
        <f t="shared" si="75"/>
        <v/>
      </c>
      <c r="AS52" s="452" t="str">
        <f t="shared" si="78"/>
        <v/>
      </c>
      <c r="AT52" s="452" t="str">
        <f t="shared" si="78"/>
        <v/>
      </c>
      <c r="AU52" s="453" t="str">
        <f t="shared" si="78"/>
        <v/>
      </c>
      <c r="AV52" s="451" t="str">
        <f t="shared" si="78"/>
        <v/>
      </c>
      <c r="AW52" s="452" t="str">
        <f t="shared" si="78"/>
        <v/>
      </c>
      <c r="AX52" s="452" t="str">
        <f t="shared" si="78"/>
        <v/>
      </c>
      <c r="AY52" s="452" t="str">
        <f t="shared" si="78"/>
        <v/>
      </c>
      <c r="AZ52" s="453" t="str">
        <f t="shared" si="78"/>
        <v/>
      </c>
      <c r="BA52" s="451" t="str">
        <f t="shared" si="78"/>
        <v/>
      </c>
      <c r="BB52" s="452" t="str">
        <f t="shared" si="78"/>
        <v/>
      </c>
      <c r="BC52" s="452" t="str">
        <f t="shared" si="78"/>
        <v/>
      </c>
      <c r="BD52" s="452" t="str">
        <f t="shared" si="78"/>
        <v/>
      </c>
      <c r="BE52" s="453" t="str">
        <f t="shared" si="78"/>
        <v/>
      </c>
      <c r="BF52" s="451" t="str">
        <f t="shared" si="78"/>
        <v/>
      </c>
      <c r="BG52" s="452" t="str">
        <f t="shared" si="53"/>
        <v/>
      </c>
      <c r="BH52" s="452" t="str">
        <f t="shared" si="53"/>
        <v/>
      </c>
      <c r="BI52" s="452" t="str">
        <f t="shared" si="53"/>
        <v/>
      </c>
      <c r="BJ52" s="453" t="str">
        <f t="shared" si="53"/>
        <v/>
      </c>
      <c r="BK52" s="451" t="str">
        <f t="shared" si="53"/>
        <v/>
      </c>
      <c r="BL52" s="452" t="str">
        <f t="shared" si="53"/>
        <v/>
      </c>
      <c r="BM52" s="452" t="str">
        <f t="shared" si="53"/>
        <v/>
      </c>
      <c r="BN52" s="452" t="str">
        <f t="shared" si="53"/>
        <v/>
      </c>
      <c r="BO52" s="453" t="str">
        <f t="shared" si="53"/>
        <v/>
      </c>
      <c r="BP52" s="451" t="str">
        <f t="shared" si="53"/>
        <v/>
      </c>
      <c r="BQ52" s="452" t="str">
        <f t="shared" si="53"/>
        <v/>
      </c>
      <c r="BR52" s="452" t="str">
        <f t="shared" si="53"/>
        <v/>
      </c>
      <c r="BS52" s="452" t="str">
        <f t="shared" si="53"/>
        <v/>
      </c>
      <c r="BT52" s="453" t="str">
        <f t="shared" si="53"/>
        <v/>
      </c>
      <c r="BU52" s="451" t="str">
        <f t="shared" si="53"/>
        <v/>
      </c>
      <c r="BV52" s="452" t="str">
        <f t="shared" si="53"/>
        <v/>
      </c>
      <c r="BW52" s="452" t="str">
        <f t="shared" si="50"/>
        <v/>
      </c>
      <c r="BX52" s="452" t="str">
        <f t="shared" si="50"/>
        <v/>
      </c>
      <c r="BY52" s="453" t="str">
        <f t="shared" si="54"/>
        <v/>
      </c>
      <c r="BZ52" s="451" t="str">
        <f t="shared" si="54"/>
        <v/>
      </c>
      <c r="CA52" s="452" t="str">
        <f t="shared" si="54"/>
        <v/>
      </c>
      <c r="CB52" s="452" t="str">
        <f t="shared" si="54"/>
        <v/>
      </c>
      <c r="CC52" s="452" t="str">
        <f t="shared" si="54"/>
        <v/>
      </c>
      <c r="CD52" s="453" t="str">
        <f t="shared" si="54"/>
        <v/>
      </c>
      <c r="CE52" s="451" t="str">
        <f t="shared" si="54"/>
        <v/>
      </c>
      <c r="CF52" s="452" t="str">
        <f t="shared" si="54"/>
        <v/>
      </c>
      <c r="CG52" s="452" t="str">
        <f t="shared" si="54"/>
        <v/>
      </c>
      <c r="CH52" s="452" t="str">
        <f t="shared" si="54"/>
        <v/>
      </c>
      <c r="CI52" s="453" t="str">
        <f t="shared" si="54"/>
        <v/>
      </c>
      <c r="CJ52" s="451" t="str">
        <f t="shared" si="54"/>
        <v/>
      </c>
      <c r="CK52" s="452" t="str">
        <f t="shared" si="54"/>
        <v/>
      </c>
      <c r="CL52" s="452" t="str">
        <f t="shared" si="54"/>
        <v/>
      </c>
      <c r="CM52" s="452" t="str">
        <f t="shared" si="54"/>
        <v/>
      </c>
      <c r="CN52" s="453" t="str">
        <f t="shared" si="54"/>
        <v/>
      </c>
      <c r="CO52" s="451" t="str">
        <f t="shared" si="79"/>
        <v/>
      </c>
      <c r="CP52" s="452" t="str">
        <f t="shared" si="79"/>
        <v/>
      </c>
      <c r="CQ52" s="452" t="str">
        <f t="shared" si="79"/>
        <v/>
      </c>
      <c r="CR52" s="452" t="str">
        <f t="shared" si="79"/>
        <v/>
      </c>
      <c r="CS52" s="453" t="str">
        <f t="shared" si="79"/>
        <v/>
      </c>
      <c r="CT52" s="451" t="str">
        <f t="shared" si="79"/>
        <v/>
      </c>
      <c r="CU52" s="452" t="str">
        <f t="shared" si="79"/>
        <v/>
      </c>
      <c r="CV52" s="452" t="str">
        <f t="shared" si="79"/>
        <v/>
      </c>
      <c r="CW52" s="452" t="str">
        <f t="shared" si="79"/>
        <v/>
      </c>
      <c r="CX52" s="453" t="str">
        <f t="shared" si="79"/>
        <v/>
      </c>
      <c r="CY52" s="451" t="str">
        <f t="shared" si="79"/>
        <v/>
      </c>
      <c r="CZ52" s="452" t="str">
        <f t="shared" si="55"/>
        <v/>
      </c>
      <c r="DA52" s="452" t="str">
        <f t="shared" si="55"/>
        <v/>
      </c>
      <c r="DB52" s="452" t="str">
        <f t="shared" si="55"/>
        <v/>
      </c>
      <c r="DC52" s="453" t="str">
        <f t="shared" si="55"/>
        <v/>
      </c>
      <c r="DD52" s="451" t="str">
        <f t="shared" si="55"/>
        <v/>
      </c>
      <c r="DE52" s="452" t="str">
        <f t="shared" si="62"/>
        <v/>
      </c>
      <c r="DF52" s="452" t="str">
        <f t="shared" si="62"/>
        <v/>
      </c>
      <c r="DG52" s="452" t="str">
        <f t="shared" si="62"/>
        <v/>
      </c>
      <c r="DH52" s="453" t="str">
        <f t="shared" si="62"/>
        <v/>
      </c>
      <c r="DI52" s="451" t="str">
        <f t="shared" si="62"/>
        <v/>
      </c>
      <c r="DJ52" s="452" t="str">
        <f t="shared" si="62"/>
        <v/>
      </c>
      <c r="DK52" s="452" t="str">
        <f t="shared" si="62"/>
        <v/>
      </c>
      <c r="DL52" s="452" t="str">
        <f t="shared" si="62"/>
        <v/>
      </c>
      <c r="DM52" s="453" t="str">
        <f t="shared" si="62"/>
        <v/>
      </c>
      <c r="DN52" s="451" t="str">
        <f t="shared" si="62"/>
        <v/>
      </c>
      <c r="DO52" s="452" t="str">
        <f t="shared" si="62"/>
        <v/>
      </c>
      <c r="DP52" s="452" t="str">
        <f t="shared" si="62"/>
        <v/>
      </c>
      <c r="DQ52" s="452" t="str">
        <f t="shared" si="62"/>
        <v/>
      </c>
      <c r="DR52" s="453" t="str">
        <f t="shared" si="62"/>
        <v/>
      </c>
      <c r="DS52" s="451" t="str">
        <f t="shared" si="62"/>
        <v/>
      </c>
      <c r="DT52" s="452" t="str">
        <f t="shared" si="62"/>
        <v/>
      </c>
      <c r="DU52" s="452" t="str">
        <f t="shared" si="58"/>
        <v/>
      </c>
      <c r="DV52" s="452" t="str">
        <f t="shared" si="58"/>
        <v/>
      </c>
      <c r="DW52" s="453" t="str">
        <f t="shared" si="58"/>
        <v/>
      </c>
      <c r="DX52" s="451" t="str">
        <f t="shared" si="58"/>
        <v/>
      </c>
      <c r="DY52" s="452" t="str">
        <f t="shared" si="58"/>
        <v/>
      </c>
      <c r="DZ52" s="452" t="str">
        <f t="shared" si="58"/>
        <v/>
      </c>
      <c r="EA52" s="452" t="str">
        <f t="shared" si="58"/>
        <v/>
      </c>
      <c r="EB52" s="453" t="str">
        <f t="shared" si="58"/>
        <v/>
      </c>
      <c r="EC52" s="451" t="str">
        <f t="shared" si="58"/>
        <v/>
      </c>
      <c r="ED52" s="452" t="str">
        <f t="shared" si="58"/>
        <v/>
      </c>
      <c r="EE52" s="452" t="str">
        <f t="shared" si="58"/>
        <v/>
      </c>
      <c r="EF52" s="452" t="str">
        <f t="shared" si="58"/>
        <v/>
      </c>
      <c r="EG52" s="453" t="str">
        <f t="shared" si="58"/>
        <v/>
      </c>
      <c r="EH52" s="451" t="str">
        <f t="shared" si="58"/>
        <v/>
      </c>
      <c r="EI52" s="452" t="str">
        <f t="shared" si="58"/>
        <v/>
      </c>
      <c r="EJ52" s="452" t="str">
        <f t="shared" si="67"/>
        <v/>
      </c>
      <c r="EK52" s="452" t="str">
        <f t="shared" si="67"/>
        <v/>
      </c>
      <c r="EL52" s="453" t="str">
        <f t="shared" si="67"/>
        <v/>
      </c>
      <c r="EM52" s="451" t="str">
        <f t="shared" si="67"/>
        <v/>
      </c>
      <c r="EN52" s="452" t="str">
        <f t="shared" si="67"/>
        <v/>
      </c>
      <c r="EO52" s="452" t="str">
        <f t="shared" si="67"/>
        <v/>
      </c>
      <c r="EP52" s="452" t="str">
        <f t="shared" si="67"/>
        <v/>
      </c>
      <c r="EQ52" s="453" t="str">
        <f t="shared" si="67"/>
        <v/>
      </c>
      <c r="ER52" s="451" t="str">
        <f t="shared" si="67"/>
        <v/>
      </c>
      <c r="ES52" s="452" t="str">
        <f t="shared" si="67"/>
        <v/>
      </c>
      <c r="ET52" s="452" t="str">
        <f t="shared" si="67"/>
        <v/>
      </c>
      <c r="EU52" s="452" t="str">
        <f t="shared" si="67"/>
        <v/>
      </c>
      <c r="EV52" s="453" t="str">
        <f t="shared" si="67"/>
        <v/>
      </c>
      <c r="EW52" s="451" t="str">
        <f t="shared" si="67"/>
        <v/>
      </c>
      <c r="EX52" s="452" t="str">
        <f t="shared" si="67"/>
        <v/>
      </c>
      <c r="EY52" s="452" t="str">
        <f t="shared" si="67"/>
        <v/>
      </c>
      <c r="EZ52" s="452" t="str">
        <f t="shared" si="73"/>
        <v/>
      </c>
      <c r="FA52" s="453" t="str">
        <f t="shared" si="73"/>
        <v/>
      </c>
      <c r="FB52" s="451" t="str">
        <f t="shared" si="73"/>
        <v/>
      </c>
      <c r="FC52" s="452" t="str">
        <f t="shared" si="73"/>
        <v/>
      </c>
      <c r="FD52" s="452" t="str">
        <f t="shared" si="73"/>
        <v/>
      </c>
      <c r="FE52" s="452" t="str">
        <f t="shared" si="73"/>
        <v/>
      </c>
      <c r="FF52" s="453" t="str">
        <f t="shared" si="73"/>
        <v/>
      </c>
      <c r="FG52" s="451" t="str">
        <f t="shared" si="73"/>
        <v/>
      </c>
      <c r="FH52" s="452" t="str">
        <f t="shared" si="73"/>
        <v/>
      </c>
      <c r="FI52" s="452" t="str">
        <f t="shared" si="73"/>
        <v/>
      </c>
      <c r="FJ52" s="452" t="str">
        <f t="shared" si="73"/>
        <v/>
      </c>
      <c r="FK52" s="453" t="str">
        <f t="shared" si="73"/>
        <v/>
      </c>
      <c r="FL52" s="451" t="str">
        <f t="shared" si="73"/>
        <v/>
      </c>
      <c r="FM52" s="452" t="str">
        <f t="shared" si="73"/>
        <v/>
      </c>
      <c r="FN52" s="452" t="str">
        <f t="shared" si="73"/>
        <v/>
      </c>
      <c r="FO52" s="452" t="str">
        <f t="shared" si="73"/>
        <v/>
      </c>
      <c r="FP52" s="453" t="str">
        <f t="shared" si="71"/>
        <v/>
      </c>
      <c r="FQ52" s="451" t="str">
        <f t="shared" si="71"/>
        <v/>
      </c>
      <c r="FR52" s="452" t="str">
        <f t="shared" si="71"/>
        <v/>
      </c>
      <c r="FS52" s="452" t="str">
        <f t="shared" si="71"/>
        <v/>
      </c>
      <c r="FT52" s="452" t="str">
        <f t="shared" si="71"/>
        <v/>
      </c>
      <c r="FU52" s="453" t="str">
        <f t="shared" si="71"/>
        <v/>
      </c>
      <c r="FV52" s="451" t="str">
        <f t="shared" si="71"/>
        <v/>
      </c>
      <c r="FW52" s="452" t="str">
        <f t="shared" si="71"/>
        <v/>
      </c>
      <c r="FX52" s="452" t="str">
        <f t="shared" si="71"/>
        <v/>
      </c>
      <c r="FY52" s="452" t="str">
        <f t="shared" si="71"/>
        <v/>
      </c>
      <c r="FZ52" s="453" t="str">
        <f t="shared" si="74"/>
        <v/>
      </c>
      <c r="GA52" s="451" t="str">
        <f t="shared" si="74"/>
        <v/>
      </c>
      <c r="GB52" s="452" t="str">
        <f t="shared" si="74"/>
        <v/>
      </c>
      <c r="GC52" s="452" t="str">
        <f t="shared" si="74"/>
        <v/>
      </c>
      <c r="GD52" s="452" t="str">
        <f t="shared" si="74"/>
        <v/>
      </c>
      <c r="GE52" s="453" t="str">
        <f t="shared" si="74"/>
        <v/>
      </c>
      <c r="GF52" s="451" t="str">
        <f t="shared" si="74"/>
        <v/>
      </c>
      <c r="GG52" s="452" t="str">
        <f t="shared" si="74"/>
        <v/>
      </c>
      <c r="GH52" s="452" t="str">
        <f t="shared" si="74"/>
        <v/>
      </c>
      <c r="GI52" s="452" t="str">
        <f t="shared" si="74"/>
        <v/>
      </c>
      <c r="GJ52" s="453" t="str">
        <f t="shared" si="74"/>
        <v/>
      </c>
      <c r="GK52" s="451" t="str">
        <f t="shared" si="74"/>
        <v/>
      </c>
      <c r="GL52" s="452" t="str">
        <f t="shared" si="74"/>
        <v/>
      </c>
      <c r="GM52" s="452" t="str">
        <f t="shared" si="74"/>
        <v/>
      </c>
      <c r="GN52" s="452" t="str">
        <f t="shared" si="74"/>
        <v/>
      </c>
      <c r="GO52" s="453" t="str">
        <f t="shared" si="74"/>
        <v/>
      </c>
      <c r="GP52" s="451" t="str">
        <f t="shared" si="74"/>
        <v/>
      </c>
      <c r="GQ52" s="452" t="str">
        <f t="shared" si="69"/>
        <v/>
      </c>
      <c r="GR52" s="452" t="str">
        <f t="shared" si="69"/>
        <v/>
      </c>
      <c r="GS52" s="452" t="str">
        <f t="shared" si="69"/>
        <v/>
      </c>
      <c r="GT52" s="453" t="str">
        <f t="shared" si="69"/>
        <v/>
      </c>
      <c r="GU52" s="451" t="str">
        <f t="shared" si="69"/>
        <v/>
      </c>
      <c r="GV52" s="452" t="str">
        <f t="shared" si="69"/>
        <v/>
      </c>
      <c r="GW52" s="452" t="str">
        <f t="shared" si="69"/>
        <v/>
      </c>
      <c r="GX52" s="452" t="str">
        <f t="shared" si="69"/>
        <v/>
      </c>
      <c r="GY52" s="453" t="str">
        <f t="shared" si="69"/>
        <v/>
      </c>
      <c r="GZ52" s="451" t="str">
        <f t="shared" si="69"/>
        <v/>
      </c>
      <c r="HA52" s="452" t="str">
        <f t="shared" si="69"/>
        <v/>
      </c>
      <c r="HB52" s="452" t="str">
        <f t="shared" si="69"/>
        <v/>
      </c>
      <c r="HC52" s="452" t="str">
        <f t="shared" si="69"/>
        <v/>
      </c>
      <c r="HD52" s="453" t="str">
        <f t="shared" si="69"/>
        <v/>
      </c>
      <c r="HE52" s="451" t="str">
        <f t="shared" si="69"/>
        <v/>
      </c>
      <c r="HF52" s="452" t="str">
        <f t="shared" si="65"/>
        <v/>
      </c>
      <c r="HG52" s="452" t="str">
        <f t="shared" si="65"/>
        <v/>
      </c>
      <c r="HH52" s="452" t="str">
        <f t="shared" si="65"/>
        <v/>
      </c>
      <c r="HI52" s="453" t="str">
        <f t="shared" si="65"/>
        <v/>
      </c>
      <c r="HJ52" s="451" t="str">
        <f t="shared" si="65"/>
        <v/>
      </c>
      <c r="HK52" s="452" t="str">
        <f t="shared" si="65"/>
        <v/>
      </c>
      <c r="HL52" s="452" t="str">
        <f t="shared" si="65"/>
        <v/>
      </c>
      <c r="HM52" s="452" t="str">
        <f t="shared" si="65"/>
        <v/>
      </c>
      <c r="HN52" s="453" t="str">
        <f t="shared" si="65"/>
        <v/>
      </c>
      <c r="HO52" s="451" t="str">
        <f t="shared" si="65"/>
        <v/>
      </c>
      <c r="HP52" s="452" t="str">
        <f t="shared" si="65"/>
        <v/>
      </c>
      <c r="HQ52" s="452" t="str">
        <f t="shared" si="65"/>
        <v/>
      </c>
      <c r="HR52" s="452" t="str">
        <f t="shared" si="65"/>
        <v/>
      </c>
      <c r="HS52" s="453" t="str">
        <f t="shared" si="65"/>
        <v/>
      </c>
      <c r="HT52" s="451" t="str">
        <f t="shared" si="65"/>
        <v/>
      </c>
      <c r="HU52" s="452" t="str">
        <f t="shared" si="65"/>
        <v/>
      </c>
      <c r="HV52" s="452" t="str">
        <f t="shared" si="63"/>
        <v/>
      </c>
      <c r="HW52" s="452" t="str">
        <f t="shared" si="63"/>
        <v/>
      </c>
      <c r="HX52" s="453" t="str">
        <f t="shared" si="63"/>
        <v/>
      </c>
      <c r="HY52" s="451" t="str">
        <f t="shared" si="63"/>
        <v/>
      </c>
      <c r="HZ52" s="452" t="str">
        <f t="shared" si="63"/>
        <v/>
      </c>
      <c r="IA52" s="452" t="str">
        <f t="shared" si="66"/>
        <v/>
      </c>
      <c r="IB52" s="452" t="str">
        <f t="shared" si="66"/>
        <v/>
      </c>
      <c r="IC52" s="453" t="str">
        <f t="shared" si="66"/>
        <v/>
      </c>
      <c r="ID52" s="451" t="str">
        <f t="shared" si="66"/>
        <v/>
      </c>
      <c r="IE52" s="452" t="str">
        <f t="shared" si="66"/>
        <v/>
      </c>
      <c r="IF52" s="452" t="str">
        <f t="shared" si="66"/>
        <v/>
      </c>
      <c r="IG52" s="452" t="str">
        <f t="shared" si="66"/>
        <v/>
      </c>
      <c r="IH52" s="453" t="str">
        <f t="shared" si="66"/>
        <v/>
      </c>
      <c r="II52" s="451" t="str">
        <f t="shared" si="66"/>
        <v/>
      </c>
      <c r="IJ52" s="452" t="str">
        <f t="shared" si="66"/>
        <v/>
      </c>
      <c r="IK52" s="452" t="str">
        <f t="shared" si="66"/>
        <v/>
      </c>
      <c r="IL52" s="452" t="str">
        <f t="shared" si="66"/>
        <v/>
      </c>
      <c r="IM52" s="453" t="str">
        <f t="shared" si="66"/>
        <v/>
      </c>
      <c r="IN52" s="451" t="str">
        <f t="shared" si="66"/>
        <v/>
      </c>
      <c r="IO52" s="452" t="str">
        <f t="shared" si="66"/>
        <v/>
      </c>
      <c r="IP52" s="452" t="str">
        <f t="shared" si="66"/>
        <v/>
      </c>
      <c r="IQ52" s="452" t="str">
        <f t="shared" si="64"/>
        <v/>
      </c>
      <c r="IR52" s="453" t="str">
        <f t="shared" si="64"/>
        <v/>
      </c>
    </row>
    <row r="53" spans="1:252" x14ac:dyDescent="0.2">
      <c r="A53" s="461">
        <v>5.5</v>
      </c>
      <c r="C53" s="447" t="s">
        <v>1355</v>
      </c>
      <c r="D53" s="447"/>
      <c r="E53" s="448"/>
      <c r="F53" s="448"/>
      <c r="G53" s="448"/>
      <c r="H53" s="448"/>
      <c r="I53" s="448"/>
      <c r="J53" s="449" t="str">
        <f t="shared" si="76"/>
        <v/>
      </c>
      <c r="K53" s="449" t="str">
        <f t="shared" si="77"/>
        <v/>
      </c>
      <c r="L53" s="450">
        <f t="shared" si="0"/>
        <v>0</v>
      </c>
      <c r="M53" s="451" t="str">
        <f t="shared" si="70"/>
        <v/>
      </c>
      <c r="N53" s="452" t="str">
        <f t="shared" si="70"/>
        <v/>
      </c>
      <c r="O53" s="452" t="str">
        <f t="shared" si="70"/>
        <v/>
      </c>
      <c r="P53" s="452" t="str">
        <f t="shared" si="70"/>
        <v/>
      </c>
      <c r="Q53" s="453" t="str">
        <f t="shared" si="70"/>
        <v/>
      </c>
      <c r="R53" s="451" t="str">
        <f t="shared" si="70"/>
        <v/>
      </c>
      <c r="S53" s="452" t="str">
        <f t="shared" si="70"/>
        <v/>
      </c>
      <c r="T53" s="452" t="str">
        <f t="shared" si="70"/>
        <v/>
      </c>
      <c r="U53" s="452" t="str">
        <f t="shared" si="70"/>
        <v/>
      </c>
      <c r="V53" s="453" t="str">
        <f t="shared" si="70"/>
        <v/>
      </c>
      <c r="W53" s="451" t="str">
        <f t="shared" si="70"/>
        <v/>
      </c>
      <c r="X53" s="452" t="str">
        <f t="shared" si="70"/>
        <v/>
      </c>
      <c r="Y53" s="452" t="str">
        <f t="shared" si="70"/>
        <v/>
      </c>
      <c r="Z53" s="452" t="str">
        <f t="shared" si="70"/>
        <v/>
      </c>
      <c r="AA53" s="453" t="str">
        <f t="shared" si="70"/>
        <v/>
      </c>
      <c r="AB53" s="451" t="str">
        <f t="shared" si="70"/>
        <v/>
      </c>
      <c r="AC53" s="452" t="str">
        <f t="shared" si="75"/>
        <v/>
      </c>
      <c r="AD53" s="452" t="str">
        <f t="shared" si="75"/>
        <v/>
      </c>
      <c r="AE53" s="452" t="str">
        <f t="shared" si="75"/>
        <v/>
      </c>
      <c r="AF53" s="453" t="str">
        <f t="shared" si="75"/>
        <v/>
      </c>
      <c r="AG53" s="451" t="str">
        <f t="shared" si="75"/>
        <v/>
      </c>
      <c r="AH53" s="452" t="str">
        <f t="shared" si="75"/>
        <v/>
      </c>
      <c r="AI53" s="452" t="str">
        <f t="shared" si="75"/>
        <v/>
      </c>
      <c r="AJ53" s="452" t="str">
        <f t="shared" si="75"/>
        <v/>
      </c>
      <c r="AK53" s="453" t="str">
        <f t="shared" si="75"/>
        <v/>
      </c>
      <c r="AL53" s="451" t="str">
        <f t="shared" si="75"/>
        <v/>
      </c>
      <c r="AM53" s="452" t="str">
        <f t="shared" si="75"/>
        <v/>
      </c>
      <c r="AN53" s="452" t="str">
        <f t="shared" si="75"/>
        <v/>
      </c>
      <c r="AO53" s="452" t="str">
        <f t="shared" si="75"/>
        <v/>
      </c>
      <c r="AP53" s="453" t="str">
        <f t="shared" si="75"/>
        <v/>
      </c>
      <c r="AQ53" s="451" t="str">
        <f t="shared" si="75"/>
        <v/>
      </c>
      <c r="AR53" s="452" t="str">
        <f t="shared" si="75"/>
        <v/>
      </c>
      <c r="AS53" s="452" t="str">
        <f t="shared" si="78"/>
        <v/>
      </c>
      <c r="AT53" s="452" t="str">
        <f t="shared" si="78"/>
        <v/>
      </c>
      <c r="AU53" s="453" t="str">
        <f t="shared" si="78"/>
        <v/>
      </c>
      <c r="AV53" s="451" t="str">
        <f t="shared" si="78"/>
        <v/>
      </c>
      <c r="AW53" s="452" t="str">
        <f t="shared" si="78"/>
        <v/>
      </c>
      <c r="AX53" s="452" t="str">
        <f t="shared" si="78"/>
        <v/>
      </c>
      <c r="AY53" s="452" t="str">
        <f t="shared" si="78"/>
        <v/>
      </c>
      <c r="AZ53" s="453" t="str">
        <f t="shared" si="78"/>
        <v/>
      </c>
      <c r="BA53" s="451" t="str">
        <f t="shared" si="78"/>
        <v/>
      </c>
      <c r="BB53" s="452" t="str">
        <f t="shared" si="78"/>
        <v/>
      </c>
      <c r="BC53" s="452" t="str">
        <f t="shared" si="78"/>
        <v/>
      </c>
      <c r="BD53" s="452" t="str">
        <f t="shared" si="78"/>
        <v/>
      </c>
      <c r="BE53" s="453" t="str">
        <f t="shared" si="78"/>
        <v/>
      </c>
      <c r="BF53" s="451" t="str">
        <f t="shared" si="78"/>
        <v/>
      </c>
      <c r="BG53" s="452" t="str">
        <f t="shared" si="53"/>
        <v/>
      </c>
      <c r="BH53" s="452" t="str">
        <f t="shared" si="53"/>
        <v/>
      </c>
      <c r="BI53" s="452" t="str">
        <f t="shared" si="53"/>
        <v/>
      </c>
      <c r="BJ53" s="453" t="str">
        <f t="shared" si="53"/>
        <v/>
      </c>
      <c r="BK53" s="451" t="str">
        <f t="shared" si="53"/>
        <v/>
      </c>
      <c r="BL53" s="452" t="str">
        <f t="shared" si="53"/>
        <v/>
      </c>
      <c r="BM53" s="452" t="str">
        <f t="shared" si="53"/>
        <v/>
      </c>
      <c r="BN53" s="452" t="str">
        <f t="shared" si="53"/>
        <v/>
      </c>
      <c r="BO53" s="453" t="str">
        <f t="shared" si="53"/>
        <v/>
      </c>
      <c r="BP53" s="451" t="str">
        <f t="shared" si="53"/>
        <v/>
      </c>
      <c r="BQ53" s="452" t="str">
        <f t="shared" si="53"/>
        <v/>
      </c>
      <c r="BR53" s="452" t="str">
        <f t="shared" si="53"/>
        <v/>
      </c>
      <c r="BS53" s="452" t="str">
        <f t="shared" si="53"/>
        <v/>
      </c>
      <c r="BT53" s="453" t="str">
        <f t="shared" si="53"/>
        <v/>
      </c>
      <c r="BU53" s="451" t="str">
        <f t="shared" si="53"/>
        <v/>
      </c>
      <c r="BV53" s="452" t="str">
        <f t="shared" si="53"/>
        <v/>
      </c>
      <c r="BW53" s="452" t="str">
        <f t="shared" si="50"/>
        <v/>
      </c>
      <c r="BX53" s="452" t="str">
        <f t="shared" si="50"/>
        <v/>
      </c>
      <c r="BY53" s="453" t="str">
        <f t="shared" si="54"/>
        <v/>
      </c>
      <c r="BZ53" s="451" t="str">
        <f t="shared" si="54"/>
        <v/>
      </c>
      <c r="CA53" s="452" t="str">
        <f t="shared" si="54"/>
        <v/>
      </c>
      <c r="CB53" s="452" t="str">
        <f t="shared" si="54"/>
        <v/>
      </c>
      <c r="CC53" s="452" t="str">
        <f t="shared" si="54"/>
        <v/>
      </c>
      <c r="CD53" s="453" t="str">
        <f t="shared" si="54"/>
        <v/>
      </c>
      <c r="CE53" s="451" t="str">
        <f t="shared" si="54"/>
        <v/>
      </c>
      <c r="CF53" s="452" t="str">
        <f t="shared" si="54"/>
        <v/>
      </c>
      <c r="CG53" s="452" t="str">
        <f t="shared" ref="CG53:CV76" si="80">IF(AND(CG$2&gt;=$J53,CG$2&lt;=$K53),1,"")</f>
        <v/>
      </c>
      <c r="CH53" s="452" t="str">
        <f t="shared" si="80"/>
        <v/>
      </c>
      <c r="CI53" s="453" t="str">
        <f t="shared" si="80"/>
        <v/>
      </c>
      <c r="CJ53" s="451" t="str">
        <f t="shared" si="80"/>
        <v/>
      </c>
      <c r="CK53" s="452" t="str">
        <f t="shared" si="80"/>
        <v/>
      </c>
      <c r="CL53" s="452" t="str">
        <f t="shared" si="80"/>
        <v/>
      </c>
      <c r="CM53" s="452" t="str">
        <f t="shared" si="80"/>
        <v/>
      </c>
      <c r="CN53" s="453" t="str">
        <f t="shared" si="80"/>
        <v/>
      </c>
      <c r="CO53" s="451" t="str">
        <f t="shared" si="80"/>
        <v/>
      </c>
      <c r="CP53" s="452" t="str">
        <f t="shared" si="80"/>
        <v/>
      </c>
      <c r="CQ53" s="452" t="str">
        <f t="shared" si="80"/>
        <v/>
      </c>
      <c r="CR53" s="452" t="str">
        <f t="shared" si="80"/>
        <v/>
      </c>
      <c r="CS53" s="453" t="str">
        <f t="shared" si="80"/>
        <v/>
      </c>
      <c r="CT53" s="451" t="str">
        <f t="shared" si="80"/>
        <v/>
      </c>
      <c r="CU53" s="452" t="str">
        <f t="shared" si="80"/>
        <v/>
      </c>
      <c r="CV53" s="452" t="str">
        <f t="shared" si="80"/>
        <v/>
      </c>
      <c r="CW53" s="452" t="str">
        <f t="shared" si="79"/>
        <v/>
      </c>
      <c r="CX53" s="453" t="str">
        <f t="shared" si="79"/>
        <v/>
      </c>
      <c r="CY53" s="451" t="str">
        <f t="shared" si="79"/>
        <v/>
      </c>
      <c r="CZ53" s="452" t="str">
        <f t="shared" si="55"/>
        <v/>
      </c>
      <c r="DA53" s="452" t="str">
        <f t="shared" si="55"/>
        <v/>
      </c>
      <c r="DB53" s="452" t="str">
        <f t="shared" si="55"/>
        <v/>
      </c>
      <c r="DC53" s="453" t="str">
        <f t="shared" si="55"/>
        <v/>
      </c>
      <c r="DD53" s="451" t="str">
        <f t="shared" si="55"/>
        <v/>
      </c>
      <c r="DE53" s="452" t="str">
        <f t="shared" si="62"/>
        <v/>
      </c>
      <c r="DF53" s="452" t="str">
        <f t="shared" si="62"/>
        <v/>
      </c>
      <c r="DG53" s="452" t="str">
        <f t="shared" si="62"/>
        <v/>
      </c>
      <c r="DH53" s="453" t="str">
        <f t="shared" si="62"/>
        <v/>
      </c>
      <c r="DI53" s="451" t="str">
        <f t="shared" si="62"/>
        <v/>
      </c>
      <c r="DJ53" s="452" t="str">
        <f t="shared" si="62"/>
        <v/>
      </c>
      <c r="DK53" s="452" t="str">
        <f t="shared" si="62"/>
        <v/>
      </c>
      <c r="DL53" s="452" t="str">
        <f t="shared" si="62"/>
        <v/>
      </c>
      <c r="DM53" s="453" t="str">
        <f t="shared" si="62"/>
        <v/>
      </c>
      <c r="DN53" s="451" t="str">
        <f t="shared" si="62"/>
        <v/>
      </c>
      <c r="DO53" s="452" t="str">
        <f t="shared" si="62"/>
        <v/>
      </c>
      <c r="DP53" s="452" t="str">
        <f t="shared" si="62"/>
        <v/>
      </c>
      <c r="DQ53" s="452" t="str">
        <f t="shared" si="62"/>
        <v/>
      </c>
      <c r="DR53" s="453" t="str">
        <f t="shared" si="62"/>
        <v/>
      </c>
      <c r="DS53" s="451" t="str">
        <f t="shared" si="62"/>
        <v/>
      </c>
      <c r="DT53" s="452" t="str">
        <f t="shared" si="62"/>
        <v/>
      </c>
      <c r="DU53" s="452" t="str">
        <f t="shared" si="58"/>
        <v/>
      </c>
      <c r="DV53" s="452" t="str">
        <f t="shared" si="58"/>
        <v/>
      </c>
      <c r="DW53" s="453" t="str">
        <f t="shared" si="58"/>
        <v/>
      </c>
      <c r="DX53" s="451" t="str">
        <f t="shared" si="58"/>
        <v/>
      </c>
      <c r="DY53" s="452" t="str">
        <f t="shared" si="58"/>
        <v/>
      </c>
      <c r="DZ53" s="452" t="str">
        <f t="shared" si="58"/>
        <v/>
      </c>
      <c r="EA53" s="452" t="str">
        <f t="shared" si="58"/>
        <v/>
      </c>
      <c r="EB53" s="453" t="str">
        <f t="shared" si="58"/>
        <v/>
      </c>
      <c r="EC53" s="451" t="str">
        <f t="shared" si="58"/>
        <v/>
      </c>
      <c r="ED53" s="452" t="str">
        <f t="shared" si="58"/>
        <v/>
      </c>
      <c r="EE53" s="452" t="str">
        <f t="shared" si="58"/>
        <v/>
      </c>
      <c r="EF53" s="452" t="str">
        <f t="shared" si="58"/>
        <v/>
      </c>
      <c r="EG53" s="453" t="str">
        <f t="shared" si="58"/>
        <v/>
      </c>
      <c r="EH53" s="451" t="str">
        <f t="shared" si="58"/>
        <v/>
      </c>
      <c r="EI53" s="452" t="str">
        <f t="shared" si="58"/>
        <v/>
      </c>
      <c r="EJ53" s="452" t="str">
        <f t="shared" si="67"/>
        <v/>
      </c>
      <c r="EK53" s="452" t="str">
        <f t="shared" si="67"/>
        <v/>
      </c>
      <c r="EL53" s="453" t="str">
        <f t="shared" si="67"/>
        <v/>
      </c>
      <c r="EM53" s="451" t="str">
        <f t="shared" si="67"/>
        <v/>
      </c>
      <c r="EN53" s="452" t="str">
        <f t="shared" si="67"/>
        <v/>
      </c>
      <c r="EO53" s="452" t="str">
        <f t="shared" si="67"/>
        <v/>
      </c>
      <c r="EP53" s="452" t="str">
        <f t="shared" si="67"/>
        <v/>
      </c>
      <c r="EQ53" s="453" t="str">
        <f t="shared" si="67"/>
        <v/>
      </c>
      <c r="ER53" s="451" t="str">
        <f t="shared" si="67"/>
        <v/>
      </c>
      <c r="ES53" s="452" t="str">
        <f t="shared" si="67"/>
        <v/>
      </c>
      <c r="ET53" s="452" t="str">
        <f t="shared" si="67"/>
        <v/>
      </c>
      <c r="EU53" s="452" t="str">
        <f t="shared" si="67"/>
        <v/>
      </c>
      <c r="EV53" s="453" t="str">
        <f t="shared" si="67"/>
        <v/>
      </c>
      <c r="EW53" s="451" t="str">
        <f t="shared" si="67"/>
        <v/>
      </c>
      <c r="EX53" s="452" t="str">
        <f t="shared" si="67"/>
        <v/>
      </c>
      <c r="EY53" s="452" t="str">
        <f t="shared" si="67"/>
        <v/>
      </c>
      <c r="EZ53" s="452" t="str">
        <f t="shared" si="73"/>
        <v/>
      </c>
      <c r="FA53" s="453" t="str">
        <f t="shared" si="73"/>
        <v/>
      </c>
      <c r="FB53" s="451" t="str">
        <f t="shared" si="73"/>
        <v/>
      </c>
      <c r="FC53" s="452" t="str">
        <f t="shared" si="73"/>
        <v/>
      </c>
      <c r="FD53" s="452" t="str">
        <f t="shared" si="73"/>
        <v/>
      </c>
      <c r="FE53" s="452" t="str">
        <f t="shared" si="73"/>
        <v/>
      </c>
      <c r="FF53" s="453" t="str">
        <f t="shared" si="73"/>
        <v/>
      </c>
      <c r="FG53" s="451" t="str">
        <f t="shared" si="73"/>
        <v/>
      </c>
      <c r="FH53" s="452" t="str">
        <f t="shared" si="73"/>
        <v/>
      </c>
      <c r="FI53" s="452" t="str">
        <f t="shared" si="73"/>
        <v/>
      </c>
      <c r="FJ53" s="452" t="str">
        <f t="shared" si="73"/>
        <v/>
      </c>
      <c r="FK53" s="453" t="str">
        <f t="shared" si="73"/>
        <v/>
      </c>
      <c r="FL53" s="451" t="str">
        <f t="shared" si="73"/>
        <v/>
      </c>
      <c r="FM53" s="452" t="str">
        <f t="shared" si="73"/>
        <v/>
      </c>
      <c r="FN53" s="452" t="str">
        <f t="shared" si="73"/>
        <v/>
      </c>
      <c r="FO53" s="452" t="str">
        <f t="shared" si="73"/>
        <v/>
      </c>
      <c r="FP53" s="453" t="str">
        <f t="shared" si="71"/>
        <v/>
      </c>
      <c r="FQ53" s="451" t="str">
        <f t="shared" si="71"/>
        <v/>
      </c>
      <c r="FR53" s="452" t="str">
        <f t="shared" si="71"/>
        <v/>
      </c>
      <c r="FS53" s="452" t="str">
        <f t="shared" si="71"/>
        <v/>
      </c>
      <c r="FT53" s="452" t="str">
        <f t="shared" si="71"/>
        <v/>
      </c>
      <c r="FU53" s="453" t="str">
        <f t="shared" si="71"/>
        <v/>
      </c>
      <c r="FV53" s="451" t="str">
        <f t="shared" si="71"/>
        <v/>
      </c>
      <c r="FW53" s="452" t="str">
        <f t="shared" si="71"/>
        <v/>
      </c>
      <c r="FX53" s="452" t="str">
        <f t="shared" si="71"/>
        <v/>
      </c>
      <c r="FY53" s="452" t="str">
        <f t="shared" si="71"/>
        <v/>
      </c>
      <c r="FZ53" s="453" t="str">
        <f t="shared" si="74"/>
        <v/>
      </c>
      <c r="GA53" s="451" t="str">
        <f t="shared" si="74"/>
        <v/>
      </c>
      <c r="GB53" s="452" t="str">
        <f t="shared" si="74"/>
        <v/>
      </c>
      <c r="GC53" s="452" t="str">
        <f t="shared" si="74"/>
        <v/>
      </c>
      <c r="GD53" s="452" t="str">
        <f t="shared" si="74"/>
        <v/>
      </c>
      <c r="GE53" s="453" t="str">
        <f t="shared" si="74"/>
        <v/>
      </c>
      <c r="GF53" s="451" t="str">
        <f t="shared" si="74"/>
        <v/>
      </c>
      <c r="GG53" s="452" t="str">
        <f t="shared" si="74"/>
        <v/>
      </c>
      <c r="GH53" s="452" t="str">
        <f t="shared" si="74"/>
        <v/>
      </c>
      <c r="GI53" s="452" t="str">
        <f t="shared" si="74"/>
        <v/>
      </c>
      <c r="GJ53" s="453" t="str">
        <f t="shared" si="74"/>
        <v/>
      </c>
      <c r="GK53" s="451" t="str">
        <f t="shared" si="74"/>
        <v/>
      </c>
      <c r="GL53" s="452" t="str">
        <f t="shared" si="74"/>
        <v/>
      </c>
      <c r="GM53" s="452" t="str">
        <f t="shared" si="74"/>
        <v/>
      </c>
      <c r="GN53" s="452" t="str">
        <f t="shared" si="74"/>
        <v/>
      </c>
      <c r="GO53" s="453" t="str">
        <f t="shared" si="74"/>
        <v/>
      </c>
      <c r="GP53" s="451" t="str">
        <f t="shared" si="74"/>
        <v/>
      </c>
      <c r="GQ53" s="452" t="str">
        <f t="shared" si="69"/>
        <v/>
      </c>
      <c r="GR53" s="452" t="str">
        <f t="shared" si="69"/>
        <v/>
      </c>
      <c r="GS53" s="452" t="str">
        <f t="shared" si="69"/>
        <v/>
      </c>
      <c r="GT53" s="453" t="str">
        <f t="shared" si="69"/>
        <v/>
      </c>
      <c r="GU53" s="451" t="str">
        <f t="shared" si="69"/>
        <v/>
      </c>
      <c r="GV53" s="452" t="str">
        <f t="shared" si="69"/>
        <v/>
      </c>
      <c r="GW53" s="452" t="str">
        <f t="shared" si="69"/>
        <v/>
      </c>
      <c r="GX53" s="452" t="str">
        <f t="shared" si="69"/>
        <v/>
      </c>
      <c r="GY53" s="453" t="str">
        <f t="shared" si="69"/>
        <v/>
      </c>
      <c r="GZ53" s="451" t="str">
        <f t="shared" si="69"/>
        <v/>
      </c>
      <c r="HA53" s="452" t="str">
        <f t="shared" si="69"/>
        <v/>
      </c>
      <c r="HB53" s="452" t="str">
        <f t="shared" si="69"/>
        <v/>
      </c>
      <c r="HC53" s="452" t="str">
        <f t="shared" si="69"/>
        <v/>
      </c>
      <c r="HD53" s="453" t="str">
        <f t="shared" si="69"/>
        <v/>
      </c>
      <c r="HE53" s="451" t="str">
        <f t="shared" si="69"/>
        <v/>
      </c>
      <c r="HF53" s="452" t="str">
        <f t="shared" si="65"/>
        <v/>
      </c>
      <c r="HG53" s="452" t="str">
        <f t="shared" si="65"/>
        <v/>
      </c>
      <c r="HH53" s="452" t="str">
        <f t="shared" si="65"/>
        <v/>
      </c>
      <c r="HI53" s="453" t="str">
        <f t="shared" si="65"/>
        <v/>
      </c>
      <c r="HJ53" s="451" t="str">
        <f t="shared" si="65"/>
        <v/>
      </c>
      <c r="HK53" s="452" t="str">
        <f t="shared" si="65"/>
        <v/>
      </c>
      <c r="HL53" s="452" t="str">
        <f t="shared" si="65"/>
        <v/>
      </c>
      <c r="HM53" s="452" t="str">
        <f t="shared" si="65"/>
        <v/>
      </c>
      <c r="HN53" s="453" t="str">
        <f t="shared" si="65"/>
        <v/>
      </c>
      <c r="HO53" s="451" t="str">
        <f t="shared" si="65"/>
        <v/>
      </c>
      <c r="HP53" s="452" t="str">
        <f t="shared" si="65"/>
        <v/>
      </c>
      <c r="HQ53" s="452" t="str">
        <f t="shared" si="65"/>
        <v/>
      </c>
      <c r="HR53" s="452" t="str">
        <f t="shared" si="65"/>
        <v/>
      </c>
      <c r="HS53" s="453" t="str">
        <f t="shared" si="65"/>
        <v/>
      </c>
      <c r="HT53" s="451" t="str">
        <f t="shared" si="65"/>
        <v/>
      </c>
      <c r="HU53" s="452" t="str">
        <f t="shared" si="65"/>
        <v/>
      </c>
      <c r="HV53" s="452" t="str">
        <f t="shared" si="63"/>
        <v/>
      </c>
      <c r="HW53" s="452" t="str">
        <f t="shared" si="63"/>
        <v/>
      </c>
      <c r="HX53" s="453" t="str">
        <f t="shared" si="63"/>
        <v/>
      </c>
      <c r="HY53" s="451" t="str">
        <f t="shared" si="63"/>
        <v/>
      </c>
      <c r="HZ53" s="452" t="str">
        <f t="shared" si="63"/>
        <v/>
      </c>
      <c r="IA53" s="452" t="str">
        <f t="shared" si="66"/>
        <v/>
      </c>
      <c r="IB53" s="452" t="str">
        <f t="shared" si="66"/>
        <v/>
      </c>
      <c r="IC53" s="453" t="str">
        <f t="shared" si="66"/>
        <v/>
      </c>
      <c r="ID53" s="451" t="str">
        <f t="shared" si="66"/>
        <v/>
      </c>
      <c r="IE53" s="452" t="str">
        <f t="shared" si="66"/>
        <v/>
      </c>
      <c r="IF53" s="452" t="str">
        <f t="shared" si="66"/>
        <v/>
      </c>
      <c r="IG53" s="452" t="str">
        <f t="shared" si="66"/>
        <v/>
      </c>
      <c r="IH53" s="453" t="str">
        <f t="shared" si="66"/>
        <v/>
      </c>
      <c r="II53" s="451" t="str">
        <f t="shared" si="66"/>
        <v/>
      </c>
      <c r="IJ53" s="452" t="str">
        <f t="shared" si="66"/>
        <v/>
      </c>
      <c r="IK53" s="452" t="str">
        <f t="shared" si="66"/>
        <v/>
      </c>
      <c r="IL53" s="452" t="str">
        <f t="shared" si="66"/>
        <v/>
      </c>
      <c r="IM53" s="453" t="str">
        <f t="shared" si="66"/>
        <v/>
      </c>
      <c r="IN53" s="451" t="str">
        <f t="shared" si="66"/>
        <v/>
      </c>
      <c r="IO53" s="452" t="str">
        <f t="shared" si="66"/>
        <v/>
      </c>
      <c r="IP53" s="452" t="str">
        <f t="shared" si="66"/>
        <v/>
      </c>
      <c r="IQ53" s="452" t="str">
        <f t="shared" si="64"/>
        <v/>
      </c>
      <c r="IR53" s="453" t="str">
        <f t="shared" si="64"/>
        <v/>
      </c>
    </row>
    <row r="54" spans="1:252" x14ac:dyDescent="0.2">
      <c r="A54" s="461">
        <v>5.6</v>
      </c>
      <c r="C54" s="447" t="s">
        <v>1356</v>
      </c>
      <c r="D54" s="447"/>
      <c r="E54" s="448"/>
      <c r="F54" s="448"/>
      <c r="G54" s="448"/>
      <c r="H54" s="448"/>
      <c r="I54" s="448"/>
      <c r="J54" s="449" t="str">
        <f t="shared" si="76"/>
        <v/>
      </c>
      <c r="K54" s="449" t="str">
        <f t="shared" si="77"/>
        <v/>
      </c>
      <c r="L54" s="450">
        <f t="shared" si="0"/>
        <v>0</v>
      </c>
      <c r="M54" s="451" t="str">
        <f>IF(AND(M$2&gt;=$J54,M$2&lt;=$K54),1,"")</f>
        <v/>
      </c>
      <c r="N54" s="452" t="str">
        <f t="shared" si="70"/>
        <v/>
      </c>
      <c r="O54" s="452" t="str">
        <f t="shared" si="70"/>
        <v/>
      </c>
      <c r="P54" s="452" t="str">
        <f t="shared" si="70"/>
        <v/>
      </c>
      <c r="Q54" s="453" t="str">
        <f t="shared" si="70"/>
        <v/>
      </c>
      <c r="R54" s="451" t="str">
        <f t="shared" si="70"/>
        <v/>
      </c>
      <c r="S54" s="452" t="str">
        <f t="shared" si="70"/>
        <v/>
      </c>
      <c r="T54" s="452" t="str">
        <f t="shared" si="70"/>
        <v/>
      </c>
      <c r="U54" s="452" t="str">
        <f t="shared" si="70"/>
        <v/>
      </c>
      <c r="V54" s="453" t="str">
        <f t="shared" si="70"/>
        <v/>
      </c>
      <c r="W54" s="451" t="str">
        <f t="shared" si="70"/>
        <v/>
      </c>
      <c r="X54" s="452" t="str">
        <f t="shared" si="70"/>
        <v/>
      </c>
      <c r="Y54" s="452" t="str">
        <f t="shared" si="70"/>
        <v/>
      </c>
      <c r="Z54" s="452" t="str">
        <f t="shared" si="70"/>
        <v/>
      </c>
      <c r="AA54" s="453" t="str">
        <f t="shared" si="70"/>
        <v/>
      </c>
      <c r="AB54" s="451" t="str">
        <f t="shared" si="70"/>
        <v/>
      </c>
      <c r="AC54" s="452" t="str">
        <f t="shared" si="75"/>
        <v/>
      </c>
      <c r="AD54" s="452" t="str">
        <f t="shared" si="75"/>
        <v/>
      </c>
      <c r="AE54" s="452" t="str">
        <f t="shared" si="75"/>
        <v/>
      </c>
      <c r="AF54" s="453" t="str">
        <f t="shared" si="75"/>
        <v/>
      </c>
      <c r="AG54" s="451" t="str">
        <f>IF(AND(AG$2&gt;=$J54,AG$2&lt;=$K54),1,"")</f>
        <v/>
      </c>
      <c r="AH54" s="452" t="str">
        <f t="shared" si="75"/>
        <v/>
      </c>
      <c r="AI54" s="452" t="str">
        <f t="shared" si="75"/>
        <v/>
      </c>
      <c r="AJ54" s="452" t="str">
        <f t="shared" si="75"/>
        <v/>
      </c>
      <c r="AK54" s="453" t="str">
        <f t="shared" si="75"/>
        <v/>
      </c>
      <c r="AL54" s="451" t="str">
        <f>IF(AND(AL$2&gt;=$J54,AL$2&lt;=$K54),1,"")</f>
        <v/>
      </c>
      <c r="AM54" s="452" t="str">
        <f t="shared" si="75"/>
        <v/>
      </c>
      <c r="AN54" s="452" t="str">
        <f t="shared" si="75"/>
        <v/>
      </c>
      <c r="AO54" s="452" t="str">
        <f t="shared" si="75"/>
        <v/>
      </c>
      <c r="AP54" s="453" t="str">
        <f t="shared" si="75"/>
        <v/>
      </c>
      <c r="AQ54" s="451" t="str">
        <f>IF(AND(AQ$2&gt;=$J54,AQ$2&lt;=$K54),1,"")</f>
        <v/>
      </c>
      <c r="AR54" s="452" t="str">
        <f t="shared" si="75"/>
        <v/>
      </c>
      <c r="AS54" s="452" t="str">
        <f t="shared" si="78"/>
        <v/>
      </c>
      <c r="AT54" s="452" t="str">
        <f t="shared" si="78"/>
        <v/>
      </c>
      <c r="AU54" s="453" t="str">
        <f t="shared" si="78"/>
        <v/>
      </c>
      <c r="AV54" s="451" t="str">
        <f>IF(AND(AV$2&gt;=$J54,AV$2&lt;=$K54),1,"")</f>
        <v/>
      </c>
      <c r="AW54" s="452" t="str">
        <f t="shared" si="78"/>
        <v/>
      </c>
      <c r="AX54" s="452" t="str">
        <f t="shared" si="78"/>
        <v/>
      </c>
      <c r="AY54" s="452" t="str">
        <f t="shared" si="78"/>
        <v/>
      </c>
      <c r="AZ54" s="453" t="str">
        <f t="shared" si="78"/>
        <v/>
      </c>
      <c r="BA54" s="451" t="str">
        <f>IF(AND(BA$2&gt;=$J54,BA$2&lt;=$K54),1,"")</f>
        <v/>
      </c>
      <c r="BB54" s="452" t="str">
        <f t="shared" si="78"/>
        <v/>
      </c>
      <c r="BC54" s="452" t="str">
        <f t="shared" si="78"/>
        <v/>
      </c>
      <c r="BD54" s="452" t="str">
        <f t="shared" si="78"/>
        <v/>
      </c>
      <c r="BE54" s="453" t="str">
        <f t="shared" si="78"/>
        <v/>
      </c>
      <c r="BF54" s="451" t="str">
        <f>IF(AND(BF$2&gt;=$J54,BF$2&lt;=$K54),1,"")</f>
        <v/>
      </c>
      <c r="BG54" s="452" t="str">
        <f t="shared" si="53"/>
        <v/>
      </c>
      <c r="BH54" s="452" t="str">
        <f t="shared" si="53"/>
        <v/>
      </c>
      <c r="BI54" s="452" t="str">
        <f t="shared" si="53"/>
        <v/>
      </c>
      <c r="BJ54" s="453" t="str">
        <f t="shared" si="53"/>
        <v/>
      </c>
      <c r="BK54" s="451" t="str">
        <f>IF(AND(BK$2&gt;=$J54,BK$2&lt;=$K54),1,"")</f>
        <v/>
      </c>
      <c r="BL54" s="452" t="str">
        <f t="shared" si="53"/>
        <v/>
      </c>
      <c r="BM54" s="452" t="str">
        <f t="shared" si="53"/>
        <v/>
      </c>
      <c r="BN54" s="452" t="str">
        <f t="shared" si="53"/>
        <v/>
      </c>
      <c r="BO54" s="453" t="str">
        <f t="shared" si="53"/>
        <v/>
      </c>
      <c r="BP54" s="451" t="str">
        <f>IF(AND(BP$2&gt;=$J54,BP$2&lt;=$K54),1,"")</f>
        <v/>
      </c>
      <c r="BQ54" s="452" t="str">
        <f t="shared" si="53"/>
        <v/>
      </c>
      <c r="BR54" s="452" t="str">
        <f t="shared" si="53"/>
        <v/>
      </c>
      <c r="BS54" s="452" t="str">
        <f t="shared" si="53"/>
        <v/>
      </c>
      <c r="BT54" s="453" t="str">
        <f t="shared" si="53"/>
        <v/>
      </c>
      <c r="BU54" s="451" t="str">
        <f>IF(AND(BU$2&gt;=$J54,BU$2&lt;=$K54),1,"")</f>
        <v/>
      </c>
      <c r="BV54" s="452" t="str">
        <f t="shared" si="53"/>
        <v/>
      </c>
      <c r="BW54" s="452" t="str">
        <f t="shared" si="50"/>
        <v/>
      </c>
      <c r="BX54" s="452" t="str">
        <f t="shared" si="50"/>
        <v/>
      </c>
      <c r="BY54" s="453" t="str">
        <f t="shared" ref="BY54:CN72" si="81">IF(AND(BY$2&gt;=$J54,BY$2&lt;=$K54),1,"")</f>
        <v/>
      </c>
      <c r="BZ54" s="451" t="str">
        <f>IF(AND(BZ$2&gt;=$J54,BZ$2&lt;=$K54),1,"")</f>
        <v/>
      </c>
      <c r="CA54" s="452" t="str">
        <f t="shared" si="81"/>
        <v/>
      </c>
      <c r="CB54" s="452" t="str">
        <f t="shared" si="81"/>
        <v/>
      </c>
      <c r="CC54" s="452" t="str">
        <f t="shared" si="81"/>
        <v/>
      </c>
      <c r="CD54" s="453" t="str">
        <f t="shared" si="81"/>
        <v/>
      </c>
      <c r="CE54" s="451" t="str">
        <f>IF(AND(CE$2&gt;=$J54,CE$2&lt;=$K54),1,"")</f>
        <v/>
      </c>
      <c r="CF54" s="452" t="str">
        <f t="shared" si="81"/>
        <v/>
      </c>
      <c r="CG54" s="452" t="str">
        <f t="shared" si="81"/>
        <v/>
      </c>
      <c r="CH54" s="452" t="str">
        <f t="shared" si="81"/>
        <v/>
      </c>
      <c r="CI54" s="453" t="str">
        <f t="shared" si="81"/>
        <v/>
      </c>
      <c r="CJ54" s="451" t="str">
        <f>IF(AND(CJ$2&gt;=$J54,CJ$2&lt;=$K54),1,"")</f>
        <v/>
      </c>
      <c r="CK54" s="452" t="str">
        <f t="shared" si="80"/>
        <v/>
      </c>
      <c r="CL54" s="452" t="str">
        <f t="shared" si="80"/>
        <v/>
      </c>
      <c r="CM54" s="452" t="str">
        <f t="shared" si="80"/>
        <v/>
      </c>
      <c r="CN54" s="453" t="str">
        <f t="shared" si="80"/>
        <v/>
      </c>
      <c r="CO54" s="451" t="str">
        <f>IF(AND(CO$2&gt;=$J54,CO$2&lt;=$K54),1,"")</f>
        <v/>
      </c>
      <c r="CP54" s="452" t="str">
        <f t="shared" si="80"/>
        <v/>
      </c>
      <c r="CQ54" s="452" t="str">
        <f t="shared" si="80"/>
        <v/>
      </c>
      <c r="CR54" s="452" t="str">
        <f t="shared" si="80"/>
        <v/>
      </c>
      <c r="CS54" s="453" t="str">
        <f t="shared" si="80"/>
        <v/>
      </c>
      <c r="CT54" s="451" t="str">
        <f>IF(AND(CT$2&gt;=$J54,CT$2&lt;=$K54),1,"")</f>
        <v/>
      </c>
      <c r="CU54" s="452" t="str">
        <f t="shared" si="80"/>
        <v/>
      </c>
      <c r="CV54" s="452" t="str">
        <f t="shared" si="80"/>
        <v/>
      </c>
      <c r="CW54" s="452" t="str">
        <f t="shared" si="79"/>
        <v/>
      </c>
      <c r="CX54" s="453" t="str">
        <f t="shared" si="79"/>
        <v/>
      </c>
      <c r="CY54" s="451" t="str">
        <f>IF(AND(CY$2&gt;=$J54,CY$2&lt;=$K54),1,"")</f>
        <v/>
      </c>
      <c r="CZ54" s="452" t="str">
        <f t="shared" si="55"/>
        <v/>
      </c>
      <c r="DA54" s="452" t="str">
        <f t="shared" si="55"/>
        <v/>
      </c>
      <c r="DB54" s="452" t="str">
        <f t="shared" si="55"/>
        <v/>
      </c>
      <c r="DC54" s="453" t="str">
        <f t="shared" si="55"/>
        <v/>
      </c>
      <c r="DD54" s="451" t="str">
        <f>IF(AND(DD$2&gt;=$J54,DD$2&lt;=$K54),1,"")</f>
        <v/>
      </c>
      <c r="DE54" s="452" t="str">
        <f t="shared" si="62"/>
        <v/>
      </c>
      <c r="DF54" s="452" t="str">
        <f t="shared" si="62"/>
        <v/>
      </c>
      <c r="DG54" s="452" t="str">
        <f t="shared" si="62"/>
        <v/>
      </c>
      <c r="DH54" s="453" t="str">
        <f t="shared" si="62"/>
        <v/>
      </c>
      <c r="DI54" s="451" t="str">
        <f>IF(AND(DI$2&gt;=$J54,DI$2&lt;=$K54),1,"")</f>
        <v/>
      </c>
      <c r="DJ54" s="452" t="str">
        <f t="shared" si="62"/>
        <v/>
      </c>
      <c r="DK54" s="452" t="str">
        <f t="shared" si="62"/>
        <v/>
      </c>
      <c r="DL54" s="452" t="str">
        <f t="shared" si="62"/>
        <v/>
      </c>
      <c r="DM54" s="453" t="str">
        <f t="shared" si="62"/>
        <v/>
      </c>
      <c r="DN54" s="451" t="str">
        <f>IF(AND(DN$2&gt;=$J54,DN$2&lt;=$K54),1,"")</f>
        <v/>
      </c>
      <c r="DO54" s="452" t="str">
        <f t="shared" si="62"/>
        <v/>
      </c>
      <c r="DP54" s="452" t="str">
        <f t="shared" si="62"/>
        <v/>
      </c>
      <c r="DQ54" s="452" t="str">
        <f t="shared" si="62"/>
        <v/>
      </c>
      <c r="DR54" s="453" t="str">
        <f t="shared" si="62"/>
        <v/>
      </c>
      <c r="DS54" s="451" t="str">
        <f>IF(AND(DS$2&gt;=$J54,DS$2&lt;=$K54),1,"")</f>
        <v/>
      </c>
      <c r="DT54" s="452" t="str">
        <f t="shared" si="62"/>
        <v/>
      </c>
      <c r="DU54" s="452" t="str">
        <f t="shared" si="58"/>
        <v/>
      </c>
      <c r="DV54" s="452" t="str">
        <f t="shared" si="58"/>
        <v/>
      </c>
      <c r="DW54" s="453" t="str">
        <f t="shared" si="58"/>
        <v/>
      </c>
      <c r="DX54" s="451" t="str">
        <f t="shared" si="58"/>
        <v/>
      </c>
      <c r="DY54" s="452" t="str">
        <f t="shared" si="58"/>
        <v/>
      </c>
      <c r="DZ54" s="452" t="str">
        <f t="shared" si="58"/>
        <v/>
      </c>
      <c r="EA54" s="452" t="str">
        <f t="shared" si="58"/>
        <v/>
      </c>
      <c r="EB54" s="453" t="str">
        <f t="shared" si="58"/>
        <v/>
      </c>
      <c r="EC54" s="451" t="str">
        <f t="shared" si="58"/>
        <v/>
      </c>
      <c r="ED54" s="452" t="str">
        <f t="shared" si="58"/>
        <v/>
      </c>
      <c r="EE54" s="452" t="str">
        <f t="shared" si="58"/>
        <v/>
      </c>
      <c r="EF54" s="452" t="str">
        <f t="shared" si="58"/>
        <v/>
      </c>
      <c r="EG54" s="453" t="str">
        <f t="shared" si="58"/>
        <v/>
      </c>
      <c r="EH54" s="451" t="str">
        <f t="shared" si="58"/>
        <v/>
      </c>
      <c r="EI54" s="452" t="str">
        <f t="shared" si="58"/>
        <v/>
      </c>
      <c r="EJ54" s="452" t="str">
        <f t="shared" si="67"/>
        <v/>
      </c>
      <c r="EK54" s="452" t="str">
        <f t="shared" si="67"/>
        <v/>
      </c>
      <c r="EL54" s="453" t="str">
        <f t="shared" si="67"/>
        <v/>
      </c>
      <c r="EM54" s="451" t="str">
        <f>IF(AND(EM$2&gt;=$J54,EM$2&lt;=$K54),1,"")</f>
        <v/>
      </c>
      <c r="EN54" s="452" t="str">
        <f t="shared" si="67"/>
        <v/>
      </c>
      <c r="EO54" s="452" t="str">
        <f t="shared" si="67"/>
        <v/>
      </c>
      <c r="EP54" s="452" t="str">
        <f t="shared" si="67"/>
        <v/>
      </c>
      <c r="EQ54" s="453" t="str">
        <f t="shared" si="67"/>
        <v/>
      </c>
      <c r="ER54" s="451" t="str">
        <f>IF(AND(ER$2&gt;=$J54,ER$2&lt;=$K54),1,"")</f>
        <v/>
      </c>
      <c r="ES54" s="452" t="str">
        <f t="shared" si="67"/>
        <v/>
      </c>
      <c r="ET54" s="452" t="str">
        <f t="shared" si="67"/>
        <v/>
      </c>
      <c r="EU54" s="452" t="str">
        <f t="shared" si="67"/>
        <v/>
      </c>
      <c r="EV54" s="453" t="str">
        <f t="shared" si="67"/>
        <v/>
      </c>
      <c r="EW54" s="451" t="str">
        <f>IF(AND(EW$2&gt;=$J54,EW$2&lt;=$K54),1,"")</f>
        <v/>
      </c>
      <c r="EX54" s="452" t="str">
        <f t="shared" si="67"/>
        <v/>
      </c>
      <c r="EY54" s="452" t="str">
        <f t="shared" si="67"/>
        <v/>
      </c>
      <c r="EZ54" s="452" t="str">
        <f t="shared" si="73"/>
        <v/>
      </c>
      <c r="FA54" s="453" t="str">
        <f t="shared" si="73"/>
        <v/>
      </c>
      <c r="FB54" s="451" t="str">
        <f>IF(AND(FB$2&gt;=$J54,FB$2&lt;=$K54),1,"")</f>
        <v/>
      </c>
      <c r="FC54" s="452" t="str">
        <f t="shared" si="73"/>
        <v/>
      </c>
      <c r="FD54" s="452" t="str">
        <f t="shared" si="73"/>
        <v/>
      </c>
      <c r="FE54" s="452" t="str">
        <f t="shared" si="73"/>
        <v/>
      </c>
      <c r="FF54" s="453" t="str">
        <f t="shared" si="73"/>
        <v/>
      </c>
      <c r="FG54" s="451" t="str">
        <f>IF(AND(FG$2&gt;=$J54,FG$2&lt;=$K54),1,"")</f>
        <v/>
      </c>
      <c r="FH54" s="452" t="str">
        <f t="shared" si="73"/>
        <v/>
      </c>
      <c r="FI54" s="452" t="str">
        <f t="shared" si="73"/>
        <v/>
      </c>
      <c r="FJ54" s="452" t="str">
        <f t="shared" si="73"/>
        <v/>
      </c>
      <c r="FK54" s="453" t="str">
        <f t="shared" si="73"/>
        <v/>
      </c>
      <c r="FL54" s="451" t="str">
        <f>IF(AND(FL$2&gt;=$J54,FL$2&lt;=$K54),1,"")</f>
        <v/>
      </c>
      <c r="FM54" s="452" t="str">
        <f t="shared" si="73"/>
        <v/>
      </c>
      <c r="FN54" s="452" t="str">
        <f t="shared" si="73"/>
        <v/>
      </c>
      <c r="FO54" s="452" t="str">
        <f t="shared" si="73"/>
        <v/>
      </c>
      <c r="FP54" s="453" t="str">
        <f t="shared" si="71"/>
        <v/>
      </c>
      <c r="FQ54" s="451" t="str">
        <f>IF(AND(FQ$2&gt;=$J54,FQ$2&lt;=$K54),1,"")</f>
        <v/>
      </c>
      <c r="FR54" s="452" t="str">
        <f t="shared" si="71"/>
        <v/>
      </c>
      <c r="FS54" s="452" t="str">
        <f t="shared" si="71"/>
        <v/>
      </c>
      <c r="FT54" s="452" t="str">
        <f t="shared" si="71"/>
        <v/>
      </c>
      <c r="FU54" s="453" t="str">
        <f t="shared" si="71"/>
        <v/>
      </c>
      <c r="FV54" s="451" t="str">
        <f>IF(AND(FV$2&gt;=$J54,FV$2&lt;=$K54),1,"")</f>
        <v/>
      </c>
      <c r="FW54" s="452" t="str">
        <f t="shared" si="71"/>
        <v/>
      </c>
      <c r="FX54" s="452" t="str">
        <f t="shared" si="71"/>
        <v/>
      </c>
      <c r="FY54" s="452" t="str">
        <f t="shared" si="71"/>
        <v/>
      </c>
      <c r="FZ54" s="453" t="str">
        <f t="shared" si="74"/>
        <v/>
      </c>
      <c r="GA54" s="451" t="str">
        <f>IF(AND(GA$2&gt;=$J54,GA$2&lt;=$K54),1,"")</f>
        <v/>
      </c>
      <c r="GB54" s="452" t="str">
        <f t="shared" si="74"/>
        <v/>
      </c>
      <c r="GC54" s="452" t="str">
        <f t="shared" si="74"/>
        <v/>
      </c>
      <c r="GD54" s="452" t="str">
        <f t="shared" si="74"/>
        <v/>
      </c>
      <c r="GE54" s="453" t="str">
        <f t="shared" si="74"/>
        <v/>
      </c>
      <c r="GF54" s="451" t="str">
        <f>IF(AND(GF$2&gt;=$J54,GF$2&lt;=$K54),1,"")</f>
        <v/>
      </c>
      <c r="GG54" s="452" t="str">
        <f t="shared" si="74"/>
        <v/>
      </c>
      <c r="GH54" s="452" t="str">
        <f>IF(AND(GH$2&gt;=$J54,GH$2&lt;=$K54),1,"")</f>
        <v/>
      </c>
      <c r="GI54" s="452" t="str">
        <f>IF(AND(GI$2&gt;=$J54,GI$2&lt;=$K54),1,"")</f>
        <v/>
      </c>
      <c r="GJ54" s="453" t="str">
        <f>IF(AND(GJ$2&gt;=$J54,GJ$2&lt;=$K54),1,"")</f>
        <v/>
      </c>
      <c r="GK54" s="451" t="str">
        <f>IF(AND(GK$2&gt;=$J54,GK$2&lt;=$K54),1,"")</f>
        <v/>
      </c>
      <c r="GL54" s="452" t="str">
        <f t="shared" si="74"/>
        <v/>
      </c>
      <c r="GM54" s="452" t="str">
        <f t="shared" si="74"/>
        <v/>
      </c>
      <c r="GN54" s="452" t="str">
        <f t="shared" si="74"/>
        <v/>
      </c>
      <c r="GO54" s="453" t="str">
        <f t="shared" si="74"/>
        <v/>
      </c>
      <c r="GP54" s="451" t="str">
        <f>IF(AND(GP$2&gt;=$J54,GP$2&lt;=$K54),1,"")</f>
        <v/>
      </c>
      <c r="GQ54" s="452" t="str">
        <f t="shared" si="69"/>
        <v/>
      </c>
      <c r="GR54" s="452" t="str">
        <f t="shared" si="69"/>
        <v/>
      </c>
      <c r="GS54" s="452" t="str">
        <f t="shared" si="69"/>
        <v/>
      </c>
      <c r="GT54" s="453" t="str">
        <f t="shared" si="69"/>
        <v/>
      </c>
      <c r="GU54" s="451" t="str">
        <f>IF(AND(GU$2&gt;=$J54,GU$2&lt;=$K54),1,"")</f>
        <v/>
      </c>
      <c r="GV54" s="452" t="str">
        <f t="shared" si="69"/>
        <v/>
      </c>
      <c r="GW54" s="452" t="str">
        <f t="shared" si="69"/>
        <v/>
      </c>
      <c r="GX54" s="452" t="str">
        <f t="shared" si="69"/>
        <v/>
      </c>
      <c r="GY54" s="453" t="str">
        <f t="shared" si="69"/>
        <v/>
      </c>
      <c r="GZ54" s="451" t="str">
        <f>IF(AND(GZ$2&gt;=$J54,GZ$2&lt;=$K54),1,"")</f>
        <v/>
      </c>
      <c r="HA54" s="452" t="str">
        <f t="shared" si="69"/>
        <v/>
      </c>
      <c r="HB54" s="452" t="str">
        <f t="shared" si="69"/>
        <v/>
      </c>
      <c r="HC54" s="452" t="str">
        <f t="shared" si="69"/>
        <v/>
      </c>
      <c r="HD54" s="453" t="str">
        <f t="shared" si="69"/>
        <v/>
      </c>
      <c r="HE54" s="451" t="str">
        <f>IF(AND(HE$2&gt;=$J54,HE$2&lt;=$K54),1,"")</f>
        <v/>
      </c>
      <c r="HF54" s="452" t="str">
        <f t="shared" si="65"/>
        <v/>
      </c>
      <c r="HG54" s="452" t="str">
        <f t="shared" si="65"/>
        <v/>
      </c>
      <c r="HH54" s="452" t="str">
        <f t="shared" si="65"/>
        <v/>
      </c>
      <c r="HI54" s="453" t="str">
        <f t="shared" si="65"/>
        <v/>
      </c>
      <c r="HJ54" s="451" t="str">
        <f>IF(AND(HJ$2&gt;=$J54,HJ$2&lt;=$K54),1,"")</f>
        <v/>
      </c>
      <c r="HK54" s="452" t="str">
        <f t="shared" si="65"/>
        <v/>
      </c>
      <c r="HL54" s="452" t="str">
        <f t="shared" si="65"/>
        <v/>
      </c>
      <c r="HM54" s="452" t="str">
        <f t="shared" si="65"/>
        <v/>
      </c>
      <c r="HN54" s="453" t="str">
        <f t="shared" si="65"/>
        <v/>
      </c>
      <c r="HO54" s="451" t="str">
        <f>IF(AND(HO$2&gt;=$J54,HO$2&lt;=$K54),1,"")</f>
        <v/>
      </c>
      <c r="HP54" s="452" t="str">
        <f t="shared" si="65"/>
        <v/>
      </c>
      <c r="HQ54" s="452" t="str">
        <f t="shared" si="65"/>
        <v/>
      </c>
      <c r="HR54" s="452" t="str">
        <f t="shared" si="65"/>
        <v/>
      </c>
      <c r="HS54" s="453" t="str">
        <f t="shared" si="65"/>
        <v/>
      </c>
      <c r="HT54" s="451" t="str">
        <f>IF(AND(HT$2&gt;=$J54,HT$2&lt;=$K54),1,"")</f>
        <v/>
      </c>
      <c r="HU54" s="452" t="str">
        <f t="shared" si="65"/>
        <v/>
      </c>
      <c r="HV54" s="452" t="str">
        <f t="shared" si="63"/>
        <v/>
      </c>
      <c r="HW54" s="452" t="str">
        <f t="shared" si="63"/>
        <v/>
      </c>
      <c r="HX54" s="453" t="str">
        <f t="shared" si="63"/>
        <v/>
      </c>
      <c r="HY54" s="451" t="str">
        <f>IF(AND(HY$2&gt;=$J54,HY$2&lt;=$K54),1,"")</f>
        <v/>
      </c>
      <c r="HZ54" s="452" t="str">
        <f t="shared" si="63"/>
        <v/>
      </c>
      <c r="IA54" s="452" t="str">
        <f t="shared" si="66"/>
        <v/>
      </c>
      <c r="IB54" s="452" t="str">
        <f t="shared" si="66"/>
        <v/>
      </c>
      <c r="IC54" s="453" t="str">
        <f t="shared" si="66"/>
        <v/>
      </c>
      <c r="ID54" s="451" t="str">
        <f>IF(AND(ID$2&gt;=$J54,ID$2&lt;=$K54),1,"")</f>
        <v/>
      </c>
      <c r="IE54" s="452" t="str">
        <f t="shared" si="64"/>
        <v/>
      </c>
      <c r="IF54" s="452" t="str">
        <f t="shared" si="64"/>
        <v/>
      </c>
      <c r="IG54" s="452" t="str">
        <f t="shared" si="64"/>
        <v/>
      </c>
      <c r="IH54" s="453" t="str">
        <f t="shared" si="64"/>
        <v/>
      </c>
      <c r="II54" s="451" t="str">
        <f>IF(AND(II$2&gt;=$J54,II$2&lt;=$K54),1,"")</f>
        <v/>
      </c>
      <c r="IJ54" s="452" t="str">
        <f t="shared" si="64"/>
        <v/>
      </c>
      <c r="IK54" s="452" t="str">
        <f t="shared" si="64"/>
        <v/>
      </c>
      <c r="IL54" s="452" t="str">
        <f t="shared" si="64"/>
        <v/>
      </c>
      <c r="IM54" s="453" t="str">
        <f t="shared" si="64"/>
        <v/>
      </c>
      <c r="IN54" s="451" t="str">
        <f>IF(AND(IN$2&gt;=$J54,IN$2&lt;=$K54),1,"")</f>
        <v/>
      </c>
      <c r="IO54" s="452" t="str">
        <f t="shared" si="64"/>
        <v/>
      </c>
      <c r="IP54" s="452" t="str">
        <f t="shared" si="64"/>
        <v/>
      </c>
      <c r="IQ54" s="452" t="str">
        <f t="shared" si="64"/>
        <v/>
      </c>
      <c r="IR54" s="453" t="str">
        <f t="shared" si="64"/>
        <v/>
      </c>
    </row>
    <row r="55" spans="1:252" x14ac:dyDescent="0.2">
      <c r="A55" s="461">
        <v>5.7</v>
      </c>
      <c r="C55" s="447" t="s">
        <v>1357</v>
      </c>
      <c r="D55" s="447"/>
      <c r="E55" s="448"/>
      <c r="F55" s="448"/>
      <c r="G55" s="448"/>
      <c r="H55" s="448"/>
      <c r="I55" s="448"/>
      <c r="J55" s="449" t="str">
        <f t="shared" si="76"/>
        <v/>
      </c>
      <c r="K55" s="449" t="str">
        <f t="shared" si="77"/>
        <v/>
      </c>
      <c r="L55" s="450">
        <f t="shared" si="0"/>
        <v>0</v>
      </c>
      <c r="M55" s="451" t="str">
        <f t="shared" si="70"/>
        <v/>
      </c>
      <c r="N55" s="452" t="str">
        <f t="shared" si="70"/>
        <v/>
      </c>
      <c r="O55" s="452" t="str">
        <f t="shared" si="70"/>
        <v/>
      </c>
      <c r="P55" s="452" t="str">
        <f t="shared" si="70"/>
        <v/>
      </c>
      <c r="Q55" s="453" t="str">
        <f t="shared" si="70"/>
        <v/>
      </c>
      <c r="R55" s="451" t="str">
        <f t="shared" si="70"/>
        <v/>
      </c>
      <c r="S55" s="452" t="str">
        <f t="shared" si="70"/>
        <v/>
      </c>
      <c r="T55" s="452" t="str">
        <f t="shared" si="70"/>
        <v/>
      </c>
      <c r="U55" s="452" t="str">
        <f t="shared" si="70"/>
        <v/>
      </c>
      <c r="V55" s="453" t="str">
        <f t="shared" si="70"/>
        <v/>
      </c>
      <c r="W55" s="451" t="str">
        <f t="shared" si="70"/>
        <v/>
      </c>
      <c r="X55" s="452" t="str">
        <f t="shared" si="70"/>
        <v/>
      </c>
      <c r="Y55" s="452" t="str">
        <f t="shared" si="70"/>
        <v/>
      </c>
      <c r="Z55" s="452" t="str">
        <f t="shared" si="70"/>
        <v/>
      </c>
      <c r="AA55" s="453" t="str">
        <f t="shared" si="70"/>
        <v/>
      </c>
      <c r="AB55" s="451" t="str">
        <f t="shared" si="70"/>
        <v/>
      </c>
      <c r="AC55" s="452" t="str">
        <f t="shared" si="75"/>
        <v/>
      </c>
      <c r="AD55" s="452" t="str">
        <f t="shared" si="75"/>
        <v/>
      </c>
      <c r="AE55" s="452" t="str">
        <f t="shared" si="75"/>
        <v/>
      </c>
      <c r="AF55" s="453" t="str">
        <f t="shared" si="75"/>
        <v/>
      </c>
      <c r="AG55" s="451" t="str">
        <f t="shared" si="75"/>
        <v/>
      </c>
      <c r="AH55" s="452" t="str">
        <f t="shared" si="75"/>
        <v/>
      </c>
      <c r="AI55" s="452" t="str">
        <f t="shared" si="75"/>
        <v/>
      </c>
      <c r="AJ55" s="452" t="str">
        <f t="shared" si="75"/>
        <v/>
      </c>
      <c r="AK55" s="453" t="str">
        <f t="shared" si="75"/>
        <v/>
      </c>
      <c r="AL55" s="451" t="str">
        <f t="shared" si="75"/>
        <v/>
      </c>
      <c r="AM55" s="452" t="str">
        <f t="shared" si="75"/>
        <v/>
      </c>
      <c r="AN55" s="452" t="str">
        <f t="shared" si="75"/>
        <v/>
      </c>
      <c r="AO55" s="452" t="str">
        <f t="shared" si="75"/>
        <v/>
      </c>
      <c r="AP55" s="453" t="str">
        <f t="shared" si="75"/>
        <v/>
      </c>
      <c r="AQ55" s="451" t="str">
        <f t="shared" si="75"/>
        <v/>
      </c>
      <c r="AR55" s="452" t="str">
        <f t="shared" si="75"/>
        <v/>
      </c>
      <c r="AS55" s="452" t="str">
        <f t="shared" si="78"/>
        <v/>
      </c>
      <c r="AT55" s="452" t="str">
        <f t="shared" si="78"/>
        <v/>
      </c>
      <c r="AU55" s="453" t="str">
        <f t="shared" si="78"/>
        <v/>
      </c>
      <c r="AV55" s="451" t="str">
        <f t="shared" si="78"/>
        <v/>
      </c>
      <c r="AW55" s="452" t="str">
        <f t="shared" si="78"/>
        <v/>
      </c>
      <c r="AX55" s="452" t="str">
        <f t="shared" si="78"/>
        <v/>
      </c>
      <c r="AY55" s="452" t="str">
        <f t="shared" si="78"/>
        <v/>
      </c>
      <c r="AZ55" s="453" t="str">
        <f t="shared" si="78"/>
        <v/>
      </c>
      <c r="BA55" s="451" t="str">
        <f t="shared" si="78"/>
        <v/>
      </c>
      <c r="BB55" s="452" t="str">
        <f t="shared" si="78"/>
        <v/>
      </c>
      <c r="BC55" s="452" t="str">
        <f t="shared" si="78"/>
        <v/>
      </c>
      <c r="BD55" s="452" t="str">
        <f t="shared" si="78"/>
        <v/>
      </c>
      <c r="BE55" s="453" t="str">
        <f t="shared" si="78"/>
        <v/>
      </c>
      <c r="BF55" s="451" t="str">
        <f t="shared" si="78"/>
        <v/>
      </c>
      <c r="BG55" s="452" t="str">
        <f t="shared" si="53"/>
        <v/>
      </c>
      <c r="BH55" s="452" t="str">
        <f t="shared" si="53"/>
        <v/>
      </c>
      <c r="BI55" s="452" t="str">
        <f t="shared" si="53"/>
        <v/>
      </c>
      <c r="BJ55" s="453" t="str">
        <f t="shared" si="53"/>
        <v/>
      </c>
      <c r="BK55" s="451" t="str">
        <f t="shared" si="53"/>
        <v/>
      </c>
      <c r="BL55" s="452" t="str">
        <f t="shared" si="53"/>
        <v/>
      </c>
      <c r="BM55" s="452" t="str">
        <f t="shared" si="53"/>
        <v/>
      </c>
      <c r="BN55" s="452" t="str">
        <f t="shared" si="53"/>
        <v/>
      </c>
      <c r="BO55" s="453" t="str">
        <f t="shared" si="53"/>
        <v/>
      </c>
      <c r="BP55" s="451" t="str">
        <f t="shared" si="53"/>
        <v/>
      </c>
      <c r="BQ55" s="452" t="str">
        <f t="shared" si="53"/>
        <v/>
      </c>
      <c r="BR55" s="452" t="str">
        <f t="shared" si="53"/>
        <v/>
      </c>
      <c r="BS55" s="452" t="str">
        <f t="shared" si="53"/>
        <v/>
      </c>
      <c r="BT55" s="453" t="str">
        <f t="shared" si="53"/>
        <v/>
      </c>
      <c r="BU55" s="451" t="str">
        <f t="shared" si="53"/>
        <v/>
      </c>
      <c r="BV55" s="452" t="str">
        <f t="shared" si="53"/>
        <v/>
      </c>
      <c r="BW55" s="452" t="str">
        <f t="shared" si="50"/>
        <v/>
      </c>
      <c r="BX55" s="452" t="str">
        <f t="shared" si="50"/>
        <v/>
      </c>
      <c r="BY55" s="453" t="str">
        <f t="shared" si="81"/>
        <v/>
      </c>
      <c r="BZ55" s="451" t="str">
        <f t="shared" si="81"/>
        <v/>
      </c>
      <c r="CA55" s="452" t="str">
        <f t="shared" si="81"/>
        <v/>
      </c>
      <c r="CB55" s="452" t="str">
        <f t="shared" si="81"/>
        <v/>
      </c>
      <c r="CC55" s="452" t="str">
        <f t="shared" si="81"/>
        <v/>
      </c>
      <c r="CD55" s="453" t="str">
        <f t="shared" si="81"/>
        <v/>
      </c>
      <c r="CE55" s="451" t="str">
        <f t="shared" si="81"/>
        <v/>
      </c>
      <c r="CF55" s="452" t="str">
        <f t="shared" si="81"/>
        <v/>
      </c>
      <c r="CG55" s="452" t="str">
        <f t="shared" si="81"/>
        <v/>
      </c>
      <c r="CH55" s="452" t="str">
        <f t="shared" si="81"/>
        <v/>
      </c>
      <c r="CI55" s="453" t="str">
        <f t="shared" si="81"/>
        <v/>
      </c>
      <c r="CJ55" s="451" t="str">
        <f t="shared" si="81"/>
        <v/>
      </c>
      <c r="CK55" s="452" t="str">
        <f t="shared" si="80"/>
        <v/>
      </c>
      <c r="CL55" s="452" t="str">
        <f t="shared" si="80"/>
        <v/>
      </c>
      <c r="CM55" s="452" t="str">
        <f t="shared" si="80"/>
        <v/>
      </c>
      <c r="CN55" s="453" t="str">
        <f t="shared" si="80"/>
        <v/>
      </c>
      <c r="CO55" s="451" t="str">
        <f t="shared" si="80"/>
        <v/>
      </c>
      <c r="CP55" s="452" t="str">
        <f t="shared" si="80"/>
        <v/>
      </c>
      <c r="CQ55" s="452" t="str">
        <f t="shared" si="80"/>
        <v/>
      </c>
      <c r="CR55" s="452" t="str">
        <f t="shared" si="80"/>
        <v/>
      </c>
      <c r="CS55" s="453" t="str">
        <f t="shared" si="80"/>
        <v/>
      </c>
      <c r="CT55" s="451" t="str">
        <f t="shared" si="80"/>
        <v/>
      </c>
      <c r="CU55" s="452" t="str">
        <f t="shared" si="80"/>
        <v/>
      </c>
      <c r="CV55" s="452" t="str">
        <f t="shared" si="80"/>
        <v/>
      </c>
      <c r="CW55" s="452" t="str">
        <f t="shared" si="79"/>
        <v/>
      </c>
      <c r="CX55" s="453" t="str">
        <f t="shared" si="79"/>
        <v/>
      </c>
      <c r="CY55" s="451" t="str">
        <f t="shared" si="79"/>
        <v/>
      </c>
      <c r="CZ55" s="452" t="str">
        <f t="shared" si="55"/>
        <v/>
      </c>
      <c r="DA55" s="452" t="str">
        <f t="shared" si="55"/>
        <v/>
      </c>
      <c r="DB55" s="452" t="str">
        <f t="shared" si="55"/>
        <v/>
      </c>
      <c r="DC55" s="453" t="str">
        <f t="shared" si="55"/>
        <v/>
      </c>
      <c r="DD55" s="451" t="str">
        <f t="shared" si="55"/>
        <v/>
      </c>
      <c r="DE55" s="452" t="str">
        <f t="shared" si="62"/>
        <v/>
      </c>
      <c r="DF55" s="452" t="str">
        <f t="shared" si="62"/>
        <v/>
      </c>
      <c r="DG55" s="452" t="str">
        <f t="shared" si="62"/>
        <v/>
      </c>
      <c r="DH55" s="453" t="str">
        <f t="shared" si="62"/>
        <v/>
      </c>
      <c r="DI55" s="451" t="str">
        <f t="shared" si="62"/>
        <v/>
      </c>
      <c r="DJ55" s="452" t="str">
        <f t="shared" si="62"/>
        <v/>
      </c>
      <c r="DK55" s="452" t="str">
        <f t="shared" si="62"/>
        <v/>
      </c>
      <c r="DL55" s="452" t="str">
        <f t="shared" si="62"/>
        <v/>
      </c>
      <c r="DM55" s="453" t="str">
        <f t="shared" si="62"/>
        <v/>
      </c>
      <c r="DN55" s="451" t="str">
        <f t="shared" si="62"/>
        <v/>
      </c>
      <c r="DO55" s="452" t="str">
        <f t="shared" si="62"/>
        <v/>
      </c>
      <c r="DP55" s="452" t="str">
        <f t="shared" si="62"/>
        <v/>
      </c>
      <c r="DQ55" s="452" t="str">
        <f t="shared" si="62"/>
        <v/>
      </c>
      <c r="DR55" s="453" t="str">
        <f t="shared" si="62"/>
        <v/>
      </c>
      <c r="DS55" s="451" t="str">
        <f t="shared" si="62"/>
        <v/>
      </c>
      <c r="DT55" s="452" t="str">
        <f t="shared" si="62"/>
        <v/>
      </c>
      <c r="DU55" s="452" t="str">
        <f t="shared" si="58"/>
        <v/>
      </c>
      <c r="DV55" s="452" t="str">
        <f t="shared" si="58"/>
        <v/>
      </c>
      <c r="DW55" s="453" t="str">
        <f t="shared" si="58"/>
        <v/>
      </c>
      <c r="DX55" s="451" t="str">
        <f t="shared" si="58"/>
        <v/>
      </c>
      <c r="DY55" s="452" t="str">
        <f t="shared" si="58"/>
        <v/>
      </c>
      <c r="DZ55" s="452" t="str">
        <f t="shared" si="58"/>
        <v/>
      </c>
      <c r="EA55" s="452" t="str">
        <f t="shared" si="58"/>
        <v/>
      </c>
      <c r="EB55" s="453" t="str">
        <f t="shared" si="58"/>
        <v/>
      </c>
      <c r="EC55" s="451" t="str">
        <f t="shared" ref="EC55:ER70" si="82">IF(AND(EC$2&gt;=$J55,EC$2&lt;=$K55),1,"")</f>
        <v/>
      </c>
      <c r="ED55" s="452" t="str">
        <f t="shared" si="82"/>
        <v/>
      </c>
      <c r="EE55" s="452" t="str">
        <f t="shared" si="82"/>
        <v/>
      </c>
      <c r="EF55" s="452" t="str">
        <f t="shared" si="82"/>
        <v/>
      </c>
      <c r="EG55" s="453" t="str">
        <f t="shared" si="82"/>
        <v/>
      </c>
      <c r="EH55" s="451" t="str">
        <f t="shared" si="82"/>
        <v/>
      </c>
      <c r="EI55" s="452" t="str">
        <f t="shared" si="82"/>
        <v/>
      </c>
      <c r="EJ55" s="452" t="str">
        <f t="shared" si="82"/>
        <v/>
      </c>
      <c r="EK55" s="452" t="str">
        <f t="shared" si="67"/>
        <v/>
      </c>
      <c r="EL55" s="453" t="str">
        <f t="shared" si="67"/>
        <v/>
      </c>
      <c r="EM55" s="451" t="str">
        <f t="shared" si="67"/>
        <v/>
      </c>
      <c r="EN55" s="452" t="str">
        <f t="shared" si="67"/>
        <v/>
      </c>
      <c r="EO55" s="452" t="str">
        <f t="shared" si="67"/>
        <v/>
      </c>
      <c r="EP55" s="452" t="str">
        <f t="shared" si="67"/>
        <v/>
      </c>
      <c r="EQ55" s="453" t="str">
        <f t="shared" si="67"/>
        <v/>
      </c>
      <c r="ER55" s="451" t="str">
        <f t="shared" si="67"/>
        <v/>
      </c>
      <c r="ES55" s="452" t="str">
        <f t="shared" si="67"/>
        <v/>
      </c>
      <c r="ET55" s="452" t="str">
        <f t="shared" si="67"/>
        <v/>
      </c>
      <c r="EU55" s="452" t="str">
        <f t="shared" si="67"/>
        <v/>
      </c>
      <c r="EV55" s="453" t="str">
        <f t="shared" si="67"/>
        <v/>
      </c>
      <c r="EW55" s="451" t="str">
        <f t="shared" si="67"/>
        <v/>
      </c>
      <c r="EX55" s="452" t="str">
        <f t="shared" si="67"/>
        <v/>
      </c>
      <c r="EY55" s="452" t="str">
        <f t="shared" si="67"/>
        <v/>
      </c>
      <c r="EZ55" s="452" t="str">
        <f t="shared" si="73"/>
        <v/>
      </c>
      <c r="FA55" s="453" t="str">
        <f t="shared" si="73"/>
        <v/>
      </c>
      <c r="FB55" s="451" t="str">
        <f t="shared" si="73"/>
        <v/>
      </c>
      <c r="FC55" s="452" t="str">
        <f t="shared" si="73"/>
        <v/>
      </c>
      <c r="FD55" s="452" t="str">
        <f t="shared" si="73"/>
        <v/>
      </c>
      <c r="FE55" s="452" t="str">
        <f t="shared" si="73"/>
        <v/>
      </c>
      <c r="FF55" s="453" t="str">
        <f t="shared" si="73"/>
        <v/>
      </c>
      <c r="FG55" s="451" t="str">
        <f t="shared" si="73"/>
        <v/>
      </c>
      <c r="FH55" s="452" t="str">
        <f t="shared" si="73"/>
        <v/>
      </c>
      <c r="FI55" s="452" t="str">
        <f t="shared" si="73"/>
        <v/>
      </c>
      <c r="FJ55" s="452" t="str">
        <f t="shared" si="73"/>
        <v/>
      </c>
      <c r="FK55" s="453" t="str">
        <f t="shared" si="73"/>
        <v/>
      </c>
      <c r="FL55" s="451" t="str">
        <f t="shared" si="73"/>
        <v/>
      </c>
      <c r="FM55" s="452" t="str">
        <f t="shared" si="73"/>
        <v/>
      </c>
      <c r="FN55" s="452" t="str">
        <f t="shared" si="73"/>
        <v/>
      </c>
      <c r="FO55" s="452" t="str">
        <f t="shared" si="73"/>
        <v/>
      </c>
      <c r="FP55" s="453" t="str">
        <f t="shared" si="71"/>
        <v/>
      </c>
      <c r="FQ55" s="451" t="str">
        <f t="shared" si="71"/>
        <v/>
      </c>
      <c r="FR55" s="452" t="str">
        <f t="shared" si="71"/>
        <v/>
      </c>
      <c r="FS55" s="452" t="str">
        <f t="shared" si="71"/>
        <v/>
      </c>
      <c r="FT55" s="452" t="str">
        <f t="shared" si="71"/>
        <v/>
      </c>
      <c r="FU55" s="453" t="str">
        <f t="shared" si="71"/>
        <v/>
      </c>
      <c r="FV55" s="451" t="str">
        <f t="shared" si="71"/>
        <v/>
      </c>
      <c r="FW55" s="452" t="str">
        <f t="shared" si="71"/>
        <v/>
      </c>
      <c r="FX55" s="452" t="str">
        <f t="shared" si="71"/>
        <v/>
      </c>
      <c r="FY55" s="452" t="str">
        <f t="shared" si="71"/>
        <v/>
      </c>
      <c r="FZ55" s="453" t="str">
        <f t="shared" si="74"/>
        <v/>
      </c>
      <c r="GA55" s="451" t="str">
        <f t="shared" si="74"/>
        <v/>
      </c>
      <c r="GB55" s="452" t="str">
        <f t="shared" si="74"/>
        <v/>
      </c>
      <c r="GC55" s="452" t="str">
        <f t="shared" si="74"/>
        <v/>
      </c>
      <c r="GD55" s="452" t="str">
        <f t="shared" si="74"/>
        <v/>
      </c>
      <c r="GE55" s="453" t="str">
        <f t="shared" si="74"/>
        <v/>
      </c>
      <c r="GF55" s="451" t="str">
        <f t="shared" si="74"/>
        <v/>
      </c>
      <c r="GG55" s="452" t="str">
        <f t="shared" si="74"/>
        <v/>
      </c>
      <c r="GH55" s="452" t="str">
        <f t="shared" si="74"/>
        <v/>
      </c>
      <c r="GI55" s="452" t="str">
        <f t="shared" si="74"/>
        <v/>
      </c>
      <c r="GJ55" s="453" t="str">
        <f t="shared" si="74"/>
        <v/>
      </c>
      <c r="GK55" s="451" t="str">
        <f t="shared" si="74"/>
        <v/>
      </c>
      <c r="GL55" s="452" t="str">
        <f t="shared" si="74"/>
        <v/>
      </c>
      <c r="GM55" s="452" t="str">
        <f t="shared" si="74"/>
        <v/>
      </c>
      <c r="GN55" s="452" t="str">
        <f t="shared" si="74"/>
        <v/>
      </c>
      <c r="GO55" s="453" t="str">
        <f t="shared" si="74"/>
        <v/>
      </c>
      <c r="GP55" s="451" t="str">
        <f t="shared" si="74"/>
        <v/>
      </c>
      <c r="GQ55" s="452" t="str">
        <f t="shared" si="69"/>
        <v/>
      </c>
      <c r="GR55" s="452" t="str">
        <f t="shared" si="69"/>
        <v/>
      </c>
      <c r="GS55" s="452" t="str">
        <f t="shared" si="69"/>
        <v/>
      </c>
      <c r="GT55" s="453" t="str">
        <f t="shared" si="69"/>
        <v/>
      </c>
      <c r="GU55" s="451" t="str">
        <f t="shared" si="69"/>
        <v/>
      </c>
      <c r="GV55" s="452" t="str">
        <f t="shared" si="69"/>
        <v/>
      </c>
      <c r="GW55" s="452" t="str">
        <f t="shared" si="69"/>
        <v/>
      </c>
      <c r="GX55" s="452" t="str">
        <f t="shared" si="69"/>
        <v/>
      </c>
      <c r="GY55" s="453" t="str">
        <f t="shared" si="69"/>
        <v/>
      </c>
      <c r="GZ55" s="451" t="str">
        <f t="shared" si="69"/>
        <v/>
      </c>
      <c r="HA55" s="452" t="str">
        <f t="shared" si="69"/>
        <v/>
      </c>
      <c r="HB55" s="452" t="str">
        <f t="shared" si="69"/>
        <v/>
      </c>
      <c r="HC55" s="452" t="str">
        <f t="shared" si="69"/>
        <v/>
      </c>
      <c r="HD55" s="453" t="str">
        <f t="shared" si="69"/>
        <v/>
      </c>
      <c r="HE55" s="451" t="str">
        <f t="shared" si="69"/>
        <v/>
      </c>
      <c r="HF55" s="452" t="str">
        <f t="shared" si="65"/>
        <v/>
      </c>
      <c r="HG55" s="452" t="str">
        <f t="shared" si="65"/>
        <v/>
      </c>
      <c r="HH55" s="452" t="str">
        <f t="shared" si="65"/>
        <v/>
      </c>
      <c r="HI55" s="453" t="str">
        <f t="shared" si="65"/>
        <v/>
      </c>
      <c r="HJ55" s="451" t="str">
        <f t="shared" si="65"/>
        <v/>
      </c>
      <c r="HK55" s="452" t="str">
        <f t="shared" si="65"/>
        <v/>
      </c>
      <c r="HL55" s="452" t="str">
        <f t="shared" si="65"/>
        <v/>
      </c>
      <c r="HM55" s="452" t="str">
        <f t="shared" si="65"/>
        <v/>
      </c>
      <c r="HN55" s="453" t="str">
        <f t="shared" si="65"/>
        <v/>
      </c>
      <c r="HO55" s="451" t="str">
        <f t="shared" si="65"/>
        <v/>
      </c>
      <c r="HP55" s="452" t="str">
        <f t="shared" si="65"/>
        <v/>
      </c>
      <c r="HQ55" s="452" t="str">
        <f t="shared" si="65"/>
        <v/>
      </c>
      <c r="HR55" s="452" t="str">
        <f t="shared" si="65"/>
        <v/>
      </c>
      <c r="HS55" s="453" t="str">
        <f t="shared" si="65"/>
        <v/>
      </c>
      <c r="HT55" s="451" t="str">
        <f t="shared" si="65"/>
        <v/>
      </c>
      <c r="HU55" s="452" t="str">
        <f t="shared" si="65"/>
        <v/>
      </c>
      <c r="HV55" s="452" t="str">
        <f t="shared" si="63"/>
        <v/>
      </c>
      <c r="HW55" s="452" t="str">
        <f t="shared" si="63"/>
        <v/>
      </c>
      <c r="HX55" s="453" t="str">
        <f t="shared" si="63"/>
        <v/>
      </c>
      <c r="HY55" s="451" t="str">
        <f t="shared" si="63"/>
        <v/>
      </c>
      <c r="HZ55" s="452" t="str">
        <f t="shared" si="63"/>
        <v/>
      </c>
      <c r="IA55" s="452" t="str">
        <f t="shared" si="66"/>
        <v/>
      </c>
      <c r="IB55" s="452" t="str">
        <f t="shared" si="66"/>
        <v/>
      </c>
      <c r="IC55" s="453" t="str">
        <f t="shared" si="66"/>
        <v/>
      </c>
      <c r="ID55" s="451" t="str">
        <f t="shared" si="66"/>
        <v/>
      </c>
      <c r="IE55" s="452" t="str">
        <f t="shared" si="66"/>
        <v/>
      </c>
      <c r="IF55" s="452" t="str">
        <f t="shared" si="66"/>
        <v/>
      </c>
      <c r="IG55" s="452" t="str">
        <f t="shared" si="66"/>
        <v/>
      </c>
      <c r="IH55" s="453" t="str">
        <f t="shared" si="66"/>
        <v/>
      </c>
      <c r="II55" s="451" t="str">
        <f t="shared" si="66"/>
        <v/>
      </c>
      <c r="IJ55" s="452" t="str">
        <f t="shared" si="66"/>
        <v/>
      </c>
      <c r="IK55" s="452" t="str">
        <f t="shared" si="66"/>
        <v/>
      </c>
      <c r="IL55" s="452" t="str">
        <f t="shared" si="66"/>
        <v/>
      </c>
      <c r="IM55" s="453" t="str">
        <f t="shared" si="66"/>
        <v/>
      </c>
      <c r="IN55" s="451" t="str">
        <f t="shared" si="66"/>
        <v/>
      </c>
      <c r="IO55" s="452" t="str">
        <f t="shared" si="66"/>
        <v/>
      </c>
      <c r="IP55" s="452" t="str">
        <f t="shared" si="66"/>
        <v/>
      </c>
      <c r="IQ55" s="452" t="str">
        <f t="shared" si="64"/>
        <v/>
      </c>
      <c r="IR55" s="453" t="str">
        <f t="shared" si="64"/>
        <v/>
      </c>
    </row>
    <row r="56" spans="1:252" x14ac:dyDescent="0.2">
      <c r="A56" s="461">
        <v>5.8</v>
      </c>
      <c r="C56" s="447" t="s">
        <v>1358</v>
      </c>
      <c r="D56" s="447"/>
      <c r="E56" s="448"/>
      <c r="F56" s="448"/>
      <c r="G56" s="448"/>
      <c r="H56" s="448"/>
      <c r="I56" s="448"/>
      <c r="J56" s="449" t="str">
        <f t="shared" si="76"/>
        <v/>
      </c>
      <c r="K56" s="449" t="str">
        <f t="shared" si="77"/>
        <v/>
      </c>
      <c r="L56" s="450">
        <f t="shared" si="0"/>
        <v>0</v>
      </c>
      <c r="M56" s="451" t="str">
        <f t="shared" si="70"/>
        <v/>
      </c>
      <c r="N56" s="452" t="str">
        <f t="shared" si="70"/>
        <v/>
      </c>
      <c r="O56" s="452" t="str">
        <f t="shared" si="70"/>
        <v/>
      </c>
      <c r="P56" s="452" t="str">
        <f t="shared" si="70"/>
        <v/>
      </c>
      <c r="Q56" s="453" t="str">
        <f t="shared" si="70"/>
        <v/>
      </c>
      <c r="R56" s="451" t="str">
        <f t="shared" si="70"/>
        <v/>
      </c>
      <c r="S56" s="452" t="str">
        <f t="shared" si="70"/>
        <v/>
      </c>
      <c r="T56" s="452" t="str">
        <f t="shared" si="70"/>
        <v/>
      </c>
      <c r="U56" s="452" t="str">
        <f t="shared" si="70"/>
        <v/>
      </c>
      <c r="V56" s="453" t="str">
        <f t="shared" si="70"/>
        <v/>
      </c>
      <c r="W56" s="451" t="str">
        <f t="shared" si="70"/>
        <v/>
      </c>
      <c r="X56" s="452" t="str">
        <f t="shared" si="70"/>
        <v/>
      </c>
      <c r="Y56" s="452" t="str">
        <f t="shared" si="70"/>
        <v/>
      </c>
      <c r="Z56" s="452" t="str">
        <f t="shared" si="70"/>
        <v/>
      </c>
      <c r="AA56" s="453" t="str">
        <f t="shared" si="70"/>
        <v/>
      </c>
      <c r="AB56" s="451" t="str">
        <f t="shared" si="70"/>
        <v/>
      </c>
      <c r="AC56" s="452" t="str">
        <f t="shared" si="75"/>
        <v/>
      </c>
      <c r="AD56" s="452" t="str">
        <f t="shared" si="75"/>
        <v/>
      </c>
      <c r="AE56" s="452" t="str">
        <f t="shared" si="75"/>
        <v/>
      </c>
      <c r="AF56" s="453" t="str">
        <f t="shared" si="75"/>
        <v/>
      </c>
      <c r="AG56" s="451" t="str">
        <f t="shared" si="75"/>
        <v/>
      </c>
      <c r="AH56" s="452" t="str">
        <f t="shared" si="75"/>
        <v/>
      </c>
      <c r="AI56" s="452" t="str">
        <f t="shared" si="75"/>
        <v/>
      </c>
      <c r="AJ56" s="452" t="str">
        <f t="shared" si="75"/>
        <v/>
      </c>
      <c r="AK56" s="453" t="str">
        <f t="shared" si="75"/>
        <v/>
      </c>
      <c r="AL56" s="451" t="str">
        <f t="shared" si="75"/>
        <v/>
      </c>
      <c r="AM56" s="452" t="str">
        <f t="shared" si="75"/>
        <v/>
      </c>
      <c r="AN56" s="452" t="str">
        <f t="shared" si="75"/>
        <v/>
      </c>
      <c r="AO56" s="452" t="str">
        <f t="shared" si="75"/>
        <v/>
      </c>
      <c r="AP56" s="453" t="str">
        <f t="shared" si="75"/>
        <v/>
      </c>
      <c r="AQ56" s="451" t="str">
        <f t="shared" si="75"/>
        <v/>
      </c>
      <c r="AR56" s="452" t="str">
        <f t="shared" si="75"/>
        <v/>
      </c>
      <c r="AS56" s="452" t="str">
        <f t="shared" si="78"/>
        <v/>
      </c>
      <c r="AT56" s="452" t="str">
        <f t="shared" si="78"/>
        <v/>
      </c>
      <c r="AU56" s="453" t="str">
        <f t="shared" si="78"/>
        <v/>
      </c>
      <c r="AV56" s="451" t="str">
        <f t="shared" si="78"/>
        <v/>
      </c>
      <c r="AW56" s="452" t="str">
        <f t="shared" si="78"/>
        <v/>
      </c>
      <c r="AX56" s="452" t="str">
        <f t="shared" si="78"/>
        <v/>
      </c>
      <c r="AY56" s="452" t="str">
        <f t="shared" si="78"/>
        <v/>
      </c>
      <c r="AZ56" s="453" t="str">
        <f t="shared" si="78"/>
        <v/>
      </c>
      <c r="BA56" s="451" t="str">
        <f t="shared" si="78"/>
        <v/>
      </c>
      <c r="BB56" s="452" t="str">
        <f t="shared" si="78"/>
        <v/>
      </c>
      <c r="BC56" s="452" t="str">
        <f t="shared" si="78"/>
        <v/>
      </c>
      <c r="BD56" s="452" t="str">
        <f t="shared" si="78"/>
        <v/>
      </c>
      <c r="BE56" s="453" t="str">
        <f t="shared" si="78"/>
        <v/>
      </c>
      <c r="BF56" s="451" t="str">
        <f t="shared" si="78"/>
        <v/>
      </c>
      <c r="BG56" s="452" t="str">
        <f t="shared" si="53"/>
        <v/>
      </c>
      <c r="BH56" s="452" t="str">
        <f t="shared" si="53"/>
        <v/>
      </c>
      <c r="BI56" s="452" t="str">
        <f t="shared" si="53"/>
        <v/>
      </c>
      <c r="BJ56" s="453" t="str">
        <f t="shared" si="53"/>
        <v/>
      </c>
      <c r="BK56" s="451" t="str">
        <f t="shared" si="53"/>
        <v/>
      </c>
      <c r="BL56" s="452" t="str">
        <f t="shared" si="53"/>
        <v/>
      </c>
      <c r="BM56" s="452" t="str">
        <f t="shared" si="53"/>
        <v/>
      </c>
      <c r="BN56" s="452" t="str">
        <f t="shared" si="53"/>
        <v/>
      </c>
      <c r="BO56" s="453" t="str">
        <f t="shared" si="53"/>
        <v/>
      </c>
      <c r="BP56" s="451" t="str">
        <f t="shared" si="53"/>
        <v/>
      </c>
      <c r="BQ56" s="452" t="str">
        <f t="shared" si="53"/>
        <v/>
      </c>
      <c r="BR56" s="452" t="str">
        <f t="shared" si="53"/>
        <v/>
      </c>
      <c r="BS56" s="452" t="str">
        <f t="shared" si="53"/>
        <v/>
      </c>
      <c r="BT56" s="453" t="str">
        <f t="shared" si="53"/>
        <v/>
      </c>
      <c r="BU56" s="451" t="str">
        <f t="shared" si="53"/>
        <v/>
      </c>
      <c r="BV56" s="452" t="str">
        <f t="shared" si="53"/>
        <v/>
      </c>
      <c r="BW56" s="452" t="str">
        <f t="shared" si="50"/>
        <v/>
      </c>
      <c r="BX56" s="452" t="str">
        <f t="shared" si="50"/>
        <v/>
      </c>
      <c r="BY56" s="453" t="str">
        <f t="shared" si="81"/>
        <v/>
      </c>
      <c r="BZ56" s="451" t="str">
        <f t="shared" si="81"/>
        <v/>
      </c>
      <c r="CA56" s="452" t="str">
        <f t="shared" si="81"/>
        <v/>
      </c>
      <c r="CB56" s="452" t="str">
        <f t="shared" si="81"/>
        <v/>
      </c>
      <c r="CC56" s="452" t="str">
        <f t="shared" si="81"/>
        <v/>
      </c>
      <c r="CD56" s="453" t="str">
        <f t="shared" si="81"/>
        <v/>
      </c>
      <c r="CE56" s="451" t="str">
        <f t="shared" si="81"/>
        <v/>
      </c>
      <c r="CF56" s="452" t="str">
        <f t="shared" si="81"/>
        <v/>
      </c>
      <c r="CG56" s="452" t="str">
        <f t="shared" si="81"/>
        <v/>
      </c>
      <c r="CH56" s="452" t="str">
        <f t="shared" si="81"/>
        <v/>
      </c>
      <c r="CI56" s="453" t="str">
        <f t="shared" si="81"/>
        <v/>
      </c>
      <c r="CJ56" s="451" t="str">
        <f t="shared" si="81"/>
        <v/>
      </c>
      <c r="CK56" s="452" t="str">
        <f t="shared" si="81"/>
        <v/>
      </c>
      <c r="CL56" s="452" t="str">
        <f t="shared" si="81"/>
        <v/>
      </c>
      <c r="CM56" s="452" t="str">
        <f t="shared" si="80"/>
        <v/>
      </c>
      <c r="CN56" s="453" t="str">
        <f t="shared" si="80"/>
        <v/>
      </c>
      <c r="CO56" s="451" t="str">
        <f t="shared" si="80"/>
        <v/>
      </c>
      <c r="CP56" s="452" t="str">
        <f t="shared" si="80"/>
        <v/>
      </c>
      <c r="CQ56" s="452" t="str">
        <f t="shared" si="80"/>
        <v/>
      </c>
      <c r="CR56" s="452" t="str">
        <f t="shared" si="80"/>
        <v/>
      </c>
      <c r="CS56" s="453" t="str">
        <f t="shared" si="80"/>
        <v/>
      </c>
      <c r="CT56" s="451" t="str">
        <f t="shared" si="80"/>
        <v/>
      </c>
      <c r="CU56" s="452" t="str">
        <f t="shared" si="80"/>
        <v/>
      </c>
      <c r="CV56" s="452" t="str">
        <f t="shared" si="80"/>
        <v/>
      </c>
      <c r="CW56" s="452" t="str">
        <f t="shared" si="79"/>
        <v/>
      </c>
      <c r="CX56" s="453" t="str">
        <f t="shared" si="79"/>
        <v/>
      </c>
      <c r="CY56" s="451" t="str">
        <f t="shared" si="79"/>
        <v/>
      </c>
      <c r="CZ56" s="452" t="str">
        <f t="shared" si="55"/>
        <v/>
      </c>
      <c r="DA56" s="452" t="str">
        <f t="shared" si="55"/>
        <v/>
      </c>
      <c r="DB56" s="452" t="str">
        <f t="shared" si="55"/>
        <v/>
      </c>
      <c r="DC56" s="453" t="str">
        <f t="shared" si="55"/>
        <v/>
      </c>
      <c r="DD56" s="451" t="str">
        <f t="shared" si="55"/>
        <v/>
      </c>
      <c r="DE56" s="452" t="str">
        <f t="shared" si="62"/>
        <v/>
      </c>
      <c r="DF56" s="452" t="str">
        <f t="shared" si="62"/>
        <v/>
      </c>
      <c r="DG56" s="452" t="str">
        <f t="shared" si="62"/>
        <v/>
      </c>
      <c r="DH56" s="453" t="str">
        <f t="shared" si="62"/>
        <v/>
      </c>
      <c r="DI56" s="451" t="str">
        <f t="shared" si="62"/>
        <v/>
      </c>
      <c r="DJ56" s="452" t="str">
        <f t="shared" si="62"/>
        <v/>
      </c>
      <c r="DK56" s="452" t="str">
        <f t="shared" si="62"/>
        <v/>
      </c>
      <c r="DL56" s="452" t="str">
        <f t="shared" si="62"/>
        <v/>
      </c>
      <c r="DM56" s="453" t="str">
        <f t="shared" ref="DM56:EB75" si="83">IF(AND(DM$2&gt;=$J56,DM$2&lt;=$K56),1,"")</f>
        <v/>
      </c>
      <c r="DN56" s="451" t="str">
        <f t="shared" si="83"/>
        <v/>
      </c>
      <c r="DO56" s="452" t="str">
        <f t="shared" si="83"/>
        <v/>
      </c>
      <c r="DP56" s="452" t="str">
        <f t="shared" si="83"/>
        <v/>
      </c>
      <c r="DQ56" s="452" t="str">
        <f t="shared" si="83"/>
        <v/>
      </c>
      <c r="DR56" s="453" t="str">
        <f t="shared" si="83"/>
        <v/>
      </c>
      <c r="DS56" s="451" t="str">
        <f t="shared" si="83"/>
        <v/>
      </c>
      <c r="DT56" s="452" t="str">
        <f t="shared" si="83"/>
        <v/>
      </c>
      <c r="DU56" s="452" t="str">
        <f t="shared" si="83"/>
        <v/>
      </c>
      <c r="DV56" s="452" t="str">
        <f t="shared" si="83"/>
        <v/>
      </c>
      <c r="DW56" s="453" t="str">
        <f t="shared" si="83"/>
        <v/>
      </c>
      <c r="DX56" s="451" t="str">
        <f t="shared" si="83"/>
        <v/>
      </c>
      <c r="DY56" s="452" t="str">
        <f t="shared" si="83"/>
        <v/>
      </c>
      <c r="DZ56" s="452" t="str">
        <f t="shared" si="83"/>
        <v/>
      </c>
      <c r="EA56" s="452" t="str">
        <f t="shared" si="83"/>
        <v/>
      </c>
      <c r="EB56" s="453" t="str">
        <f t="shared" si="83"/>
        <v/>
      </c>
      <c r="EC56" s="451" t="str">
        <f t="shared" si="82"/>
        <v/>
      </c>
      <c r="ED56" s="452" t="str">
        <f t="shared" si="82"/>
        <v/>
      </c>
      <c r="EE56" s="452" t="str">
        <f t="shared" si="82"/>
        <v/>
      </c>
      <c r="EF56" s="452" t="str">
        <f t="shared" si="82"/>
        <v/>
      </c>
      <c r="EG56" s="453" t="str">
        <f t="shared" si="82"/>
        <v/>
      </c>
      <c r="EH56" s="451" t="str">
        <f t="shared" si="82"/>
        <v/>
      </c>
      <c r="EI56" s="452" t="str">
        <f t="shared" si="82"/>
        <v/>
      </c>
      <c r="EJ56" s="452" t="str">
        <f t="shared" si="82"/>
        <v/>
      </c>
      <c r="EK56" s="452" t="str">
        <f t="shared" si="67"/>
        <v/>
      </c>
      <c r="EL56" s="453" t="str">
        <f t="shared" si="67"/>
        <v/>
      </c>
      <c r="EM56" s="451" t="str">
        <f t="shared" si="67"/>
        <v/>
      </c>
      <c r="EN56" s="452" t="str">
        <f t="shared" si="67"/>
        <v/>
      </c>
      <c r="EO56" s="452" t="str">
        <f t="shared" si="67"/>
        <v/>
      </c>
      <c r="EP56" s="452" t="str">
        <f t="shared" si="67"/>
        <v/>
      </c>
      <c r="EQ56" s="453" t="str">
        <f t="shared" si="67"/>
        <v/>
      </c>
      <c r="ER56" s="451" t="str">
        <f t="shared" si="67"/>
        <v/>
      </c>
      <c r="ES56" s="452" t="str">
        <f t="shared" si="67"/>
        <v/>
      </c>
      <c r="ET56" s="452" t="str">
        <f t="shared" si="67"/>
        <v/>
      </c>
      <c r="EU56" s="452" t="str">
        <f t="shared" si="67"/>
        <v/>
      </c>
      <c r="EV56" s="453" t="str">
        <f t="shared" si="67"/>
        <v/>
      </c>
      <c r="EW56" s="451" t="str">
        <f t="shared" si="67"/>
        <v/>
      </c>
      <c r="EX56" s="452" t="str">
        <f t="shared" si="67"/>
        <v/>
      </c>
      <c r="EY56" s="452" t="str">
        <f t="shared" si="67"/>
        <v/>
      </c>
      <c r="EZ56" s="452" t="str">
        <f t="shared" si="73"/>
        <v/>
      </c>
      <c r="FA56" s="453" t="str">
        <f t="shared" si="73"/>
        <v/>
      </c>
      <c r="FB56" s="451" t="str">
        <f t="shared" si="73"/>
        <v/>
      </c>
      <c r="FC56" s="452" t="str">
        <f t="shared" si="73"/>
        <v/>
      </c>
      <c r="FD56" s="452" t="str">
        <f t="shared" si="73"/>
        <v/>
      </c>
      <c r="FE56" s="452" t="str">
        <f t="shared" si="73"/>
        <v/>
      </c>
      <c r="FF56" s="453" t="str">
        <f t="shared" si="73"/>
        <v/>
      </c>
      <c r="FG56" s="451" t="str">
        <f t="shared" si="73"/>
        <v/>
      </c>
      <c r="FH56" s="452" t="str">
        <f t="shared" si="73"/>
        <v/>
      </c>
      <c r="FI56" s="452" t="str">
        <f t="shared" si="73"/>
        <v/>
      </c>
      <c r="FJ56" s="452" t="str">
        <f t="shared" si="73"/>
        <v/>
      </c>
      <c r="FK56" s="453" t="str">
        <f t="shared" si="73"/>
        <v/>
      </c>
      <c r="FL56" s="451" t="str">
        <f t="shared" si="73"/>
        <v/>
      </c>
      <c r="FM56" s="452" t="str">
        <f t="shared" si="73"/>
        <v/>
      </c>
      <c r="FN56" s="452" t="str">
        <f t="shared" si="73"/>
        <v/>
      </c>
      <c r="FO56" s="452" t="str">
        <f t="shared" si="73"/>
        <v/>
      </c>
      <c r="FP56" s="453" t="str">
        <f t="shared" si="71"/>
        <v/>
      </c>
      <c r="FQ56" s="451" t="str">
        <f t="shared" si="71"/>
        <v/>
      </c>
      <c r="FR56" s="452" t="str">
        <f t="shared" si="71"/>
        <v/>
      </c>
      <c r="FS56" s="452" t="str">
        <f t="shared" si="71"/>
        <v/>
      </c>
      <c r="FT56" s="452" t="str">
        <f t="shared" si="71"/>
        <v/>
      </c>
      <c r="FU56" s="453" t="str">
        <f t="shared" si="71"/>
        <v/>
      </c>
      <c r="FV56" s="451" t="str">
        <f t="shared" si="71"/>
        <v/>
      </c>
      <c r="FW56" s="452" t="str">
        <f t="shared" si="71"/>
        <v/>
      </c>
      <c r="FX56" s="452" t="str">
        <f t="shared" si="71"/>
        <v/>
      </c>
      <c r="FY56" s="452" t="str">
        <f t="shared" si="71"/>
        <v/>
      </c>
      <c r="FZ56" s="453" t="str">
        <f t="shared" si="74"/>
        <v/>
      </c>
      <c r="GA56" s="451" t="str">
        <f t="shared" si="74"/>
        <v/>
      </c>
      <c r="GB56" s="452" t="str">
        <f t="shared" si="74"/>
        <v/>
      </c>
      <c r="GC56" s="452" t="str">
        <f t="shared" si="74"/>
        <v/>
      </c>
      <c r="GD56" s="452" t="str">
        <f t="shared" si="74"/>
        <v/>
      </c>
      <c r="GE56" s="453" t="str">
        <f t="shared" si="74"/>
        <v/>
      </c>
      <c r="GF56" s="451" t="str">
        <f t="shared" si="74"/>
        <v/>
      </c>
      <c r="GG56" s="452" t="str">
        <f t="shared" si="74"/>
        <v/>
      </c>
      <c r="GH56" s="452" t="str">
        <f t="shared" si="74"/>
        <v/>
      </c>
      <c r="GI56" s="452" t="str">
        <f t="shared" si="74"/>
        <v/>
      </c>
      <c r="GJ56" s="453" t="str">
        <f t="shared" si="74"/>
        <v/>
      </c>
      <c r="GK56" s="451" t="str">
        <f t="shared" si="74"/>
        <v/>
      </c>
      <c r="GL56" s="452" t="str">
        <f t="shared" si="74"/>
        <v/>
      </c>
      <c r="GM56" s="452" t="str">
        <f t="shared" si="74"/>
        <v/>
      </c>
      <c r="GN56" s="452" t="str">
        <f t="shared" si="74"/>
        <v/>
      </c>
      <c r="GO56" s="453" t="str">
        <f t="shared" si="74"/>
        <v/>
      </c>
      <c r="GP56" s="451" t="str">
        <f t="shared" si="74"/>
        <v/>
      </c>
      <c r="GQ56" s="452" t="str">
        <f t="shared" si="69"/>
        <v/>
      </c>
      <c r="GR56" s="452" t="str">
        <f t="shared" si="69"/>
        <v/>
      </c>
      <c r="GS56" s="452" t="str">
        <f t="shared" si="69"/>
        <v/>
      </c>
      <c r="GT56" s="453" t="str">
        <f t="shared" si="69"/>
        <v/>
      </c>
      <c r="GU56" s="451" t="str">
        <f t="shared" si="69"/>
        <v/>
      </c>
      <c r="GV56" s="452" t="str">
        <f t="shared" si="69"/>
        <v/>
      </c>
      <c r="GW56" s="452" t="str">
        <f t="shared" si="69"/>
        <v/>
      </c>
      <c r="GX56" s="452" t="str">
        <f t="shared" si="69"/>
        <v/>
      </c>
      <c r="GY56" s="453" t="str">
        <f t="shared" si="69"/>
        <v/>
      </c>
      <c r="GZ56" s="451" t="str">
        <f t="shared" si="69"/>
        <v/>
      </c>
      <c r="HA56" s="452" t="str">
        <f t="shared" si="69"/>
        <v/>
      </c>
      <c r="HB56" s="452" t="str">
        <f t="shared" si="69"/>
        <v/>
      </c>
      <c r="HC56" s="452" t="str">
        <f t="shared" si="69"/>
        <v/>
      </c>
      <c r="HD56" s="453" t="str">
        <f t="shared" si="69"/>
        <v/>
      </c>
      <c r="HE56" s="451" t="str">
        <f t="shared" si="69"/>
        <v/>
      </c>
      <c r="HF56" s="452" t="str">
        <f t="shared" si="65"/>
        <v/>
      </c>
      <c r="HG56" s="452" t="str">
        <f t="shared" si="65"/>
        <v/>
      </c>
      <c r="HH56" s="452" t="str">
        <f t="shared" si="65"/>
        <v/>
      </c>
      <c r="HI56" s="453" t="str">
        <f t="shared" si="65"/>
        <v/>
      </c>
      <c r="HJ56" s="451" t="str">
        <f t="shared" si="65"/>
        <v/>
      </c>
      <c r="HK56" s="452" t="str">
        <f t="shared" si="65"/>
        <v/>
      </c>
      <c r="HL56" s="452" t="str">
        <f t="shared" si="65"/>
        <v/>
      </c>
      <c r="HM56" s="452" t="str">
        <f t="shared" si="65"/>
        <v/>
      </c>
      <c r="HN56" s="453" t="str">
        <f t="shared" si="65"/>
        <v/>
      </c>
      <c r="HO56" s="451" t="str">
        <f t="shared" si="65"/>
        <v/>
      </c>
      <c r="HP56" s="452" t="str">
        <f t="shared" si="65"/>
        <v/>
      </c>
      <c r="HQ56" s="452" t="str">
        <f t="shared" si="65"/>
        <v/>
      </c>
      <c r="HR56" s="452" t="str">
        <f t="shared" si="65"/>
        <v/>
      </c>
      <c r="HS56" s="453" t="str">
        <f t="shared" si="65"/>
        <v/>
      </c>
      <c r="HT56" s="451" t="str">
        <f t="shared" si="65"/>
        <v/>
      </c>
      <c r="HU56" s="452" t="str">
        <f t="shared" si="65"/>
        <v/>
      </c>
      <c r="HV56" s="452" t="str">
        <f t="shared" si="63"/>
        <v/>
      </c>
      <c r="HW56" s="452" t="str">
        <f t="shared" si="63"/>
        <v/>
      </c>
      <c r="HX56" s="453" t="str">
        <f t="shared" si="63"/>
        <v/>
      </c>
      <c r="HY56" s="451" t="str">
        <f t="shared" si="63"/>
        <v/>
      </c>
      <c r="HZ56" s="452" t="str">
        <f t="shared" si="63"/>
        <v/>
      </c>
      <c r="IA56" s="452" t="str">
        <f t="shared" si="66"/>
        <v/>
      </c>
      <c r="IB56" s="452" t="str">
        <f t="shared" si="66"/>
        <v/>
      </c>
      <c r="IC56" s="453" t="str">
        <f t="shared" si="66"/>
        <v/>
      </c>
      <c r="ID56" s="451" t="str">
        <f t="shared" si="66"/>
        <v/>
      </c>
      <c r="IE56" s="452" t="str">
        <f t="shared" si="66"/>
        <v/>
      </c>
      <c r="IF56" s="452" t="str">
        <f t="shared" si="66"/>
        <v/>
      </c>
      <c r="IG56" s="452" t="str">
        <f t="shared" si="66"/>
        <v/>
      </c>
      <c r="IH56" s="453" t="str">
        <f t="shared" si="66"/>
        <v/>
      </c>
      <c r="II56" s="451" t="str">
        <f t="shared" si="66"/>
        <v/>
      </c>
      <c r="IJ56" s="452" t="str">
        <f t="shared" si="66"/>
        <v/>
      </c>
      <c r="IK56" s="452" t="str">
        <f t="shared" si="66"/>
        <v/>
      </c>
      <c r="IL56" s="452" t="str">
        <f t="shared" si="66"/>
        <v/>
      </c>
      <c r="IM56" s="453" t="str">
        <f t="shared" si="66"/>
        <v/>
      </c>
      <c r="IN56" s="451" t="str">
        <f t="shared" si="66"/>
        <v/>
      </c>
      <c r="IO56" s="452" t="str">
        <f t="shared" si="66"/>
        <v/>
      </c>
      <c r="IP56" s="452" t="str">
        <f t="shared" si="66"/>
        <v/>
      </c>
      <c r="IQ56" s="452" t="str">
        <f t="shared" si="64"/>
        <v/>
      </c>
      <c r="IR56" s="453" t="str">
        <f t="shared" si="64"/>
        <v/>
      </c>
    </row>
    <row r="57" spans="1:252" x14ac:dyDescent="0.2">
      <c r="A57" s="461">
        <v>5.9</v>
      </c>
      <c r="C57" s="447" t="s">
        <v>1359</v>
      </c>
      <c r="D57" s="447"/>
      <c r="E57" s="448"/>
      <c r="F57" s="448"/>
      <c r="G57" s="448"/>
      <c r="H57" s="448"/>
      <c r="I57" s="448"/>
      <c r="J57" s="449" t="str">
        <f t="shared" si="76"/>
        <v/>
      </c>
      <c r="K57" s="449" t="str">
        <f t="shared" si="77"/>
        <v/>
      </c>
      <c r="L57" s="450">
        <f t="shared" si="0"/>
        <v>0</v>
      </c>
      <c r="M57" s="451" t="str">
        <f t="shared" si="70"/>
        <v/>
      </c>
      <c r="N57" s="452" t="str">
        <f t="shared" si="70"/>
        <v/>
      </c>
      <c r="O57" s="452" t="str">
        <f t="shared" si="70"/>
        <v/>
      </c>
      <c r="P57" s="452" t="str">
        <f t="shared" si="70"/>
        <v/>
      </c>
      <c r="Q57" s="453" t="str">
        <f t="shared" si="70"/>
        <v/>
      </c>
      <c r="R57" s="451" t="str">
        <f t="shared" si="70"/>
        <v/>
      </c>
      <c r="S57" s="452" t="str">
        <f t="shared" si="70"/>
        <v/>
      </c>
      <c r="T57" s="452" t="str">
        <f t="shared" si="70"/>
        <v/>
      </c>
      <c r="U57" s="452" t="str">
        <f t="shared" si="70"/>
        <v/>
      </c>
      <c r="V57" s="453" t="str">
        <f t="shared" si="70"/>
        <v/>
      </c>
      <c r="W57" s="451" t="str">
        <f t="shared" si="70"/>
        <v/>
      </c>
      <c r="X57" s="452" t="str">
        <f t="shared" si="70"/>
        <v/>
      </c>
      <c r="Y57" s="452" t="str">
        <f t="shared" si="70"/>
        <v/>
      </c>
      <c r="Z57" s="452" t="str">
        <f t="shared" si="70"/>
        <v/>
      </c>
      <c r="AA57" s="453" t="str">
        <f t="shared" si="70"/>
        <v/>
      </c>
      <c r="AB57" s="451" t="str">
        <f t="shared" si="70"/>
        <v/>
      </c>
      <c r="AC57" s="452" t="str">
        <f t="shared" si="75"/>
        <v/>
      </c>
      <c r="AD57" s="452" t="str">
        <f t="shared" si="75"/>
        <v/>
      </c>
      <c r="AE57" s="452" t="str">
        <f t="shared" si="75"/>
        <v/>
      </c>
      <c r="AF57" s="453" t="str">
        <f t="shared" si="75"/>
        <v/>
      </c>
      <c r="AG57" s="451" t="str">
        <f t="shared" si="75"/>
        <v/>
      </c>
      <c r="AH57" s="452" t="str">
        <f t="shared" si="75"/>
        <v/>
      </c>
      <c r="AI57" s="452" t="str">
        <f t="shared" si="75"/>
        <v/>
      </c>
      <c r="AJ57" s="452" t="str">
        <f t="shared" si="75"/>
        <v/>
      </c>
      <c r="AK57" s="453" t="str">
        <f t="shared" si="75"/>
        <v/>
      </c>
      <c r="AL57" s="451" t="str">
        <f t="shared" si="75"/>
        <v/>
      </c>
      <c r="AM57" s="452" t="str">
        <f t="shared" si="75"/>
        <v/>
      </c>
      <c r="AN57" s="452" t="str">
        <f t="shared" si="75"/>
        <v/>
      </c>
      <c r="AO57" s="452" t="str">
        <f t="shared" si="75"/>
        <v/>
      </c>
      <c r="AP57" s="453" t="str">
        <f t="shared" si="75"/>
        <v/>
      </c>
      <c r="AQ57" s="451" t="str">
        <f t="shared" si="75"/>
        <v/>
      </c>
      <c r="AR57" s="452" t="str">
        <f t="shared" si="75"/>
        <v/>
      </c>
      <c r="AS57" s="452" t="str">
        <f t="shared" si="78"/>
        <v/>
      </c>
      <c r="AT57" s="452" t="str">
        <f t="shared" si="78"/>
        <v/>
      </c>
      <c r="AU57" s="453" t="str">
        <f t="shared" si="78"/>
        <v/>
      </c>
      <c r="AV57" s="451" t="str">
        <f t="shared" si="78"/>
        <v/>
      </c>
      <c r="AW57" s="452" t="str">
        <f t="shared" si="78"/>
        <v/>
      </c>
      <c r="AX57" s="452" t="str">
        <f t="shared" si="78"/>
        <v/>
      </c>
      <c r="AY57" s="452" t="str">
        <f t="shared" si="78"/>
        <v/>
      </c>
      <c r="AZ57" s="453" t="str">
        <f t="shared" si="78"/>
        <v/>
      </c>
      <c r="BA57" s="451" t="str">
        <f t="shared" si="78"/>
        <v/>
      </c>
      <c r="BB57" s="452" t="str">
        <f t="shared" si="78"/>
        <v/>
      </c>
      <c r="BC57" s="452" t="str">
        <f t="shared" si="78"/>
        <v/>
      </c>
      <c r="BD57" s="452" t="str">
        <f t="shared" si="78"/>
        <v/>
      </c>
      <c r="BE57" s="453" t="str">
        <f t="shared" si="78"/>
        <v/>
      </c>
      <c r="BF57" s="451" t="str">
        <f t="shared" si="78"/>
        <v/>
      </c>
      <c r="BG57" s="452" t="str">
        <f t="shared" si="53"/>
        <v/>
      </c>
      <c r="BH57" s="452" t="str">
        <f t="shared" si="53"/>
        <v/>
      </c>
      <c r="BI57" s="452" t="str">
        <f t="shared" si="53"/>
        <v/>
      </c>
      <c r="BJ57" s="453" t="str">
        <f t="shared" si="53"/>
        <v/>
      </c>
      <c r="BK57" s="451" t="str">
        <f t="shared" si="53"/>
        <v/>
      </c>
      <c r="BL57" s="452" t="str">
        <f t="shared" si="53"/>
        <v/>
      </c>
      <c r="BM57" s="452" t="str">
        <f t="shared" si="53"/>
        <v/>
      </c>
      <c r="BN57" s="452" t="str">
        <f t="shared" si="53"/>
        <v/>
      </c>
      <c r="BO57" s="453" t="str">
        <f t="shared" si="53"/>
        <v/>
      </c>
      <c r="BP57" s="451" t="str">
        <f t="shared" si="53"/>
        <v/>
      </c>
      <c r="BQ57" s="452" t="str">
        <f t="shared" si="53"/>
        <v/>
      </c>
      <c r="BR57" s="452" t="str">
        <f t="shared" si="53"/>
        <v/>
      </c>
      <c r="BS57" s="452" t="str">
        <f t="shared" si="53"/>
        <v/>
      </c>
      <c r="BT57" s="453" t="str">
        <f t="shared" si="53"/>
        <v/>
      </c>
      <c r="BU57" s="451" t="str">
        <f t="shared" si="53"/>
        <v/>
      </c>
      <c r="BV57" s="452" t="str">
        <f t="shared" si="53"/>
        <v/>
      </c>
      <c r="BW57" s="452" t="str">
        <f t="shared" si="50"/>
        <v/>
      </c>
      <c r="BX57" s="452" t="str">
        <f t="shared" si="50"/>
        <v/>
      </c>
      <c r="BY57" s="453" t="str">
        <f t="shared" si="81"/>
        <v/>
      </c>
      <c r="BZ57" s="451" t="str">
        <f t="shared" si="81"/>
        <v/>
      </c>
      <c r="CA57" s="452" t="str">
        <f t="shared" si="81"/>
        <v/>
      </c>
      <c r="CB57" s="452" t="str">
        <f t="shared" si="81"/>
        <v/>
      </c>
      <c r="CC57" s="452" t="str">
        <f t="shared" si="81"/>
        <v/>
      </c>
      <c r="CD57" s="453" t="str">
        <f t="shared" si="81"/>
        <v/>
      </c>
      <c r="CE57" s="451" t="str">
        <f t="shared" si="81"/>
        <v/>
      </c>
      <c r="CF57" s="452" t="str">
        <f t="shared" si="81"/>
        <v/>
      </c>
      <c r="CG57" s="452" t="str">
        <f t="shared" si="81"/>
        <v/>
      </c>
      <c r="CH57" s="452" t="str">
        <f t="shared" si="81"/>
        <v/>
      </c>
      <c r="CI57" s="453" t="str">
        <f t="shared" si="81"/>
        <v/>
      </c>
      <c r="CJ57" s="451" t="str">
        <f t="shared" si="81"/>
        <v/>
      </c>
      <c r="CK57" s="452" t="str">
        <f t="shared" si="81"/>
        <v/>
      </c>
      <c r="CL57" s="452" t="str">
        <f t="shared" si="81"/>
        <v/>
      </c>
      <c r="CM57" s="452" t="str">
        <f t="shared" si="80"/>
        <v/>
      </c>
      <c r="CN57" s="453" t="str">
        <f t="shared" si="80"/>
        <v/>
      </c>
      <c r="CO57" s="451" t="str">
        <f t="shared" si="80"/>
        <v/>
      </c>
      <c r="CP57" s="452" t="str">
        <f t="shared" si="80"/>
        <v/>
      </c>
      <c r="CQ57" s="452" t="str">
        <f t="shared" si="80"/>
        <v/>
      </c>
      <c r="CR57" s="452" t="str">
        <f t="shared" si="80"/>
        <v/>
      </c>
      <c r="CS57" s="453" t="str">
        <f t="shared" si="80"/>
        <v/>
      </c>
      <c r="CT57" s="451" t="str">
        <f t="shared" si="80"/>
        <v/>
      </c>
      <c r="CU57" s="452" t="str">
        <f t="shared" si="80"/>
        <v/>
      </c>
      <c r="CV57" s="452" t="str">
        <f t="shared" si="80"/>
        <v/>
      </c>
      <c r="CW57" s="452" t="str">
        <f t="shared" si="79"/>
        <v/>
      </c>
      <c r="CX57" s="453" t="str">
        <f t="shared" si="79"/>
        <v/>
      </c>
      <c r="CY57" s="451" t="str">
        <f t="shared" si="79"/>
        <v/>
      </c>
      <c r="CZ57" s="452" t="str">
        <f t="shared" si="55"/>
        <v/>
      </c>
      <c r="DA57" s="452" t="str">
        <f t="shared" si="55"/>
        <v/>
      </c>
      <c r="DB57" s="452" t="str">
        <f t="shared" si="55"/>
        <v/>
      </c>
      <c r="DC57" s="453" t="str">
        <f t="shared" si="55"/>
        <v/>
      </c>
      <c r="DD57" s="451" t="str">
        <f t="shared" si="55"/>
        <v/>
      </c>
      <c r="DE57" s="452" t="str">
        <f t="shared" ref="DE57:DT81" si="84">IF(AND(DE$2&gt;=$J57,DE$2&lt;=$K57),1,"")</f>
        <v/>
      </c>
      <c r="DF57" s="452" t="str">
        <f t="shared" si="84"/>
        <v/>
      </c>
      <c r="DG57" s="452" t="str">
        <f t="shared" si="84"/>
        <v/>
      </c>
      <c r="DH57" s="453" t="str">
        <f t="shared" si="84"/>
        <v/>
      </c>
      <c r="DI57" s="451" t="str">
        <f t="shared" si="84"/>
        <v/>
      </c>
      <c r="DJ57" s="452" t="str">
        <f t="shared" si="84"/>
        <v/>
      </c>
      <c r="DK57" s="452" t="str">
        <f t="shared" si="84"/>
        <v/>
      </c>
      <c r="DL57" s="452" t="str">
        <f t="shared" si="84"/>
        <v/>
      </c>
      <c r="DM57" s="453" t="str">
        <f t="shared" si="84"/>
        <v/>
      </c>
      <c r="DN57" s="451" t="str">
        <f t="shared" si="84"/>
        <v/>
      </c>
      <c r="DO57" s="452" t="str">
        <f t="shared" si="84"/>
        <v/>
      </c>
      <c r="DP57" s="452" t="str">
        <f t="shared" si="83"/>
        <v/>
      </c>
      <c r="DQ57" s="452" t="str">
        <f t="shared" si="83"/>
        <v/>
      </c>
      <c r="DR57" s="453" t="str">
        <f t="shared" si="83"/>
        <v/>
      </c>
      <c r="DS57" s="451" t="str">
        <f t="shared" si="83"/>
        <v/>
      </c>
      <c r="DT57" s="452" t="str">
        <f t="shared" si="83"/>
        <v/>
      </c>
      <c r="DU57" s="452" t="str">
        <f t="shared" si="83"/>
        <v/>
      </c>
      <c r="DV57" s="452" t="str">
        <f t="shared" si="83"/>
        <v/>
      </c>
      <c r="DW57" s="453" t="str">
        <f t="shared" si="83"/>
        <v/>
      </c>
      <c r="DX57" s="451" t="str">
        <f t="shared" si="83"/>
        <v/>
      </c>
      <c r="DY57" s="452" t="str">
        <f t="shared" si="83"/>
        <v/>
      </c>
      <c r="DZ57" s="452" t="str">
        <f t="shared" si="83"/>
        <v/>
      </c>
      <c r="EA57" s="452" t="str">
        <f t="shared" si="83"/>
        <v/>
      </c>
      <c r="EB57" s="453" t="str">
        <f t="shared" si="83"/>
        <v/>
      </c>
      <c r="EC57" s="451" t="str">
        <f t="shared" si="82"/>
        <v/>
      </c>
      <c r="ED57" s="452" t="str">
        <f t="shared" si="82"/>
        <v/>
      </c>
      <c r="EE57" s="452" t="str">
        <f t="shared" si="82"/>
        <v/>
      </c>
      <c r="EF57" s="452" t="str">
        <f t="shared" si="82"/>
        <v/>
      </c>
      <c r="EG57" s="453" t="str">
        <f t="shared" si="82"/>
        <v/>
      </c>
      <c r="EH57" s="451" t="str">
        <f t="shared" si="82"/>
        <v/>
      </c>
      <c r="EI57" s="452" t="str">
        <f t="shared" si="82"/>
        <v/>
      </c>
      <c r="EJ57" s="452" t="str">
        <f t="shared" si="82"/>
        <v/>
      </c>
      <c r="EK57" s="452" t="str">
        <f t="shared" si="67"/>
        <v/>
      </c>
      <c r="EL57" s="453" t="str">
        <f t="shared" si="67"/>
        <v/>
      </c>
      <c r="EM57" s="451" t="str">
        <f t="shared" si="67"/>
        <v/>
      </c>
      <c r="EN57" s="452" t="str">
        <f t="shared" si="67"/>
        <v/>
      </c>
      <c r="EO57" s="452" t="str">
        <f t="shared" si="67"/>
        <v/>
      </c>
      <c r="EP57" s="452" t="str">
        <f t="shared" si="67"/>
        <v/>
      </c>
      <c r="EQ57" s="453" t="str">
        <f t="shared" si="67"/>
        <v/>
      </c>
      <c r="ER57" s="451" t="str">
        <f t="shared" si="67"/>
        <v/>
      </c>
      <c r="ES57" s="452" t="str">
        <f t="shared" si="67"/>
        <v/>
      </c>
      <c r="ET57" s="452" t="str">
        <f t="shared" si="67"/>
        <v/>
      </c>
      <c r="EU57" s="452" t="str">
        <f t="shared" si="67"/>
        <v/>
      </c>
      <c r="EV57" s="453" t="str">
        <f t="shared" si="67"/>
        <v/>
      </c>
      <c r="EW57" s="451" t="str">
        <f t="shared" si="67"/>
        <v/>
      </c>
      <c r="EX57" s="452" t="str">
        <f t="shared" si="67"/>
        <v/>
      </c>
      <c r="EY57" s="452" t="str">
        <f t="shared" si="67"/>
        <v/>
      </c>
      <c r="EZ57" s="452" t="str">
        <f t="shared" si="73"/>
        <v/>
      </c>
      <c r="FA57" s="453" t="str">
        <f t="shared" si="73"/>
        <v/>
      </c>
      <c r="FB57" s="451" t="str">
        <f t="shared" si="73"/>
        <v/>
      </c>
      <c r="FC57" s="452" t="str">
        <f t="shared" si="73"/>
        <v/>
      </c>
      <c r="FD57" s="452" t="str">
        <f t="shared" si="73"/>
        <v/>
      </c>
      <c r="FE57" s="452" t="str">
        <f t="shared" si="73"/>
        <v/>
      </c>
      <c r="FF57" s="453" t="str">
        <f t="shared" si="73"/>
        <v/>
      </c>
      <c r="FG57" s="451" t="str">
        <f t="shared" si="73"/>
        <v/>
      </c>
      <c r="FH57" s="452" t="str">
        <f t="shared" si="73"/>
        <v/>
      </c>
      <c r="FI57" s="452" t="str">
        <f t="shared" si="73"/>
        <v/>
      </c>
      <c r="FJ57" s="452" t="str">
        <f t="shared" si="73"/>
        <v/>
      </c>
      <c r="FK57" s="453" t="str">
        <f t="shared" si="73"/>
        <v/>
      </c>
      <c r="FL57" s="451" t="str">
        <f t="shared" si="73"/>
        <v/>
      </c>
      <c r="FM57" s="452" t="str">
        <f t="shared" si="73"/>
        <v/>
      </c>
      <c r="FN57" s="452" t="str">
        <f t="shared" si="73"/>
        <v/>
      </c>
      <c r="FO57" s="452" t="str">
        <f t="shared" si="73"/>
        <v/>
      </c>
      <c r="FP57" s="453" t="str">
        <f t="shared" si="71"/>
        <v/>
      </c>
      <c r="FQ57" s="451" t="str">
        <f t="shared" si="71"/>
        <v/>
      </c>
      <c r="FR57" s="452" t="str">
        <f t="shared" si="71"/>
        <v/>
      </c>
      <c r="FS57" s="452" t="str">
        <f t="shared" si="71"/>
        <v/>
      </c>
      <c r="FT57" s="452" t="str">
        <f t="shared" si="71"/>
        <v/>
      </c>
      <c r="FU57" s="453" t="str">
        <f t="shared" si="71"/>
        <v/>
      </c>
      <c r="FV57" s="451" t="str">
        <f t="shared" si="71"/>
        <v/>
      </c>
      <c r="FW57" s="452" t="str">
        <f t="shared" si="71"/>
        <v/>
      </c>
      <c r="FX57" s="452" t="str">
        <f t="shared" si="71"/>
        <v/>
      </c>
      <c r="FY57" s="452" t="str">
        <f t="shared" si="71"/>
        <v/>
      </c>
      <c r="FZ57" s="453" t="str">
        <f t="shared" si="74"/>
        <v/>
      </c>
      <c r="GA57" s="451" t="str">
        <f t="shared" si="74"/>
        <v/>
      </c>
      <c r="GB57" s="452" t="str">
        <f t="shared" si="74"/>
        <v/>
      </c>
      <c r="GC57" s="452" t="str">
        <f t="shared" si="74"/>
        <v/>
      </c>
      <c r="GD57" s="452" t="str">
        <f t="shared" si="74"/>
        <v/>
      </c>
      <c r="GE57" s="453" t="str">
        <f t="shared" si="74"/>
        <v/>
      </c>
      <c r="GF57" s="451" t="str">
        <f t="shared" si="74"/>
        <v/>
      </c>
      <c r="GG57" s="452" t="str">
        <f t="shared" si="74"/>
        <v/>
      </c>
      <c r="GH57" s="452" t="str">
        <f t="shared" si="74"/>
        <v/>
      </c>
      <c r="GI57" s="452" t="str">
        <f t="shared" si="74"/>
        <v/>
      </c>
      <c r="GJ57" s="453" t="str">
        <f t="shared" si="74"/>
        <v/>
      </c>
      <c r="GK57" s="451" t="str">
        <f t="shared" si="74"/>
        <v/>
      </c>
      <c r="GL57" s="452" t="str">
        <f t="shared" si="74"/>
        <v/>
      </c>
      <c r="GM57" s="452" t="str">
        <f t="shared" si="74"/>
        <v/>
      </c>
      <c r="GN57" s="452" t="str">
        <f t="shared" si="74"/>
        <v/>
      </c>
      <c r="GO57" s="453" t="str">
        <f t="shared" si="74"/>
        <v/>
      </c>
      <c r="GP57" s="451" t="str">
        <f t="shared" si="74"/>
        <v/>
      </c>
      <c r="GQ57" s="452" t="str">
        <f t="shared" si="69"/>
        <v/>
      </c>
      <c r="GR57" s="452" t="str">
        <f t="shared" si="69"/>
        <v/>
      </c>
      <c r="GS57" s="452" t="str">
        <f t="shared" si="69"/>
        <v/>
      </c>
      <c r="GT57" s="453" t="str">
        <f t="shared" si="69"/>
        <v/>
      </c>
      <c r="GU57" s="451" t="str">
        <f t="shared" si="69"/>
        <v/>
      </c>
      <c r="GV57" s="452" t="str">
        <f t="shared" si="69"/>
        <v/>
      </c>
      <c r="GW57" s="452" t="str">
        <f t="shared" si="69"/>
        <v/>
      </c>
      <c r="GX57" s="452" t="str">
        <f t="shared" si="69"/>
        <v/>
      </c>
      <c r="GY57" s="453" t="str">
        <f t="shared" si="69"/>
        <v/>
      </c>
      <c r="GZ57" s="451" t="str">
        <f t="shared" si="69"/>
        <v/>
      </c>
      <c r="HA57" s="452" t="str">
        <f t="shared" si="69"/>
        <v/>
      </c>
      <c r="HB57" s="452" t="str">
        <f t="shared" si="69"/>
        <v/>
      </c>
      <c r="HC57" s="452" t="str">
        <f t="shared" si="69"/>
        <v/>
      </c>
      <c r="HD57" s="453" t="str">
        <f t="shared" si="69"/>
        <v/>
      </c>
      <c r="HE57" s="451" t="str">
        <f t="shared" si="69"/>
        <v/>
      </c>
      <c r="HF57" s="452" t="str">
        <f t="shared" si="65"/>
        <v/>
      </c>
      <c r="HG57" s="452" t="str">
        <f t="shared" si="65"/>
        <v/>
      </c>
      <c r="HH57" s="452" t="str">
        <f t="shared" si="65"/>
        <v/>
      </c>
      <c r="HI57" s="453" t="str">
        <f t="shared" si="65"/>
        <v/>
      </c>
      <c r="HJ57" s="451" t="str">
        <f t="shared" si="65"/>
        <v/>
      </c>
      <c r="HK57" s="452" t="str">
        <f t="shared" si="65"/>
        <v/>
      </c>
      <c r="HL57" s="452" t="str">
        <f t="shared" si="65"/>
        <v/>
      </c>
      <c r="HM57" s="452" t="str">
        <f t="shared" si="65"/>
        <v/>
      </c>
      <c r="HN57" s="453" t="str">
        <f t="shared" si="65"/>
        <v/>
      </c>
      <c r="HO57" s="451" t="str">
        <f t="shared" si="65"/>
        <v/>
      </c>
      <c r="HP57" s="452" t="str">
        <f t="shared" si="65"/>
        <v/>
      </c>
      <c r="HQ57" s="452" t="str">
        <f t="shared" si="65"/>
        <v/>
      </c>
      <c r="HR57" s="452" t="str">
        <f t="shared" si="65"/>
        <v/>
      </c>
      <c r="HS57" s="453" t="str">
        <f t="shared" si="65"/>
        <v/>
      </c>
      <c r="HT57" s="451" t="str">
        <f t="shared" si="65"/>
        <v/>
      </c>
      <c r="HU57" s="452" t="str">
        <f t="shared" si="65"/>
        <v/>
      </c>
      <c r="HV57" s="452" t="str">
        <f t="shared" si="63"/>
        <v/>
      </c>
      <c r="HW57" s="452" t="str">
        <f t="shared" si="63"/>
        <v/>
      </c>
      <c r="HX57" s="453" t="str">
        <f t="shared" si="63"/>
        <v/>
      </c>
      <c r="HY57" s="451" t="str">
        <f t="shared" si="63"/>
        <v/>
      </c>
      <c r="HZ57" s="452" t="str">
        <f t="shared" si="63"/>
        <v/>
      </c>
      <c r="IA57" s="452" t="str">
        <f t="shared" si="66"/>
        <v/>
      </c>
      <c r="IB57" s="452" t="str">
        <f t="shared" si="66"/>
        <v/>
      </c>
      <c r="IC57" s="453" t="str">
        <f t="shared" si="66"/>
        <v/>
      </c>
      <c r="ID57" s="451" t="str">
        <f t="shared" si="66"/>
        <v/>
      </c>
      <c r="IE57" s="452" t="str">
        <f t="shared" si="66"/>
        <v/>
      </c>
      <c r="IF57" s="452" t="str">
        <f t="shared" si="66"/>
        <v/>
      </c>
      <c r="IG57" s="452" t="str">
        <f t="shared" si="66"/>
        <v/>
      </c>
      <c r="IH57" s="453" t="str">
        <f t="shared" si="66"/>
        <v/>
      </c>
      <c r="II57" s="451" t="str">
        <f t="shared" si="66"/>
        <v/>
      </c>
      <c r="IJ57" s="452" t="str">
        <f t="shared" si="66"/>
        <v/>
      </c>
      <c r="IK57" s="452" t="str">
        <f t="shared" si="64"/>
        <v/>
      </c>
      <c r="IL57" s="452" t="str">
        <f t="shared" si="64"/>
        <v/>
      </c>
      <c r="IM57" s="453" t="str">
        <f t="shared" si="64"/>
        <v/>
      </c>
      <c r="IN57" s="451" t="str">
        <f t="shared" si="64"/>
        <v/>
      </c>
      <c r="IO57" s="452" t="str">
        <f t="shared" si="64"/>
        <v/>
      </c>
      <c r="IP57" s="452" t="str">
        <f t="shared" si="64"/>
        <v/>
      </c>
      <c r="IQ57" s="452" t="str">
        <f t="shared" si="64"/>
        <v/>
      </c>
      <c r="IR57" s="453" t="str">
        <f t="shared" si="64"/>
        <v/>
      </c>
    </row>
    <row r="58" spans="1:252" x14ac:dyDescent="0.2">
      <c r="A58" s="454">
        <v>5.0999999999999996</v>
      </c>
      <c r="C58" s="447" t="s">
        <v>1360</v>
      </c>
      <c r="D58" s="447"/>
      <c r="E58" s="448"/>
      <c r="F58" s="448"/>
      <c r="G58" s="448"/>
      <c r="H58" s="448"/>
      <c r="I58" s="448"/>
      <c r="J58" s="449" t="str">
        <f t="shared" si="76"/>
        <v/>
      </c>
      <c r="K58" s="449" t="str">
        <f t="shared" si="77"/>
        <v/>
      </c>
      <c r="L58" s="450">
        <f t="shared" si="0"/>
        <v>0</v>
      </c>
      <c r="M58" s="451" t="str">
        <f t="shared" si="70"/>
        <v/>
      </c>
      <c r="N58" s="452" t="str">
        <f t="shared" si="70"/>
        <v/>
      </c>
      <c r="O58" s="452" t="str">
        <f t="shared" si="70"/>
        <v/>
      </c>
      <c r="P58" s="452" t="str">
        <f t="shared" si="70"/>
        <v/>
      </c>
      <c r="Q58" s="453" t="str">
        <f t="shared" si="70"/>
        <v/>
      </c>
      <c r="R58" s="451" t="str">
        <f t="shared" si="70"/>
        <v/>
      </c>
      <c r="S58" s="452" t="str">
        <f t="shared" si="70"/>
        <v/>
      </c>
      <c r="T58" s="452" t="str">
        <f t="shared" si="70"/>
        <v/>
      </c>
      <c r="U58" s="452" t="str">
        <f t="shared" si="70"/>
        <v/>
      </c>
      <c r="V58" s="453" t="str">
        <f t="shared" si="70"/>
        <v/>
      </c>
      <c r="W58" s="451" t="str">
        <f t="shared" si="70"/>
        <v/>
      </c>
      <c r="X58" s="452" t="str">
        <f t="shared" si="70"/>
        <v/>
      </c>
      <c r="Y58" s="452" t="str">
        <f t="shared" si="70"/>
        <v/>
      </c>
      <c r="Z58" s="452" t="str">
        <f t="shared" si="70"/>
        <v/>
      </c>
      <c r="AA58" s="453" t="str">
        <f t="shared" si="70"/>
        <v/>
      </c>
      <c r="AB58" s="451" t="str">
        <f t="shared" si="70"/>
        <v/>
      </c>
      <c r="AC58" s="452" t="str">
        <f t="shared" si="75"/>
        <v/>
      </c>
      <c r="AD58" s="452" t="str">
        <f t="shared" si="75"/>
        <v/>
      </c>
      <c r="AE58" s="452" t="str">
        <f t="shared" si="75"/>
        <v/>
      </c>
      <c r="AF58" s="453" t="str">
        <f t="shared" si="75"/>
        <v/>
      </c>
      <c r="AG58" s="451" t="str">
        <f t="shared" si="75"/>
        <v/>
      </c>
      <c r="AH58" s="452" t="str">
        <f t="shared" si="75"/>
        <v/>
      </c>
      <c r="AI58" s="452" t="str">
        <f t="shared" si="75"/>
        <v/>
      </c>
      <c r="AJ58" s="452" t="str">
        <f t="shared" si="75"/>
        <v/>
      </c>
      <c r="AK58" s="453" t="str">
        <f t="shared" si="75"/>
        <v/>
      </c>
      <c r="AL58" s="451" t="str">
        <f t="shared" si="75"/>
        <v/>
      </c>
      <c r="AM58" s="452" t="str">
        <f t="shared" si="75"/>
        <v/>
      </c>
      <c r="AN58" s="452" t="str">
        <f t="shared" si="75"/>
        <v/>
      </c>
      <c r="AO58" s="452" t="str">
        <f t="shared" si="75"/>
        <v/>
      </c>
      <c r="AP58" s="453" t="str">
        <f t="shared" si="75"/>
        <v/>
      </c>
      <c r="AQ58" s="451" t="str">
        <f t="shared" si="75"/>
        <v/>
      </c>
      <c r="AR58" s="452" t="str">
        <f t="shared" si="75"/>
        <v/>
      </c>
      <c r="AS58" s="452" t="str">
        <f t="shared" si="78"/>
        <v/>
      </c>
      <c r="AT58" s="452" t="str">
        <f t="shared" si="78"/>
        <v/>
      </c>
      <c r="AU58" s="453" t="str">
        <f t="shared" si="78"/>
        <v/>
      </c>
      <c r="AV58" s="451" t="str">
        <f t="shared" si="78"/>
        <v/>
      </c>
      <c r="AW58" s="452" t="str">
        <f t="shared" si="78"/>
        <v/>
      </c>
      <c r="AX58" s="452" t="str">
        <f t="shared" si="78"/>
        <v/>
      </c>
      <c r="AY58" s="452" t="str">
        <f t="shared" si="78"/>
        <v/>
      </c>
      <c r="AZ58" s="453" t="str">
        <f t="shared" si="78"/>
        <v/>
      </c>
      <c r="BA58" s="451" t="str">
        <f t="shared" si="78"/>
        <v/>
      </c>
      <c r="BB58" s="452" t="str">
        <f t="shared" si="78"/>
        <v/>
      </c>
      <c r="BC58" s="452" t="str">
        <f t="shared" si="78"/>
        <v/>
      </c>
      <c r="BD58" s="452" t="str">
        <f t="shared" si="78"/>
        <v/>
      </c>
      <c r="BE58" s="453" t="str">
        <f t="shared" si="78"/>
        <v/>
      </c>
      <c r="BF58" s="451" t="str">
        <f t="shared" si="78"/>
        <v/>
      </c>
      <c r="BG58" s="452" t="str">
        <f t="shared" si="78"/>
        <v/>
      </c>
      <c r="BH58" s="452" t="str">
        <f t="shared" si="78"/>
        <v/>
      </c>
      <c r="BI58" s="452" t="str">
        <f t="shared" si="53"/>
        <v/>
      </c>
      <c r="BJ58" s="453" t="str">
        <f t="shared" si="53"/>
        <v/>
      </c>
      <c r="BK58" s="451" t="str">
        <f t="shared" si="53"/>
        <v/>
      </c>
      <c r="BL58" s="452" t="str">
        <f t="shared" si="53"/>
        <v/>
      </c>
      <c r="BM58" s="452" t="str">
        <f t="shared" si="53"/>
        <v/>
      </c>
      <c r="BN58" s="452" t="str">
        <f t="shared" si="53"/>
        <v/>
      </c>
      <c r="BO58" s="453" t="str">
        <f t="shared" si="53"/>
        <v/>
      </c>
      <c r="BP58" s="451" t="str">
        <f t="shared" si="53"/>
        <v/>
      </c>
      <c r="BQ58" s="452" t="str">
        <f t="shared" si="53"/>
        <v/>
      </c>
      <c r="BR58" s="452" t="str">
        <f t="shared" si="53"/>
        <v/>
      </c>
      <c r="BS58" s="452" t="str">
        <f t="shared" si="53"/>
        <v/>
      </c>
      <c r="BT58" s="453" t="str">
        <f t="shared" si="53"/>
        <v/>
      </c>
      <c r="BU58" s="451" t="str">
        <f t="shared" si="53"/>
        <v/>
      </c>
      <c r="BV58" s="452" t="str">
        <f t="shared" si="53"/>
        <v/>
      </c>
      <c r="BW58" s="452" t="str">
        <f t="shared" si="50"/>
        <v/>
      </c>
      <c r="BX58" s="452" t="str">
        <f t="shared" si="50"/>
        <v/>
      </c>
      <c r="BY58" s="453" t="str">
        <f t="shared" si="81"/>
        <v/>
      </c>
      <c r="BZ58" s="451" t="str">
        <f t="shared" si="81"/>
        <v/>
      </c>
      <c r="CA58" s="452" t="str">
        <f t="shared" si="81"/>
        <v/>
      </c>
      <c r="CB58" s="452" t="str">
        <f t="shared" si="81"/>
        <v/>
      </c>
      <c r="CC58" s="452" t="str">
        <f t="shared" si="81"/>
        <v/>
      </c>
      <c r="CD58" s="453" t="str">
        <f t="shared" si="81"/>
        <v/>
      </c>
      <c r="CE58" s="451" t="str">
        <f t="shared" si="81"/>
        <v/>
      </c>
      <c r="CF58" s="452" t="str">
        <f t="shared" si="81"/>
        <v/>
      </c>
      <c r="CG58" s="452" t="str">
        <f t="shared" si="81"/>
        <v/>
      </c>
      <c r="CH58" s="452" t="str">
        <f t="shared" si="81"/>
        <v/>
      </c>
      <c r="CI58" s="453" t="str">
        <f t="shared" si="81"/>
        <v/>
      </c>
      <c r="CJ58" s="451" t="str">
        <f t="shared" si="80"/>
        <v/>
      </c>
      <c r="CK58" s="452" t="str">
        <f t="shared" si="80"/>
        <v/>
      </c>
      <c r="CL58" s="452" t="str">
        <f t="shared" si="80"/>
        <v/>
      </c>
      <c r="CM58" s="452" t="str">
        <f t="shared" si="80"/>
        <v/>
      </c>
      <c r="CN58" s="453" t="str">
        <f t="shared" si="80"/>
        <v/>
      </c>
      <c r="CO58" s="451" t="str">
        <f t="shared" si="80"/>
        <v/>
      </c>
      <c r="CP58" s="452" t="str">
        <f t="shared" si="80"/>
        <v/>
      </c>
      <c r="CQ58" s="452" t="str">
        <f t="shared" si="80"/>
        <v/>
      </c>
      <c r="CR58" s="452" t="str">
        <f t="shared" si="80"/>
        <v/>
      </c>
      <c r="CS58" s="453" t="str">
        <f t="shared" si="80"/>
        <v/>
      </c>
      <c r="CT58" s="451" t="str">
        <f t="shared" si="80"/>
        <v/>
      </c>
      <c r="CU58" s="452" t="str">
        <f t="shared" si="80"/>
        <v/>
      </c>
      <c r="CV58" s="452" t="str">
        <f t="shared" si="80"/>
        <v/>
      </c>
      <c r="CW58" s="452" t="str">
        <f t="shared" si="79"/>
        <v/>
      </c>
      <c r="CX58" s="453" t="str">
        <f t="shared" si="79"/>
        <v/>
      </c>
      <c r="CY58" s="451" t="str">
        <f t="shared" si="79"/>
        <v/>
      </c>
      <c r="CZ58" s="452" t="str">
        <f t="shared" si="55"/>
        <v/>
      </c>
      <c r="DA58" s="452" t="str">
        <f t="shared" si="55"/>
        <v/>
      </c>
      <c r="DB58" s="452" t="str">
        <f t="shared" si="55"/>
        <v/>
      </c>
      <c r="DC58" s="453" t="str">
        <f t="shared" si="55"/>
        <v/>
      </c>
      <c r="DD58" s="451" t="str">
        <f t="shared" si="55"/>
        <v/>
      </c>
      <c r="DE58" s="452" t="str">
        <f t="shared" si="84"/>
        <v/>
      </c>
      <c r="DF58" s="452" t="str">
        <f t="shared" si="84"/>
        <v/>
      </c>
      <c r="DG58" s="452" t="str">
        <f t="shared" si="84"/>
        <v/>
      </c>
      <c r="DH58" s="453" t="str">
        <f t="shared" si="84"/>
        <v/>
      </c>
      <c r="DI58" s="451" t="str">
        <f t="shared" si="84"/>
        <v/>
      </c>
      <c r="DJ58" s="452" t="str">
        <f t="shared" si="84"/>
        <v/>
      </c>
      <c r="DK58" s="452" t="str">
        <f t="shared" si="84"/>
        <v/>
      </c>
      <c r="DL58" s="452" t="str">
        <f t="shared" si="84"/>
        <v/>
      </c>
      <c r="DM58" s="453" t="str">
        <f t="shared" si="84"/>
        <v/>
      </c>
      <c r="DN58" s="451" t="str">
        <f t="shared" si="84"/>
        <v/>
      </c>
      <c r="DO58" s="452" t="str">
        <f t="shared" si="84"/>
        <v/>
      </c>
      <c r="DP58" s="452" t="str">
        <f t="shared" si="83"/>
        <v/>
      </c>
      <c r="DQ58" s="452" t="str">
        <f t="shared" si="83"/>
        <v/>
      </c>
      <c r="DR58" s="453" t="str">
        <f t="shared" si="83"/>
        <v/>
      </c>
      <c r="DS58" s="451" t="str">
        <f t="shared" si="83"/>
        <v/>
      </c>
      <c r="DT58" s="452" t="str">
        <f t="shared" si="83"/>
        <v/>
      </c>
      <c r="DU58" s="452" t="str">
        <f t="shared" si="83"/>
        <v/>
      </c>
      <c r="DV58" s="452" t="str">
        <f t="shared" si="83"/>
        <v/>
      </c>
      <c r="DW58" s="453" t="str">
        <f t="shared" si="83"/>
        <v/>
      </c>
      <c r="DX58" s="451" t="str">
        <f t="shared" si="83"/>
        <v/>
      </c>
      <c r="DY58" s="452" t="str">
        <f t="shared" si="83"/>
        <v/>
      </c>
      <c r="DZ58" s="452" t="str">
        <f t="shared" si="83"/>
        <v/>
      </c>
      <c r="EA58" s="452" t="str">
        <f t="shared" si="83"/>
        <v/>
      </c>
      <c r="EB58" s="453" t="str">
        <f t="shared" si="83"/>
        <v/>
      </c>
      <c r="EC58" s="451" t="str">
        <f t="shared" si="82"/>
        <v/>
      </c>
      <c r="ED58" s="452" t="str">
        <f t="shared" si="82"/>
        <v/>
      </c>
      <c r="EE58" s="452" t="str">
        <f t="shared" si="82"/>
        <v/>
      </c>
      <c r="EF58" s="452" t="str">
        <f t="shared" si="82"/>
        <v/>
      </c>
      <c r="EG58" s="453" t="str">
        <f t="shared" si="82"/>
        <v/>
      </c>
      <c r="EH58" s="451" t="str">
        <f t="shared" si="82"/>
        <v/>
      </c>
      <c r="EI58" s="452" t="str">
        <f t="shared" si="82"/>
        <v/>
      </c>
      <c r="EJ58" s="452" t="str">
        <f t="shared" si="82"/>
        <v/>
      </c>
      <c r="EK58" s="452" t="str">
        <f t="shared" si="82"/>
        <v/>
      </c>
      <c r="EL58" s="453" t="str">
        <f t="shared" si="82"/>
        <v/>
      </c>
      <c r="EM58" s="451" t="str">
        <f t="shared" si="82"/>
        <v/>
      </c>
      <c r="EN58" s="452" t="str">
        <f t="shared" si="82"/>
        <v/>
      </c>
      <c r="EO58" s="452" t="str">
        <f t="shared" si="82"/>
        <v/>
      </c>
      <c r="EP58" s="452" t="str">
        <f t="shared" si="82"/>
        <v/>
      </c>
      <c r="EQ58" s="453" t="str">
        <f t="shared" si="82"/>
        <v/>
      </c>
      <c r="ER58" s="451" t="str">
        <f t="shared" si="82"/>
        <v/>
      </c>
      <c r="ES58" s="452" t="str">
        <f t="shared" si="67"/>
        <v/>
      </c>
      <c r="ET58" s="452" t="str">
        <f t="shared" si="67"/>
        <v/>
      </c>
      <c r="EU58" s="452" t="str">
        <f t="shared" si="67"/>
        <v/>
      </c>
      <c r="EV58" s="453" t="str">
        <f t="shared" si="67"/>
        <v/>
      </c>
      <c r="EW58" s="451" t="str">
        <f t="shared" si="67"/>
        <v/>
      </c>
      <c r="EX58" s="452" t="str">
        <f t="shared" si="67"/>
        <v/>
      </c>
      <c r="EY58" s="452" t="str">
        <f t="shared" si="67"/>
        <v/>
      </c>
      <c r="EZ58" s="452" t="str">
        <f t="shared" si="73"/>
        <v/>
      </c>
      <c r="FA58" s="453" t="str">
        <f t="shared" si="73"/>
        <v/>
      </c>
      <c r="FB58" s="451" t="str">
        <f t="shared" si="73"/>
        <v/>
      </c>
      <c r="FC58" s="452" t="str">
        <f t="shared" si="73"/>
        <v/>
      </c>
      <c r="FD58" s="452" t="str">
        <f t="shared" si="73"/>
        <v/>
      </c>
      <c r="FE58" s="452" t="str">
        <f t="shared" si="73"/>
        <v/>
      </c>
      <c r="FF58" s="453" t="str">
        <f t="shared" si="73"/>
        <v/>
      </c>
      <c r="FG58" s="451" t="str">
        <f t="shared" si="73"/>
        <v/>
      </c>
      <c r="FH58" s="452" t="str">
        <f t="shared" si="73"/>
        <v/>
      </c>
      <c r="FI58" s="452" t="str">
        <f t="shared" si="73"/>
        <v/>
      </c>
      <c r="FJ58" s="452" t="str">
        <f t="shared" si="73"/>
        <v/>
      </c>
      <c r="FK58" s="453" t="str">
        <f t="shared" si="73"/>
        <v/>
      </c>
      <c r="FL58" s="451" t="str">
        <f t="shared" si="73"/>
        <v/>
      </c>
      <c r="FM58" s="452" t="str">
        <f t="shared" si="73"/>
        <v/>
      </c>
      <c r="FN58" s="452" t="str">
        <f t="shared" si="73"/>
        <v/>
      </c>
      <c r="FO58" s="452" t="str">
        <f t="shared" si="73"/>
        <v/>
      </c>
      <c r="FP58" s="453" t="str">
        <f t="shared" si="71"/>
        <v/>
      </c>
      <c r="FQ58" s="451" t="str">
        <f t="shared" si="71"/>
        <v/>
      </c>
      <c r="FR58" s="452" t="str">
        <f t="shared" si="71"/>
        <v/>
      </c>
      <c r="FS58" s="452" t="str">
        <f t="shared" si="71"/>
        <v/>
      </c>
      <c r="FT58" s="452" t="str">
        <f t="shared" si="71"/>
        <v/>
      </c>
      <c r="FU58" s="453" t="str">
        <f t="shared" si="71"/>
        <v/>
      </c>
      <c r="FV58" s="451" t="str">
        <f t="shared" si="71"/>
        <v/>
      </c>
      <c r="FW58" s="452" t="str">
        <f t="shared" si="71"/>
        <v/>
      </c>
      <c r="FX58" s="452" t="str">
        <f t="shared" si="71"/>
        <v/>
      </c>
      <c r="FY58" s="452" t="str">
        <f t="shared" si="71"/>
        <v/>
      </c>
      <c r="FZ58" s="453" t="str">
        <f t="shared" si="74"/>
        <v/>
      </c>
      <c r="GA58" s="451" t="str">
        <f t="shared" si="74"/>
        <v/>
      </c>
      <c r="GB58" s="452" t="str">
        <f t="shared" si="74"/>
        <v/>
      </c>
      <c r="GC58" s="452" t="str">
        <f t="shared" si="74"/>
        <v/>
      </c>
      <c r="GD58" s="452" t="str">
        <f t="shared" si="74"/>
        <v/>
      </c>
      <c r="GE58" s="453" t="str">
        <f t="shared" si="74"/>
        <v/>
      </c>
      <c r="GF58" s="451" t="str">
        <f t="shared" si="74"/>
        <v/>
      </c>
      <c r="GG58" s="452" t="str">
        <f t="shared" si="74"/>
        <v/>
      </c>
      <c r="GH58" s="452" t="str">
        <f t="shared" si="74"/>
        <v/>
      </c>
      <c r="GI58" s="452" t="str">
        <f t="shared" si="74"/>
        <v/>
      </c>
      <c r="GJ58" s="453" t="str">
        <f t="shared" si="74"/>
        <v/>
      </c>
      <c r="GK58" s="451" t="str">
        <f t="shared" si="74"/>
        <v/>
      </c>
      <c r="GL58" s="452" t="str">
        <f t="shared" si="74"/>
        <v/>
      </c>
      <c r="GM58" s="452" t="str">
        <f t="shared" si="74"/>
        <v/>
      </c>
      <c r="GN58" s="452" t="str">
        <f t="shared" si="74"/>
        <v/>
      </c>
      <c r="GO58" s="453" t="str">
        <f t="shared" si="74"/>
        <v/>
      </c>
      <c r="GP58" s="451" t="str">
        <f t="shared" si="74"/>
        <v/>
      </c>
      <c r="GQ58" s="452" t="str">
        <f t="shared" si="69"/>
        <v/>
      </c>
      <c r="GR58" s="452" t="str">
        <f t="shared" si="69"/>
        <v/>
      </c>
      <c r="GS58" s="452" t="str">
        <f t="shared" si="69"/>
        <v/>
      </c>
      <c r="GT58" s="453" t="str">
        <f t="shared" si="69"/>
        <v/>
      </c>
      <c r="GU58" s="451" t="str">
        <f t="shared" si="69"/>
        <v/>
      </c>
      <c r="GV58" s="452" t="str">
        <f t="shared" si="69"/>
        <v/>
      </c>
      <c r="GW58" s="452" t="str">
        <f t="shared" si="69"/>
        <v/>
      </c>
      <c r="GX58" s="452" t="str">
        <f t="shared" si="69"/>
        <v/>
      </c>
      <c r="GY58" s="453" t="str">
        <f t="shared" si="69"/>
        <v/>
      </c>
      <c r="GZ58" s="451" t="str">
        <f t="shared" si="69"/>
        <v/>
      </c>
      <c r="HA58" s="452" t="str">
        <f t="shared" si="69"/>
        <v/>
      </c>
      <c r="HB58" s="452" t="str">
        <f t="shared" si="69"/>
        <v/>
      </c>
      <c r="HC58" s="452" t="str">
        <f t="shared" si="69"/>
        <v/>
      </c>
      <c r="HD58" s="453" t="str">
        <f t="shared" si="69"/>
        <v/>
      </c>
      <c r="HE58" s="451" t="str">
        <f t="shared" si="69"/>
        <v/>
      </c>
      <c r="HF58" s="452" t="str">
        <f t="shared" si="65"/>
        <v/>
      </c>
      <c r="HG58" s="452" t="str">
        <f t="shared" si="65"/>
        <v/>
      </c>
      <c r="HH58" s="452" t="str">
        <f t="shared" si="65"/>
        <v/>
      </c>
      <c r="HI58" s="453" t="str">
        <f t="shared" si="65"/>
        <v/>
      </c>
      <c r="HJ58" s="451" t="str">
        <f t="shared" si="65"/>
        <v/>
      </c>
      <c r="HK58" s="452" t="str">
        <f t="shared" si="65"/>
        <v/>
      </c>
      <c r="HL58" s="452" t="str">
        <f t="shared" si="65"/>
        <v/>
      </c>
      <c r="HM58" s="452" t="str">
        <f t="shared" si="65"/>
        <v/>
      </c>
      <c r="HN58" s="453" t="str">
        <f t="shared" si="65"/>
        <v/>
      </c>
      <c r="HO58" s="451" t="str">
        <f t="shared" si="65"/>
        <v/>
      </c>
      <c r="HP58" s="452" t="str">
        <f t="shared" si="65"/>
        <v/>
      </c>
      <c r="HQ58" s="452" t="str">
        <f t="shared" si="65"/>
        <v/>
      </c>
      <c r="HR58" s="452" t="str">
        <f t="shared" si="65"/>
        <v/>
      </c>
      <c r="HS58" s="453" t="str">
        <f t="shared" si="65"/>
        <v/>
      </c>
      <c r="HT58" s="451" t="str">
        <f t="shared" si="65"/>
        <v/>
      </c>
      <c r="HU58" s="452" t="str">
        <f t="shared" si="65"/>
        <v/>
      </c>
      <c r="HV58" s="452" t="str">
        <f t="shared" si="63"/>
        <v/>
      </c>
      <c r="HW58" s="452" t="str">
        <f t="shared" si="63"/>
        <v/>
      </c>
      <c r="HX58" s="453" t="str">
        <f t="shared" si="63"/>
        <v/>
      </c>
      <c r="HY58" s="451" t="str">
        <f t="shared" si="63"/>
        <v/>
      </c>
      <c r="HZ58" s="452" t="str">
        <f t="shared" si="63"/>
        <v/>
      </c>
      <c r="IA58" s="452" t="str">
        <f t="shared" si="66"/>
        <v/>
      </c>
      <c r="IB58" s="452" t="str">
        <f t="shared" si="66"/>
        <v/>
      </c>
      <c r="IC58" s="453" t="str">
        <f t="shared" si="66"/>
        <v/>
      </c>
      <c r="ID58" s="451" t="str">
        <f t="shared" si="66"/>
        <v/>
      </c>
      <c r="IE58" s="452" t="str">
        <f t="shared" si="66"/>
        <v/>
      </c>
      <c r="IF58" s="452" t="str">
        <f t="shared" si="66"/>
        <v/>
      </c>
      <c r="IG58" s="452" t="str">
        <f t="shared" si="66"/>
        <v/>
      </c>
      <c r="IH58" s="453" t="str">
        <f t="shared" si="66"/>
        <v/>
      </c>
      <c r="II58" s="451" t="str">
        <f t="shared" si="66"/>
        <v/>
      </c>
      <c r="IJ58" s="452" t="str">
        <f t="shared" si="66"/>
        <v/>
      </c>
      <c r="IK58" s="452" t="str">
        <f t="shared" si="66"/>
        <v/>
      </c>
      <c r="IL58" s="452" t="str">
        <f t="shared" si="66"/>
        <v/>
      </c>
      <c r="IM58" s="453" t="str">
        <f t="shared" si="66"/>
        <v/>
      </c>
      <c r="IN58" s="451" t="str">
        <f t="shared" si="66"/>
        <v/>
      </c>
      <c r="IO58" s="452" t="str">
        <f t="shared" si="66"/>
        <v/>
      </c>
      <c r="IP58" s="452" t="str">
        <f t="shared" si="66"/>
        <v/>
      </c>
      <c r="IQ58" s="452" t="str">
        <f t="shared" si="64"/>
        <v/>
      </c>
      <c r="IR58" s="453" t="str">
        <f t="shared" si="64"/>
        <v/>
      </c>
    </row>
    <row r="59" spans="1:252" x14ac:dyDescent="0.2">
      <c r="A59" s="455">
        <v>6</v>
      </c>
      <c r="B59" s="456"/>
      <c r="C59" s="456" t="str">
        <f>Breakdown!$A14</f>
        <v>Package 1 piping   HI Steve!!!</v>
      </c>
      <c r="D59" s="457"/>
      <c r="E59" s="437" t="str">
        <f>IF(E60="","",MIN(E60:E69))</f>
        <v/>
      </c>
      <c r="F59" s="437" t="str">
        <f>IF(F60="","",MAX(F60:F69))</f>
        <v/>
      </c>
      <c r="G59" s="437"/>
      <c r="H59" s="437"/>
      <c r="I59" s="458"/>
      <c r="J59" s="459">
        <f>MIN(J60:J69)</f>
        <v>0</v>
      </c>
      <c r="K59" s="459">
        <f>MAX(K60:K69)</f>
        <v>0</v>
      </c>
      <c r="L59" s="460">
        <f t="shared" si="0"/>
        <v>0</v>
      </c>
      <c r="M59" s="451" t="str">
        <f t="shared" si="70"/>
        <v/>
      </c>
      <c r="N59" s="452" t="str">
        <f t="shared" si="70"/>
        <v/>
      </c>
      <c r="O59" s="452" t="str">
        <f t="shared" si="70"/>
        <v/>
      </c>
      <c r="P59" s="452" t="str">
        <f t="shared" si="70"/>
        <v/>
      </c>
      <c r="Q59" s="453" t="str">
        <f t="shared" si="70"/>
        <v/>
      </c>
      <c r="R59" s="451" t="str">
        <f t="shared" si="70"/>
        <v/>
      </c>
      <c r="S59" s="452" t="str">
        <f t="shared" si="70"/>
        <v/>
      </c>
      <c r="T59" s="452" t="str">
        <f t="shared" si="70"/>
        <v/>
      </c>
      <c r="U59" s="452" t="str">
        <f t="shared" si="70"/>
        <v/>
      </c>
      <c r="V59" s="453" t="str">
        <f t="shared" si="70"/>
        <v/>
      </c>
      <c r="W59" s="451" t="str">
        <f t="shared" si="70"/>
        <v/>
      </c>
      <c r="X59" s="452" t="str">
        <f t="shared" si="70"/>
        <v/>
      </c>
      <c r="Y59" s="452" t="str">
        <f t="shared" si="70"/>
        <v/>
      </c>
      <c r="Z59" s="452" t="str">
        <f t="shared" si="70"/>
        <v/>
      </c>
      <c r="AA59" s="453" t="str">
        <f t="shared" si="70"/>
        <v/>
      </c>
      <c r="AB59" s="451" t="str">
        <f t="shared" si="70"/>
        <v/>
      </c>
      <c r="AC59" s="452" t="str">
        <f t="shared" si="75"/>
        <v/>
      </c>
      <c r="AD59" s="452" t="str">
        <f t="shared" si="75"/>
        <v/>
      </c>
      <c r="AE59" s="452" t="str">
        <f t="shared" si="75"/>
        <v/>
      </c>
      <c r="AF59" s="453" t="str">
        <f t="shared" si="75"/>
        <v/>
      </c>
      <c r="AG59" s="451" t="str">
        <f t="shared" si="75"/>
        <v/>
      </c>
      <c r="AH59" s="452" t="str">
        <f t="shared" si="75"/>
        <v/>
      </c>
      <c r="AI59" s="452" t="str">
        <f t="shared" si="75"/>
        <v/>
      </c>
      <c r="AJ59" s="452" t="str">
        <f t="shared" si="75"/>
        <v/>
      </c>
      <c r="AK59" s="453" t="str">
        <f t="shared" si="75"/>
        <v/>
      </c>
      <c r="AL59" s="451" t="str">
        <f t="shared" si="75"/>
        <v/>
      </c>
      <c r="AM59" s="452" t="str">
        <f t="shared" si="75"/>
        <v/>
      </c>
      <c r="AN59" s="452" t="str">
        <f t="shared" si="75"/>
        <v/>
      </c>
      <c r="AO59" s="452" t="str">
        <f t="shared" si="75"/>
        <v/>
      </c>
      <c r="AP59" s="453" t="str">
        <f t="shared" si="75"/>
        <v/>
      </c>
      <c r="AQ59" s="451" t="str">
        <f t="shared" si="75"/>
        <v/>
      </c>
      <c r="AR59" s="452" t="str">
        <f t="shared" si="75"/>
        <v/>
      </c>
      <c r="AS59" s="452" t="str">
        <f t="shared" si="78"/>
        <v/>
      </c>
      <c r="AT59" s="452" t="str">
        <f t="shared" si="78"/>
        <v/>
      </c>
      <c r="AU59" s="453" t="str">
        <f t="shared" si="78"/>
        <v/>
      </c>
      <c r="AV59" s="451" t="str">
        <f t="shared" si="78"/>
        <v/>
      </c>
      <c r="AW59" s="452" t="str">
        <f t="shared" si="78"/>
        <v/>
      </c>
      <c r="AX59" s="452" t="str">
        <f t="shared" si="78"/>
        <v/>
      </c>
      <c r="AY59" s="452" t="str">
        <f t="shared" si="78"/>
        <v/>
      </c>
      <c r="AZ59" s="453" t="str">
        <f t="shared" si="78"/>
        <v/>
      </c>
      <c r="BA59" s="451" t="str">
        <f t="shared" si="78"/>
        <v/>
      </c>
      <c r="BB59" s="452" t="str">
        <f t="shared" si="78"/>
        <v/>
      </c>
      <c r="BC59" s="452" t="str">
        <f t="shared" si="78"/>
        <v/>
      </c>
      <c r="BD59" s="452" t="str">
        <f t="shared" si="78"/>
        <v/>
      </c>
      <c r="BE59" s="453" t="str">
        <f t="shared" si="78"/>
        <v/>
      </c>
      <c r="BF59" s="451" t="str">
        <f t="shared" si="78"/>
        <v/>
      </c>
      <c r="BG59" s="452" t="str">
        <f t="shared" si="78"/>
        <v/>
      </c>
      <c r="BH59" s="452" t="str">
        <f t="shared" si="78"/>
        <v/>
      </c>
      <c r="BI59" s="452" t="str">
        <f t="shared" si="53"/>
        <v/>
      </c>
      <c r="BJ59" s="453" t="str">
        <f t="shared" si="53"/>
        <v/>
      </c>
      <c r="BK59" s="451" t="str">
        <f t="shared" si="53"/>
        <v/>
      </c>
      <c r="BL59" s="452" t="str">
        <f t="shared" si="53"/>
        <v/>
      </c>
      <c r="BM59" s="452" t="str">
        <f t="shared" si="53"/>
        <v/>
      </c>
      <c r="BN59" s="452" t="str">
        <f t="shared" si="53"/>
        <v/>
      </c>
      <c r="BO59" s="453" t="str">
        <f t="shared" si="53"/>
        <v/>
      </c>
      <c r="BP59" s="451" t="str">
        <f t="shared" si="53"/>
        <v/>
      </c>
      <c r="BQ59" s="452" t="str">
        <f t="shared" si="53"/>
        <v/>
      </c>
      <c r="BR59" s="452" t="str">
        <f t="shared" si="53"/>
        <v/>
      </c>
      <c r="BS59" s="452" t="str">
        <f t="shared" si="53"/>
        <v/>
      </c>
      <c r="BT59" s="453" t="str">
        <f t="shared" si="53"/>
        <v/>
      </c>
      <c r="BU59" s="451" t="str">
        <f t="shared" si="53"/>
        <v/>
      </c>
      <c r="BV59" s="452" t="str">
        <f t="shared" si="53"/>
        <v/>
      </c>
      <c r="BW59" s="452" t="str">
        <f t="shared" si="50"/>
        <v/>
      </c>
      <c r="BX59" s="452" t="str">
        <f t="shared" si="50"/>
        <v/>
      </c>
      <c r="BY59" s="453" t="str">
        <f t="shared" si="81"/>
        <v/>
      </c>
      <c r="BZ59" s="451" t="str">
        <f t="shared" si="81"/>
        <v/>
      </c>
      <c r="CA59" s="452" t="str">
        <f t="shared" si="81"/>
        <v/>
      </c>
      <c r="CB59" s="452" t="str">
        <f t="shared" si="81"/>
        <v/>
      </c>
      <c r="CC59" s="452" t="str">
        <f t="shared" si="81"/>
        <v/>
      </c>
      <c r="CD59" s="453" t="str">
        <f t="shared" si="81"/>
        <v/>
      </c>
      <c r="CE59" s="451" t="str">
        <f t="shared" si="81"/>
        <v/>
      </c>
      <c r="CF59" s="452" t="str">
        <f t="shared" si="81"/>
        <v/>
      </c>
      <c r="CG59" s="452" t="str">
        <f t="shared" si="81"/>
        <v/>
      </c>
      <c r="CH59" s="452" t="str">
        <f t="shared" si="81"/>
        <v/>
      </c>
      <c r="CI59" s="453" t="str">
        <f t="shared" si="81"/>
        <v/>
      </c>
      <c r="CJ59" s="451" t="str">
        <f t="shared" si="80"/>
        <v/>
      </c>
      <c r="CK59" s="452" t="str">
        <f t="shared" si="80"/>
        <v/>
      </c>
      <c r="CL59" s="452" t="str">
        <f t="shared" si="80"/>
        <v/>
      </c>
      <c r="CM59" s="452" t="str">
        <f t="shared" si="80"/>
        <v/>
      </c>
      <c r="CN59" s="453" t="str">
        <f t="shared" si="80"/>
        <v/>
      </c>
      <c r="CO59" s="451" t="str">
        <f t="shared" si="80"/>
        <v/>
      </c>
      <c r="CP59" s="452" t="str">
        <f t="shared" si="80"/>
        <v/>
      </c>
      <c r="CQ59" s="452" t="str">
        <f t="shared" si="80"/>
        <v/>
      </c>
      <c r="CR59" s="452" t="str">
        <f t="shared" si="80"/>
        <v/>
      </c>
      <c r="CS59" s="453" t="str">
        <f t="shared" si="80"/>
        <v/>
      </c>
      <c r="CT59" s="451" t="str">
        <f t="shared" si="80"/>
        <v/>
      </c>
      <c r="CU59" s="452" t="str">
        <f t="shared" si="80"/>
        <v/>
      </c>
      <c r="CV59" s="452" t="str">
        <f t="shared" si="80"/>
        <v/>
      </c>
      <c r="CW59" s="452" t="str">
        <f t="shared" si="79"/>
        <v/>
      </c>
      <c r="CX59" s="453" t="str">
        <f t="shared" si="79"/>
        <v/>
      </c>
      <c r="CY59" s="451" t="str">
        <f t="shared" si="79"/>
        <v/>
      </c>
      <c r="CZ59" s="452" t="str">
        <f t="shared" si="79"/>
        <v/>
      </c>
      <c r="DA59" s="452" t="str">
        <f t="shared" si="79"/>
        <v/>
      </c>
      <c r="DB59" s="452" t="str">
        <f t="shared" si="79"/>
        <v/>
      </c>
      <c r="DC59" s="453" t="str">
        <f t="shared" si="79"/>
        <v/>
      </c>
      <c r="DD59" s="451" t="str">
        <f t="shared" si="79"/>
        <v/>
      </c>
      <c r="DE59" s="452" t="str">
        <f t="shared" si="84"/>
        <v/>
      </c>
      <c r="DF59" s="452" t="str">
        <f t="shared" si="84"/>
        <v/>
      </c>
      <c r="DG59" s="452" t="str">
        <f t="shared" si="84"/>
        <v/>
      </c>
      <c r="DH59" s="453" t="str">
        <f t="shared" si="84"/>
        <v/>
      </c>
      <c r="DI59" s="451" t="str">
        <f t="shared" si="84"/>
        <v/>
      </c>
      <c r="DJ59" s="452" t="str">
        <f t="shared" si="84"/>
        <v/>
      </c>
      <c r="DK59" s="452" t="str">
        <f t="shared" si="84"/>
        <v/>
      </c>
      <c r="DL59" s="452" t="str">
        <f t="shared" si="84"/>
        <v/>
      </c>
      <c r="DM59" s="453" t="str">
        <f t="shared" si="84"/>
        <v/>
      </c>
      <c r="DN59" s="451" t="str">
        <f t="shared" si="84"/>
        <v/>
      </c>
      <c r="DO59" s="452" t="str">
        <f t="shared" si="84"/>
        <v/>
      </c>
      <c r="DP59" s="452" t="str">
        <f t="shared" si="83"/>
        <v/>
      </c>
      <c r="DQ59" s="452" t="str">
        <f t="shared" si="83"/>
        <v/>
      </c>
      <c r="DR59" s="453" t="str">
        <f t="shared" si="83"/>
        <v/>
      </c>
      <c r="DS59" s="451" t="str">
        <f t="shared" si="83"/>
        <v/>
      </c>
      <c r="DT59" s="452" t="str">
        <f t="shared" si="83"/>
        <v/>
      </c>
      <c r="DU59" s="452" t="str">
        <f t="shared" si="83"/>
        <v/>
      </c>
      <c r="DV59" s="452" t="str">
        <f t="shared" si="83"/>
        <v/>
      </c>
      <c r="DW59" s="453" t="str">
        <f t="shared" si="83"/>
        <v/>
      </c>
      <c r="DX59" s="451" t="str">
        <f t="shared" si="83"/>
        <v/>
      </c>
      <c r="DY59" s="452" t="str">
        <f t="shared" si="83"/>
        <v/>
      </c>
      <c r="DZ59" s="452" t="str">
        <f t="shared" si="83"/>
        <v/>
      </c>
      <c r="EA59" s="452" t="str">
        <f t="shared" si="83"/>
        <v/>
      </c>
      <c r="EB59" s="453" t="str">
        <f t="shared" si="83"/>
        <v/>
      </c>
      <c r="EC59" s="451" t="str">
        <f t="shared" si="82"/>
        <v/>
      </c>
      <c r="ED59" s="452" t="str">
        <f t="shared" si="82"/>
        <v/>
      </c>
      <c r="EE59" s="452" t="str">
        <f t="shared" si="82"/>
        <v/>
      </c>
      <c r="EF59" s="452" t="str">
        <f t="shared" si="82"/>
        <v/>
      </c>
      <c r="EG59" s="453" t="str">
        <f t="shared" si="82"/>
        <v/>
      </c>
      <c r="EH59" s="451" t="str">
        <f t="shared" si="82"/>
        <v/>
      </c>
      <c r="EI59" s="452" t="str">
        <f t="shared" si="82"/>
        <v/>
      </c>
      <c r="EJ59" s="452" t="str">
        <f t="shared" si="82"/>
        <v/>
      </c>
      <c r="EK59" s="452" t="str">
        <f t="shared" si="82"/>
        <v/>
      </c>
      <c r="EL59" s="453" t="str">
        <f t="shared" si="82"/>
        <v/>
      </c>
      <c r="EM59" s="451" t="str">
        <f t="shared" si="82"/>
        <v/>
      </c>
      <c r="EN59" s="452" t="str">
        <f t="shared" si="82"/>
        <v/>
      </c>
      <c r="EO59" s="452" t="str">
        <f t="shared" si="82"/>
        <v/>
      </c>
      <c r="EP59" s="452" t="str">
        <f t="shared" si="82"/>
        <v/>
      </c>
      <c r="EQ59" s="453" t="str">
        <f t="shared" si="82"/>
        <v/>
      </c>
      <c r="ER59" s="451" t="str">
        <f t="shared" si="82"/>
        <v/>
      </c>
      <c r="ES59" s="452" t="str">
        <f t="shared" si="67"/>
        <v/>
      </c>
      <c r="ET59" s="452" t="str">
        <f t="shared" si="67"/>
        <v/>
      </c>
      <c r="EU59" s="452" t="str">
        <f t="shared" si="67"/>
        <v/>
      </c>
      <c r="EV59" s="453" t="str">
        <f t="shared" si="67"/>
        <v/>
      </c>
      <c r="EW59" s="451" t="str">
        <f t="shared" ref="EW59:FL74" si="85">IF(AND(EW$2&gt;=$J59,EW$2&lt;=$K59),1,"")</f>
        <v/>
      </c>
      <c r="EX59" s="452" t="str">
        <f t="shared" si="85"/>
        <v/>
      </c>
      <c r="EY59" s="452" t="str">
        <f t="shared" si="85"/>
        <v/>
      </c>
      <c r="EZ59" s="452" t="str">
        <f t="shared" si="85"/>
        <v/>
      </c>
      <c r="FA59" s="453" t="str">
        <f t="shared" si="85"/>
        <v/>
      </c>
      <c r="FB59" s="451" t="str">
        <f t="shared" si="85"/>
        <v/>
      </c>
      <c r="FC59" s="452" t="str">
        <f t="shared" si="85"/>
        <v/>
      </c>
      <c r="FD59" s="452" t="str">
        <f t="shared" si="85"/>
        <v/>
      </c>
      <c r="FE59" s="452" t="str">
        <f t="shared" si="85"/>
        <v/>
      </c>
      <c r="FF59" s="453" t="str">
        <f t="shared" si="85"/>
        <v/>
      </c>
      <c r="FG59" s="451" t="str">
        <f t="shared" si="85"/>
        <v/>
      </c>
      <c r="FH59" s="452" t="str">
        <f t="shared" si="85"/>
        <v/>
      </c>
      <c r="FI59" s="452" t="str">
        <f t="shared" si="85"/>
        <v/>
      </c>
      <c r="FJ59" s="452" t="str">
        <f t="shared" si="85"/>
        <v/>
      </c>
      <c r="FK59" s="453" t="str">
        <f t="shared" si="85"/>
        <v/>
      </c>
      <c r="FL59" s="451" t="str">
        <f t="shared" si="71"/>
        <v/>
      </c>
      <c r="FM59" s="452" t="str">
        <f t="shared" si="71"/>
        <v/>
      </c>
      <c r="FN59" s="452" t="str">
        <f t="shared" si="71"/>
        <v/>
      </c>
      <c r="FO59" s="452" t="str">
        <f t="shared" si="71"/>
        <v/>
      </c>
      <c r="FP59" s="453" t="str">
        <f t="shared" si="71"/>
        <v/>
      </c>
      <c r="FQ59" s="451" t="str">
        <f t="shared" si="71"/>
        <v/>
      </c>
      <c r="FR59" s="452" t="str">
        <f t="shared" si="71"/>
        <v/>
      </c>
      <c r="FS59" s="452" t="str">
        <f t="shared" si="71"/>
        <v/>
      </c>
      <c r="FT59" s="452" t="str">
        <f t="shared" si="71"/>
        <v/>
      </c>
      <c r="FU59" s="453" t="str">
        <f t="shared" si="71"/>
        <v/>
      </c>
      <c r="FV59" s="451" t="str">
        <f t="shared" si="71"/>
        <v/>
      </c>
      <c r="FW59" s="452" t="str">
        <f t="shared" si="71"/>
        <v/>
      </c>
      <c r="FX59" s="452" t="str">
        <f t="shared" si="71"/>
        <v/>
      </c>
      <c r="FY59" s="452" t="str">
        <f t="shared" si="71"/>
        <v/>
      </c>
      <c r="FZ59" s="453" t="str">
        <f t="shared" si="74"/>
        <v/>
      </c>
      <c r="GA59" s="451" t="str">
        <f t="shared" si="74"/>
        <v/>
      </c>
      <c r="GB59" s="452" t="str">
        <f t="shared" si="74"/>
        <v/>
      </c>
      <c r="GC59" s="452" t="str">
        <f t="shared" si="74"/>
        <v/>
      </c>
      <c r="GD59" s="452" t="str">
        <f t="shared" si="74"/>
        <v/>
      </c>
      <c r="GE59" s="453" t="str">
        <f t="shared" si="74"/>
        <v/>
      </c>
      <c r="GF59" s="451" t="str">
        <f t="shared" si="74"/>
        <v/>
      </c>
      <c r="GG59" s="452" t="str">
        <f t="shared" si="74"/>
        <v/>
      </c>
      <c r="GH59" s="452" t="str">
        <f t="shared" si="74"/>
        <v/>
      </c>
      <c r="GI59" s="452" t="str">
        <f t="shared" si="74"/>
        <v/>
      </c>
      <c r="GJ59" s="453" t="str">
        <f t="shared" si="74"/>
        <v/>
      </c>
      <c r="GK59" s="451" t="str">
        <f t="shared" si="74"/>
        <v/>
      </c>
      <c r="GL59" s="452" t="str">
        <f t="shared" si="74"/>
        <v/>
      </c>
      <c r="GM59" s="452" t="str">
        <f t="shared" si="74"/>
        <v/>
      </c>
      <c r="GN59" s="452" t="str">
        <f t="shared" si="74"/>
        <v/>
      </c>
      <c r="GO59" s="453" t="str">
        <f t="shared" si="74"/>
        <v/>
      </c>
      <c r="GP59" s="451" t="str">
        <f t="shared" si="74"/>
        <v/>
      </c>
      <c r="GQ59" s="452" t="str">
        <f t="shared" ref="GQ59:HF81" si="86">IF(AND(GQ$2&gt;=$J59,GQ$2&lt;=$K59),1,"")</f>
        <v/>
      </c>
      <c r="GR59" s="452" t="str">
        <f t="shared" si="86"/>
        <v/>
      </c>
      <c r="GS59" s="452" t="str">
        <f t="shared" si="86"/>
        <v/>
      </c>
      <c r="GT59" s="453" t="str">
        <f t="shared" si="86"/>
        <v/>
      </c>
      <c r="GU59" s="451" t="str">
        <f t="shared" si="86"/>
        <v/>
      </c>
      <c r="GV59" s="452" t="str">
        <f t="shared" si="86"/>
        <v/>
      </c>
      <c r="GW59" s="452" t="str">
        <f t="shared" si="86"/>
        <v/>
      </c>
      <c r="GX59" s="452" t="str">
        <f t="shared" si="86"/>
        <v/>
      </c>
      <c r="GY59" s="453" t="str">
        <f t="shared" si="86"/>
        <v/>
      </c>
      <c r="GZ59" s="451" t="str">
        <f t="shared" si="86"/>
        <v/>
      </c>
      <c r="HA59" s="452" t="str">
        <f t="shared" si="86"/>
        <v/>
      </c>
      <c r="HB59" s="452" t="str">
        <f t="shared" si="86"/>
        <v/>
      </c>
      <c r="HC59" s="452" t="str">
        <f t="shared" si="86"/>
        <v/>
      </c>
      <c r="HD59" s="453" t="str">
        <f t="shared" si="86"/>
        <v/>
      </c>
      <c r="HE59" s="451" t="str">
        <f t="shared" si="86"/>
        <v/>
      </c>
      <c r="HF59" s="452" t="str">
        <f t="shared" si="86"/>
        <v/>
      </c>
      <c r="HG59" s="452" t="str">
        <f t="shared" si="65"/>
        <v/>
      </c>
      <c r="HH59" s="452" t="str">
        <f t="shared" si="65"/>
        <v/>
      </c>
      <c r="HI59" s="453" t="str">
        <f t="shared" si="65"/>
        <v/>
      </c>
      <c r="HJ59" s="451" t="str">
        <f t="shared" ref="HJ59:HY81" si="87">IF(AND(HJ$2&gt;=$J59,HJ$2&lt;=$K59),1,"")</f>
        <v/>
      </c>
      <c r="HK59" s="452" t="str">
        <f t="shared" si="87"/>
        <v/>
      </c>
      <c r="HL59" s="452" t="str">
        <f t="shared" si="87"/>
        <v/>
      </c>
      <c r="HM59" s="452" t="str">
        <f t="shared" si="87"/>
        <v/>
      </c>
      <c r="HN59" s="453" t="str">
        <f t="shared" si="87"/>
        <v/>
      </c>
      <c r="HO59" s="451" t="str">
        <f t="shared" si="87"/>
        <v/>
      </c>
      <c r="HP59" s="452" t="str">
        <f t="shared" si="87"/>
        <v/>
      </c>
      <c r="HQ59" s="452" t="str">
        <f t="shared" si="87"/>
        <v/>
      </c>
      <c r="HR59" s="452" t="str">
        <f t="shared" si="87"/>
        <v/>
      </c>
      <c r="HS59" s="453" t="str">
        <f t="shared" si="87"/>
        <v/>
      </c>
      <c r="HT59" s="451" t="str">
        <f t="shared" si="87"/>
        <v/>
      </c>
      <c r="HU59" s="452" t="str">
        <f t="shared" si="87"/>
        <v/>
      </c>
      <c r="HV59" s="452" t="str">
        <f t="shared" si="87"/>
        <v/>
      </c>
      <c r="HW59" s="452" t="str">
        <f t="shared" si="87"/>
        <v/>
      </c>
      <c r="HX59" s="453" t="str">
        <f t="shared" si="87"/>
        <v/>
      </c>
      <c r="HY59" s="451" t="str">
        <f t="shared" si="87"/>
        <v/>
      </c>
      <c r="HZ59" s="452" t="str">
        <f t="shared" si="63"/>
        <v/>
      </c>
      <c r="IA59" s="452" t="str">
        <f t="shared" si="66"/>
        <v/>
      </c>
      <c r="IB59" s="452" t="str">
        <f t="shared" si="66"/>
        <v/>
      </c>
      <c r="IC59" s="453" t="str">
        <f t="shared" ref="IC59:IR81" si="88">IF(AND(IC$2&gt;=$J59,IC$2&lt;=$K59),1,"")</f>
        <v/>
      </c>
      <c r="ID59" s="451" t="str">
        <f t="shared" si="88"/>
        <v/>
      </c>
      <c r="IE59" s="452" t="str">
        <f t="shared" si="88"/>
        <v/>
      </c>
      <c r="IF59" s="452" t="str">
        <f t="shared" si="88"/>
        <v/>
      </c>
      <c r="IG59" s="452" t="str">
        <f t="shared" si="88"/>
        <v/>
      </c>
      <c r="IH59" s="453" t="str">
        <f t="shared" si="88"/>
        <v/>
      </c>
      <c r="II59" s="451" t="str">
        <f t="shared" si="88"/>
        <v/>
      </c>
      <c r="IJ59" s="452" t="str">
        <f t="shared" si="88"/>
        <v/>
      </c>
      <c r="IK59" s="452" t="str">
        <f t="shared" si="88"/>
        <v/>
      </c>
      <c r="IL59" s="452" t="str">
        <f t="shared" si="88"/>
        <v/>
      </c>
      <c r="IM59" s="453" t="str">
        <f t="shared" si="88"/>
        <v/>
      </c>
      <c r="IN59" s="451" t="str">
        <f t="shared" si="88"/>
        <v/>
      </c>
      <c r="IO59" s="452" t="str">
        <f t="shared" si="88"/>
        <v/>
      </c>
      <c r="IP59" s="452" t="str">
        <f t="shared" si="88"/>
        <v/>
      </c>
      <c r="IQ59" s="452" t="str">
        <f t="shared" si="88"/>
        <v/>
      </c>
      <c r="IR59" s="453" t="str">
        <f t="shared" si="88"/>
        <v/>
      </c>
    </row>
    <row r="60" spans="1:252" x14ac:dyDescent="0.2">
      <c r="A60" s="461">
        <v>6.1</v>
      </c>
      <c r="C60" s="447" t="s">
        <v>1351</v>
      </c>
      <c r="D60" s="447"/>
      <c r="E60" s="448"/>
      <c r="F60" s="448"/>
      <c r="G60" s="448"/>
      <c r="H60" s="448"/>
      <c r="I60" s="448"/>
      <c r="J60" s="449" t="str">
        <f t="shared" ref="J60:J69" si="89">IF(E60="","",E60-$M$3+1)</f>
        <v/>
      </c>
      <c r="K60" s="449" t="str">
        <f t="shared" ref="K60:K69" si="90">IF(F60="","",F60-$M$3+1)</f>
        <v/>
      </c>
      <c r="L60" s="450">
        <f t="shared" si="0"/>
        <v>0</v>
      </c>
      <c r="M60" s="451" t="str">
        <f t="shared" ref="M60:AB75" si="91">IF(AND(M$2&gt;=$J60,M$2&lt;=$K60),1,"")</f>
        <v/>
      </c>
      <c r="N60" s="452" t="str">
        <f t="shared" si="91"/>
        <v/>
      </c>
      <c r="O60" s="452" t="str">
        <f t="shared" si="91"/>
        <v/>
      </c>
      <c r="P60" s="452" t="str">
        <f t="shared" si="91"/>
        <v/>
      </c>
      <c r="Q60" s="453" t="str">
        <f t="shared" si="91"/>
        <v/>
      </c>
      <c r="R60" s="451" t="str">
        <f t="shared" si="91"/>
        <v/>
      </c>
      <c r="S60" s="452" t="str">
        <f t="shared" si="91"/>
        <v/>
      </c>
      <c r="T60" s="452" t="str">
        <f t="shared" si="91"/>
        <v/>
      </c>
      <c r="U60" s="452" t="str">
        <f t="shared" si="91"/>
        <v/>
      </c>
      <c r="V60" s="453" t="str">
        <f t="shared" si="91"/>
        <v/>
      </c>
      <c r="W60" s="451" t="str">
        <f t="shared" si="91"/>
        <v/>
      </c>
      <c r="X60" s="452" t="str">
        <f t="shared" si="91"/>
        <v/>
      </c>
      <c r="Y60" s="452" t="str">
        <f t="shared" si="91"/>
        <v/>
      </c>
      <c r="Z60" s="452" t="str">
        <f t="shared" si="91"/>
        <v/>
      </c>
      <c r="AA60" s="453" t="str">
        <f t="shared" si="91"/>
        <v/>
      </c>
      <c r="AB60" s="451" t="str">
        <f t="shared" si="91"/>
        <v/>
      </c>
      <c r="AC60" s="452" t="str">
        <f t="shared" si="75"/>
        <v/>
      </c>
      <c r="AD60" s="452" t="str">
        <f t="shared" si="75"/>
        <v/>
      </c>
      <c r="AE60" s="452" t="str">
        <f t="shared" si="75"/>
        <v/>
      </c>
      <c r="AF60" s="453" t="str">
        <f t="shared" si="75"/>
        <v/>
      </c>
      <c r="AG60" s="451" t="str">
        <f t="shared" si="75"/>
        <v/>
      </c>
      <c r="AH60" s="452" t="str">
        <f t="shared" si="75"/>
        <v/>
      </c>
      <c r="AI60" s="452" t="str">
        <f t="shared" si="75"/>
        <v/>
      </c>
      <c r="AJ60" s="452" t="str">
        <f t="shared" si="75"/>
        <v/>
      </c>
      <c r="AK60" s="453" t="str">
        <f t="shared" si="75"/>
        <v/>
      </c>
      <c r="AL60" s="451" t="str">
        <f t="shared" si="75"/>
        <v/>
      </c>
      <c r="AM60" s="452" t="str">
        <f t="shared" si="75"/>
        <v/>
      </c>
      <c r="AN60" s="452" t="str">
        <f t="shared" si="75"/>
        <v/>
      </c>
      <c r="AO60" s="452" t="str">
        <f t="shared" si="75"/>
        <v/>
      </c>
      <c r="AP60" s="453" t="str">
        <f t="shared" si="75"/>
        <v/>
      </c>
      <c r="AQ60" s="451" t="str">
        <f t="shared" si="75"/>
        <v/>
      </c>
      <c r="AR60" s="452" t="str">
        <f t="shared" si="75"/>
        <v/>
      </c>
      <c r="AS60" s="452" t="str">
        <f t="shared" si="78"/>
        <v/>
      </c>
      <c r="AT60" s="452" t="str">
        <f t="shared" si="78"/>
        <v/>
      </c>
      <c r="AU60" s="453" t="str">
        <f t="shared" si="78"/>
        <v/>
      </c>
      <c r="AV60" s="451" t="str">
        <f t="shared" si="78"/>
        <v/>
      </c>
      <c r="AW60" s="452" t="str">
        <f t="shared" si="78"/>
        <v/>
      </c>
      <c r="AX60" s="452" t="str">
        <f t="shared" si="78"/>
        <v/>
      </c>
      <c r="AY60" s="452" t="str">
        <f t="shared" si="78"/>
        <v/>
      </c>
      <c r="AZ60" s="453" t="str">
        <f t="shared" si="78"/>
        <v/>
      </c>
      <c r="BA60" s="451" t="str">
        <f t="shared" si="78"/>
        <v/>
      </c>
      <c r="BB60" s="452" t="str">
        <f t="shared" si="78"/>
        <v/>
      </c>
      <c r="BC60" s="452" t="str">
        <f t="shared" si="78"/>
        <v/>
      </c>
      <c r="BD60" s="452" t="str">
        <f t="shared" si="78"/>
        <v/>
      </c>
      <c r="BE60" s="453" t="str">
        <f t="shared" si="78"/>
        <v/>
      </c>
      <c r="BF60" s="451" t="str">
        <f t="shared" si="78"/>
        <v/>
      </c>
      <c r="BG60" s="452" t="str">
        <f t="shared" si="78"/>
        <v/>
      </c>
      <c r="BH60" s="452" t="str">
        <f t="shared" si="78"/>
        <v/>
      </c>
      <c r="BI60" s="452" t="str">
        <f t="shared" ref="BI60:BX80" si="92">IF(AND(BI$2&gt;=$J60,BI$2&lt;=$K60),1,"")</f>
        <v/>
      </c>
      <c r="BJ60" s="453" t="str">
        <f t="shared" si="92"/>
        <v/>
      </c>
      <c r="BK60" s="451" t="str">
        <f t="shared" si="92"/>
        <v/>
      </c>
      <c r="BL60" s="452" t="str">
        <f t="shared" si="92"/>
        <v/>
      </c>
      <c r="BM60" s="452" t="str">
        <f t="shared" si="92"/>
        <v/>
      </c>
      <c r="BN60" s="452" t="str">
        <f t="shared" si="92"/>
        <v/>
      </c>
      <c r="BO60" s="453" t="str">
        <f t="shared" si="92"/>
        <v/>
      </c>
      <c r="BP60" s="451" t="str">
        <f t="shared" si="92"/>
        <v/>
      </c>
      <c r="BQ60" s="452" t="str">
        <f t="shared" si="92"/>
        <v/>
      </c>
      <c r="BR60" s="452" t="str">
        <f t="shared" si="92"/>
        <v/>
      </c>
      <c r="BS60" s="452" t="str">
        <f t="shared" si="92"/>
        <v/>
      </c>
      <c r="BT60" s="453" t="str">
        <f t="shared" si="92"/>
        <v/>
      </c>
      <c r="BU60" s="451" t="str">
        <f t="shared" si="92"/>
        <v/>
      </c>
      <c r="BV60" s="452" t="str">
        <f t="shared" si="92"/>
        <v/>
      </c>
      <c r="BW60" s="452" t="str">
        <f t="shared" si="92"/>
        <v/>
      </c>
      <c r="BX60" s="452" t="str">
        <f t="shared" si="92"/>
        <v/>
      </c>
      <c r="BY60" s="453" t="str">
        <f t="shared" si="81"/>
        <v/>
      </c>
      <c r="BZ60" s="451" t="str">
        <f t="shared" si="81"/>
        <v/>
      </c>
      <c r="CA60" s="452" t="str">
        <f t="shared" si="81"/>
        <v/>
      </c>
      <c r="CB60" s="452" t="str">
        <f t="shared" si="81"/>
        <v/>
      </c>
      <c r="CC60" s="452" t="str">
        <f t="shared" si="81"/>
        <v/>
      </c>
      <c r="CD60" s="453" t="str">
        <f t="shared" si="81"/>
        <v/>
      </c>
      <c r="CE60" s="451" t="str">
        <f t="shared" si="81"/>
        <v/>
      </c>
      <c r="CF60" s="452" t="str">
        <f t="shared" si="81"/>
        <v/>
      </c>
      <c r="CG60" s="452" t="str">
        <f t="shared" si="81"/>
        <v/>
      </c>
      <c r="CH60" s="452" t="str">
        <f t="shared" si="81"/>
        <v/>
      </c>
      <c r="CI60" s="453" t="str">
        <f t="shared" si="81"/>
        <v/>
      </c>
      <c r="CJ60" s="451" t="str">
        <f t="shared" si="80"/>
        <v/>
      </c>
      <c r="CK60" s="452" t="str">
        <f t="shared" si="80"/>
        <v/>
      </c>
      <c r="CL60" s="452" t="str">
        <f t="shared" si="80"/>
        <v/>
      </c>
      <c r="CM60" s="452" t="str">
        <f t="shared" si="80"/>
        <v/>
      </c>
      <c r="CN60" s="453" t="str">
        <f t="shared" si="80"/>
        <v/>
      </c>
      <c r="CO60" s="451" t="str">
        <f t="shared" si="80"/>
        <v/>
      </c>
      <c r="CP60" s="452" t="str">
        <f t="shared" si="80"/>
        <v/>
      </c>
      <c r="CQ60" s="452" t="str">
        <f t="shared" si="80"/>
        <v/>
      </c>
      <c r="CR60" s="452" t="str">
        <f t="shared" si="80"/>
        <v/>
      </c>
      <c r="CS60" s="453" t="str">
        <f t="shared" si="80"/>
        <v/>
      </c>
      <c r="CT60" s="451" t="str">
        <f t="shared" si="80"/>
        <v/>
      </c>
      <c r="CU60" s="452" t="str">
        <f t="shared" si="80"/>
        <v/>
      </c>
      <c r="CV60" s="452" t="str">
        <f t="shared" si="80"/>
        <v/>
      </c>
      <c r="CW60" s="452" t="str">
        <f t="shared" si="79"/>
        <v/>
      </c>
      <c r="CX60" s="453" t="str">
        <f t="shared" si="79"/>
        <v/>
      </c>
      <c r="CY60" s="451" t="str">
        <f t="shared" si="79"/>
        <v/>
      </c>
      <c r="CZ60" s="452" t="str">
        <f t="shared" si="79"/>
        <v/>
      </c>
      <c r="DA60" s="452" t="str">
        <f t="shared" si="79"/>
        <v/>
      </c>
      <c r="DB60" s="452" t="str">
        <f t="shared" si="79"/>
        <v/>
      </c>
      <c r="DC60" s="453" t="str">
        <f t="shared" si="79"/>
        <v/>
      </c>
      <c r="DD60" s="451" t="str">
        <f t="shared" si="79"/>
        <v/>
      </c>
      <c r="DE60" s="452" t="str">
        <f t="shared" si="84"/>
        <v/>
      </c>
      <c r="DF60" s="452" t="str">
        <f t="shared" si="84"/>
        <v/>
      </c>
      <c r="DG60" s="452" t="str">
        <f t="shared" si="84"/>
        <v/>
      </c>
      <c r="DH60" s="453" t="str">
        <f t="shared" si="84"/>
        <v/>
      </c>
      <c r="DI60" s="451" t="str">
        <f t="shared" si="84"/>
        <v/>
      </c>
      <c r="DJ60" s="452" t="str">
        <f t="shared" si="84"/>
        <v/>
      </c>
      <c r="DK60" s="452" t="str">
        <f t="shared" si="84"/>
        <v/>
      </c>
      <c r="DL60" s="452" t="str">
        <f t="shared" si="84"/>
        <v/>
      </c>
      <c r="DM60" s="453" t="str">
        <f t="shared" si="84"/>
        <v/>
      </c>
      <c r="DN60" s="451" t="str">
        <f t="shared" si="84"/>
        <v/>
      </c>
      <c r="DO60" s="452" t="str">
        <f t="shared" si="84"/>
        <v/>
      </c>
      <c r="DP60" s="452" t="str">
        <f t="shared" si="83"/>
        <v/>
      </c>
      <c r="DQ60" s="452" t="str">
        <f t="shared" si="83"/>
        <v/>
      </c>
      <c r="DR60" s="453" t="str">
        <f t="shared" si="83"/>
        <v/>
      </c>
      <c r="DS60" s="451" t="str">
        <f t="shared" si="83"/>
        <v/>
      </c>
      <c r="DT60" s="452" t="str">
        <f t="shared" si="83"/>
        <v/>
      </c>
      <c r="DU60" s="452" t="str">
        <f t="shared" si="83"/>
        <v/>
      </c>
      <c r="DV60" s="452" t="str">
        <f t="shared" si="83"/>
        <v/>
      </c>
      <c r="DW60" s="453" t="str">
        <f t="shared" si="83"/>
        <v/>
      </c>
      <c r="DX60" s="451" t="str">
        <f t="shared" si="83"/>
        <v/>
      </c>
      <c r="DY60" s="452" t="str">
        <f t="shared" si="83"/>
        <v/>
      </c>
      <c r="DZ60" s="452" t="str">
        <f t="shared" si="83"/>
        <v/>
      </c>
      <c r="EA60" s="452" t="str">
        <f t="shared" si="83"/>
        <v/>
      </c>
      <c r="EB60" s="453" t="str">
        <f t="shared" si="83"/>
        <v/>
      </c>
      <c r="EC60" s="451" t="str">
        <f t="shared" si="82"/>
        <v/>
      </c>
      <c r="ED60" s="452" t="str">
        <f t="shared" si="82"/>
        <v/>
      </c>
      <c r="EE60" s="452" t="str">
        <f t="shared" si="82"/>
        <v/>
      </c>
      <c r="EF60" s="452" t="str">
        <f t="shared" si="82"/>
        <v/>
      </c>
      <c r="EG60" s="453" t="str">
        <f t="shared" si="82"/>
        <v/>
      </c>
      <c r="EH60" s="451" t="str">
        <f t="shared" si="82"/>
        <v/>
      </c>
      <c r="EI60" s="452" t="str">
        <f t="shared" si="82"/>
        <v/>
      </c>
      <c r="EJ60" s="452" t="str">
        <f t="shared" si="82"/>
        <v/>
      </c>
      <c r="EK60" s="452" t="str">
        <f t="shared" si="82"/>
        <v/>
      </c>
      <c r="EL60" s="453" t="str">
        <f t="shared" si="82"/>
        <v/>
      </c>
      <c r="EM60" s="451" t="str">
        <f t="shared" si="82"/>
        <v/>
      </c>
      <c r="EN60" s="452" t="str">
        <f t="shared" si="82"/>
        <v/>
      </c>
      <c r="EO60" s="452" t="str">
        <f t="shared" si="82"/>
        <v/>
      </c>
      <c r="EP60" s="452" t="str">
        <f t="shared" si="82"/>
        <v/>
      </c>
      <c r="EQ60" s="453" t="str">
        <f t="shared" si="82"/>
        <v/>
      </c>
      <c r="ER60" s="451" t="str">
        <f t="shared" si="82"/>
        <v/>
      </c>
      <c r="ES60" s="452" t="str">
        <f t="shared" ref="ES60:FH75" si="93">IF(AND(ES$2&gt;=$J60,ES$2&lt;=$K60),1,"")</f>
        <v/>
      </c>
      <c r="ET60" s="452" t="str">
        <f t="shared" si="93"/>
        <v/>
      </c>
      <c r="EU60" s="452" t="str">
        <f t="shared" si="93"/>
        <v/>
      </c>
      <c r="EV60" s="453" t="str">
        <f t="shared" si="93"/>
        <v/>
      </c>
      <c r="EW60" s="451" t="str">
        <f t="shared" si="93"/>
        <v/>
      </c>
      <c r="EX60" s="452" t="str">
        <f t="shared" si="93"/>
        <v/>
      </c>
      <c r="EY60" s="452" t="str">
        <f t="shared" si="93"/>
        <v/>
      </c>
      <c r="EZ60" s="452" t="str">
        <f t="shared" si="93"/>
        <v/>
      </c>
      <c r="FA60" s="453" t="str">
        <f t="shared" si="93"/>
        <v/>
      </c>
      <c r="FB60" s="451" t="str">
        <f t="shared" si="93"/>
        <v/>
      </c>
      <c r="FC60" s="452" t="str">
        <f t="shared" si="93"/>
        <v/>
      </c>
      <c r="FD60" s="452" t="str">
        <f t="shared" si="93"/>
        <v/>
      </c>
      <c r="FE60" s="452" t="str">
        <f t="shared" si="93"/>
        <v/>
      </c>
      <c r="FF60" s="453" t="str">
        <f t="shared" si="93"/>
        <v/>
      </c>
      <c r="FG60" s="451" t="str">
        <f t="shared" si="93"/>
        <v/>
      </c>
      <c r="FH60" s="452" t="str">
        <f t="shared" si="93"/>
        <v/>
      </c>
      <c r="FI60" s="452" t="str">
        <f t="shared" si="85"/>
        <v/>
      </c>
      <c r="FJ60" s="452" t="str">
        <f t="shared" si="85"/>
        <v/>
      </c>
      <c r="FK60" s="453" t="str">
        <f t="shared" si="85"/>
        <v/>
      </c>
      <c r="FL60" s="451" t="str">
        <f t="shared" si="71"/>
        <v/>
      </c>
      <c r="FM60" s="452" t="str">
        <f t="shared" si="71"/>
        <v/>
      </c>
      <c r="FN60" s="452" t="str">
        <f t="shared" si="71"/>
        <v/>
      </c>
      <c r="FO60" s="452" t="str">
        <f t="shared" si="71"/>
        <v/>
      </c>
      <c r="FP60" s="453" t="str">
        <f t="shared" si="71"/>
        <v/>
      </c>
      <c r="FQ60" s="451" t="str">
        <f t="shared" si="71"/>
        <v/>
      </c>
      <c r="FR60" s="452" t="str">
        <f t="shared" si="71"/>
        <v/>
      </c>
      <c r="FS60" s="452" t="str">
        <f t="shared" si="71"/>
        <v/>
      </c>
      <c r="FT60" s="452" t="str">
        <f t="shared" si="71"/>
        <v/>
      </c>
      <c r="FU60" s="453" t="str">
        <f t="shared" si="71"/>
        <v/>
      </c>
      <c r="FV60" s="451" t="str">
        <f t="shared" si="71"/>
        <v/>
      </c>
      <c r="FW60" s="452" t="str">
        <f t="shared" si="71"/>
        <v/>
      </c>
      <c r="FX60" s="452" t="str">
        <f t="shared" si="71"/>
        <v/>
      </c>
      <c r="FY60" s="452" t="str">
        <f t="shared" si="71"/>
        <v/>
      </c>
      <c r="FZ60" s="453" t="str">
        <f t="shared" si="74"/>
        <v/>
      </c>
      <c r="GA60" s="451" t="str">
        <f t="shared" si="74"/>
        <v/>
      </c>
      <c r="GB60" s="452" t="str">
        <f t="shared" si="74"/>
        <v/>
      </c>
      <c r="GC60" s="452" t="str">
        <f t="shared" si="74"/>
        <v/>
      </c>
      <c r="GD60" s="452" t="str">
        <f t="shared" si="74"/>
        <v/>
      </c>
      <c r="GE60" s="453" t="str">
        <f t="shared" si="74"/>
        <v/>
      </c>
      <c r="GF60" s="451" t="str">
        <f t="shared" si="74"/>
        <v/>
      </c>
      <c r="GG60" s="452" t="str">
        <f t="shared" si="74"/>
        <v/>
      </c>
      <c r="GH60" s="452" t="str">
        <f t="shared" si="74"/>
        <v/>
      </c>
      <c r="GI60" s="452" t="str">
        <f t="shared" si="74"/>
        <v/>
      </c>
      <c r="GJ60" s="453" t="str">
        <f t="shared" si="74"/>
        <v/>
      </c>
      <c r="GK60" s="451" t="str">
        <f t="shared" si="74"/>
        <v/>
      </c>
      <c r="GL60" s="452" t="str">
        <f t="shared" si="74"/>
        <v/>
      </c>
      <c r="GM60" s="452" t="str">
        <f t="shared" si="74"/>
        <v/>
      </c>
      <c r="GN60" s="452" t="str">
        <f t="shared" si="74"/>
        <v/>
      </c>
      <c r="GO60" s="453" t="str">
        <f t="shared" si="74"/>
        <v/>
      </c>
      <c r="GP60" s="451" t="str">
        <f t="shared" si="74"/>
        <v/>
      </c>
      <c r="GQ60" s="452" t="str">
        <f t="shared" si="86"/>
        <v/>
      </c>
      <c r="GR60" s="452" t="str">
        <f t="shared" si="86"/>
        <v/>
      </c>
      <c r="GS60" s="452" t="str">
        <f t="shared" si="86"/>
        <v/>
      </c>
      <c r="GT60" s="453" t="str">
        <f t="shared" si="86"/>
        <v/>
      </c>
      <c r="GU60" s="451" t="str">
        <f t="shared" si="86"/>
        <v/>
      </c>
      <c r="GV60" s="452" t="str">
        <f t="shared" si="86"/>
        <v/>
      </c>
      <c r="GW60" s="452" t="str">
        <f t="shared" si="86"/>
        <v/>
      </c>
      <c r="GX60" s="452" t="str">
        <f t="shared" si="86"/>
        <v/>
      </c>
      <c r="GY60" s="453" t="str">
        <f t="shared" si="86"/>
        <v/>
      </c>
      <c r="GZ60" s="451" t="str">
        <f t="shared" si="86"/>
        <v/>
      </c>
      <c r="HA60" s="452" t="str">
        <f t="shared" si="86"/>
        <v/>
      </c>
      <c r="HB60" s="452" t="str">
        <f t="shared" si="86"/>
        <v/>
      </c>
      <c r="HC60" s="452" t="str">
        <f t="shared" si="86"/>
        <v/>
      </c>
      <c r="HD60" s="453" t="str">
        <f t="shared" si="86"/>
        <v/>
      </c>
      <c r="HE60" s="451" t="str">
        <f t="shared" si="86"/>
        <v/>
      </c>
      <c r="HF60" s="452" t="str">
        <f t="shared" si="86"/>
        <v/>
      </c>
      <c r="HG60" s="452" t="str">
        <f t="shared" ref="HG60:HV77" si="94">IF(AND(HG$2&gt;=$J60,HG$2&lt;=$K60),1,"")</f>
        <v/>
      </c>
      <c r="HH60" s="452" t="str">
        <f t="shared" si="94"/>
        <v/>
      </c>
      <c r="HI60" s="453" t="str">
        <f t="shared" si="94"/>
        <v/>
      </c>
      <c r="HJ60" s="451" t="str">
        <f t="shared" si="94"/>
        <v/>
      </c>
      <c r="HK60" s="452" t="str">
        <f t="shared" si="94"/>
        <v/>
      </c>
      <c r="HL60" s="452" t="str">
        <f t="shared" si="94"/>
        <v/>
      </c>
      <c r="HM60" s="452" t="str">
        <f t="shared" si="94"/>
        <v/>
      </c>
      <c r="HN60" s="453" t="str">
        <f t="shared" si="94"/>
        <v/>
      </c>
      <c r="HO60" s="451" t="str">
        <f t="shared" si="87"/>
        <v/>
      </c>
      <c r="HP60" s="452" t="str">
        <f t="shared" si="87"/>
        <v/>
      </c>
      <c r="HQ60" s="452" t="str">
        <f t="shared" si="87"/>
        <v/>
      </c>
      <c r="HR60" s="452" t="str">
        <f t="shared" si="87"/>
        <v/>
      </c>
      <c r="HS60" s="453" t="str">
        <f t="shared" si="87"/>
        <v/>
      </c>
      <c r="HT60" s="451" t="str">
        <f t="shared" si="87"/>
        <v/>
      </c>
      <c r="HU60" s="452" t="str">
        <f t="shared" si="87"/>
        <v/>
      </c>
      <c r="HV60" s="452" t="str">
        <f t="shared" si="87"/>
        <v/>
      </c>
      <c r="HW60" s="452" t="str">
        <f t="shared" si="87"/>
        <v/>
      </c>
      <c r="HX60" s="453" t="str">
        <f t="shared" si="87"/>
        <v/>
      </c>
      <c r="HY60" s="451" t="str">
        <f t="shared" si="87"/>
        <v/>
      </c>
      <c r="HZ60" s="452" t="str">
        <f t="shared" si="63"/>
        <v/>
      </c>
      <c r="IA60" s="452" t="str">
        <f t="shared" ref="IA60:IC63" si="95">IF(AND(IA$2&gt;=$J60,IA$2&lt;=$K60),1,"")</f>
        <v/>
      </c>
      <c r="IB60" s="452" t="str">
        <f t="shared" si="95"/>
        <v/>
      </c>
      <c r="IC60" s="453" t="str">
        <f t="shared" si="95"/>
        <v/>
      </c>
      <c r="ID60" s="451" t="str">
        <f t="shared" si="88"/>
        <v/>
      </c>
      <c r="IE60" s="452" t="str">
        <f t="shared" si="88"/>
        <v/>
      </c>
      <c r="IF60" s="452" t="str">
        <f t="shared" si="88"/>
        <v/>
      </c>
      <c r="IG60" s="452" t="str">
        <f t="shared" si="88"/>
        <v/>
      </c>
      <c r="IH60" s="453" t="str">
        <f t="shared" si="88"/>
        <v/>
      </c>
      <c r="II60" s="451" t="str">
        <f t="shared" si="88"/>
        <v/>
      </c>
      <c r="IJ60" s="452" t="str">
        <f t="shared" si="88"/>
        <v/>
      </c>
      <c r="IK60" s="452" t="str">
        <f t="shared" si="88"/>
        <v/>
      </c>
      <c r="IL60" s="452" t="str">
        <f t="shared" si="88"/>
        <v/>
      </c>
      <c r="IM60" s="453" t="str">
        <f t="shared" si="88"/>
        <v/>
      </c>
      <c r="IN60" s="451" t="str">
        <f t="shared" si="88"/>
        <v/>
      </c>
      <c r="IO60" s="452" t="str">
        <f t="shared" si="88"/>
        <v/>
      </c>
      <c r="IP60" s="452" t="str">
        <f t="shared" si="88"/>
        <v/>
      </c>
      <c r="IQ60" s="452" t="str">
        <f t="shared" si="88"/>
        <v/>
      </c>
      <c r="IR60" s="453" t="str">
        <f t="shared" si="88"/>
        <v/>
      </c>
    </row>
    <row r="61" spans="1:252" x14ac:dyDescent="0.2">
      <c r="A61" s="461">
        <v>6.2</v>
      </c>
      <c r="C61" s="447" t="s">
        <v>1352</v>
      </c>
      <c r="D61" s="447"/>
      <c r="E61" s="448"/>
      <c r="F61" s="448"/>
      <c r="G61" s="448"/>
      <c r="H61" s="448"/>
      <c r="I61" s="448"/>
      <c r="J61" s="449" t="str">
        <f t="shared" si="89"/>
        <v/>
      </c>
      <c r="K61" s="449" t="str">
        <f t="shared" si="90"/>
        <v/>
      </c>
      <c r="L61" s="450">
        <f t="shared" si="0"/>
        <v>0</v>
      </c>
      <c r="M61" s="451" t="str">
        <f t="shared" si="91"/>
        <v/>
      </c>
      <c r="N61" s="452" t="str">
        <f t="shared" si="91"/>
        <v/>
      </c>
      <c r="O61" s="452" t="str">
        <f t="shared" si="91"/>
        <v/>
      </c>
      <c r="P61" s="452" t="str">
        <f t="shared" si="91"/>
        <v/>
      </c>
      <c r="Q61" s="453" t="str">
        <f t="shared" si="91"/>
        <v/>
      </c>
      <c r="R61" s="451" t="str">
        <f t="shared" si="91"/>
        <v/>
      </c>
      <c r="S61" s="452" t="str">
        <f t="shared" si="91"/>
        <v/>
      </c>
      <c r="T61" s="452" t="str">
        <f t="shared" si="91"/>
        <v/>
      </c>
      <c r="U61" s="452" t="str">
        <f t="shared" si="91"/>
        <v/>
      </c>
      <c r="V61" s="453" t="str">
        <f t="shared" si="91"/>
        <v/>
      </c>
      <c r="W61" s="451" t="str">
        <f t="shared" si="91"/>
        <v/>
      </c>
      <c r="X61" s="452" t="str">
        <f t="shared" si="91"/>
        <v/>
      </c>
      <c r="Y61" s="452" t="str">
        <f t="shared" si="91"/>
        <v/>
      </c>
      <c r="Z61" s="452" t="str">
        <f t="shared" si="91"/>
        <v/>
      </c>
      <c r="AA61" s="453" t="str">
        <f t="shared" si="91"/>
        <v/>
      </c>
      <c r="AB61" s="451" t="str">
        <f t="shared" si="91"/>
        <v/>
      </c>
      <c r="AC61" s="452" t="str">
        <f t="shared" si="75"/>
        <v/>
      </c>
      <c r="AD61" s="452" t="str">
        <f t="shared" si="75"/>
        <v/>
      </c>
      <c r="AE61" s="452" t="str">
        <f t="shared" si="75"/>
        <v/>
      </c>
      <c r="AF61" s="453" t="str">
        <f t="shared" si="75"/>
        <v/>
      </c>
      <c r="AG61" s="451" t="str">
        <f t="shared" si="75"/>
        <v/>
      </c>
      <c r="AH61" s="452" t="str">
        <f t="shared" si="75"/>
        <v/>
      </c>
      <c r="AI61" s="452" t="str">
        <f t="shared" si="75"/>
        <v/>
      </c>
      <c r="AJ61" s="452" t="str">
        <f t="shared" si="75"/>
        <v/>
      </c>
      <c r="AK61" s="453" t="str">
        <f t="shared" si="75"/>
        <v/>
      </c>
      <c r="AL61" s="451" t="str">
        <f t="shared" si="75"/>
        <v/>
      </c>
      <c r="AM61" s="452" t="str">
        <f t="shared" si="75"/>
        <v/>
      </c>
      <c r="AN61" s="452" t="str">
        <f t="shared" si="75"/>
        <v/>
      </c>
      <c r="AO61" s="452" t="str">
        <f t="shared" si="75"/>
        <v/>
      </c>
      <c r="AP61" s="453" t="str">
        <f t="shared" si="75"/>
        <v/>
      </c>
      <c r="AQ61" s="451" t="str">
        <f t="shared" si="75"/>
        <v/>
      </c>
      <c r="AR61" s="452" t="str">
        <f t="shared" si="75"/>
        <v/>
      </c>
      <c r="AS61" s="452" t="str">
        <f t="shared" si="78"/>
        <v/>
      </c>
      <c r="AT61" s="452" t="str">
        <f t="shared" si="78"/>
        <v/>
      </c>
      <c r="AU61" s="453" t="str">
        <f t="shared" si="78"/>
        <v/>
      </c>
      <c r="AV61" s="451" t="str">
        <f t="shared" si="78"/>
        <v/>
      </c>
      <c r="AW61" s="452" t="str">
        <f t="shared" si="78"/>
        <v/>
      </c>
      <c r="AX61" s="452" t="str">
        <f t="shared" si="78"/>
        <v/>
      </c>
      <c r="AY61" s="452" t="str">
        <f t="shared" si="78"/>
        <v/>
      </c>
      <c r="AZ61" s="453" t="str">
        <f t="shared" si="78"/>
        <v/>
      </c>
      <c r="BA61" s="451" t="str">
        <f t="shared" si="78"/>
        <v/>
      </c>
      <c r="BB61" s="452" t="str">
        <f t="shared" si="78"/>
        <v/>
      </c>
      <c r="BC61" s="452" t="str">
        <f t="shared" si="78"/>
        <v/>
      </c>
      <c r="BD61" s="452" t="str">
        <f t="shared" si="78"/>
        <v/>
      </c>
      <c r="BE61" s="453" t="str">
        <f t="shared" si="78"/>
        <v/>
      </c>
      <c r="BF61" s="451" t="str">
        <f t="shared" si="78"/>
        <v/>
      </c>
      <c r="BG61" s="452" t="str">
        <f t="shared" si="78"/>
        <v/>
      </c>
      <c r="BH61" s="452" t="str">
        <f t="shared" si="78"/>
        <v/>
      </c>
      <c r="BI61" s="452" t="str">
        <f t="shared" si="92"/>
        <v/>
      </c>
      <c r="BJ61" s="453" t="str">
        <f t="shared" si="92"/>
        <v/>
      </c>
      <c r="BK61" s="451" t="str">
        <f t="shared" si="92"/>
        <v/>
      </c>
      <c r="BL61" s="452" t="str">
        <f t="shared" si="92"/>
        <v/>
      </c>
      <c r="BM61" s="452" t="str">
        <f t="shared" si="92"/>
        <v/>
      </c>
      <c r="BN61" s="452" t="str">
        <f t="shared" si="92"/>
        <v/>
      </c>
      <c r="BO61" s="453" t="str">
        <f t="shared" si="92"/>
        <v/>
      </c>
      <c r="BP61" s="451" t="str">
        <f t="shared" si="92"/>
        <v/>
      </c>
      <c r="BQ61" s="452" t="str">
        <f t="shared" si="92"/>
        <v/>
      </c>
      <c r="BR61" s="452" t="str">
        <f t="shared" si="92"/>
        <v/>
      </c>
      <c r="BS61" s="452" t="str">
        <f t="shared" si="92"/>
        <v/>
      </c>
      <c r="BT61" s="453" t="str">
        <f t="shared" si="92"/>
        <v/>
      </c>
      <c r="BU61" s="451" t="str">
        <f t="shared" si="92"/>
        <v/>
      </c>
      <c r="BV61" s="452" t="str">
        <f t="shared" si="92"/>
        <v/>
      </c>
      <c r="BW61" s="452" t="str">
        <f t="shared" si="92"/>
        <v/>
      </c>
      <c r="BX61" s="452" t="str">
        <f t="shared" si="92"/>
        <v/>
      </c>
      <c r="BY61" s="453" t="str">
        <f t="shared" si="81"/>
        <v/>
      </c>
      <c r="BZ61" s="451" t="str">
        <f t="shared" si="81"/>
        <v/>
      </c>
      <c r="CA61" s="452" t="str">
        <f t="shared" si="81"/>
        <v/>
      </c>
      <c r="CB61" s="452" t="str">
        <f t="shared" si="81"/>
        <v/>
      </c>
      <c r="CC61" s="452" t="str">
        <f t="shared" si="81"/>
        <v/>
      </c>
      <c r="CD61" s="453" t="str">
        <f t="shared" si="81"/>
        <v/>
      </c>
      <c r="CE61" s="451" t="str">
        <f t="shared" si="81"/>
        <v/>
      </c>
      <c r="CF61" s="452" t="str">
        <f t="shared" si="81"/>
        <v/>
      </c>
      <c r="CG61" s="452" t="str">
        <f t="shared" si="81"/>
        <v/>
      </c>
      <c r="CH61" s="452" t="str">
        <f t="shared" si="81"/>
        <v/>
      </c>
      <c r="CI61" s="453" t="str">
        <f t="shared" si="81"/>
        <v/>
      </c>
      <c r="CJ61" s="451" t="str">
        <f t="shared" si="80"/>
        <v/>
      </c>
      <c r="CK61" s="452" t="str">
        <f t="shared" si="80"/>
        <v/>
      </c>
      <c r="CL61" s="452" t="str">
        <f t="shared" si="80"/>
        <v/>
      </c>
      <c r="CM61" s="452" t="str">
        <f t="shared" si="80"/>
        <v/>
      </c>
      <c r="CN61" s="453" t="str">
        <f t="shared" si="80"/>
        <v/>
      </c>
      <c r="CO61" s="451" t="str">
        <f t="shared" si="80"/>
        <v/>
      </c>
      <c r="CP61" s="452" t="str">
        <f t="shared" si="80"/>
        <v/>
      </c>
      <c r="CQ61" s="452" t="str">
        <f t="shared" si="80"/>
        <v/>
      </c>
      <c r="CR61" s="452" t="str">
        <f t="shared" si="80"/>
        <v/>
      </c>
      <c r="CS61" s="453" t="str">
        <f t="shared" si="80"/>
        <v/>
      </c>
      <c r="CT61" s="451" t="str">
        <f t="shared" si="80"/>
        <v/>
      </c>
      <c r="CU61" s="452" t="str">
        <f t="shared" si="80"/>
        <v/>
      </c>
      <c r="CV61" s="452" t="str">
        <f t="shared" si="80"/>
        <v/>
      </c>
      <c r="CW61" s="452" t="str">
        <f t="shared" si="79"/>
        <v/>
      </c>
      <c r="CX61" s="453" t="str">
        <f t="shared" si="79"/>
        <v/>
      </c>
      <c r="CY61" s="451" t="str">
        <f t="shared" si="79"/>
        <v/>
      </c>
      <c r="CZ61" s="452" t="str">
        <f t="shared" si="79"/>
        <v/>
      </c>
      <c r="DA61" s="452" t="str">
        <f t="shared" si="79"/>
        <v/>
      </c>
      <c r="DB61" s="452" t="str">
        <f t="shared" si="79"/>
        <v/>
      </c>
      <c r="DC61" s="453" t="str">
        <f t="shared" si="79"/>
        <v/>
      </c>
      <c r="DD61" s="451" t="str">
        <f t="shared" si="79"/>
        <v/>
      </c>
      <c r="DE61" s="452" t="str">
        <f t="shared" si="84"/>
        <v/>
      </c>
      <c r="DF61" s="452" t="str">
        <f t="shared" si="84"/>
        <v/>
      </c>
      <c r="DG61" s="452" t="str">
        <f t="shared" si="84"/>
        <v/>
      </c>
      <c r="DH61" s="453" t="str">
        <f t="shared" si="84"/>
        <v/>
      </c>
      <c r="DI61" s="451" t="str">
        <f t="shared" si="84"/>
        <v/>
      </c>
      <c r="DJ61" s="452" t="str">
        <f t="shared" si="84"/>
        <v/>
      </c>
      <c r="DK61" s="452" t="str">
        <f t="shared" si="84"/>
        <v/>
      </c>
      <c r="DL61" s="452" t="str">
        <f t="shared" si="84"/>
        <v/>
      </c>
      <c r="DM61" s="453" t="str">
        <f t="shared" si="84"/>
        <v/>
      </c>
      <c r="DN61" s="451" t="str">
        <f t="shared" si="84"/>
        <v/>
      </c>
      <c r="DO61" s="452" t="str">
        <f t="shared" si="84"/>
        <v/>
      </c>
      <c r="DP61" s="452" t="str">
        <f t="shared" si="83"/>
        <v/>
      </c>
      <c r="DQ61" s="452" t="str">
        <f t="shared" si="83"/>
        <v/>
      </c>
      <c r="DR61" s="453" t="str">
        <f t="shared" si="83"/>
        <v/>
      </c>
      <c r="DS61" s="451" t="str">
        <f t="shared" si="83"/>
        <v/>
      </c>
      <c r="DT61" s="452" t="str">
        <f t="shared" si="83"/>
        <v/>
      </c>
      <c r="DU61" s="452" t="str">
        <f t="shared" si="83"/>
        <v/>
      </c>
      <c r="DV61" s="452" t="str">
        <f t="shared" si="83"/>
        <v/>
      </c>
      <c r="DW61" s="453" t="str">
        <f t="shared" si="83"/>
        <v/>
      </c>
      <c r="DX61" s="451" t="str">
        <f t="shared" si="83"/>
        <v/>
      </c>
      <c r="DY61" s="452" t="str">
        <f t="shared" si="83"/>
        <v/>
      </c>
      <c r="DZ61" s="452" t="str">
        <f t="shared" si="83"/>
        <v/>
      </c>
      <c r="EA61" s="452" t="str">
        <f t="shared" si="83"/>
        <v/>
      </c>
      <c r="EB61" s="453" t="str">
        <f t="shared" si="83"/>
        <v/>
      </c>
      <c r="EC61" s="451" t="str">
        <f t="shared" si="82"/>
        <v/>
      </c>
      <c r="ED61" s="452" t="str">
        <f t="shared" si="82"/>
        <v/>
      </c>
      <c r="EE61" s="452" t="str">
        <f t="shared" si="82"/>
        <v/>
      </c>
      <c r="EF61" s="452" t="str">
        <f t="shared" si="82"/>
        <v/>
      </c>
      <c r="EG61" s="453" t="str">
        <f t="shared" si="82"/>
        <v/>
      </c>
      <c r="EH61" s="451" t="str">
        <f t="shared" si="82"/>
        <v/>
      </c>
      <c r="EI61" s="452" t="str">
        <f t="shared" si="82"/>
        <v/>
      </c>
      <c r="EJ61" s="452" t="str">
        <f t="shared" si="82"/>
        <v/>
      </c>
      <c r="EK61" s="452" t="str">
        <f t="shared" si="82"/>
        <v/>
      </c>
      <c r="EL61" s="453" t="str">
        <f t="shared" si="82"/>
        <v/>
      </c>
      <c r="EM61" s="451" t="str">
        <f t="shared" si="82"/>
        <v/>
      </c>
      <c r="EN61" s="452" t="str">
        <f t="shared" si="82"/>
        <v/>
      </c>
      <c r="EO61" s="452" t="str">
        <f t="shared" si="82"/>
        <v/>
      </c>
      <c r="EP61" s="452" t="str">
        <f t="shared" si="82"/>
        <v/>
      </c>
      <c r="EQ61" s="453" t="str">
        <f t="shared" si="82"/>
        <v/>
      </c>
      <c r="ER61" s="451" t="str">
        <f t="shared" si="82"/>
        <v/>
      </c>
      <c r="ES61" s="452" t="str">
        <f t="shared" si="93"/>
        <v/>
      </c>
      <c r="ET61" s="452" t="str">
        <f t="shared" si="93"/>
        <v/>
      </c>
      <c r="EU61" s="452" t="str">
        <f t="shared" si="93"/>
        <v/>
      </c>
      <c r="EV61" s="453" t="str">
        <f t="shared" si="93"/>
        <v/>
      </c>
      <c r="EW61" s="451" t="str">
        <f t="shared" si="93"/>
        <v/>
      </c>
      <c r="EX61" s="452" t="str">
        <f t="shared" si="93"/>
        <v/>
      </c>
      <c r="EY61" s="452" t="str">
        <f t="shared" si="93"/>
        <v/>
      </c>
      <c r="EZ61" s="452" t="str">
        <f t="shared" si="93"/>
        <v/>
      </c>
      <c r="FA61" s="453" t="str">
        <f t="shared" si="93"/>
        <v/>
      </c>
      <c r="FB61" s="451" t="str">
        <f t="shared" si="93"/>
        <v/>
      </c>
      <c r="FC61" s="452" t="str">
        <f t="shared" si="93"/>
        <v/>
      </c>
      <c r="FD61" s="452" t="str">
        <f t="shared" si="93"/>
        <v/>
      </c>
      <c r="FE61" s="452" t="str">
        <f t="shared" si="93"/>
        <v/>
      </c>
      <c r="FF61" s="453" t="str">
        <f t="shared" si="93"/>
        <v/>
      </c>
      <c r="FG61" s="451" t="str">
        <f t="shared" si="93"/>
        <v/>
      </c>
      <c r="FH61" s="452" t="str">
        <f t="shared" si="93"/>
        <v/>
      </c>
      <c r="FI61" s="452" t="str">
        <f t="shared" si="85"/>
        <v/>
      </c>
      <c r="FJ61" s="452" t="str">
        <f t="shared" si="85"/>
        <v/>
      </c>
      <c r="FK61" s="453" t="str">
        <f t="shared" si="85"/>
        <v/>
      </c>
      <c r="FL61" s="451" t="str">
        <f t="shared" si="71"/>
        <v/>
      </c>
      <c r="FM61" s="452" t="str">
        <f t="shared" si="71"/>
        <v/>
      </c>
      <c r="FN61" s="452" t="str">
        <f t="shared" si="71"/>
        <v/>
      </c>
      <c r="FO61" s="452" t="str">
        <f t="shared" si="71"/>
        <v/>
      </c>
      <c r="FP61" s="453" t="str">
        <f t="shared" si="71"/>
        <v/>
      </c>
      <c r="FQ61" s="451" t="str">
        <f t="shared" si="71"/>
        <v/>
      </c>
      <c r="FR61" s="452" t="str">
        <f t="shared" si="71"/>
        <v/>
      </c>
      <c r="FS61" s="452" t="str">
        <f t="shared" si="71"/>
        <v/>
      </c>
      <c r="FT61" s="452" t="str">
        <f t="shared" si="71"/>
        <v/>
      </c>
      <c r="FU61" s="453" t="str">
        <f t="shared" si="71"/>
        <v/>
      </c>
      <c r="FV61" s="451" t="str">
        <f t="shared" si="71"/>
        <v/>
      </c>
      <c r="FW61" s="452" t="str">
        <f t="shared" si="71"/>
        <v/>
      </c>
      <c r="FX61" s="452" t="str">
        <f t="shared" si="71"/>
        <v/>
      </c>
      <c r="FY61" s="452" t="str">
        <f t="shared" si="71"/>
        <v/>
      </c>
      <c r="FZ61" s="453" t="str">
        <f t="shared" si="74"/>
        <v/>
      </c>
      <c r="GA61" s="451" t="str">
        <f t="shared" si="74"/>
        <v/>
      </c>
      <c r="GB61" s="452" t="str">
        <f t="shared" si="74"/>
        <v/>
      </c>
      <c r="GC61" s="452" t="str">
        <f t="shared" si="74"/>
        <v/>
      </c>
      <c r="GD61" s="452" t="str">
        <f t="shared" si="74"/>
        <v/>
      </c>
      <c r="GE61" s="453" t="str">
        <f t="shared" si="74"/>
        <v/>
      </c>
      <c r="GF61" s="451" t="str">
        <f t="shared" si="74"/>
        <v/>
      </c>
      <c r="GG61" s="452" t="str">
        <f t="shared" si="74"/>
        <v/>
      </c>
      <c r="GH61" s="452" t="str">
        <f t="shared" si="74"/>
        <v/>
      </c>
      <c r="GI61" s="452" t="str">
        <f t="shared" si="74"/>
        <v/>
      </c>
      <c r="GJ61" s="453" t="str">
        <f t="shared" si="74"/>
        <v/>
      </c>
      <c r="GK61" s="451" t="str">
        <f t="shared" si="74"/>
        <v/>
      </c>
      <c r="GL61" s="452" t="str">
        <f t="shared" si="74"/>
        <v/>
      </c>
      <c r="GM61" s="452" t="str">
        <f t="shared" si="74"/>
        <v/>
      </c>
      <c r="GN61" s="452" t="str">
        <f t="shared" si="74"/>
        <v/>
      </c>
      <c r="GO61" s="453" t="str">
        <f t="shared" si="74"/>
        <v/>
      </c>
      <c r="GP61" s="451" t="str">
        <f t="shared" si="74"/>
        <v/>
      </c>
      <c r="GQ61" s="452" t="str">
        <f t="shared" si="86"/>
        <v/>
      </c>
      <c r="GR61" s="452" t="str">
        <f t="shared" si="86"/>
        <v/>
      </c>
      <c r="GS61" s="452" t="str">
        <f t="shared" si="86"/>
        <v/>
      </c>
      <c r="GT61" s="453" t="str">
        <f t="shared" si="86"/>
        <v/>
      </c>
      <c r="GU61" s="451" t="str">
        <f t="shared" si="86"/>
        <v/>
      </c>
      <c r="GV61" s="452" t="str">
        <f t="shared" si="86"/>
        <v/>
      </c>
      <c r="GW61" s="452" t="str">
        <f t="shared" si="86"/>
        <v/>
      </c>
      <c r="GX61" s="452" t="str">
        <f t="shared" si="86"/>
        <v/>
      </c>
      <c r="GY61" s="453" t="str">
        <f t="shared" si="86"/>
        <v/>
      </c>
      <c r="GZ61" s="451" t="str">
        <f t="shared" si="86"/>
        <v/>
      </c>
      <c r="HA61" s="452" t="str">
        <f t="shared" si="86"/>
        <v/>
      </c>
      <c r="HB61" s="452" t="str">
        <f t="shared" si="86"/>
        <v/>
      </c>
      <c r="HC61" s="452" t="str">
        <f t="shared" si="86"/>
        <v/>
      </c>
      <c r="HD61" s="453" t="str">
        <f t="shared" si="86"/>
        <v/>
      </c>
      <c r="HE61" s="451" t="str">
        <f t="shared" si="86"/>
        <v/>
      </c>
      <c r="HF61" s="452" t="str">
        <f t="shared" si="86"/>
        <v/>
      </c>
      <c r="HG61" s="452" t="str">
        <f t="shared" si="94"/>
        <v/>
      </c>
      <c r="HH61" s="452" t="str">
        <f t="shared" si="94"/>
        <v/>
      </c>
      <c r="HI61" s="453" t="str">
        <f t="shared" si="94"/>
        <v/>
      </c>
      <c r="HJ61" s="451" t="str">
        <f t="shared" si="94"/>
        <v/>
      </c>
      <c r="HK61" s="452" t="str">
        <f t="shared" si="94"/>
        <v/>
      </c>
      <c r="HL61" s="452" t="str">
        <f t="shared" si="94"/>
        <v/>
      </c>
      <c r="HM61" s="452" t="str">
        <f t="shared" si="94"/>
        <v/>
      </c>
      <c r="HN61" s="453" t="str">
        <f t="shared" si="94"/>
        <v/>
      </c>
      <c r="HO61" s="451" t="str">
        <f t="shared" si="87"/>
        <v/>
      </c>
      <c r="HP61" s="452" t="str">
        <f t="shared" si="87"/>
        <v/>
      </c>
      <c r="HQ61" s="452" t="str">
        <f t="shared" si="87"/>
        <v/>
      </c>
      <c r="HR61" s="452" t="str">
        <f t="shared" si="87"/>
        <v/>
      </c>
      <c r="HS61" s="453" t="str">
        <f t="shared" si="87"/>
        <v/>
      </c>
      <c r="HT61" s="451" t="str">
        <f t="shared" si="87"/>
        <v/>
      </c>
      <c r="HU61" s="452" t="str">
        <f t="shared" si="87"/>
        <v/>
      </c>
      <c r="HV61" s="452" t="str">
        <f t="shared" si="87"/>
        <v/>
      </c>
      <c r="HW61" s="452" t="str">
        <f t="shared" si="87"/>
        <v/>
      </c>
      <c r="HX61" s="453" t="str">
        <f t="shared" si="87"/>
        <v/>
      </c>
      <c r="HY61" s="451" t="str">
        <f t="shared" si="87"/>
        <v/>
      </c>
      <c r="HZ61" s="452" t="str">
        <f t="shared" si="63"/>
        <v/>
      </c>
      <c r="IA61" s="452" t="str">
        <f t="shared" si="95"/>
        <v/>
      </c>
      <c r="IB61" s="452" t="str">
        <f t="shared" si="95"/>
        <v/>
      </c>
      <c r="IC61" s="453" t="str">
        <f t="shared" si="95"/>
        <v/>
      </c>
      <c r="ID61" s="451" t="str">
        <f t="shared" si="88"/>
        <v/>
      </c>
      <c r="IE61" s="452" t="str">
        <f t="shared" si="88"/>
        <v/>
      </c>
      <c r="IF61" s="452" t="str">
        <f t="shared" si="88"/>
        <v/>
      </c>
      <c r="IG61" s="452" t="str">
        <f t="shared" si="88"/>
        <v/>
      </c>
      <c r="IH61" s="453" t="str">
        <f t="shared" si="88"/>
        <v/>
      </c>
      <c r="II61" s="451" t="str">
        <f t="shared" si="88"/>
        <v/>
      </c>
      <c r="IJ61" s="452" t="str">
        <f t="shared" si="88"/>
        <v/>
      </c>
      <c r="IK61" s="452" t="str">
        <f t="shared" si="88"/>
        <v/>
      </c>
      <c r="IL61" s="452" t="str">
        <f t="shared" si="88"/>
        <v/>
      </c>
      <c r="IM61" s="453" t="str">
        <f t="shared" si="88"/>
        <v/>
      </c>
      <c r="IN61" s="451" t="str">
        <f t="shared" si="88"/>
        <v/>
      </c>
      <c r="IO61" s="452" t="str">
        <f t="shared" si="88"/>
        <v/>
      </c>
      <c r="IP61" s="452" t="str">
        <f t="shared" si="88"/>
        <v/>
      </c>
      <c r="IQ61" s="452" t="str">
        <f t="shared" si="88"/>
        <v/>
      </c>
      <c r="IR61" s="453" t="str">
        <f t="shared" si="88"/>
        <v/>
      </c>
    </row>
    <row r="62" spans="1:252" x14ac:dyDescent="0.2">
      <c r="A62" s="461">
        <v>6.3</v>
      </c>
      <c r="C62" s="447" t="s">
        <v>1353</v>
      </c>
      <c r="D62" s="447"/>
      <c r="E62" s="448"/>
      <c r="F62" s="448"/>
      <c r="G62" s="448"/>
      <c r="H62" s="448"/>
      <c r="I62" s="448"/>
      <c r="J62" s="449" t="str">
        <f t="shared" si="89"/>
        <v/>
      </c>
      <c r="K62" s="449" t="str">
        <f t="shared" si="90"/>
        <v/>
      </c>
      <c r="L62" s="450">
        <f t="shared" si="0"/>
        <v>0</v>
      </c>
      <c r="M62" s="451" t="str">
        <f t="shared" si="91"/>
        <v/>
      </c>
      <c r="N62" s="452" t="str">
        <f t="shared" si="91"/>
        <v/>
      </c>
      <c r="O62" s="452" t="str">
        <f t="shared" si="91"/>
        <v/>
      </c>
      <c r="P62" s="452" t="str">
        <f t="shared" si="91"/>
        <v/>
      </c>
      <c r="Q62" s="453" t="str">
        <f t="shared" si="91"/>
        <v/>
      </c>
      <c r="R62" s="451" t="str">
        <f t="shared" si="91"/>
        <v/>
      </c>
      <c r="S62" s="452" t="str">
        <f t="shared" si="91"/>
        <v/>
      </c>
      <c r="T62" s="452" t="str">
        <f t="shared" si="91"/>
        <v/>
      </c>
      <c r="U62" s="452" t="str">
        <f t="shared" si="91"/>
        <v/>
      </c>
      <c r="V62" s="453" t="str">
        <f t="shared" si="91"/>
        <v/>
      </c>
      <c r="W62" s="451" t="str">
        <f t="shared" si="91"/>
        <v/>
      </c>
      <c r="X62" s="452" t="str">
        <f t="shared" si="91"/>
        <v/>
      </c>
      <c r="Y62" s="452" t="str">
        <f t="shared" si="91"/>
        <v/>
      </c>
      <c r="Z62" s="452" t="str">
        <f t="shared" si="91"/>
        <v/>
      </c>
      <c r="AA62" s="453" t="str">
        <f t="shared" si="91"/>
        <v/>
      </c>
      <c r="AB62" s="451" t="str">
        <f t="shared" si="91"/>
        <v/>
      </c>
      <c r="AC62" s="452" t="str">
        <f t="shared" si="75"/>
        <v/>
      </c>
      <c r="AD62" s="452" t="str">
        <f t="shared" si="75"/>
        <v/>
      </c>
      <c r="AE62" s="452" t="str">
        <f t="shared" si="75"/>
        <v/>
      </c>
      <c r="AF62" s="453" t="str">
        <f t="shared" si="75"/>
        <v/>
      </c>
      <c r="AG62" s="451" t="str">
        <f t="shared" si="75"/>
        <v/>
      </c>
      <c r="AH62" s="452" t="str">
        <f t="shared" si="75"/>
        <v/>
      </c>
      <c r="AI62" s="452" t="str">
        <f t="shared" si="75"/>
        <v/>
      </c>
      <c r="AJ62" s="452" t="str">
        <f t="shared" si="75"/>
        <v/>
      </c>
      <c r="AK62" s="453" t="str">
        <f t="shared" si="75"/>
        <v/>
      </c>
      <c r="AL62" s="451" t="str">
        <f t="shared" si="75"/>
        <v/>
      </c>
      <c r="AM62" s="452" t="str">
        <f t="shared" si="75"/>
        <v/>
      </c>
      <c r="AN62" s="452" t="str">
        <f t="shared" si="75"/>
        <v/>
      </c>
      <c r="AO62" s="452" t="str">
        <f t="shared" si="75"/>
        <v/>
      </c>
      <c r="AP62" s="453" t="str">
        <f t="shared" si="75"/>
        <v/>
      </c>
      <c r="AQ62" s="451" t="str">
        <f t="shared" si="75"/>
        <v/>
      </c>
      <c r="AR62" s="452" t="str">
        <f t="shared" si="75"/>
        <v/>
      </c>
      <c r="AS62" s="452" t="str">
        <f t="shared" si="78"/>
        <v/>
      </c>
      <c r="AT62" s="452" t="str">
        <f t="shared" si="78"/>
        <v/>
      </c>
      <c r="AU62" s="453" t="str">
        <f t="shared" si="78"/>
        <v/>
      </c>
      <c r="AV62" s="451" t="str">
        <f t="shared" si="78"/>
        <v/>
      </c>
      <c r="AW62" s="452" t="str">
        <f t="shared" si="78"/>
        <v/>
      </c>
      <c r="AX62" s="452" t="str">
        <f t="shared" si="78"/>
        <v/>
      </c>
      <c r="AY62" s="452" t="str">
        <f t="shared" si="78"/>
        <v/>
      </c>
      <c r="AZ62" s="453" t="str">
        <f t="shared" si="78"/>
        <v/>
      </c>
      <c r="BA62" s="451" t="str">
        <f t="shared" si="78"/>
        <v/>
      </c>
      <c r="BB62" s="452" t="str">
        <f t="shared" si="78"/>
        <v/>
      </c>
      <c r="BC62" s="452" t="str">
        <f t="shared" si="78"/>
        <v/>
      </c>
      <c r="BD62" s="452" t="str">
        <f t="shared" si="78"/>
        <v/>
      </c>
      <c r="BE62" s="453" t="str">
        <f t="shared" si="78"/>
        <v/>
      </c>
      <c r="BF62" s="451" t="str">
        <f t="shared" si="78"/>
        <v/>
      </c>
      <c r="BG62" s="452" t="str">
        <f t="shared" si="78"/>
        <v/>
      </c>
      <c r="BH62" s="452" t="str">
        <f t="shared" si="78"/>
        <v/>
      </c>
      <c r="BI62" s="452" t="str">
        <f t="shared" si="92"/>
        <v/>
      </c>
      <c r="BJ62" s="453" t="str">
        <f t="shared" si="92"/>
        <v/>
      </c>
      <c r="BK62" s="451" t="str">
        <f t="shared" si="92"/>
        <v/>
      </c>
      <c r="BL62" s="452" t="str">
        <f t="shared" si="92"/>
        <v/>
      </c>
      <c r="BM62" s="452" t="str">
        <f t="shared" si="92"/>
        <v/>
      </c>
      <c r="BN62" s="452" t="str">
        <f t="shared" si="92"/>
        <v/>
      </c>
      <c r="BO62" s="453" t="str">
        <f t="shared" si="92"/>
        <v/>
      </c>
      <c r="BP62" s="451" t="str">
        <f t="shared" si="92"/>
        <v/>
      </c>
      <c r="BQ62" s="452" t="str">
        <f t="shared" si="92"/>
        <v/>
      </c>
      <c r="BR62" s="452" t="str">
        <f t="shared" si="92"/>
        <v/>
      </c>
      <c r="BS62" s="452" t="str">
        <f t="shared" si="92"/>
        <v/>
      </c>
      <c r="BT62" s="453" t="str">
        <f t="shared" si="92"/>
        <v/>
      </c>
      <c r="BU62" s="451" t="str">
        <f t="shared" si="92"/>
        <v/>
      </c>
      <c r="BV62" s="452" t="str">
        <f t="shared" si="92"/>
        <v/>
      </c>
      <c r="BW62" s="452" t="str">
        <f t="shared" si="92"/>
        <v/>
      </c>
      <c r="BX62" s="452" t="str">
        <f t="shared" si="92"/>
        <v/>
      </c>
      <c r="BY62" s="453" t="str">
        <f t="shared" si="81"/>
        <v/>
      </c>
      <c r="BZ62" s="451" t="str">
        <f t="shared" si="81"/>
        <v/>
      </c>
      <c r="CA62" s="452" t="str">
        <f t="shared" si="81"/>
        <v/>
      </c>
      <c r="CB62" s="452" t="str">
        <f t="shared" si="81"/>
        <v/>
      </c>
      <c r="CC62" s="452" t="str">
        <f t="shared" si="81"/>
        <v/>
      </c>
      <c r="CD62" s="453" t="str">
        <f t="shared" si="81"/>
        <v/>
      </c>
      <c r="CE62" s="451" t="str">
        <f t="shared" si="81"/>
        <v/>
      </c>
      <c r="CF62" s="452" t="str">
        <f t="shared" si="81"/>
        <v/>
      </c>
      <c r="CG62" s="452" t="str">
        <f t="shared" si="81"/>
        <v/>
      </c>
      <c r="CH62" s="452" t="str">
        <f t="shared" si="81"/>
        <v/>
      </c>
      <c r="CI62" s="453" t="str">
        <f t="shared" si="81"/>
        <v/>
      </c>
      <c r="CJ62" s="451" t="str">
        <f t="shared" si="80"/>
        <v/>
      </c>
      <c r="CK62" s="452" t="str">
        <f t="shared" si="80"/>
        <v/>
      </c>
      <c r="CL62" s="452" t="str">
        <f t="shared" si="80"/>
        <v/>
      </c>
      <c r="CM62" s="452" t="str">
        <f t="shared" si="80"/>
        <v/>
      </c>
      <c r="CN62" s="453" t="str">
        <f t="shared" si="80"/>
        <v/>
      </c>
      <c r="CO62" s="451" t="str">
        <f t="shared" si="80"/>
        <v/>
      </c>
      <c r="CP62" s="452" t="str">
        <f t="shared" si="80"/>
        <v/>
      </c>
      <c r="CQ62" s="452" t="str">
        <f t="shared" si="80"/>
        <v/>
      </c>
      <c r="CR62" s="452" t="str">
        <f t="shared" si="80"/>
        <v/>
      </c>
      <c r="CS62" s="453" t="str">
        <f t="shared" si="80"/>
        <v/>
      </c>
      <c r="CT62" s="451" t="str">
        <f t="shared" si="80"/>
        <v/>
      </c>
      <c r="CU62" s="452" t="str">
        <f t="shared" si="80"/>
        <v/>
      </c>
      <c r="CV62" s="452" t="str">
        <f t="shared" si="80"/>
        <v/>
      </c>
      <c r="CW62" s="452" t="str">
        <f t="shared" si="79"/>
        <v/>
      </c>
      <c r="CX62" s="453" t="str">
        <f t="shared" si="79"/>
        <v/>
      </c>
      <c r="CY62" s="451" t="str">
        <f t="shared" si="79"/>
        <v/>
      </c>
      <c r="CZ62" s="452" t="str">
        <f t="shared" si="79"/>
        <v/>
      </c>
      <c r="DA62" s="452" t="str">
        <f t="shared" si="79"/>
        <v/>
      </c>
      <c r="DB62" s="452" t="str">
        <f t="shared" si="79"/>
        <v/>
      </c>
      <c r="DC62" s="453" t="str">
        <f t="shared" si="79"/>
        <v/>
      </c>
      <c r="DD62" s="451" t="str">
        <f t="shared" si="79"/>
        <v/>
      </c>
      <c r="DE62" s="452" t="str">
        <f t="shared" si="84"/>
        <v/>
      </c>
      <c r="DF62" s="452" t="str">
        <f t="shared" si="84"/>
        <v/>
      </c>
      <c r="DG62" s="452" t="str">
        <f t="shared" si="84"/>
        <v/>
      </c>
      <c r="DH62" s="453" t="str">
        <f t="shared" si="84"/>
        <v/>
      </c>
      <c r="DI62" s="451" t="str">
        <f t="shared" si="84"/>
        <v/>
      </c>
      <c r="DJ62" s="452" t="str">
        <f t="shared" si="84"/>
        <v/>
      </c>
      <c r="DK62" s="452" t="str">
        <f t="shared" si="84"/>
        <v/>
      </c>
      <c r="DL62" s="452" t="str">
        <f t="shared" si="84"/>
        <v/>
      </c>
      <c r="DM62" s="453" t="str">
        <f t="shared" si="84"/>
        <v/>
      </c>
      <c r="DN62" s="451" t="str">
        <f t="shared" si="84"/>
        <v/>
      </c>
      <c r="DO62" s="452" t="str">
        <f t="shared" si="84"/>
        <v/>
      </c>
      <c r="DP62" s="452" t="str">
        <f t="shared" si="83"/>
        <v/>
      </c>
      <c r="DQ62" s="452" t="str">
        <f t="shared" si="83"/>
        <v/>
      </c>
      <c r="DR62" s="453" t="str">
        <f t="shared" si="83"/>
        <v/>
      </c>
      <c r="DS62" s="451" t="str">
        <f t="shared" si="83"/>
        <v/>
      </c>
      <c r="DT62" s="452" t="str">
        <f t="shared" si="83"/>
        <v/>
      </c>
      <c r="DU62" s="452" t="str">
        <f t="shared" si="83"/>
        <v/>
      </c>
      <c r="DV62" s="452" t="str">
        <f t="shared" si="83"/>
        <v/>
      </c>
      <c r="DW62" s="453" t="str">
        <f t="shared" si="83"/>
        <v/>
      </c>
      <c r="DX62" s="451" t="str">
        <f t="shared" si="83"/>
        <v/>
      </c>
      <c r="DY62" s="452" t="str">
        <f t="shared" si="83"/>
        <v/>
      </c>
      <c r="DZ62" s="452" t="str">
        <f t="shared" si="83"/>
        <v/>
      </c>
      <c r="EA62" s="452" t="str">
        <f t="shared" si="83"/>
        <v/>
      </c>
      <c r="EB62" s="453" t="str">
        <f t="shared" si="83"/>
        <v/>
      </c>
      <c r="EC62" s="451" t="str">
        <f t="shared" si="82"/>
        <v/>
      </c>
      <c r="ED62" s="452" t="str">
        <f t="shared" si="82"/>
        <v/>
      </c>
      <c r="EE62" s="452" t="str">
        <f t="shared" si="82"/>
        <v/>
      </c>
      <c r="EF62" s="452" t="str">
        <f t="shared" si="82"/>
        <v/>
      </c>
      <c r="EG62" s="453" t="str">
        <f t="shared" si="82"/>
        <v/>
      </c>
      <c r="EH62" s="451" t="str">
        <f t="shared" si="82"/>
        <v/>
      </c>
      <c r="EI62" s="452" t="str">
        <f t="shared" si="82"/>
        <v/>
      </c>
      <c r="EJ62" s="452" t="str">
        <f t="shared" si="82"/>
        <v/>
      </c>
      <c r="EK62" s="452" t="str">
        <f t="shared" si="82"/>
        <v/>
      </c>
      <c r="EL62" s="453" t="str">
        <f t="shared" si="82"/>
        <v/>
      </c>
      <c r="EM62" s="451" t="str">
        <f t="shared" si="82"/>
        <v/>
      </c>
      <c r="EN62" s="452" t="str">
        <f t="shared" si="82"/>
        <v/>
      </c>
      <c r="EO62" s="452" t="str">
        <f t="shared" si="82"/>
        <v/>
      </c>
      <c r="EP62" s="452" t="str">
        <f t="shared" si="82"/>
        <v/>
      </c>
      <c r="EQ62" s="453" t="str">
        <f t="shared" si="82"/>
        <v/>
      </c>
      <c r="ER62" s="451" t="str">
        <f t="shared" si="82"/>
        <v/>
      </c>
      <c r="ES62" s="452" t="str">
        <f t="shared" si="93"/>
        <v/>
      </c>
      <c r="ET62" s="452" t="str">
        <f t="shared" si="93"/>
        <v/>
      </c>
      <c r="EU62" s="452" t="str">
        <f t="shared" si="93"/>
        <v/>
      </c>
      <c r="EV62" s="453" t="str">
        <f t="shared" si="93"/>
        <v/>
      </c>
      <c r="EW62" s="451" t="str">
        <f t="shared" si="93"/>
        <v/>
      </c>
      <c r="EX62" s="452" t="str">
        <f t="shared" si="93"/>
        <v/>
      </c>
      <c r="EY62" s="452" t="str">
        <f t="shared" si="93"/>
        <v/>
      </c>
      <c r="EZ62" s="452" t="str">
        <f t="shared" si="93"/>
        <v/>
      </c>
      <c r="FA62" s="453" t="str">
        <f t="shared" si="93"/>
        <v/>
      </c>
      <c r="FB62" s="451" t="str">
        <f t="shared" si="93"/>
        <v/>
      </c>
      <c r="FC62" s="452" t="str">
        <f t="shared" si="93"/>
        <v/>
      </c>
      <c r="FD62" s="452" t="str">
        <f t="shared" si="93"/>
        <v/>
      </c>
      <c r="FE62" s="452" t="str">
        <f t="shared" si="93"/>
        <v/>
      </c>
      <c r="FF62" s="453" t="str">
        <f t="shared" si="93"/>
        <v/>
      </c>
      <c r="FG62" s="451" t="str">
        <f t="shared" si="93"/>
        <v/>
      </c>
      <c r="FH62" s="452" t="str">
        <f t="shared" si="93"/>
        <v/>
      </c>
      <c r="FI62" s="452" t="str">
        <f t="shared" si="85"/>
        <v/>
      </c>
      <c r="FJ62" s="452" t="str">
        <f t="shared" si="85"/>
        <v/>
      </c>
      <c r="FK62" s="453" t="str">
        <f t="shared" si="85"/>
        <v/>
      </c>
      <c r="FL62" s="451" t="str">
        <f t="shared" si="71"/>
        <v/>
      </c>
      <c r="FM62" s="452" t="str">
        <f t="shared" si="71"/>
        <v/>
      </c>
      <c r="FN62" s="452" t="str">
        <f t="shared" si="71"/>
        <v/>
      </c>
      <c r="FO62" s="452" t="str">
        <f t="shared" si="71"/>
        <v/>
      </c>
      <c r="FP62" s="453" t="str">
        <f t="shared" si="71"/>
        <v/>
      </c>
      <c r="FQ62" s="451" t="str">
        <f t="shared" si="71"/>
        <v/>
      </c>
      <c r="FR62" s="452" t="str">
        <f t="shared" si="71"/>
        <v/>
      </c>
      <c r="FS62" s="452" t="str">
        <f t="shared" si="71"/>
        <v/>
      </c>
      <c r="FT62" s="452" t="str">
        <f t="shared" si="71"/>
        <v/>
      </c>
      <c r="FU62" s="453" t="str">
        <f t="shared" si="71"/>
        <v/>
      </c>
      <c r="FV62" s="451" t="str">
        <f t="shared" si="71"/>
        <v/>
      </c>
      <c r="FW62" s="452" t="str">
        <f t="shared" si="71"/>
        <v/>
      </c>
      <c r="FX62" s="452" t="str">
        <f t="shared" si="71"/>
        <v/>
      </c>
      <c r="FY62" s="452" t="str">
        <f t="shared" si="71"/>
        <v/>
      </c>
      <c r="FZ62" s="453" t="str">
        <f t="shared" si="74"/>
        <v/>
      </c>
      <c r="GA62" s="451" t="str">
        <f t="shared" si="74"/>
        <v/>
      </c>
      <c r="GB62" s="452" t="str">
        <f t="shared" si="74"/>
        <v/>
      </c>
      <c r="GC62" s="452" t="str">
        <f t="shared" si="74"/>
        <v/>
      </c>
      <c r="GD62" s="452" t="str">
        <f t="shared" si="74"/>
        <v/>
      </c>
      <c r="GE62" s="453" t="str">
        <f t="shared" si="74"/>
        <v/>
      </c>
      <c r="GF62" s="451" t="str">
        <f t="shared" si="74"/>
        <v/>
      </c>
      <c r="GG62" s="452" t="str">
        <f t="shared" si="74"/>
        <v/>
      </c>
      <c r="GH62" s="452" t="str">
        <f t="shared" si="74"/>
        <v/>
      </c>
      <c r="GI62" s="452" t="str">
        <f t="shared" si="74"/>
        <v/>
      </c>
      <c r="GJ62" s="453" t="str">
        <f t="shared" si="74"/>
        <v/>
      </c>
      <c r="GK62" s="451" t="str">
        <f t="shared" si="74"/>
        <v/>
      </c>
      <c r="GL62" s="452" t="str">
        <f t="shared" si="74"/>
        <v/>
      </c>
      <c r="GM62" s="452" t="str">
        <f t="shared" si="74"/>
        <v/>
      </c>
      <c r="GN62" s="452" t="str">
        <f t="shared" si="74"/>
        <v/>
      </c>
      <c r="GO62" s="453" t="str">
        <f t="shared" si="74"/>
        <v/>
      </c>
      <c r="GP62" s="451" t="str">
        <f t="shared" si="74"/>
        <v/>
      </c>
      <c r="GQ62" s="452" t="str">
        <f t="shared" si="86"/>
        <v/>
      </c>
      <c r="GR62" s="452" t="str">
        <f t="shared" si="86"/>
        <v/>
      </c>
      <c r="GS62" s="452" t="str">
        <f t="shared" si="86"/>
        <v/>
      </c>
      <c r="GT62" s="453" t="str">
        <f t="shared" si="86"/>
        <v/>
      </c>
      <c r="GU62" s="451" t="str">
        <f t="shared" si="86"/>
        <v/>
      </c>
      <c r="GV62" s="452" t="str">
        <f t="shared" si="86"/>
        <v/>
      </c>
      <c r="GW62" s="452" t="str">
        <f t="shared" si="86"/>
        <v/>
      </c>
      <c r="GX62" s="452" t="str">
        <f t="shared" si="86"/>
        <v/>
      </c>
      <c r="GY62" s="453" t="str">
        <f t="shared" si="86"/>
        <v/>
      </c>
      <c r="GZ62" s="451" t="str">
        <f t="shared" si="86"/>
        <v/>
      </c>
      <c r="HA62" s="452" t="str">
        <f t="shared" si="86"/>
        <v/>
      </c>
      <c r="HB62" s="452" t="str">
        <f t="shared" si="86"/>
        <v/>
      </c>
      <c r="HC62" s="452" t="str">
        <f t="shared" si="86"/>
        <v/>
      </c>
      <c r="HD62" s="453" t="str">
        <f t="shared" si="86"/>
        <v/>
      </c>
      <c r="HE62" s="451" t="str">
        <f t="shared" si="86"/>
        <v/>
      </c>
      <c r="HF62" s="452" t="str">
        <f t="shared" si="86"/>
        <v/>
      </c>
      <c r="HG62" s="452" t="str">
        <f t="shared" si="94"/>
        <v/>
      </c>
      <c r="HH62" s="452" t="str">
        <f t="shared" si="94"/>
        <v/>
      </c>
      <c r="HI62" s="453" t="str">
        <f t="shared" si="94"/>
        <v/>
      </c>
      <c r="HJ62" s="451" t="str">
        <f t="shared" si="94"/>
        <v/>
      </c>
      <c r="HK62" s="452" t="str">
        <f t="shared" si="94"/>
        <v/>
      </c>
      <c r="HL62" s="452" t="str">
        <f t="shared" si="94"/>
        <v/>
      </c>
      <c r="HM62" s="452" t="str">
        <f t="shared" si="94"/>
        <v/>
      </c>
      <c r="HN62" s="453" t="str">
        <f t="shared" si="94"/>
        <v/>
      </c>
      <c r="HO62" s="451" t="str">
        <f t="shared" si="87"/>
        <v/>
      </c>
      <c r="HP62" s="452" t="str">
        <f t="shared" si="87"/>
        <v/>
      </c>
      <c r="HQ62" s="452" t="str">
        <f t="shared" si="87"/>
        <v/>
      </c>
      <c r="HR62" s="452" t="str">
        <f t="shared" si="87"/>
        <v/>
      </c>
      <c r="HS62" s="453" t="str">
        <f t="shared" si="87"/>
        <v/>
      </c>
      <c r="HT62" s="451" t="str">
        <f t="shared" si="87"/>
        <v/>
      </c>
      <c r="HU62" s="452" t="str">
        <f t="shared" si="87"/>
        <v/>
      </c>
      <c r="HV62" s="452" t="str">
        <f t="shared" si="87"/>
        <v/>
      </c>
      <c r="HW62" s="452" t="str">
        <f t="shared" si="87"/>
        <v/>
      </c>
      <c r="HX62" s="453" t="str">
        <f t="shared" si="87"/>
        <v/>
      </c>
      <c r="HY62" s="451" t="str">
        <f t="shared" si="87"/>
        <v/>
      </c>
      <c r="HZ62" s="452" t="str">
        <f t="shared" si="63"/>
        <v/>
      </c>
      <c r="IA62" s="452" t="str">
        <f t="shared" si="95"/>
        <v/>
      </c>
      <c r="IB62" s="452" t="str">
        <f t="shared" si="95"/>
        <v/>
      </c>
      <c r="IC62" s="453" t="str">
        <f t="shared" si="95"/>
        <v/>
      </c>
      <c r="ID62" s="451" t="str">
        <f t="shared" si="88"/>
        <v/>
      </c>
      <c r="IE62" s="452" t="str">
        <f t="shared" si="88"/>
        <v/>
      </c>
      <c r="IF62" s="452" t="str">
        <f t="shared" si="88"/>
        <v/>
      </c>
      <c r="IG62" s="452" t="str">
        <f t="shared" si="88"/>
        <v/>
      </c>
      <c r="IH62" s="453" t="str">
        <f t="shared" si="88"/>
        <v/>
      </c>
      <c r="II62" s="451" t="str">
        <f t="shared" si="88"/>
        <v/>
      </c>
      <c r="IJ62" s="452" t="str">
        <f t="shared" si="88"/>
        <v/>
      </c>
      <c r="IK62" s="452" t="str">
        <f t="shared" si="88"/>
        <v/>
      </c>
      <c r="IL62" s="452" t="str">
        <f t="shared" si="88"/>
        <v/>
      </c>
      <c r="IM62" s="453" t="str">
        <f t="shared" si="88"/>
        <v/>
      </c>
      <c r="IN62" s="451" t="str">
        <f t="shared" si="88"/>
        <v/>
      </c>
      <c r="IO62" s="452" t="str">
        <f t="shared" si="88"/>
        <v/>
      </c>
      <c r="IP62" s="452" t="str">
        <f t="shared" si="88"/>
        <v/>
      </c>
      <c r="IQ62" s="452" t="str">
        <f t="shared" si="88"/>
        <v/>
      </c>
      <c r="IR62" s="453" t="str">
        <f t="shared" si="88"/>
        <v/>
      </c>
    </row>
    <row r="63" spans="1:252" x14ac:dyDescent="0.2">
      <c r="A63" s="461">
        <v>6.4</v>
      </c>
      <c r="C63" s="447" t="s">
        <v>1354</v>
      </c>
      <c r="D63" s="447"/>
      <c r="E63" s="448"/>
      <c r="F63" s="448"/>
      <c r="G63" s="448"/>
      <c r="H63" s="448"/>
      <c r="I63" s="448"/>
      <c r="J63" s="449" t="str">
        <f t="shared" si="89"/>
        <v/>
      </c>
      <c r="K63" s="449" t="str">
        <f t="shared" si="90"/>
        <v/>
      </c>
      <c r="L63" s="450">
        <f t="shared" si="0"/>
        <v>0</v>
      </c>
      <c r="M63" s="451" t="str">
        <f t="shared" si="91"/>
        <v/>
      </c>
      <c r="N63" s="452" t="str">
        <f t="shared" si="91"/>
        <v/>
      </c>
      <c r="O63" s="452" t="str">
        <f t="shared" si="91"/>
        <v/>
      </c>
      <c r="P63" s="452" t="str">
        <f t="shared" si="91"/>
        <v/>
      </c>
      <c r="Q63" s="453" t="str">
        <f t="shared" si="91"/>
        <v/>
      </c>
      <c r="R63" s="451" t="str">
        <f t="shared" si="91"/>
        <v/>
      </c>
      <c r="S63" s="452" t="str">
        <f t="shared" si="91"/>
        <v/>
      </c>
      <c r="T63" s="452" t="str">
        <f t="shared" si="91"/>
        <v/>
      </c>
      <c r="U63" s="452" t="str">
        <f t="shared" si="91"/>
        <v/>
      </c>
      <c r="V63" s="453" t="str">
        <f t="shared" si="91"/>
        <v/>
      </c>
      <c r="W63" s="451" t="str">
        <f t="shared" si="91"/>
        <v/>
      </c>
      <c r="X63" s="452" t="str">
        <f t="shared" si="91"/>
        <v/>
      </c>
      <c r="Y63" s="452" t="str">
        <f t="shared" si="91"/>
        <v/>
      </c>
      <c r="Z63" s="452" t="str">
        <f t="shared" si="91"/>
        <v/>
      </c>
      <c r="AA63" s="453" t="str">
        <f t="shared" si="91"/>
        <v/>
      </c>
      <c r="AB63" s="451" t="str">
        <f t="shared" si="91"/>
        <v/>
      </c>
      <c r="AC63" s="452" t="str">
        <f t="shared" si="75"/>
        <v/>
      </c>
      <c r="AD63" s="452" t="str">
        <f t="shared" si="75"/>
        <v/>
      </c>
      <c r="AE63" s="452" t="str">
        <f t="shared" si="75"/>
        <v/>
      </c>
      <c r="AF63" s="453" t="str">
        <f t="shared" si="75"/>
        <v/>
      </c>
      <c r="AG63" s="451" t="str">
        <f t="shared" si="75"/>
        <v/>
      </c>
      <c r="AH63" s="452" t="str">
        <f t="shared" si="75"/>
        <v/>
      </c>
      <c r="AI63" s="452" t="str">
        <f t="shared" si="75"/>
        <v/>
      </c>
      <c r="AJ63" s="452" t="str">
        <f t="shared" si="75"/>
        <v/>
      </c>
      <c r="AK63" s="453" t="str">
        <f t="shared" si="75"/>
        <v/>
      </c>
      <c r="AL63" s="451" t="str">
        <f t="shared" si="75"/>
        <v/>
      </c>
      <c r="AM63" s="452" t="str">
        <f t="shared" si="75"/>
        <v/>
      </c>
      <c r="AN63" s="452" t="str">
        <f t="shared" si="75"/>
        <v/>
      </c>
      <c r="AO63" s="452" t="str">
        <f t="shared" si="75"/>
        <v/>
      </c>
      <c r="AP63" s="453" t="str">
        <f t="shared" si="75"/>
        <v/>
      </c>
      <c r="AQ63" s="451" t="str">
        <f t="shared" si="75"/>
        <v/>
      </c>
      <c r="AR63" s="452" t="str">
        <f t="shared" si="75"/>
        <v/>
      </c>
      <c r="AS63" s="452" t="str">
        <f t="shared" si="78"/>
        <v/>
      </c>
      <c r="AT63" s="452" t="str">
        <f t="shared" si="78"/>
        <v/>
      </c>
      <c r="AU63" s="453" t="str">
        <f t="shared" si="78"/>
        <v/>
      </c>
      <c r="AV63" s="451" t="str">
        <f t="shared" si="78"/>
        <v/>
      </c>
      <c r="AW63" s="452" t="str">
        <f t="shared" si="78"/>
        <v/>
      </c>
      <c r="AX63" s="452" t="str">
        <f t="shared" si="78"/>
        <v/>
      </c>
      <c r="AY63" s="452" t="str">
        <f t="shared" si="78"/>
        <v/>
      </c>
      <c r="AZ63" s="453" t="str">
        <f t="shared" si="78"/>
        <v/>
      </c>
      <c r="BA63" s="451" t="str">
        <f t="shared" si="78"/>
        <v/>
      </c>
      <c r="BB63" s="452" t="str">
        <f t="shared" si="78"/>
        <v/>
      </c>
      <c r="BC63" s="452" t="str">
        <f t="shared" si="78"/>
        <v/>
      </c>
      <c r="BD63" s="452" t="str">
        <f t="shared" si="78"/>
        <v/>
      </c>
      <c r="BE63" s="453" t="str">
        <f t="shared" si="78"/>
        <v/>
      </c>
      <c r="BF63" s="451" t="str">
        <f t="shared" si="78"/>
        <v/>
      </c>
      <c r="BG63" s="452" t="str">
        <f t="shared" si="78"/>
        <v/>
      </c>
      <c r="BH63" s="452" t="str">
        <f t="shared" si="78"/>
        <v/>
      </c>
      <c r="BI63" s="452" t="str">
        <f t="shared" si="92"/>
        <v/>
      </c>
      <c r="BJ63" s="453" t="str">
        <f t="shared" si="92"/>
        <v/>
      </c>
      <c r="BK63" s="451" t="str">
        <f t="shared" si="92"/>
        <v/>
      </c>
      <c r="BL63" s="452" t="str">
        <f t="shared" si="92"/>
        <v/>
      </c>
      <c r="BM63" s="452" t="str">
        <f t="shared" si="92"/>
        <v/>
      </c>
      <c r="BN63" s="452" t="str">
        <f t="shared" si="92"/>
        <v/>
      </c>
      <c r="BO63" s="453" t="str">
        <f t="shared" si="92"/>
        <v/>
      </c>
      <c r="BP63" s="451" t="str">
        <f t="shared" si="92"/>
        <v/>
      </c>
      <c r="BQ63" s="452" t="str">
        <f t="shared" si="92"/>
        <v/>
      </c>
      <c r="BR63" s="452" t="str">
        <f t="shared" si="92"/>
        <v/>
      </c>
      <c r="BS63" s="452" t="str">
        <f t="shared" si="92"/>
        <v/>
      </c>
      <c r="BT63" s="453" t="str">
        <f t="shared" si="92"/>
        <v/>
      </c>
      <c r="BU63" s="451" t="str">
        <f t="shared" si="92"/>
        <v/>
      </c>
      <c r="BV63" s="452" t="str">
        <f t="shared" si="92"/>
        <v/>
      </c>
      <c r="BW63" s="452" t="str">
        <f t="shared" si="92"/>
        <v/>
      </c>
      <c r="BX63" s="452" t="str">
        <f t="shared" si="92"/>
        <v/>
      </c>
      <c r="BY63" s="453" t="str">
        <f t="shared" si="81"/>
        <v/>
      </c>
      <c r="BZ63" s="451" t="str">
        <f t="shared" si="81"/>
        <v/>
      </c>
      <c r="CA63" s="452" t="str">
        <f t="shared" si="81"/>
        <v/>
      </c>
      <c r="CB63" s="452" t="str">
        <f t="shared" si="81"/>
        <v/>
      </c>
      <c r="CC63" s="452" t="str">
        <f t="shared" si="81"/>
        <v/>
      </c>
      <c r="CD63" s="453" t="str">
        <f t="shared" si="81"/>
        <v/>
      </c>
      <c r="CE63" s="451" t="str">
        <f t="shared" si="81"/>
        <v/>
      </c>
      <c r="CF63" s="452" t="str">
        <f t="shared" si="81"/>
        <v/>
      </c>
      <c r="CG63" s="452" t="str">
        <f t="shared" si="81"/>
        <v/>
      </c>
      <c r="CH63" s="452" t="str">
        <f t="shared" si="81"/>
        <v/>
      </c>
      <c r="CI63" s="453" t="str">
        <f t="shared" si="81"/>
        <v/>
      </c>
      <c r="CJ63" s="451" t="str">
        <f t="shared" si="80"/>
        <v/>
      </c>
      <c r="CK63" s="452" t="str">
        <f t="shared" si="80"/>
        <v/>
      </c>
      <c r="CL63" s="452" t="str">
        <f t="shared" si="80"/>
        <v/>
      </c>
      <c r="CM63" s="452" t="str">
        <f t="shared" si="80"/>
        <v/>
      </c>
      <c r="CN63" s="453" t="str">
        <f t="shared" si="80"/>
        <v/>
      </c>
      <c r="CO63" s="451" t="str">
        <f t="shared" si="80"/>
        <v/>
      </c>
      <c r="CP63" s="452" t="str">
        <f t="shared" si="80"/>
        <v/>
      </c>
      <c r="CQ63" s="452" t="str">
        <f t="shared" si="80"/>
        <v/>
      </c>
      <c r="CR63" s="452" t="str">
        <f t="shared" si="80"/>
        <v/>
      </c>
      <c r="CS63" s="453" t="str">
        <f t="shared" si="80"/>
        <v/>
      </c>
      <c r="CT63" s="451" t="str">
        <f t="shared" si="80"/>
        <v/>
      </c>
      <c r="CU63" s="452" t="str">
        <f t="shared" si="80"/>
        <v/>
      </c>
      <c r="CV63" s="452" t="str">
        <f t="shared" si="80"/>
        <v/>
      </c>
      <c r="CW63" s="452" t="str">
        <f t="shared" si="79"/>
        <v/>
      </c>
      <c r="CX63" s="453" t="str">
        <f t="shared" si="79"/>
        <v/>
      </c>
      <c r="CY63" s="451" t="str">
        <f t="shared" si="79"/>
        <v/>
      </c>
      <c r="CZ63" s="452" t="str">
        <f t="shared" si="79"/>
        <v/>
      </c>
      <c r="DA63" s="452" t="str">
        <f t="shared" si="79"/>
        <v/>
      </c>
      <c r="DB63" s="452" t="str">
        <f t="shared" si="79"/>
        <v/>
      </c>
      <c r="DC63" s="453" t="str">
        <f t="shared" si="79"/>
        <v/>
      </c>
      <c r="DD63" s="451" t="str">
        <f t="shared" si="79"/>
        <v/>
      </c>
      <c r="DE63" s="452" t="str">
        <f t="shared" si="84"/>
        <v/>
      </c>
      <c r="DF63" s="452" t="str">
        <f t="shared" si="84"/>
        <v/>
      </c>
      <c r="DG63" s="452" t="str">
        <f t="shared" si="84"/>
        <v/>
      </c>
      <c r="DH63" s="453" t="str">
        <f t="shared" si="84"/>
        <v/>
      </c>
      <c r="DI63" s="451" t="str">
        <f t="shared" si="84"/>
        <v/>
      </c>
      <c r="DJ63" s="452" t="str">
        <f t="shared" si="84"/>
        <v/>
      </c>
      <c r="DK63" s="452" t="str">
        <f t="shared" si="84"/>
        <v/>
      </c>
      <c r="DL63" s="452" t="str">
        <f t="shared" si="84"/>
        <v/>
      </c>
      <c r="DM63" s="453" t="str">
        <f t="shared" si="84"/>
        <v/>
      </c>
      <c r="DN63" s="451" t="str">
        <f t="shared" si="84"/>
        <v/>
      </c>
      <c r="DO63" s="452" t="str">
        <f t="shared" si="84"/>
        <v/>
      </c>
      <c r="DP63" s="452" t="str">
        <f t="shared" si="83"/>
        <v/>
      </c>
      <c r="DQ63" s="452" t="str">
        <f t="shared" si="83"/>
        <v/>
      </c>
      <c r="DR63" s="453" t="str">
        <f t="shared" si="83"/>
        <v/>
      </c>
      <c r="DS63" s="451" t="str">
        <f t="shared" si="83"/>
        <v/>
      </c>
      <c r="DT63" s="452" t="str">
        <f t="shared" si="83"/>
        <v/>
      </c>
      <c r="DU63" s="452" t="str">
        <f t="shared" si="83"/>
        <v/>
      </c>
      <c r="DV63" s="452" t="str">
        <f t="shared" si="83"/>
        <v/>
      </c>
      <c r="DW63" s="453" t="str">
        <f t="shared" si="83"/>
        <v/>
      </c>
      <c r="DX63" s="451" t="str">
        <f t="shared" si="83"/>
        <v/>
      </c>
      <c r="DY63" s="452" t="str">
        <f t="shared" si="83"/>
        <v/>
      </c>
      <c r="DZ63" s="452" t="str">
        <f t="shared" si="83"/>
        <v/>
      </c>
      <c r="EA63" s="452" t="str">
        <f t="shared" si="83"/>
        <v/>
      </c>
      <c r="EB63" s="453" t="str">
        <f t="shared" si="83"/>
        <v/>
      </c>
      <c r="EC63" s="451" t="str">
        <f t="shared" si="82"/>
        <v/>
      </c>
      <c r="ED63" s="452" t="str">
        <f t="shared" si="82"/>
        <v/>
      </c>
      <c r="EE63" s="452" t="str">
        <f t="shared" si="82"/>
        <v/>
      </c>
      <c r="EF63" s="452" t="str">
        <f t="shared" si="82"/>
        <v/>
      </c>
      <c r="EG63" s="453" t="str">
        <f t="shared" si="82"/>
        <v/>
      </c>
      <c r="EH63" s="451" t="str">
        <f t="shared" si="82"/>
        <v/>
      </c>
      <c r="EI63" s="452" t="str">
        <f t="shared" si="82"/>
        <v/>
      </c>
      <c r="EJ63" s="452" t="str">
        <f t="shared" si="82"/>
        <v/>
      </c>
      <c r="EK63" s="452" t="str">
        <f t="shared" si="82"/>
        <v/>
      </c>
      <c r="EL63" s="453" t="str">
        <f t="shared" si="82"/>
        <v/>
      </c>
      <c r="EM63" s="451" t="str">
        <f t="shared" si="82"/>
        <v/>
      </c>
      <c r="EN63" s="452" t="str">
        <f t="shared" si="82"/>
        <v/>
      </c>
      <c r="EO63" s="452" t="str">
        <f t="shared" si="82"/>
        <v/>
      </c>
      <c r="EP63" s="452" t="str">
        <f t="shared" si="82"/>
        <v/>
      </c>
      <c r="EQ63" s="453" t="str">
        <f t="shared" si="82"/>
        <v/>
      </c>
      <c r="ER63" s="451" t="str">
        <f t="shared" si="82"/>
        <v/>
      </c>
      <c r="ES63" s="452" t="str">
        <f t="shared" si="93"/>
        <v/>
      </c>
      <c r="ET63" s="452" t="str">
        <f t="shared" si="93"/>
        <v/>
      </c>
      <c r="EU63" s="452" t="str">
        <f t="shared" si="93"/>
        <v/>
      </c>
      <c r="EV63" s="453" t="str">
        <f t="shared" si="93"/>
        <v/>
      </c>
      <c r="EW63" s="451" t="str">
        <f t="shared" si="93"/>
        <v/>
      </c>
      <c r="EX63" s="452" t="str">
        <f t="shared" si="93"/>
        <v/>
      </c>
      <c r="EY63" s="452" t="str">
        <f t="shared" si="93"/>
        <v/>
      </c>
      <c r="EZ63" s="452" t="str">
        <f t="shared" si="93"/>
        <v/>
      </c>
      <c r="FA63" s="453" t="str">
        <f t="shared" si="93"/>
        <v/>
      </c>
      <c r="FB63" s="451" t="str">
        <f t="shared" si="93"/>
        <v/>
      </c>
      <c r="FC63" s="452" t="str">
        <f t="shared" si="93"/>
        <v/>
      </c>
      <c r="FD63" s="452" t="str">
        <f t="shared" si="93"/>
        <v/>
      </c>
      <c r="FE63" s="452" t="str">
        <f t="shared" si="93"/>
        <v/>
      </c>
      <c r="FF63" s="453" t="str">
        <f t="shared" si="93"/>
        <v/>
      </c>
      <c r="FG63" s="451" t="str">
        <f t="shared" si="93"/>
        <v/>
      </c>
      <c r="FH63" s="452" t="str">
        <f t="shared" si="93"/>
        <v/>
      </c>
      <c r="FI63" s="452" t="str">
        <f t="shared" si="85"/>
        <v/>
      </c>
      <c r="FJ63" s="452" t="str">
        <f t="shared" si="85"/>
        <v/>
      </c>
      <c r="FK63" s="453" t="str">
        <f t="shared" si="85"/>
        <v/>
      </c>
      <c r="FL63" s="451" t="str">
        <f t="shared" si="71"/>
        <v/>
      </c>
      <c r="FM63" s="452" t="str">
        <f t="shared" si="71"/>
        <v/>
      </c>
      <c r="FN63" s="452" t="str">
        <f t="shared" si="71"/>
        <v/>
      </c>
      <c r="FO63" s="452" t="str">
        <f t="shared" si="71"/>
        <v/>
      </c>
      <c r="FP63" s="453" t="str">
        <f t="shared" si="71"/>
        <v/>
      </c>
      <c r="FQ63" s="451" t="str">
        <f t="shared" si="71"/>
        <v/>
      </c>
      <c r="FR63" s="452" t="str">
        <f t="shared" si="71"/>
        <v/>
      </c>
      <c r="FS63" s="452" t="str">
        <f t="shared" si="71"/>
        <v/>
      </c>
      <c r="FT63" s="452" t="str">
        <f t="shared" si="71"/>
        <v/>
      </c>
      <c r="FU63" s="453" t="str">
        <f t="shared" si="71"/>
        <v/>
      </c>
      <c r="FV63" s="451" t="str">
        <f t="shared" si="71"/>
        <v/>
      </c>
      <c r="FW63" s="452" t="str">
        <f t="shared" si="71"/>
        <v/>
      </c>
      <c r="FX63" s="452" t="str">
        <f t="shared" si="71"/>
        <v/>
      </c>
      <c r="FY63" s="452" t="str">
        <f t="shared" si="71"/>
        <v/>
      </c>
      <c r="FZ63" s="453" t="str">
        <f t="shared" si="74"/>
        <v/>
      </c>
      <c r="GA63" s="451" t="str">
        <f t="shared" si="74"/>
        <v/>
      </c>
      <c r="GB63" s="452" t="str">
        <f t="shared" si="74"/>
        <v/>
      </c>
      <c r="GC63" s="452" t="str">
        <f t="shared" si="74"/>
        <v/>
      </c>
      <c r="GD63" s="452" t="str">
        <f t="shared" si="74"/>
        <v/>
      </c>
      <c r="GE63" s="453" t="str">
        <f t="shared" si="74"/>
        <v/>
      </c>
      <c r="GF63" s="451" t="str">
        <f t="shared" si="74"/>
        <v/>
      </c>
      <c r="GG63" s="452" t="str">
        <f t="shared" si="74"/>
        <v/>
      </c>
      <c r="GH63" s="452" t="str">
        <f t="shared" si="74"/>
        <v/>
      </c>
      <c r="GI63" s="452" t="str">
        <f t="shared" si="74"/>
        <v/>
      </c>
      <c r="GJ63" s="453" t="str">
        <f t="shared" ref="GJ63:GZ87" si="96">IF(AND(GJ$2&gt;=$J63,GJ$2&lt;=$K63),1,"")</f>
        <v/>
      </c>
      <c r="GK63" s="451" t="str">
        <f t="shared" si="96"/>
        <v/>
      </c>
      <c r="GL63" s="452" t="str">
        <f t="shared" si="96"/>
        <v/>
      </c>
      <c r="GM63" s="452" t="str">
        <f t="shared" si="96"/>
        <v/>
      </c>
      <c r="GN63" s="452" t="str">
        <f t="shared" si="96"/>
        <v/>
      </c>
      <c r="GO63" s="453" t="str">
        <f t="shared" si="96"/>
        <v/>
      </c>
      <c r="GP63" s="451" t="str">
        <f t="shared" si="96"/>
        <v/>
      </c>
      <c r="GQ63" s="452" t="str">
        <f t="shared" si="96"/>
        <v/>
      </c>
      <c r="GR63" s="452" t="str">
        <f t="shared" si="96"/>
        <v/>
      </c>
      <c r="GS63" s="452" t="str">
        <f t="shared" si="96"/>
        <v/>
      </c>
      <c r="GT63" s="453" t="str">
        <f t="shared" si="96"/>
        <v/>
      </c>
      <c r="GU63" s="451" t="str">
        <f t="shared" si="96"/>
        <v/>
      </c>
      <c r="GV63" s="452" t="str">
        <f t="shared" si="96"/>
        <v/>
      </c>
      <c r="GW63" s="452" t="str">
        <f t="shared" si="96"/>
        <v/>
      </c>
      <c r="GX63" s="452" t="str">
        <f t="shared" si="96"/>
        <v/>
      </c>
      <c r="GY63" s="453" t="str">
        <f t="shared" si="96"/>
        <v/>
      </c>
      <c r="GZ63" s="451" t="str">
        <f t="shared" si="86"/>
        <v/>
      </c>
      <c r="HA63" s="452" t="str">
        <f t="shared" si="86"/>
        <v/>
      </c>
      <c r="HB63" s="452" t="str">
        <f t="shared" si="86"/>
        <v/>
      </c>
      <c r="HC63" s="452" t="str">
        <f t="shared" si="86"/>
        <v/>
      </c>
      <c r="HD63" s="453" t="str">
        <f t="shared" si="86"/>
        <v/>
      </c>
      <c r="HE63" s="451" t="str">
        <f t="shared" si="86"/>
        <v/>
      </c>
      <c r="HF63" s="452" t="str">
        <f t="shared" si="86"/>
        <v/>
      </c>
      <c r="HG63" s="452" t="str">
        <f t="shared" si="94"/>
        <v/>
      </c>
      <c r="HH63" s="452" t="str">
        <f t="shared" si="94"/>
        <v/>
      </c>
      <c r="HI63" s="453" t="str">
        <f t="shared" si="94"/>
        <v/>
      </c>
      <c r="HJ63" s="451" t="str">
        <f t="shared" si="94"/>
        <v/>
      </c>
      <c r="HK63" s="452" t="str">
        <f t="shared" si="94"/>
        <v/>
      </c>
      <c r="HL63" s="452" t="str">
        <f t="shared" si="94"/>
        <v/>
      </c>
      <c r="HM63" s="452" t="str">
        <f t="shared" si="94"/>
        <v/>
      </c>
      <c r="HN63" s="453" t="str">
        <f t="shared" si="94"/>
        <v/>
      </c>
      <c r="HO63" s="451" t="str">
        <f t="shared" si="87"/>
        <v/>
      </c>
      <c r="HP63" s="452" t="str">
        <f t="shared" si="87"/>
        <v/>
      </c>
      <c r="HQ63" s="452" t="str">
        <f t="shared" si="87"/>
        <v/>
      </c>
      <c r="HR63" s="452" t="str">
        <f t="shared" si="87"/>
        <v/>
      </c>
      <c r="HS63" s="453" t="str">
        <f t="shared" si="87"/>
        <v/>
      </c>
      <c r="HT63" s="451" t="str">
        <f t="shared" si="87"/>
        <v/>
      </c>
      <c r="HU63" s="452" t="str">
        <f t="shared" si="87"/>
        <v/>
      </c>
      <c r="HV63" s="452" t="str">
        <f t="shared" si="87"/>
        <v/>
      </c>
      <c r="HW63" s="452" t="str">
        <f t="shared" si="87"/>
        <v/>
      </c>
      <c r="HX63" s="453" t="str">
        <f t="shared" si="87"/>
        <v/>
      </c>
      <c r="HY63" s="451" t="str">
        <f t="shared" si="87"/>
        <v/>
      </c>
      <c r="HZ63" s="452" t="str">
        <f t="shared" si="63"/>
        <v/>
      </c>
      <c r="IA63" s="452" t="str">
        <f t="shared" si="95"/>
        <v/>
      </c>
      <c r="IB63" s="452" t="str">
        <f t="shared" si="95"/>
        <v/>
      </c>
      <c r="IC63" s="453" t="str">
        <f t="shared" si="95"/>
        <v/>
      </c>
      <c r="ID63" s="451" t="str">
        <f t="shared" si="88"/>
        <v/>
      </c>
      <c r="IE63" s="452" t="str">
        <f t="shared" si="88"/>
        <v/>
      </c>
      <c r="IF63" s="452" t="str">
        <f t="shared" si="88"/>
        <v/>
      </c>
      <c r="IG63" s="452" t="str">
        <f t="shared" si="88"/>
        <v/>
      </c>
      <c r="IH63" s="453" t="str">
        <f t="shared" si="88"/>
        <v/>
      </c>
      <c r="II63" s="451" t="str">
        <f t="shared" si="88"/>
        <v/>
      </c>
      <c r="IJ63" s="452" t="str">
        <f t="shared" si="88"/>
        <v/>
      </c>
      <c r="IK63" s="452" t="str">
        <f t="shared" si="88"/>
        <v/>
      </c>
      <c r="IL63" s="452" t="str">
        <f t="shared" si="88"/>
        <v/>
      </c>
      <c r="IM63" s="453" t="str">
        <f t="shared" si="88"/>
        <v/>
      </c>
      <c r="IN63" s="451" t="str">
        <f t="shared" si="88"/>
        <v/>
      </c>
      <c r="IO63" s="452" t="str">
        <f t="shared" si="88"/>
        <v/>
      </c>
      <c r="IP63" s="452" t="str">
        <f t="shared" si="88"/>
        <v/>
      </c>
      <c r="IQ63" s="452" t="str">
        <f t="shared" si="88"/>
        <v/>
      </c>
      <c r="IR63" s="453" t="str">
        <f t="shared" si="88"/>
        <v/>
      </c>
    </row>
    <row r="64" spans="1:252" x14ac:dyDescent="0.2">
      <c r="A64" s="461">
        <v>6.5</v>
      </c>
      <c r="C64" s="447" t="s">
        <v>1355</v>
      </c>
      <c r="D64" s="447"/>
      <c r="E64" s="448"/>
      <c r="F64" s="448"/>
      <c r="G64" s="448"/>
      <c r="H64" s="448"/>
      <c r="I64" s="448"/>
      <c r="J64" s="449" t="str">
        <f t="shared" si="89"/>
        <v/>
      </c>
      <c r="K64" s="449" t="str">
        <f t="shared" si="90"/>
        <v/>
      </c>
      <c r="L64" s="450">
        <f t="shared" si="0"/>
        <v>0</v>
      </c>
      <c r="M64" s="451" t="str">
        <f t="shared" si="91"/>
        <v/>
      </c>
      <c r="N64" s="452" t="str">
        <f t="shared" si="91"/>
        <v/>
      </c>
      <c r="O64" s="452" t="str">
        <f t="shared" si="91"/>
        <v/>
      </c>
      <c r="P64" s="452" t="str">
        <f t="shared" si="91"/>
        <v/>
      </c>
      <c r="Q64" s="453" t="str">
        <f t="shared" si="91"/>
        <v/>
      </c>
      <c r="R64" s="451" t="str">
        <f t="shared" si="91"/>
        <v/>
      </c>
      <c r="S64" s="452" t="str">
        <f t="shared" si="91"/>
        <v/>
      </c>
      <c r="T64" s="452" t="str">
        <f t="shared" si="91"/>
        <v/>
      </c>
      <c r="U64" s="452" t="str">
        <f t="shared" si="91"/>
        <v/>
      </c>
      <c r="V64" s="453" t="str">
        <f t="shared" si="91"/>
        <v/>
      </c>
      <c r="W64" s="451" t="str">
        <f t="shared" si="91"/>
        <v/>
      </c>
      <c r="X64" s="452" t="str">
        <f t="shared" si="91"/>
        <v/>
      </c>
      <c r="Y64" s="452" t="str">
        <f t="shared" si="91"/>
        <v/>
      </c>
      <c r="Z64" s="452" t="str">
        <f t="shared" si="91"/>
        <v/>
      </c>
      <c r="AA64" s="453" t="str">
        <f t="shared" si="91"/>
        <v/>
      </c>
      <c r="AB64" s="451" t="str">
        <f t="shared" si="91"/>
        <v/>
      </c>
      <c r="AC64" s="452" t="str">
        <f t="shared" si="75"/>
        <v/>
      </c>
      <c r="AD64" s="452" t="str">
        <f t="shared" si="75"/>
        <v/>
      </c>
      <c r="AE64" s="452" t="str">
        <f t="shared" si="75"/>
        <v/>
      </c>
      <c r="AF64" s="453" t="str">
        <f t="shared" si="75"/>
        <v/>
      </c>
      <c r="AG64" s="451" t="str">
        <f t="shared" si="75"/>
        <v/>
      </c>
      <c r="AH64" s="452" t="str">
        <f t="shared" si="75"/>
        <v/>
      </c>
      <c r="AI64" s="452" t="str">
        <f t="shared" si="75"/>
        <v/>
      </c>
      <c r="AJ64" s="452" t="str">
        <f t="shared" si="75"/>
        <v/>
      </c>
      <c r="AK64" s="453" t="str">
        <f t="shared" ref="AK64:AZ79" si="97">IF(AND(AK$2&gt;=$J64,AK$2&lt;=$K64),1,"")</f>
        <v/>
      </c>
      <c r="AL64" s="451" t="str">
        <f t="shared" si="97"/>
        <v/>
      </c>
      <c r="AM64" s="452" t="str">
        <f t="shared" si="97"/>
        <v/>
      </c>
      <c r="AN64" s="452" t="str">
        <f t="shared" si="97"/>
        <v/>
      </c>
      <c r="AO64" s="452" t="str">
        <f t="shared" si="97"/>
        <v/>
      </c>
      <c r="AP64" s="453" t="str">
        <f t="shared" si="97"/>
        <v/>
      </c>
      <c r="AQ64" s="451" t="str">
        <f t="shared" si="97"/>
        <v/>
      </c>
      <c r="AR64" s="452" t="str">
        <f t="shared" si="97"/>
        <v/>
      </c>
      <c r="AS64" s="452" t="str">
        <f t="shared" si="97"/>
        <v/>
      </c>
      <c r="AT64" s="452" t="str">
        <f t="shared" si="97"/>
        <v/>
      </c>
      <c r="AU64" s="453" t="str">
        <f t="shared" si="97"/>
        <v/>
      </c>
      <c r="AV64" s="451" t="str">
        <f t="shared" si="97"/>
        <v/>
      </c>
      <c r="AW64" s="452" t="str">
        <f t="shared" si="97"/>
        <v/>
      </c>
      <c r="AX64" s="452" t="str">
        <f t="shared" si="97"/>
        <v/>
      </c>
      <c r="AY64" s="452" t="str">
        <f t="shared" si="97"/>
        <v/>
      </c>
      <c r="AZ64" s="453" t="str">
        <f t="shared" si="97"/>
        <v/>
      </c>
      <c r="BA64" s="451" t="str">
        <f t="shared" si="78"/>
        <v/>
      </c>
      <c r="BB64" s="452" t="str">
        <f t="shared" si="78"/>
        <v/>
      </c>
      <c r="BC64" s="452" t="str">
        <f t="shared" si="78"/>
        <v/>
      </c>
      <c r="BD64" s="452" t="str">
        <f t="shared" si="78"/>
        <v/>
      </c>
      <c r="BE64" s="453" t="str">
        <f t="shared" si="78"/>
        <v/>
      </c>
      <c r="BF64" s="451" t="str">
        <f t="shared" si="78"/>
        <v/>
      </c>
      <c r="BG64" s="452" t="str">
        <f t="shared" si="78"/>
        <v/>
      </c>
      <c r="BH64" s="452" t="str">
        <f t="shared" si="78"/>
        <v/>
      </c>
      <c r="BI64" s="452" t="str">
        <f t="shared" si="92"/>
        <v/>
      </c>
      <c r="BJ64" s="453" t="str">
        <f t="shared" si="92"/>
        <v/>
      </c>
      <c r="BK64" s="451" t="str">
        <f t="shared" si="92"/>
        <v/>
      </c>
      <c r="BL64" s="452" t="str">
        <f t="shared" si="92"/>
        <v/>
      </c>
      <c r="BM64" s="452" t="str">
        <f t="shared" si="92"/>
        <v/>
      </c>
      <c r="BN64" s="452" t="str">
        <f t="shared" si="92"/>
        <v/>
      </c>
      <c r="BO64" s="453" t="str">
        <f t="shared" si="92"/>
        <v/>
      </c>
      <c r="BP64" s="451" t="str">
        <f t="shared" si="92"/>
        <v/>
      </c>
      <c r="BQ64" s="452" t="str">
        <f t="shared" si="92"/>
        <v/>
      </c>
      <c r="BR64" s="452" t="str">
        <f t="shared" si="92"/>
        <v/>
      </c>
      <c r="BS64" s="452" t="str">
        <f t="shared" si="92"/>
        <v/>
      </c>
      <c r="BT64" s="453" t="str">
        <f t="shared" si="92"/>
        <v/>
      </c>
      <c r="BU64" s="451" t="str">
        <f t="shared" si="92"/>
        <v/>
      </c>
      <c r="BV64" s="452" t="str">
        <f t="shared" si="92"/>
        <v/>
      </c>
      <c r="BW64" s="452" t="str">
        <f t="shared" si="92"/>
        <v/>
      </c>
      <c r="BX64" s="452" t="str">
        <f t="shared" si="92"/>
        <v/>
      </c>
      <c r="BY64" s="453" t="str">
        <f t="shared" si="81"/>
        <v/>
      </c>
      <c r="BZ64" s="451" t="str">
        <f t="shared" si="81"/>
        <v/>
      </c>
      <c r="CA64" s="452" t="str">
        <f t="shared" si="81"/>
        <v/>
      </c>
      <c r="CB64" s="452" t="str">
        <f t="shared" si="81"/>
        <v/>
      </c>
      <c r="CC64" s="452" t="str">
        <f t="shared" si="81"/>
        <v/>
      </c>
      <c r="CD64" s="453" t="str">
        <f t="shared" si="81"/>
        <v/>
      </c>
      <c r="CE64" s="451" t="str">
        <f t="shared" si="81"/>
        <v/>
      </c>
      <c r="CF64" s="452" t="str">
        <f t="shared" si="81"/>
        <v/>
      </c>
      <c r="CG64" s="452" t="str">
        <f t="shared" si="81"/>
        <v/>
      </c>
      <c r="CH64" s="452" t="str">
        <f t="shared" si="81"/>
        <v/>
      </c>
      <c r="CI64" s="453" t="str">
        <f t="shared" si="81"/>
        <v/>
      </c>
      <c r="CJ64" s="451" t="str">
        <f t="shared" si="81"/>
        <v/>
      </c>
      <c r="CK64" s="452" t="str">
        <f t="shared" si="81"/>
        <v/>
      </c>
      <c r="CL64" s="452" t="str">
        <f t="shared" si="81"/>
        <v/>
      </c>
      <c r="CM64" s="452" t="str">
        <f t="shared" si="81"/>
        <v/>
      </c>
      <c r="CN64" s="453" t="str">
        <f t="shared" si="80"/>
        <v/>
      </c>
      <c r="CO64" s="451" t="str">
        <f t="shared" si="80"/>
        <v/>
      </c>
      <c r="CP64" s="452" t="str">
        <f t="shared" si="80"/>
        <v/>
      </c>
      <c r="CQ64" s="452" t="str">
        <f t="shared" si="80"/>
        <v/>
      </c>
      <c r="CR64" s="452" t="str">
        <f t="shared" si="80"/>
        <v/>
      </c>
      <c r="CS64" s="453" t="str">
        <f t="shared" si="80"/>
        <v/>
      </c>
      <c r="CT64" s="451" t="str">
        <f t="shared" si="80"/>
        <v/>
      </c>
      <c r="CU64" s="452" t="str">
        <f t="shared" si="80"/>
        <v/>
      </c>
      <c r="CV64" s="452" t="str">
        <f t="shared" si="80"/>
        <v/>
      </c>
      <c r="CW64" s="452" t="str">
        <f t="shared" si="79"/>
        <v/>
      </c>
      <c r="CX64" s="453" t="str">
        <f t="shared" si="79"/>
        <v/>
      </c>
      <c r="CY64" s="451" t="str">
        <f t="shared" si="79"/>
        <v/>
      </c>
      <c r="CZ64" s="452" t="str">
        <f t="shared" si="79"/>
        <v/>
      </c>
      <c r="DA64" s="452" t="str">
        <f t="shared" si="79"/>
        <v/>
      </c>
      <c r="DB64" s="452" t="str">
        <f t="shared" si="79"/>
        <v/>
      </c>
      <c r="DC64" s="453" t="str">
        <f t="shared" si="79"/>
        <v/>
      </c>
      <c r="DD64" s="451" t="str">
        <f t="shared" si="79"/>
        <v/>
      </c>
      <c r="DE64" s="452" t="str">
        <f t="shared" si="84"/>
        <v/>
      </c>
      <c r="DF64" s="452" t="str">
        <f t="shared" si="84"/>
        <v/>
      </c>
      <c r="DG64" s="452" t="str">
        <f t="shared" si="84"/>
        <v/>
      </c>
      <c r="DH64" s="453" t="str">
        <f t="shared" si="84"/>
        <v/>
      </c>
      <c r="DI64" s="451" t="str">
        <f t="shared" si="84"/>
        <v/>
      </c>
      <c r="DJ64" s="452" t="str">
        <f t="shared" si="84"/>
        <v/>
      </c>
      <c r="DK64" s="452" t="str">
        <f t="shared" si="84"/>
        <v/>
      </c>
      <c r="DL64" s="452" t="str">
        <f t="shared" si="84"/>
        <v/>
      </c>
      <c r="DM64" s="453" t="str">
        <f t="shared" si="84"/>
        <v/>
      </c>
      <c r="DN64" s="451" t="str">
        <f t="shared" si="84"/>
        <v/>
      </c>
      <c r="DO64" s="452" t="str">
        <f t="shared" si="84"/>
        <v/>
      </c>
      <c r="DP64" s="452" t="str">
        <f t="shared" si="83"/>
        <v/>
      </c>
      <c r="DQ64" s="452" t="str">
        <f t="shared" si="83"/>
        <v/>
      </c>
      <c r="DR64" s="453" t="str">
        <f t="shared" si="83"/>
        <v/>
      </c>
      <c r="DS64" s="451" t="str">
        <f t="shared" si="83"/>
        <v/>
      </c>
      <c r="DT64" s="452" t="str">
        <f t="shared" si="83"/>
        <v/>
      </c>
      <c r="DU64" s="452" t="str">
        <f t="shared" si="83"/>
        <v/>
      </c>
      <c r="DV64" s="452" t="str">
        <f t="shared" si="83"/>
        <v/>
      </c>
      <c r="DW64" s="453" t="str">
        <f t="shared" si="83"/>
        <v/>
      </c>
      <c r="DX64" s="451" t="str">
        <f t="shared" si="83"/>
        <v/>
      </c>
      <c r="DY64" s="452" t="str">
        <f t="shared" si="83"/>
        <v/>
      </c>
      <c r="DZ64" s="452" t="str">
        <f t="shared" si="83"/>
        <v/>
      </c>
      <c r="EA64" s="452" t="str">
        <f t="shared" si="83"/>
        <v/>
      </c>
      <c r="EB64" s="453" t="str">
        <f t="shared" si="83"/>
        <v/>
      </c>
      <c r="EC64" s="451" t="str">
        <f t="shared" si="82"/>
        <v/>
      </c>
      <c r="ED64" s="452" t="str">
        <f t="shared" si="82"/>
        <v/>
      </c>
      <c r="EE64" s="452" t="str">
        <f t="shared" si="82"/>
        <v/>
      </c>
      <c r="EF64" s="452" t="str">
        <f t="shared" si="82"/>
        <v/>
      </c>
      <c r="EG64" s="453" t="str">
        <f t="shared" si="82"/>
        <v/>
      </c>
      <c r="EH64" s="451" t="str">
        <f t="shared" si="82"/>
        <v/>
      </c>
      <c r="EI64" s="452" t="str">
        <f t="shared" si="82"/>
        <v/>
      </c>
      <c r="EJ64" s="452" t="str">
        <f t="shared" si="82"/>
        <v/>
      </c>
      <c r="EK64" s="452" t="str">
        <f t="shared" si="82"/>
        <v/>
      </c>
      <c r="EL64" s="453" t="str">
        <f t="shared" si="82"/>
        <v/>
      </c>
      <c r="EM64" s="451" t="str">
        <f t="shared" si="82"/>
        <v/>
      </c>
      <c r="EN64" s="452" t="str">
        <f t="shared" si="82"/>
        <v/>
      </c>
      <c r="EO64" s="452" t="str">
        <f t="shared" si="82"/>
        <v/>
      </c>
      <c r="EP64" s="452" t="str">
        <f t="shared" si="82"/>
        <v/>
      </c>
      <c r="EQ64" s="453" t="str">
        <f t="shared" si="82"/>
        <v/>
      </c>
      <c r="ER64" s="451" t="str">
        <f t="shared" si="82"/>
        <v/>
      </c>
      <c r="ES64" s="452" t="str">
        <f t="shared" si="93"/>
        <v/>
      </c>
      <c r="ET64" s="452" t="str">
        <f t="shared" si="93"/>
        <v/>
      </c>
      <c r="EU64" s="452" t="str">
        <f t="shared" si="93"/>
        <v/>
      </c>
      <c r="EV64" s="453" t="str">
        <f t="shared" si="93"/>
        <v/>
      </c>
      <c r="EW64" s="451" t="str">
        <f t="shared" si="93"/>
        <v/>
      </c>
      <c r="EX64" s="452" t="str">
        <f t="shared" si="93"/>
        <v/>
      </c>
      <c r="EY64" s="452" t="str">
        <f t="shared" si="93"/>
        <v/>
      </c>
      <c r="EZ64" s="452" t="str">
        <f t="shared" si="93"/>
        <v/>
      </c>
      <c r="FA64" s="453" t="str">
        <f t="shared" si="93"/>
        <v/>
      </c>
      <c r="FB64" s="451" t="str">
        <f t="shared" si="93"/>
        <v/>
      </c>
      <c r="FC64" s="452" t="str">
        <f t="shared" si="93"/>
        <v/>
      </c>
      <c r="FD64" s="452" t="str">
        <f t="shared" si="93"/>
        <v/>
      </c>
      <c r="FE64" s="452" t="str">
        <f t="shared" si="93"/>
        <v/>
      </c>
      <c r="FF64" s="453" t="str">
        <f t="shared" si="93"/>
        <v/>
      </c>
      <c r="FG64" s="451" t="str">
        <f t="shared" si="93"/>
        <v/>
      </c>
      <c r="FH64" s="452" t="str">
        <f t="shared" si="93"/>
        <v/>
      </c>
      <c r="FI64" s="452" t="str">
        <f t="shared" si="85"/>
        <v/>
      </c>
      <c r="FJ64" s="452" t="str">
        <f t="shared" si="85"/>
        <v/>
      </c>
      <c r="FK64" s="453" t="str">
        <f t="shared" si="85"/>
        <v/>
      </c>
      <c r="FL64" s="451" t="str">
        <f t="shared" si="71"/>
        <v/>
      </c>
      <c r="FM64" s="452" t="str">
        <f t="shared" si="71"/>
        <v/>
      </c>
      <c r="FN64" s="452" t="str">
        <f t="shared" si="71"/>
        <v/>
      </c>
      <c r="FO64" s="452" t="str">
        <f t="shared" si="71"/>
        <v/>
      </c>
      <c r="FP64" s="453" t="str">
        <f t="shared" si="71"/>
        <v/>
      </c>
      <c r="FQ64" s="451" t="str">
        <f t="shared" si="71"/>
        <v/>
      </c>
      <c r="FR64" s="452" t="str">
        <f t="shared" si="71"/>
        <v/>
      </c>
      <c r="FS64" s="452" t="str">
        <f t="shared" si="71"/>
        <v/>
      </c>
      <c r="FT64" s="452" t="str">
        <f t="shared" si="71"/>
        <v/>
      </c>
      <c r="FU64" s="453" t="str">
        <f t="shared" si="71"/>
        <v/>
      </c>
      <c r="FV64" s="451" t="str">
        <f t="shared" si="71"/>
        <v/>
      </c>
      <c r="FW64" s="452" t="str">
        <f t="shared" si="71"/>
        <v/>
      </c>
      <c r="FX64" s="452" t="str">
        <f t="shared" si="71"/>
        <v/>
      </c>
      <c r="FY64" s="452" t="str">
        <f t="shared" si="71"/>
        <v/>
      </c>
      <c r="FZ64" s="453" t="str">
        <f t="shared" ref="FZ64:GO79" si="98">IF(AND(FZ$2&gt;=$J64,FZ$2&lt;=$K64),1,"")</f>
        <v/>
      </c>
      <c r="GA64" s="451" t="str">
        <f t="shared" si="98"/>
        <v/>
      </c>
      <c r="GB64" s="452" t="str">
        <f t="shared" si="98"/>
        <v/>
      </c>
      <c r="GC64" s="452" t="str">
        <f t="shared" si="98"/>
        <v/>
      </c>
      <c r="GD64" s="452" t="str">
        <f t="shared" si="98"/>
        <v/>
      </c>
      <c r="GE64" s="453" t="str">
        <f t="shared" si="98"/>
        <v/>
      </c>
      <c r="GF64" s="451" t="str">
        <f t="shared" si="98"/>
        <v/>
      </c>
      <c r="GG64" s="452" t="str">
        <f t="shared" si="98"/>
        <v/>
      </c>
      <c r="GH64" s="452" t="str">
        <f t="shared" si="98"/>
        <v/>
      </c>
      <c r="GI64" s="452" t="str">
        <f t="shared" si="98"/>
        <v/>
      </c>
      <c r="GJ64" s="453" t="str">
        <f t="shared" si="98"/>
        <v/>
      </c>
      <c r="GK64" s="451" t="str">
        <f t="shared" si="98"/>
        <v/>
      </c>
      <c r="GL64" s="452" t="str">
        <f t="shared" si="98"/>
        <v/>
      </c>
      <c r="GM64" s="452" t="str">
        <f t="shared" si="98"/>
        <v/>
      </c>
      <c r="GN64" s="452" t="str">
        <f t="shared" si="98"/>
        <v/>
      </c>
      <c r="GO64" s="453" t="str">
        <f t="shared" si="98"/>
        <v/>
      </c>
      <c r="GP64" s="451" t="str">
        <f t="shared" si="96"/>
        <v/>
      </c>
      <c r="GQ64" s="452" t="str">
        <f t="shared" si="96"/>
        <v/>
      </c>
      <c r="GR64" s="452" t="str">
        <f t="shared" si="96"/>
        <v/>
      </c>
      <c r="GS64" s="452" t="str">
        <f t="shared" si="96"/>
        <v/>
      </c>
      <c r="GT64" s="453" t="str">
        <f t="shared" si="96"/>
        <v/>
      </c>
      <c r="GU64" s="451" t="str">
        <f t="shared" si="96"/>
        <v/>
      </c>
      <c r="GV64" s="452" t="str">
        <f t="shared" si="96"/>
        <v/>
      </c>
      <c r="GW64" s="452" t="str">
        <f t="shared" si="96"/>
        <v/>
      </c>
      <c r="GX64" s="452" t="str">
        <f t="shared" si="96"/>
        <v/>
      </c>
      <c r="GY64" s="453" t="str">
        <f t="shared" si="96"/>
        <v/>
      </c>
      <c r="GZ64" s="451" t="str">
        <f t="shared" si="96"/>
        <v/>
      </c>
      <c r="HA64" s="452" t="str">
        <f t="shared" si="86"/>
        <v/>
      </c>
      <c r="HB64" s="452" t="str">
        <f t="shared" si="86"/>
        <v/>
      </c>
      <c r="HC64" s="452" t="str">
        <f t="shared" si="86"/>
        <v/>
      </c>
      <c r="HD64" s="453" t="str">
        <f t="shared" si="86"/>
        <v/>
      </c>
      <c r="HE64" s="451" t="str">
        <f t="shared" si="86"/>
        <v/>
      </c>
      <c r="HF64" s="452" t="str">
        <f t="shared" si="86"/>
        <v/>
      </c>
      <c r="HG64" s="452" t="str">
        <f t="shared" si="94"/>
        <v/>
      </c>
      <c r="HH64" s="452" t="str">
        <f t="shared" si="94"/>
        <v/>
      </c>
      <c r="HI64" s="453" t="str">
        <f t="shared" si="94"/>
        <v/>
      </c>
      <c r="HJ64" s="451" t="str">
        <f t="shared" si="94"/>
        <v/>
      </c>
      <c r="HK64" s="452" t="str">
        <f t="shared" si="94"/>
        <v/>
      </c>
      <c r="HL64" s="452" t="str">
        <f t="shared" si="94"/>
        <v/>
      </c>
      <c r="HM64" s="452" t="str">
        <f t="shared" si="94"/>
        <v/>
      </c>
      <c r="HN64" s="453" t="str">
        <f t="shared" si="94"/>
        <v/>
      </c>
      <c r="HO64" s="451" t="str">
        <f t="shared" si="94"/>
        <v/>
      </c>
      <c r="HP64" s="452" t="str">
        <f t="shared" si="94"/>
        <v/>
      </c>
      <c r="HQ64" s="452" t="str">
        <f t="shared" si="94"/>
        <v/>
      </c>
      <c r="HR64" s="452" t="str">
        <f t="shared" si="94"/>
        <v/>
      </c>
      <c r="HS64" s="453" t="str">
        <f t="shared" si="94"/>
        <v/>
      </c>
      <c r="HT64" s="451" t="str">
        <f t="shared" si="94"/>
        <v/>
      </c>
      <c r="HU64" s="452" t="str">
        <f t="shared" si="94"/>
        <v/>
      </c>
      <c r="HV64" s="452" t="str">
        <f t="shared" si="94"/>
        <v/>
      </c>
      <c r="HW64" s="452" t="str">
        <f t="shared" si="87"/>
        <v/>
      </c>
      <c r="HX64" s="453" t="str">
        <f t="shared" si="87"/>
        <v/>
      </c>
      <c r="HY64" s="451" t="str">
        <f t="shared" si="87"/>
        <v/>
      </c>
      <c r="HZ64" s="452" t="str">
        <f t="shared" ref="HZ64:IO79" si="99">IF(AND(HZ$2&gt;=$J64,HZ$2&lt;=$K64),1,"")</f>
        <v/>
      </c>
      <c r="IA64" s="452" t="str">
        <f t="shared" si="99"/>
        <v/>
      </c>
      <c r="IB64" s="452" t="str">
        <f t="shared" si="99"/>
        <v/>
      </c>
      <c r="IC64" s="453" t="str">
        <f t="shared" si="99"/>
        <v/>
      </c>
      <c r="ID64" s="451" t="str">
        <f t="shared" si="99"/>
        <v/>
      </c>
      <c r="IE64" s="452" t="str">
        <f t="shared" si="99"/>
        <v/>
      </c>
      <c r="IF64" s="452" t="str">
        <f t="shared" si="99"/>
        <v/>
      </c>
      <c r="IG64" s="452" t="str">
        <f t="shared" si="99"/>
        <v/>
      </c>
      <c r="IH64" s="453" t="str">
        <f t="shared" si="99"/>
        <v/>
      </c>
      <c r="II64" s="451" t="str">
        <f t="shared" si="99"/>
        <v/>
      </c>
      <c r="IJ64" s="452" t="str">
        <f t="shared" si="99"/>
        <v/>
      </c>
      <c r="IK64" s="452" t="str">
        <f t="shared" si="99"/>
        <v/>
      </c>
      <c r="IL64" s="452" t="str">
        <f t="shared" si="99"/>
        <v/>
      </c>
      <c r="IM64" s="453" t="str">
        <f t="shared" si="99"/>
        <v/>
      </c>
      <c r="IN64" s="451" t="str">
        <f t="shared" si="99"/>
        <v/>
      </c>
      <c r="IO64" s="452" t="str">
        <f t="shared" si="88"/>
        <v/>
      </c>
      <c r="IP64" s="452" t="str">
        <f t="shared" si="88"/>
        <v/>
      </c>
      <c r="IQ64" s="452" t="str">
        <f t="shared" si="88"/>
        <v/>
      </c>
      <c r="IR64" s="453" t="str">
        <f t="shared" si="88"/>
        <v/>
      </c>
    </row>
    <row r="65" spans="1:252" x14ac:dyDescent="0.2">
      <c r="A65" s="461">
        <v>6.6</v>
      </c>
      <c r="C65" s="447" t="s">
        <v>1356</v>
      </c>
      <c r="D65" s="447"/>
      <c r="E65" s="448"/>
      <c r="F65" s="448"/>
      <c r="G65" s="448"/>
      <c r="H65" s="448"/>
      <c r="I65" s="448"/>
      <c r="J65" s="449" t="str">
        <f t="shared" si="89"/>
        <v/>
      </c>
      <c r="K65" s="449" t="str">
        <f t="shared" si="90"/>
        <v/>
      </c>
      <c r="L65" s="450">
        <f t="shared" si="0"/>
        <v>0</v>
      </c>
      <c r="M65" s="451" t="str">
        <f t="shared" si="91"/>
        <v/>
      </c>
      <c r="N65" s="452" t="str">
        <f t="shared" si="91"/>
        <v/>
      </c>
      <c r="O65" s="452" t="str">
        <f t="shared" si="91"/>
        <v/>
      </c>
      <c r="P65" s="452" t="str">
        <f t="shared" si="91"/>
        <v/>
      </c>
      <c r="Q65" s="453" t="str">
        <f t="shared" si="91"/>
        <v/>
      </c>
      <c r="R65" s="451" t="str">
        <f t="shared" si="91"/>
        <v/>
      </c>
      <c r="S65" s="452" t="str">
        <f t="shared" si="91"/>
        <v/>
      </c>
      <c r="T65" s="452" t="str">
        <f t="shared" si="91"/>
        <v/>
      </c>
      <c r="U65" s="452" t="str">
        <f t="shared" si="91"/>
        <v/>
      </c>
      <c r="V65" s="453" t="str">
        <f t="shared" si="91"/>
        <v/>
      </c>
      <c r="W65" s="451" t="str">
        <f t="shared" si="91"/>
        <v/>
      </c>
      <c r="X65" s="452" t="str">
        <f t="shared" si="91"/>
        <v/>
      </c>
      <c r="Y65" s="452" t="str">
        <f t="shared" si="91"/>
        <v/>
      </c>
      <c r="Z65" s="452" t="str">
        <f t="shared" si="91"/>
        <v/>
      </c>
      <c r="AA65" s="453" t="str">
        <f t="shared" si="91"/>
        <v/>
      </c>
      <c r="AB65" s="451" t="str">
        <f t="shared" si="91"/>
        <v/>
      </c>
      <c r="AC65" s="452" t="str">
        <f t="shared" ref="AB65:AQ80" si="100">IF(AND(AC$2&gt;=$J65,AC$2&lt;=$K65),1,"")</f>
        <v/>
      </c>
      <c r="AD65" s="452" t="str">
        <f t="shared" si="100"/>
        <v/>
      </c>
      <c r="AE65" s="452" t="str">
        <f t="shared" si="100"/>
        <v/>
      </c>
      <c r="AF65" s="453" t="str">
        <f t="shared" si="100"/>
        <v/>
      </c>
      <c r="AG65" s="451" t="str">
        <f t="shared" si="100"/>
        <v/>
      </c>
      <c r="AH65" s="452" t="str">
        <f t="shared" si="100"/>
        <v/>
      </c>
      <c r="AI65" s="452" t="str">
        <f t="shared" si="100"/>
        <v/>
      </c>
      <c r="AJ65" s="452" t="str">
        <f t="shared" si="100"/>
        <v/>
      </c>
      <c r="AK65" s="453" t="str">
        <f t="shared" si="100"/>
        <v/>
      </c>
      <c r="AL65" s="451" t="str">
        <f t="shared" si="100"/>
        <v/>
      </c>
      <c r="AM65" s="452" t="str">
        <f t="shared" si="100"/>
        <v/>
      </c>
      <c r="AN65" s="452" t="str">
        <f t="shared" si="100"/>
        <v/>
      </c>
      <c r="AO65" s="452" t="str">
        <f t="shared" si="100"/>
        <v/>
      </c>
      <c r="AP65" s="453" t="str">
        <f t="shared" si="100"/>
        <v/>
      </c>
      <c r="AQ65" s="451" t="str">
        <f t="shared" si="100"/>
        <v/>
      </c>
      <c r="AR65" s="452" t="str">
        <f t="shared" si="97"/>
        <v/>
      </c>
      <c r="AS65" s="452" t="str">
        <f t="shared" si="97"/>
        <v/>
      </c>
      <c r="AT65" s="452" t="str">
        <f t="shared" si="97"/>
        <v/>
      </c>
      <c r="AU65" s="453" t="str">
        <f t="shared" si="97"/>
        <v/>
      </c>
      <c r="AV65" s="451" t="str">
        <f t="shared" si="97"/>
        <v/>
      </c>
      <c r="AW65" s="452" t="str">
        <f t="shared" si="97"/>
        <v/>
      </c>
      <c r="AX65" s="452" t="str">
        <f t="shared" si="97"/>
        <v/>
      </c>
      <c r="AY65" s="452" t="str">
        <f t="shared" si="97"/>
        <v/>
      </c>
      <c r="AZ65" s="453" t="str">
        <f t="shared" si="97"/>
        <v/>
      </c>
      <c r="BA65" s="451" t="str">
        <f t="shared" si="78"/>
        <v/>
      </c>
      <c r="BB65" s="452" t="str">
        <f t="shared" si="78"/>
        <v/>
      </c>
      <c r="BC65" s="452" t="str">
        <f t="shared" si="78"/>
        <v/>
      </c>
      <c r="BD65" s="452" t="str">
        <f t="shared" si="78"/>
        <v/>
      </c>
      <c r="BE65" s="453" t="str">
        <f t="shared" si="78"/>
        <v/>
      </c>
      <c r="BF65" s="451" t="str">
        <f t="shared" si="78"/>
        <v/>
      </c>
      <c r="BG65" s="452" t="str">
        <f t="shared" si="78"/>
        <v/>
      </c>
      <c r="BH65" s="452" t="str">
        <f t="shared" si="78"/>
        <v/>
      </c>
      <c r="BI65" s="452" t="str">
        <f t="shared" si="92"/>
        <v/>
      </c>
      <c r="BJ65" s="453" t="str">
        <f t="shared" si="92"/>
        <v/>
      </c>
      <c r="BK65" s="451" t="str">
        <f t="shared" si="92"/>
        <v/>
      </c>
      <c r="BL65" s="452" t="str">
        <f t="shared" si="92"/>
        <v/>
      </c>
      <c r="BM65" s="452" t="str">
        <f t="shared" si="92"/>
        <v/>
      </c>
      <c r="BN65" s="452" t="str">
        <f t="shared" si="92"/>
        <v/>
      </c>
      <c r="BO65" s="453" t="str">
        <f t="shared" si="92"/>
        <v/>
      </c>
      <c r="BP65" s="451" t="str">
        <f t="shared" si="92"/>
        <v/>
      </c>
      <c r="BQ65" s="452" t="str">
        <f t="shared" si="92"/>
        <v/>
      </c>
      <c r="BR65" s="452" t="str">
        <f t="shared" si="92"/>
        <v/>
      </c>
      <c r="BS65" s="452" t="str">
        <f t="shared" si="92"/>
        <v/>
      </c>
      <c r="BT65" s="453" t="str">
        <f t="shared" si="92"/>
        <v/>
      </c>
      <c r="BU65" s="451" t="str">
        <f t="shared" si="92"/>
        <v/>
      </c>
      <c r="BV65" s="452" t="str">
        <f t="shared" si="92"/>
        <v/>
      </c>
      <c r="BW65" s="452" t="str">
        <f t="shared" si="92"/>
        <v/>
      </c>
      <c r="BX65" s="452" t="str">
        <f t="shared" si="92"/>
        <v/>
      </c>
      <c r="BY65" s="453" t="str">
        <f t="shared" si="81"/>
        <v/>
      </c>
      <c r="BZ65" s="451" t="str">
        <f t="shared" si="81"/>
        <v/>
      </c>
      <c r="CA65" s="452" t="str">
        <f t="shared" si="81"/>
        <v/>
      </c>
      <c r="CB65" s="452" t="str">
        <f t="shared" si="81"/>
        <v/>
      </c>
      <c r="CC65" s="452" t="str">
        <f t="shared" si="81"/>
        <v/>
      </c>
      <c r="CD65" s="453" t="str">
        <f t="shared" si="81"/>
        <v/>
      </c>
      <c r="CE65" s="451" t="str">
        <f t="shared" si="81"/>
        <v/>
      </c>
      <c r="CF65" s="452" t="str">
        <f t="shared" si="81"/>
        <v/>
      </c>
      <c r="CG65" s="452" t="str">
        <f t="shared" si="81"/>
        <v/>
      </c>
      <c r="CH65" s="452" t="str">
        <f t="shared" si="81"/>
        <v/>
      </c>
      <c r="CI65" s="453" t="str">
        <f t="shared" si="81"/>
        <v/>
      </c>
      <c r="CJ65" s="451" t="str">
        <f t="shared" si="81"/>
        <v/>
      </c>
      <c r="CK65" s="452" t="str">
        <f t="shared" si="81"/>
        <v/>
      </c>
      <c r="CL65" s="452" t="str">
        <f t="shared" si="81"/>
        <v/>
      </c>
      <c r="CM65" s="452" t="str">
        <f t="shared" si="81"/>
        <v/>
      </c>
      <c r="CN65" s="453" t="str">
        <f t="shared" si="80"/>
        <v/>
      </c>
      <c r="CO65" s="451" t="str">
        <f t="shared" si="80"/>
        <v/>
      </c>
      <c r="CP65" s="452" t="str">
        <f t="shared" si="80"/>
        <v/>
      </c>
      <c r="CQ65" s="452" t="str">
        <f t="shared" si="80"/>
        <v/>
      </c>
      <c r="CR65" s="452" t="str">
        <f t="shared" si="80"/>
        <v/>
      </c>
      <c r="CS65" s="453" t="str">
        <f t="shared" si="80"/>
        <v/>
      </c>
      <c r="CT65" s="451" t="str">
        <f t="shared" si="80"/>
        <v/>
      </c>
      <c r="CU65" s="452" t="str">
        <f t="shared" si="80"/>
        <v/>
      </c>
      <c r="CV65" s="452" t="str">
        <f t="shared" si="80"/>
        <v/>
      </c>
      <c r="CW65" s="452" t="str">
        <f t="shared" si="79"/>
        <v/>
      </c>
      <c r="CX65" s="453" t="str">
        <f t="shared" si="79"/>
        <v/>
      </c>
      <c r="CY65" s="451" t="str">
        <f t="shared" si="79"/>
        <v/>
      </c>
      <c r="CZ65" s="452" t="str">
        <f t="shared" si="79"/>
        <v/>
      </c>
      <c r="DA65" s="452" t="str">
        <f t="shared" si="79"/>
        <v/>
      </c>
      <c r="DB65" s="452" t="str">
        <f t="shared" si="79"/>
        <v/>
      </c>
      <c r="DC65" s="453" t="str">
        <f t="shared" si="79"/>
        <v/>
      </c>
      <c r="DD65" s="451" t="str">
        <f t="shared" si="79"/>
        <v/>
      </c>
      <c r="DE65" s="452" t="str">
        <f t="shared" si="84"/>
        <v/>
      </c>
      <c r="DF65" s="452" t="str">
        <f t="shared" si="84"/>
        <v/>
      </c>
      <c r="DG65" s="452" t="str">
        <f t="shared" si="84"/>
        <v/>
      </c>
      <c r="DH65" s="453" t="str">
        <f t="shared" si="84"/>
        <v/>
      </c>
      <c r="DI65" s="451" t="str">
        <f t="shared" si="84"/>
        <v/>
      </c>
      <c r="DJ65" s="452" t="str">
        <f t="shared" si="84"/>
        <v/>
      </c>
      <c r="DK65" s="452" t="str">
        <f t="shared" si="84"/>
        <v/>
      </c>
      <c r="DL65" s="452" t="str">
        <f t="shared" si="84"/>
        <v/>
      </c>
      <c r="DM65" s="453" t="str">
        <f t="shared" si="84"/>
        <v/>
      </c>
      <c r="DN65" s="451" t="str">
        <f t="shared" si="84"/>
        <v/>
      </c>
      <c r="DO65" s="452" t="str">
        <f t="shared" si="84"/>
        <v/>
      </c>
      <c r="DP65" s="452" t="str">
        <f t="shared" si="83"/>
        <v/>
      </c>
      <c r="DQ65" s="452" t="str">
        <f t="shared" si="83"/>
        <v/>
      </c>
      <c r="DR65" s="453" t="str">
        <f t="shared" si="83"/>
        <v/>
      </c>
      <c r="DS65" s="451" t="str">
        <f t="shared" si="83"/>
        <v/>
      </c>
      <c r="DT65" s="452" t="str">
        <f t="shared" si="83"/>
        <v/>
      </c>
      <c r="DU65" s="452" t="str">
        <f t="shared" si="83"/>
        <v/>
      </c>
      <c r="DV65" s="452" t="str">
        <f t="shared" si="83"/>
        <v/>
      </c>
      <c r="DW65" s="453" t="str">
        <f t="shared" si="83"/>
        <v/>
      </c>
      <c r="DX65" s="451" t="str">
        <f t="shared" si="83"/>
        <v/>
      </c>
      <c r="DY65" s="452" t="str">
        <f t="shared" si="83"/>
        <v/>
      </c>
      <c r="DZ65" s="452" t="str">
        <f t="shared" si="83"/>
        <v/>
      </c>
      <c r="EA65" s="452" t="str">
        <f t="shared" si="83"/>
        <v/>
      </c>
      <c r="EB65" s="453" t="str">
        <f t="shared" si="83"/>
        <v/>
      </c>
      <c r="EC65" s="451" t="str">
        <f t="shared" si="82"/>
        <v/>
      </c>
      <c r="ED65" s="452" t="str">
        <f t="shared" si="82"/>
        <v/>
      </c>
      <c r="EE65" s="452" t="str">
        <f t="shared" si="82"/>
        <v/>
      </c>
      <c r="EF65" s="452" t="str">
        <f t="shared" si="82"/>
        <v/>
      </c>
      <c r="EG65" s="453" t="str">
        <f t="shared" si="82"/>
        <v/>
      </c>
      <c r="EH65" s="451" t="str">
        <f t="shared" si="82"/>
        <v/>
      </c>
      <c r="EI65" s="452" t="str">
        <f t="shared" si="82"/>
        <v/>
      </c>
      <c r="EJ65" s="452" t="str">
        <f t="shared" si="82"/>
        <v/>
      </c>
      <c r="EK65" s="452" t="str">
        <f t="shared" si="82"/>
        <v/>
      </c>
      <c r="EL65" s="453" t="str">
        <f t="shared" si="82"/>
        <v/>
      </c>
      <c r="EM65" s="451" t="str">
        <f t="shared" si="82"/>
        <v/>
      </c>
      <c r="EN65" s="452" t="str">
        <f t="shared" si="82"/>
        <v/>
      </c>
      <c r="EO65" s="452" t="str">
        <f t="shared" si="82"/>
        <v/>
      </c>
      <c r="EP65" s="452" t="str">
        <f t="shared" si="82"/>
        <v/>
      </c>
      <c r="EQ65" s="453" t="str">
        <f t="shared" si="82"/>
        <v/>
      </c>
      <c r="ER65" s="451" t="str">
        <f t="shared" si="82"/>
        <v/>
      </c>
      <c r="ES65" s="452" t="str">
        <f t="shared" si="93"/>
        <v/>
      </c>
      <c r="ET65" s="452" t="str">
        <f t="shared" si="93"/>
        <v/>
      </c>
      <c r="EU65" s="452" t="str">
        <f t="shared" si="93"/>
        <v/>
      </c>
      <c r="EV65" s="453" t="str">
        <f t="shared" si="93"/>
        <v/>
      </c>
      <c r="EW65" s="451" t="str">
        <f t="shared" si="93"/>
        <v/>
      </c>
      <c r="EX65" s="452" t="str">
        <f t="shared" si="93"/>
        <v/>
      </c>
      <c r="EY65" s="452" t="str">
        <f t="shared" si="93"/>
        <v/>
      </c>
      <c r="EZ65" s="452" t="str">
        <f t="shared" si="93"/>
        <v/>
      </c>
      <c r="FA65" s="453" t="str">
        <f t="shared" si="93"/>
        <v/>
      </c>
      <c r="FB65" s="451" t="str">
        <f t="shared" si="93"/>
        <v/>
      </c>
      <c r="FC65" s="452" t="str">
        <f t="shared" si="93"/>
        <v/>
      </c>
      <c r="FD65" s="452" t="str">
        <f t="shared" si="93"/>
        <v/>
      </c>
      <c r="FE65" s="452" t="str">
        <f t="shared" si="93"/>
        <v/>
      </c>
      <c r="FF65" s="453" t="str">
        <f t="shared" si="93"/>
        <v/>
      </c>
      <c r="FG65" s="451" t="str">
        <f t="shared" si="93"/>
        <v/>
      </c>
      <c r="FH65" s="452" t="str">
        <f t="shared" si="93"/>
        <v/>
      </c>
      <c r="FI65" s="452" t="str">
        <f t="shared" si="85"/>
        <v/>
      </c>
      <c r="FJ65" s="452" t="str">
        <f t="shared" si="85"/>
        <v/>
      </c>
      <c r="FK65" s="453" t="str">
        <f t="shared" si="85"/>
        <v/>
      </c>
      <c r="FL65" s="451" t="str">
        <f t="shared" si="71"/>
        <v/>
      </c>
      <c r="FM65" s="452" t="str">
        <f t="shared" si="71"/>
        <v/>
      </c>
      <c r="FN65" s="452" t="str">
        <f t="shared" si="71"/>
        <v/>
      </c>
      <c r="FO65" s="452" t="str">
        <f t="shared" si="71"/>
        <v/>
      </c>
      <c r="FP65" s="453" t="str">
        <f t="shared" si="71"/>
        <v/>
      </c>
      <c r="FQ65" s="451" t="str">
        <f t="shared" si="71"/>
        <v/>
      </c>
      <c r="FR65" s="452" t="str">
        <f t="shared" si="71"/>
        <v/>
      </c>
      <c r="FS65" s="452" t="str">
        <f t="shared" si="71"/>
        <v/>
      </c>
      <c r="FT65" s="452" t="str">
        <f t="shared" si="71"/>
        <v/>
      </c>
      <c r="FU65" s="453" t="str">
        <f t="shared" si="71"/>
        <v/>
      </c>
      <c r="FV65" s="451" t="str">
        <f t="shared" si="71"/>
        <v/>
      </c>
      <c r="FW65" s="452" t="str">
        <f t="shared" si="71"/>
        <v/>
      </c>
      <c r="FX65" s="452" t="str">
        <f t="shared" si="71"/>
        <v/>
      </c>
      <c r="FY65" s="452" t="str">
        <f t="shared" si="71"/>
        <v/>
      </c>
      <c r="FZ65" s="453" t="str">
        <f t="shared" si="98"/>
        <v/>
      </c>
      <c r="GA65" s="451" t="str">
        <f t="shared" si="98"/>
        <v/>
      </c>
      <c r="GB65" s="452" t="str">
        <f t="shared" si="98"/>
        <v/>
      </c>
      <c r="GC65" s="452" t="str">
        <f t="shared" si="98"/>
        <v/>
      </c>
      <c r="GD65" s="452" t="str">
        <f t="shared" si="98"/>
        <v/>
      </c>
      <c r="GE65" s="453" t="str">
        <f t="shared" si="98"/>
        <v/>
      </c>
      <c r="GF65" s="451" t="str">
        <f t="shared" si="98"/>
        <v/>
      </c>
      <c r="GG65" s="452" t="str">
        <f t="shared" si="98"/>
        <v/>
      </c>
      <c r="GH65" s="452" t="str">
        <f t="shared" si="98"/>
        <v/>
      </c>
      <c r="GI65" s="452" t="str">
        <f t="shared" si="98"/>
        <v/>
      </c>
      <c r="GJ65" s="453" t="str">
        <f t="shared" si="98"/>
        <v/>
      </c>
      <c r="GK65" s="451" t="str">
        <f t="shared" si="98"/>
        <v/>
      </c>
      <c r="GL65" s="452" t="str">
        <f t="shared" si="98"/>
        <v/>
      </c>
      <c r="GM65" s="452" t="str">
        <f t="shared" si="98"/>
        <v/>
      </c>
      <c r="GN65" s="452" t="str">
        <f t="shared" si="98"/>
        <v/>
      </c>
      <c r="GO65" s="453" t="str">
        <f t="shared" si="98"/>
        <v/>
      </c>
      <c r="GP65" s="451" t="str">
        <f t="shared" si="96"/>
        <v/>
      </c>
      <c r="GQ65" s="452" t="str">
        <f t="shared" si="96"/>
        <v/>
      </c>
      <c r="GR65" s="452" t="str">
        <f t="shared" si="96"/>
        <v/>
      </c>
      <c r="GS65" s="452" t="str">
        <f t="shared" si="96"/>
        <v/>
      </c>
      <c r="GT65" s="453" t="str">
        <f t="shared" si="96"/>
        <v/>
      </c>
      <c r="GU65" s="451" t="str">
        <f t="shared" si="96"/>
        <v/>
      </c>
      <c r="GV65" s="452" t="str">
        <f t="shared" si="96"/>
        <v/>
      </c>
      <c r="GW65" s="452" t="str">
        <f t="shared" si="96"/>
        <v/>
      </c>
      <c r="GX65" s="452" t="str">
        <f t="shared" si="96"/>
        <v/>
      </c>
      <c r="GY65" s="453" t="str">
        <f t="shared" si="96"/>
        <v/>
      </c>
      <c r="GZ65" s="451" t="str">
        <f t="shared" si="96"/>
        <v/>
      </c>
      <c r="HA65" s="452" t="str">
        <f t="shared" si="86"/>
        <v/>
      </c>
      <c r="HB65" s="452" t="str">
        <f t="shared" si="86"/>
        <v/>
      </c>
      <c r="HC65" s="452" t="str">
        <f t="shared" si="86"/>
        <v/>
      </c>
      <c r="HD65" s="453" t="str">
        <f t="shared" si="86"/>
        <v/>
      </c>
      <c r="HE65" s="451" t="str">
        <f t="shared" si="86"/>
        <v/>
      </c>
      <c r="HF65" s="452" t="str">
        <f t="shared" si="86"/>
        <v/>
      </c>
      <c r="HG65" s="452" t="str">
        <f t="shared" si="94"/>
        <v/>
      </c>
      <c r="HH65" s="452" t="str">
        <f t="shared" si="94"/>
        <v/>
      </c>
      <c r="HI65" s="453" t="str">
        <f t="shared" si="94"/>
        <v/>
      </c>
      <c r="HJ65" s="451" t="str">
        <f t="shared" si="94"/>
        <v/>
      </c>
      <c r="HK65" s="452" t="str">
        <f t="shared" si="94"/>
        <v/>
      </c>
      <c r="HL65" s="452" t="str">
        <f t="shared" si="94"/>
        <v/>
      </c>
      <c r="HM65" s="452" t="str">
        <f t="shared" si="94"/>
        <v/>
      </c>
      <c r="HN65" s="453" t="str">
        <f t="shared" si="94"/>
        <v/>
      </c>
      <c r="HO65" s="451" t="str">
        <f t="shared" si="94"/>
        <v/>
      </c>
      <c r="HP65" s="452" t="str">
        <f t="shared" si="94"/>
        <v/>
      </c>
      <c r="HQ65" s="452" t="str">
        <f t="shared" si="94"/>
        <v/>
      </c>
      <c r="HR65" s="452" t="str">
        <f t="shared" si="94"/>
        <v/>
      </c>
      <c r="HS65" s="453" t="str">
        <f t="shared" si="94"/>
        <v/>
      </c>
      <c r="HT65" s="451" t="str">
        <f t="shared" si="94"/>
        <v/>
      </c>
      <c r="HU65" s="452" t="str">
        <f t="shared" si="94"/>
        <v/>
      </c>
      <c r="HV65" s="452" t="str">
        <f t="shared" si="94"/>
        <v/>
      </c>
      <c r="HW65" s="452" t="str">
        <f t="shared" si="87"/>
        <v/>
      </c>
      <c r="HX65" s="453" t="str">
        <f t="shared" si="87"/>
        <v/>
      </c>
      <c r="HY65" s="451" t="str">
        <f t="shared" si="87"/>
        <v/>
      </c>
      <c r="HZ65" s="452" t="str">
        <f t="shared" si="99"/>
        <v/>
      </c>
      <c r="IA65" s="452" t="str">
        <f t="shared" si="99"/>
        <v/>
      </c>
      <c r="IB65" s="452" t="str">
        <f t="shared" si="99"/>
        <v/>
      </c>
      <c r="IC65" s="453" t="str">
        <f t="shared" si="99"/>
        <v/>
      </c>
      <c r="ID65" s="451" t="str">
        <f t="shared" si="99"/>
        <v/>
      </c>
      <c r="IE65" s="452" t="str">
        <f t="shared" si="99"/>
        <v/>
      </c>
      <c r="IF65" s="452" t="str">
        <f t="shared" si="99"/>
        <v/>
      </c>
      <c r="IG65" s="452" t="str">
        <f t="shared" si="99"/>
        <v/>
      </c>
      <c r="IH65" s="453" t="str">
        <f t="shared" si="99"/>
        <v/>
      </c>
      <c r="II65" s="451" t="str">
        <f t="shared" si="99"/>
        <v/>
      </c>
      <c r="IJ65" s="452" t="str">
        <f t="shared" si="99"/>
        <v/>
      </c>
      <c r="IK65" s="452" t="str">
        <f t="shared" si="99"/>
        <v/>
      </c>
      <c r="IL65" s="452" t="str">
        <f t="shared" si="99"/>
        <v/>
      </c>
      <c r="IM65" s="453" t="str">
        <f t="shared" si="99"/>
        <v/>
      </c>
      <c r="IN65" s="451" t="str">
        <f t="shared" si="99"/>
        <v/>
      </c>
      <c r="IO65" s="452" t="str">
        <f t="shared" si="88"/>
        <v/>
      </c>
      <c r="IP65" s="452" t="str">
        <f t="shared" si="88"/>
        <v/>
      </c>
      <c r="IQ65" s="452" t="str">
        <f t="shared" si="88"/>
        <v/>
      </c>
      <c r="IR65" s="453" t="str">
        <f t="shared" si="88"/>
        <v/>
      </c>
    </row>
    <row r="66" spans="1:252" x14ac:dyDescent="0.2">
      <c r="A66" s="461">
        <v>6.7</v>
      </c>
      <c r="C66" s="447" t="s">
        <v>1357</v>
      </c>
      <c r="D66" s="447"/>
      <c r="E66" s="448"/>
      <c r="F66" s="448"/>
      <c r="G66" s="448"/>
      <c r="H66" s="448"/>
      <c r="I66" s="448"/>
      <c r="J66" s="449" t="str">
        <f t="shared" si="89"/>
        <v/>
      </c>
      <c r="K66" s="449" t="str">
        <f t="shared" si="90"/>
        <v/>
      </c>
      <c r="L66" s="450">
        <f t="shared" si="0"/>
        <v>0</v>
      </c>
      <c r="M66" s="451" t="str">
        <f t="shared" si="91"/>
        <v/>
      </c>
      <c r="N66" s="452" t="str">
        <f t="shared" si="91"/>
        <v/>
      </c>
      <c r="O66" s="452" t="str">
        <f t="shared" si="91"/>
        <v/>
      </c>
      <c r="P66" s="452" t="str">
        <f t="shared" si="91"/>
        <v/>
      </c>
      <c r="Q66" s="453" t="str">
        <f t="shared" si="91"/>
        <v/>
      </c>
      <c r="R66" s="451" t="str">
        <f t="shared" si="91"/>
        <v/>
      </c>
      <c r="S66" s="452" t="str">
        <f t="shared" si="91"/>
        <v/>
      </c>
      <c r="T66" s="452" t="str">
        <f t="shared" si="91"/>
        <v/>
      </c>
      <c r="U66" s="452" t="str">
        <f t="shared" si="91"/>
        <v/>
      </c>
      <c r="V66" s="453" t="str">
        <f t="shared" si="91"/>
        <v/>
      </c>
      <c r="W66" s="451" t="str">
        <f t="shared" si="91"/>
        <v/>
      </c>
      <c r="X66" s="452" t="str">
        <f t="shared" si="91"/>
        <v/>
      </c>
      <c r="Y66" s="452" t="str">
        <f t="shared" si="91"/>
        <v/>
      </c>
      <c r="Z66" s="452" t="str">
        <f t="shared" si="91"/>
        <v/>
      </c>
      <c r="AA66" s="453" t="str">
        <f t="shared" si="91"/>
        <v/>
      </c>
      <c r="AB66" s="451" t="str">
        <f t="shared" si="91"/>
        <v/>
      </c>
      <c r="AC66" s="452" t="str">
        <f t="shared" si="100"/>
        <v/>
      </c>
      <c r="AD66" s="452" t="str">
        <f t="shared" si="100"/>
        <v/>
      </c>
      <c r="AE66" s="452" t="str">
        <f t="shared" si="100"/>
        <v/>
      </c>
      <c r="AF66" s="453" t="str">
        <f t="shared" si="100"/>
        <v/>
      </c>
      <c r="AG66" s="451" t="str">
        <f t="shared" si="100"/>
        <v/>
      </c>
      <c r="AH66" s="452" t="str">
        <f t="shared" si="100"/>
        <v/>
      </c>
      <c r="AI66" s="452" t="str">
        <f t="shared" si="100"/>
        <v/>
      </c>
      <c r="AJ66" s="452" t="str">
        <f t="shared" si="100"/>
        <v/>
      </c>
      <c r="AK66" s="453" t="str">
        <f t="shared" si="100"/>
        <v/>
      </c>
      <c r="AL66" s="451" t="str">
        <f t="shared" si="100"/>
        <v/>
      </c>
      <c r="AM66" s="452" t="str">
        <f t="shared" si="100"/>
        <v/>
      </c>
      <c r="AN66" s="452" t="str">
        <f t="shared" si="100"/>
        <v/>
      </c>
      <c r="AO66" s="452" t="str">
        <f t="shared" si="100"/>
        <v/>
      </c>
      <c r="AP66" s="453" t="str">
        <f t="shared" si="100"/>
        <v/>
      </c>
      <c r="AQ66" s="451" t="str">
        <f t="shared" si="100"/>
        <v/>
      </c>
      <c r="AR66" s="452" t="str">
        <f t="shared" si="97"/>
        <v/>
      </c>
      <c r="AS66" s="452" t="str">
        <f t="shared" si="97"/>
        <v/>
      </c>
      <c r="AT66" s="452" t="str">
        <f t="shared" si="97"/>
        <v/>
      </c>
      <c r="AU66" s="453" t="str">
        <f t="shared" si="97"/>
        <v/>
      </c>
      <c r="AV66" s="451" t="str">
        <f t="shared" si="97"/>
        <v/>
      </c>
      <c r="AW66" s="452" t="str">
        <f t="shared" si="97"/>
        <v/>
      </c>
      <c r="AX66" s="452" t="str">
        <f t="shared" si="97"/>
        <v/>
      </c>
      <c r="AY66" s="452" t="str">
        <f t="shared" si="97"/>
        <v/>
      </c>
      <c r="AZ66" s="453" t="str">
        <f t="shared" si="97"/>
        <v/>
      </c>
      <c r="BA66" s="451" t="str">
        <f t="shared" si="78"/>
        <v/>
      </c>
      <c r="BB66" s="452" t="str">
        <f t="shared" si="78"/>
        <v/>
      </c>
      <c r="BC66" s="452" t="str">
        <f t="shared" si="78"/>
        <v/>
      </c>
      <c r="BD66" s="452" t="str">
        <f t="shared" si="78"/>
        <v/>
      </c>
      <c r="BE66" s="453" t="str">
        <f t="shared" si="78"/>
        <v/>
      </c>
      <c r="BF66" s="451" t="str">
        <f t="shared" si="78"/>
        <v/>
      </c>
      <c r="BG66" s="452" t="str">
        <f t="shared" si="78"/>
        <v/>
      </c>
      <c r="BH66" s="452" t="str">
        <f t="shared" si="78"/>
        <v/>
      </c>
      <c r="BI66" s="452" t="str">
        <f t="shared" si="92"/>
        <v/>
      </c>
      <c r="BJ66" s="453" t="str">
        <f t="shared" si="92"/>
        <v/>
      </c>
      <c r="BK66" s="451" t="str">
        <f t="shared" si="92"/>
        <v/>
      </c>
      <c r="BL66" s="452" t="str">
        <f t="shared" si="92"/>
        <v/>
      </c>
      <c r="BM66" s="452" t="str">
        <f t="shared" si="92"/>
        <v/>
      </c>
      <c r="BN66" s="452" t="str">
        <f t="shared" si="92"/>
        <v/>
      </c>
      <c r="BO66" s="453" t="str">
        <f t="shared" si="92"/>
        <v/>
      </c>
      <c r="BP66" s="451" t="str">
        <f t="shared" si="92"/>
        <v/>
      </c>
      <c r="BQ66" s="452" t="str">
        <f t="shared" si="92"/>
        <v/>
      </c>
      <c r="BR66" s="452" t="str">
        <f t="shared" si="92"/>
        <v/>
      </c>
      <c r="BS66" s="452" t="str">
        <f t="shared" si="92"/>
        <v/>
      </c>
      <c r="BT66" s="453" t="str">
        <f t="shared" si="92"/>
        <v/>
      </c>
      <c r="BU66" s="451" t="str">
        <f t="shared" si="92"/>
        <v/>
      </c>
      <c r="BV66" s="452" t="str">
        <f t="shared" si="92"/>
        <v/>
      </c>
      <c r="BW66" s="452" t="str">
        <f t="shared" si="92"/>
        <v/>
      </c>
      <c r="BX66" s="452" t="str">
        <f t="shared" si="92"/>
        <v/>
      </c>
      <c r="BY66" s="453" t="str">
        <f t="shared" si="81"/>
        <v/>
      </c>
      <c r="BZ66" s="451" t="str">
        <f t="shared" si="81"/>
        <v/>
      </c>
      <c r="CA66" s="452" t="str">
        <f t="shared" si="81"/>
        <v/>
      </c>
      <c r="CB66" s="452" t="str">
        <f t="shared" si="81"/>
        <v/>
      </c>
      <c r="CC66" s="452" t="str">
        <f t="shared" si="81"/>
        <v/>
      </c>
      <c r="CD66" s="453" t="str">
        <f t="shared" si="81"/>
        <v/>
      </c>
      <c r="CE66" s="451" t="str">
        <f t="shared" si="81"/>
        <v/>
      </c>
      <c r="CF66" s="452" t="str">
        <f t="shared" si="81"/>
        <v/>
      </c>
      <c r="CG66" s="452" t="str">
        <f t="shared" si="81"/>
        <v/>
      </c>
      <c r="CH66" s="452" t="str">
        <f t="shared" si="81"/>
        <v/>
      </c>
      <c r="CI66" s="453" t="str">
        <f t="shared" si="81"/>
        <v/>
      </c>
      <c r="CJ66" s="451" t="str">
        <f t="shared" si="81"/>
        <v/>
      </c>
      <c r="CK66" s="452" t="str">
        <f t="shared" si="81"/>
        <v/>
      </c>
      <c r="CL66" s="452" t="str">
        <f t="shared" si="81"/>
        <v/>
      </c>
      <c r="CM66" s="452" t="str">
        <f t="shared" si="81"/>
        <v/>
      </c>
      <c r="CN66" s="453" t="str">
        <f t="shared" si="80"/>
        <v/>
      </c>
      <c r="CO66" s="451" t="str">
        <f t="shared" si="80"/>
        <v/>
      </c>
      <c r="CP66" s="452" t="str">
        <f t="shared" si="80"/>
        <v/>
      </c>
      <c r="CQ66" s="452" t="str">
        <f t="shared" si="80"/>
        <v/>
      </c>
      <c r="CR66" s="452" t="str">
        <f t="shared" si="80"/>
        <v/>
      </c>
      <c r="CS66" s="453" t="str">
        <f t="shared" si="80"/>
        <v/>
      </c>
      <c r="CT66" s="451" t="str">
        <f t="shared" si="80"/>
        <v/>
      </c>
      <c r="CU66" s="452" t="str">
        <f t="shared" si="80"/>
        <v/>
      </c>
      <c r="CV66" s="452" t="str">
        <f t="shared" si="80"/>
        <v/>
      </c>
      <c r="CW66" s="452" t="str">
        <f t="shared" si="79"/>
        <v/>
      </c>
      <c r="CX66" s="453" t="str">
        <f t="shared" si="79"/>
        <v/>
      </c>
      <c r="CY66" s="451" t="str">
        <f t="shared" si="79"/>
        <v/>
      </c>
      <c r="CZ66" s="452" t="str">
        <f t="shared" si="79"/>
        <v/>
      </c>
      <c r="DA66" s="452" t="str">
        <f t="shared" si="79"/>
        <v/>
      </c>
      <c r="DB66" s="452" t="str">
        <f t="shared" si="79"/>
        <v/>
      </c>
      <c r="DC66" s="453" t="str">
        <f t="shared" si="79"/>
        <v/>
      </c>
      <c r="DD66" s="451" t="str">
        <f t="shared" si="79"/>
        <v/>
      </c>
      <c r="DE66" s="452" t="str">
        <f t="shared" si="84"/>
        <v/>
      </c>
      <c r="DF66" s="452" t="str">
        <f t="shared" si="84"/>
        <v/>
      </c>
      <c r="DG66" s="452" t="str">
        <f t="shared" si="84"/>
        <v/>
      </c>
      <c r="DH66" s="453" t="str">
        <f t="shared" si="84"/>
        <v/>
      </c>
      <c r="DI66" s="451" t="str">
        <f t="shared" si="84"/>
        <v/>
      </c>
      <c r="DJ66" s="452" t="str">
        <f t="shared" si="84"/>
        <v/>
      </c>
      <c r="DK66" s="452" t="str">
        <f t="shared" si="84"/>
        <v/>
      </c>
      <c r="DL66" s="452" t="str">
        <f t="shared" si="84"/>
        <v/>
      </c>
      <c r="DM66" s="453" t="str">
        <f t="shared" si="84"/>
        <v/>
      </c>
      <c r="DN66" s="451" t="str">
        <f t="shared" si="84"/>
        <v/>
      </c>
      <c r="DO66" s="452" t="str">
        <f t="shared" si="84"/>
        <v/>
      </c>
      <c r="DP66" s="452" t="str">
        <f t="shared" si="83"/>
        <v/>
      </c>
      <c r="DQ66" s="452" t="str">
        <f t="shared" si="83"/>
        <v/>
      </c>
      <c r="DR66" s="453" t="str">
        <f t="shared" si="83"/>
        <v/>
      </c>
      <c r="DS66" s="451" t="str">
        <f t="shared" si="83"/>
        <v/>
      </c>
      <c r="DT66" s="452" t="str">
        <f t="shared" si="83"/>
        <v/>
      </c>
      <c r="DU66" s="452" t="str">
        <f t="shared" si="83"/>
        <v/>
      </c>
      <c r="DV66" s="452" t="str">
        <f t="shared" si="83"/>
        <v/>
      </c>
      <c r="DW66" s="453" t="str">
        <f t="shared" si="83"/>
        <v/>
      </c>
      <c r="DX66" s="451" t="str">
        <f t="shared" si="83"/>
        <v/>
      </c>
      <c r="DY66" s="452" t="str">
        <f t="shared" si="83"/>
        <v/>
      </c>
      <c r="DZ66" s="452" t="str">
        <f t="shared" si="83"/>
        <v/>
      </c>
      <c r="EA66" s="452" t="str">
        <f t="shared" si="83"/>
        <v/>
      </c>
      <c r="EB66" s="453" t="str">
        <f t="shared" si="83"/>
        <v/>
      </c>
      <c r="EC66" s="451" t="str">
        <f t="shared" si="82"/>
        <v/>
      </c>
      <c r="ED66" s="452" t="str">
        <f t="shared" si="82"/>
        <v/>
      </c>
      <c r="EE66" s="452" t="str">
        <f t="shared" si="82"/>
        <v/>
      </c>
      <c r="EF66" s="452" t="str">
        <f t="shared" si="82"/>
        <v/>
      </c>
      <c r="EG66" s="453" t="str">
        <f t="shared" si="82"/>
        <v/>
      </c>
      <c r="EH66" s="451" t="str">
        <f t="shared" si="82"/>
        <v/>
      </c>
      <c r="EI66" s="452" t="str">
        <f t="shared" si="82"/>
        <v/>
      </c>
      <c r="EJ66" s="452" t="str">
        <f t="shared" si="82"/>
        <v/>
      </c>
      <c r="EK66" s="452" t="str">
        <f t="shared" si="82"/>
        <v/>
      </c>
      <c r="EL66" s="453" t="str">
        <f t="shared" si="82"/>
        <v/>
      </c>
      <c r="EM66" s="451" t="str">
        <f t="shared" si="82"/>
        <v/>
      </c>
      <c r="EN66" s="452" t="str">
        <f t="shared" si="82"/>
        <v/>
      </c>
      <c r="EO66" s="452" t="str">
        <f t="shared" si="82"/>
        <v/>
      </c>
      <c r="EP66" s="452" t="str">
        <f t="shared" si="82"/>
        <v/>
      </c>
      <c r="EQ66" s="453" t="str">
        <f t="shared" si="82"/>
        <v/>
      </c>
      <c r="ER66" s="451" t="str">
        <f t="shared" si="82"/>
        <v/>
      </c>
      <c r="ES66" s="452" t="str">
        <f t="shared" si="93"/>
        <v/>
      </c>
      <c r="ET66" s="452" t="str">
        <f t="shared" si="93"/>
        <v/>
      </c>
      <c r="EU66" s="452" t="str">
        <f t="shared" si="93"/>
        <v/>
      </c>
      <c r="EV66" s="453" t="str">
        <f t="shared" si="93"/>
        <v/>
      </c>
      <c r="EW66" s="451" t="str">
        <f t="shared" si="93"/>
        <v/>
      </c>
      <c r="EX66" s="452" t="str">
        <f t="shared" si="93"/>
        <v/>
      </c>
      <c r="EY66" s="452" t="str">
        <f t="shared" si="93"/>
        <v/>
      </c>
      <c r="EZ66" s="452" t="str">
        <f t="shared" si="93"/>
        <v/>
      </c>
      <c r="FA66" s="453" t="str">
        <f t="shared" si="93"/>
        <v/>
      </c>
      <c r="FB66" s="451" t="str">
        <f t="shared" si="93"/>
        <v/>
      </c>
      <c r="FC66" s="452" t="str">
        <f t="shared" si="93"/>
        <v/>
      </c>
      <c r="FD66" s="452" t="str">
        <f t="shared" si="93"/>
        <v/>
      </c>
      <c r="FE66" s="452" t="str">
        <f t="shared" si="93"/>
        <v/>
      </c>
      <c r="FF66" s="453" t="str">
        <f t="shared" si="93"/>
        <v/>
      </c>
      <c r="FG66" s="451" t="str">
        <f t="shared" si="93"/>
        <v/>
      </c>
      <c r="FH66" s="452" t="str">
        <f t="shared" si="93"/>
        <v/>
      </c>
      <c r="FI66" s="452" t="str">
        <f t="shared" si="85"/>
        <v/>
      </c>
      <c r="FJ66" s="452" t="str">
        <f t="shared" si="85"/>
        <v/>
      </c>
      <c r="FK66" s="453" t="str">
        <f t="shared" si="85"/>
        <v/>
      </c>
      <c r="FL66" s="451" t="str">
        <f t="shared" si="71"/>
        <v/>
      </c>
      <c r="FM66" s="452" t="str">
        <f t="shared" si="71"/>
        <v/>
      </c>
      <c r="FN66" s="452" t="str">
        <f t="shared" si="71"/>
        <v/>
      </c>
      <c r="FO66" s="452" t="str">
        <f t="shared" si="71"/>
        <v/>
      </c>
      <c r="FP66" s="453" t="str">
        <f t="shared" si="71"/>
        <v/>
      </c>
      <c r="FQ66" s="451" t="str">
        <f t="shared" si="71"/>
        <v/>
      </c>
      <c r="FR66" s="452" t="str">
        <f t="shared" si="71"/>
        <v/>
      </c>
      <c r="FS66" s="452" t="str">
        <f t="shared" si="71"/>
        <v/>
      </c>
      <c r="FT66" s="452" t="str">
        <f t="shared" si="71"/>
        <v/>
      </c>
      <c r="FU66" s="453" t="str">
        <f t="shared" si="71"/>
        <v/>
      </c>
      <c r="FV66" s="451" t="str">
        <f t="shared" si="71"/>
        <v/>
      </c>
      <c r="FW66" s="452" t="str">
        <f t="shared" si="71"/>
        <v/>
      </c>
      <c r="FX66" s="452" t="str">
        <f t="shared" si="71"/>
        <v/>
      </c>
      <c r="FY66" s="452" t="str">
        <f t="shared" si="71"/>
        <v/>
      </c>
      <c r="FZ66" s="453" t="str">
        <f t="shared" si="98"/>
        <v/>
      </c>
      <c r="GA66" s="451" t="str">
        <f t="shared" si="98"/>
        <v/>
      </c>
      <c r="GB66" s="452" t="str">
        <f t="shared" si="98"/>
        <v/>
      </c>
      <c r="GC66" s="452" t="str">
        <f t="shared" si="98"/>
        <v/>
      </c>
      <c r="GD66" s="452" t="str">
        <f t="shared" si="98"/>
        <v/>
      </c>
      <c r="GE66" s="453" t="str">
        <f t="shared" si="98"/>
        <v/>
      </c>
      <c r="GF66" s="451" t="str">
        <f t="shared" si="98"/>
        <v/>
      </c>
      <c r="GG66" s="452" t="str">
        <f t="shared" si="98"/>
        <v/>
      </c>
      <c r="GH66" s="452" t="str">
        <f t="shared" si="98"/>
        <v/>
      </c>
      <c r="GI66" s="452" t="str">
        <f t="shared" si="98"/>
        <v/>
      </c>
      <c r="GJ66" s="453" t="str">
        <f t="shared" si="98"/>
        <v/>
      </c>
      <c r="GK66" s="451" t="str">
        <f t="shared" si="98"/>
        <v/>
      </c>
      <c r="GL66" s="452" t="str">
        <f t="shared" si="98"/>
        <v/>
      </c>
      <c r="GM66" s="452" t="str">
        <f t="shared" si="98"/>
        <v/>
      </c>
      <c r="GN66" s="452" t="str">
        <f t="shared" si="98"/>
        <v/>
      </c>
      <c r="GO66" s="453" t="str">
        <f t="shared" si="98"/>
        <v/>
      </c>
      <c r="GP66" s="451" t="str">
        <f t="shared" si="96"/>
        <v/>
      </c>
      <c r="GQ66" s="452" t="str">
        <f t="shared" si="96"/>
        <v/>
      </c>
      <c r="GR66" s="452" t="str">
        <f t="shared" si="96"/>
        <v/>
      </c>
      <c r="GS66" s="452" t="str">
        <f t="shared" si="96"/>
        <v/>
      </c>
      <c r="GT66" s="453" t="str">
        <f t="shared" si="96"/>
        <v/>
      </c>
      <c r="GU66" s="451" t="str">
        <f t="shared" si="96"/>
        <v/>
      </c>
      <c r="GV66" s="452" t="str">
        <f t="shared" si="96"/>
        <v/>
      </c>
      <c r="GW66" s="452" t="str">
        <f t="shared" si="96"/>
        <v/>
      </c>
      <c r="GX66" s="452" t="str">
        <f t="shared" si="96"/>
        <v/>
      </c>
      <c r="GY66" s="453" t="str">
        <f t="shared" si="96"/>
        <v/>
      </c>
      <c r="GZ66" s="451" t="str">
        <f t="shared" si="96"/>
        <v/>
      </c>
      <c r="HA66" s="452" t="str">
        <f t="shared" si="86"/>
        <v/>
      </c>
      <c r="HB66" s="452" t="str">
        <f t="shared" si="86"/>
        <v/>
      </c>
      <c r="HC66" s="452" t="str">
        <f t="shared" si="86"/>
        <v/>
      </c>
      <c r="HD66" s="453" t="str">
        <f t="shared" si="86"/>
        <v/>
      </c>
      <c r="HE66" s="451" t="str">
        <f t="shared" si="86"/>
        <v/>
      </c>
      <c r="HF66" s="452" t="str">
        <f t="shared" si="86"/>
        <v/>
      </c>
      <c r="HG66" s="452" t="str">
        <f t="shared" si="94"/>
        <v/>
      </c>
      <c r="HH66" s="452" t="str">
        <f t="shared" si="94"/>
        <v/>
      </c>
      <c r="HI66" s="453" t="str">
        <f t="shared" si="94"/>
        <v/>
      </c>
      <c r="HJ66" s="451" t="str">
        <f t="shared" si="94"/>
        <v/>
      </c>
      <c r="HK66" s="452" t="str">
        <f t="shared" si="94"/>
        <v/>
      </c>
      <c r="HL66" s="452" t="str">
        <f t="shared" si="94"/>
        <v/>
      </c>
      <c r="HM66" s="452" t="str">
        <f t="shared" si="94"/>
        <v/>
      </c>
      <c r="HN66" s="453" t="str">
        <f t="shared" si="94"/>
        <v/>
      </c>
      <c r="HO66" s="451" t="str">
        <f t="shared" si="94"/>
        <v/>
      </c>
      <c r="HP66" s="452" t="str">
        <f t="shared" si="94"/>
        <v/>
      </c>
      <c r="HQ66" s="452" t="str">
        <f t="shared" si="94"/>
        <v/>
      </c>
      <c r="HR66" s="452" t="str">
        <f t="shared" si="94"/>
        <v/>
      </c>
      <c r="HS66" s="453" t="str">
        <f t="shared" si="94"/>
        <v/>
      </c>
      <c r="HT66" s="451" t="str">
        <f t="shared" si="94"/>
        <v/>
      </c>
      <c r="HU66" s="452" t="str">
        <f t="shared" si="94"/>
        <v/>
      </c>
      <c r="HV66" s="452" t="str">
        <f t="shared" si="94"/>
        <v/>
      </c>
      <c r="HW66" s="452" t="str">
        <f t="shared" si="87"/>
        <v/>
      </c>
      <c r="HX66" s="453" t="str">
        <f t="shared" si="87"/>
        <v/>
      </c>
      <c r="HY66" s="451" t="str">
        <f t="shared" si="87"/>
        <v/>
      </c>
      <c r="HZ66" s="452" t="str">
        <f t="shared" si="99"/>
        <v/>
      </c>
      <c r="IA66" s="452" t="str">
        <f t="shared" si="99"/>
        <v/>
      </c>
      <c r="IB66" s="452" t="str">
        <f t="shared" si="99"/>
        <v/>
      </c>
      <c r="IC66" s="453" t="str">
        <f t="shared" si="99"/>
        <v/>
      </c>
      <c r="ID66" s="451" t="str">
        <f t="shared" si="99"/>
        <v/>
      </c>
      <c r="IE66" s="452" t="str">
        <f t="shared" si="99"/>
        <v/>
      </c>
      <c r="IF66" s="452" t="str">
        <f t="shared" si="99"/>
        <v/>
      </c>
      <c r="IG66" s="452" t="str">
        <f t="shared" si="99"/>
        <v/>
      </c>
      <c r="IH66" s="453" t="str">
        <f t="shared" si="99"/>
        <v/>
      </c>
      <c r="II66" s="451" t="str">
        <f t="shared" si="99"/>
        <v/>
      </c>
      <c r="IJ66" s="452" t="str">
        <f t="shared" si="99"/>
        <v/>
      </c>
      <c r="IK66" s="452" t="str">
        <f t="shared" si="99"/>
        <v/>
      </c>
      <c r="IL66" s="452" t="str">
        <f t="shared" si="99"/>
        <v/>
      </c>
      <c r="IM66" s="453" t="str">
        <f t="shared" si="99"/>
        <v/>
      </c>
      <c r="IN66" s="451" t="str">
        <f t="shared" si="99"/>
        <v/>
      </c>
      <c r="IO66" s="452" t="str">
        <f t="shared" si="88"/>
        <v/>
      </c>
      <c r="IP66" s="452" t="str">
        <f t="shared" si="88"/>
        <v/>
      </c>
      <c r="IQ66" s="452" t="str">
        <f t="shared" si="88"/>
        <v/>
      </c>
      <c r="IR66" s="453" t="str">
        <f t="shared" si="88"/>
        <v/>
      </c>
    </row>
    <row r="67" spans="1:252" x14ac:dyDescent="0.2">
      <c r="A67" s="461">
        <v>6.8</v>
      </c>
      <c r="C67" s="447" t="s">
        <v>1358</v>
      </c>
      <c r="D67" s="447"/>
      <c r="E67" s="448"/>
      <c r="F67" s="448"/>
      <c r="G67" s="448"/>
      <c r="H67" s="448"/>
      <c r="I67" s="448"/>
      <c r="J67" s="449" t="str">
        <f t="shared" si="89"/>
        <v/>
      </c>
      <c r="K67" s="449" t="str">
        <f t="shared" si="90"/>
        <v/>
      </c>
      <c r="L67" s="450">
        <f t="shared" si="0"/>
        <v>0</v>
      </c>
      <c r="M67" s="451" t="str">
        <f t="shared" si="91"/>
        <v/>
      </c>
      <c r="N67" s="452" t="str">
        <f t="shared" si="91"/>
        <v/>
      </c>
      <c r="O67" s="452" t="str">
        <f t="shared" si="91"/>
        <v/>
      </c>
      <c r="P67" s="452" t="str">
        <f t="shared" si="91"/>
        <v/>
      </c>
      <c r="Q67" s="453" t="str">
        <f t="shared" si="91"/>
        <v/>
      </c>
      <c r="R67" s="451" t="str">
        <f t="shared" si="91"/>
        <v/>
      </c>
      <c r="S67" s="452" t="str">
        <f t="shared" si="91"/>
        <v/>
      </c>
      <c r="T67" s="452" t="str">
        <f t="shared" si="91"/>
        <v/>
      </c>
      <c r="U67" s="452" t="str">
        <f t="shared" si="91"/>
        <v/>
      </c>
      <c r="V67" s="453" t="str">
        <f t="shared" si="91"/>
        <v/>
      </c>
      <c r="W67" s="451" t="str">
        <f t="shared" si="91"/>
        <v/>
      </c>
      <c r="X67" s="452" t="str">
        <f t="shared" si="91"/>
        <v/>
      </c>
      <c r="Y67" s="452" t="str">
        <f t="shared" si="91"/>
        <v/>
      </c>
      <c r="Z67" s="452" t="str">
        <f t="shared" si="91"/>
        <v/>
      </c>
      <c r="AA67" s="453" t="str">
        <f t="shared" si="91"/>
        <v/>
      </c>
      <c r="AB67" s="451" t="str">
        <f t="shared" si="91"/>
        <v/>
      </c>
      <c r="AC67" s="452" t="str">
        <f t="shared" si="100"/>
        <v/>
      </c>
      <c r="AD67" s="452" t="str">
        <f t="shared" si="100"/>
        <v/>
      </c>
      <c r="AE67" s="452" t="str">
        <f t="shared" si="100"/>
        <v/>
      </c>
      <c r="AF67" s="453" t="str">
        <f t="shared" si="100"/>
        <v/>
      </c>
      <c r="AG67" s="451" t="str">
        <f t="shared" si="100"/>
        <v/>
      </c>
      <c r="AH67" s="452" t="str">
        <f t="shared" si="100"/>
        <v/>
      </c>
      <c r="AI67" s="452" t="str">
        <f t="shared" si="100"/>
        <v/>
      </c>
      <c r="AJ67" s="452" t="str">
        <f t="shared" si="100"/>
        <v/>
      </c>
      <c r="AK67" s="453" t="str">
        <f t="shared" si="100"/>
        <v/>
      </c>
      <c r="AL67" s="451" t="str">
        <f t="shared" si="100"/>
        <v/>
      </c>
      <c r="AM67" s="452" t="str">
        <f t="shared" si="100"/>
        <v/>
      </c>
      <c r="AN67" s="452" t="str">
        <f t="shared" si="100"/>
        <v/>
      </c>
      <c r="AO67" s="452" t="str">
        <f t="shared" si="100"/>
        <v/>
      </c>
      <c r="AP67" s="453" t="str">
        <f t="shared" si="100"/>
        <v/>
      </c>
      <c r="AQ67" s="451" t="str">
        <f t="shared" si="100"/>
        <v/>
      </c>
      <c r="AR67" s="452" t="str">
        <f t="shared" si="97"/>
        <v/>
      </c>
      <c r="AS67" s="452" t="str">
        <f t="shared" si="97"/>
        <v/>
      </c>
      <c r="AT67" s="452" t="str">
        <f t="shared" si="97"/>
        <v/>
      </c>
      <c r="AU67" s="453" t="str">
        <f t="shared" si="97"/>
        <v/>
      </c>
      <c r="AV67" s="451" t="str">
        <f t="shared" si="97"/>
        <v/>
      </c>
      <c r="AW67" s="452" t="str">
        <f t="shared" si="97"/>
        <v/>
      </c>
      <c r="AX67" s="452" t="str">
        <f t="shared" si="97"/>
        <v/>
      </c>
      <c r="AY67" s="452" t="str">
        <f t="shared" si="97"/>
        <v/>
      </c>
      <c r="AZ67" s="453" t="str">
        <f t="shared" si="97"/>
        <v/>
      </c>
      <c r="BA67" s="451" t="str">
        <f t="shared" si="78"/>
        <v/>
      </c>
      <c r="BB67" s="452" t="str">
        <f t="shared" si="78"/>
        <v/>
      </c>
      <c r="BC67" s="452" t="str">
        <f t="shared" si="78"/>
        <v/>
      </c>
      <c r="BD67" s="452" t="str">
        <f t="shared" si="78"/>
        <v/>
      </c>
      <c r="BE67" s="453" t="str">
        <f t="shared" si="78"/>
        <v/>
      </c>
      <c r="BF67" s="451" t="str">
        <f t="shared" si="78"/>
        <v/>
      </c>
      <c r="BG67" s="452" t="str">
        <f t="shared" si="78"/>
        <v/>
      </c>
      <c r="BH67" s="452" t="str">
        <f t="shared" si="78"/>
        <v/>
      </c>
      <c r="BI67" s="452" t="str">
        <f t="shared" si="92"/>
        <v/>
      </c>
      <c r="BJ67" s="453" t="str">
        <f t="shared" si="92"/>
        <v/>
      </c>
      <c r="BK67" s="451" t="str">
        <f t="shared" si="92"/>
        <v/>
      </c>
      <c r="BL67" s="452" t="str">
        <f t="shared" si="92"/>
        <v/>
      </c>
      <c r="BM67" s="452" t="str">
        <f t="shared" si="92"/>
        <v/>
      </c>
      <c r="BN67" s="452" t="str">
        <f t="shared" si="92"/>
        <v/>
      </c>
      <c r="BO67" s="453" t="str">
        <f t="shared" si="92"/>
        <v/>
      </c>
      <c r="BP67" s="451" t="str">
        <f t="shared" si="92"/>
        <v/>
      </c>
      <c r="BQ67" s="452" t="str">
        <f t="shared" si="92"/>
        <v/>
      </c>
      <c r="BR67" s="452" t="str">
        <f t="shared" si="92"/>
        <v/>
      </c>
      <c r="BS67" s="452" t="str">
        <f t="shared" si="92"/>
        <v/>
      </c>
      <c r="BT67" s="453" t="str">
        <f t="shared" si="92"/>
        <v/>
      </c>
      <c r="BU67" s="451" t="str">
        <f t="shared" si="92"/>
        <v/>
      </c>
      <c r="BV67" s="452" t="str">
        <f t="shared" si="92"/>
        <v/>
      </c>
      <c r="BW67" s="452" t="str">
        <f t="shared" si="92"/>
        <v/>
      </c>
      <c r="BX67" s="452" t="str">
        <f t="shared" si="92"/>
        <v/>
      </c>
      <c r="BY67" s="453" t="str">
        <f t="shared" si="81"/>
        <v/>
      </c>
      <c r="BZ67" s="451" t="str">
        <f t="shared" si="81"/>
        <v/>
      </c>
      <c r="CA67" s="452" t="str">
        <f t="shared" si="81"/>
        <v/>
      </c>
      <c r="CB67" s="452" t="str">
        <f t="shared" si="81"/>
        <v/>
      </c>
      <c r="CC67" s="452" t="str">
        <f t="shared" si="81"/>
        <v/>
      </c>
      <c r="CD67" s="453" t="str">
        <f t="shared" si="81"/>
        <v/>
      </c>
      <c r="CE67" s="451" t="str">
        <f t="shared" si="81"/>
        <v/>
      </c>
      <c r="CF67" s="452" t="str">
        <f t="shared" si="81"/>
        <v/>
      </c>
      <c r="CG67" s="452" t="str">
        <f t="shared" si="81"/>
        <v/>
      </c>
      <c r="CH67" s="452" t="str">
        <f t="shared" si="81"/>
        <v/>
      </c>
      <c r="CI67" s="453" t="str">
        <f t="shared" si="81"/>
        <v/>
      </c>
      <c r="CJ67" s="451" t="str">
        <f t="shared" si="81"/>
        <v/>
      </c>
      <c r="CK67" s="452" t="str">
        <f t="shared" si="81"/>
        <v/>
      </c>
      <c r="CL67" s="452" t="str">
        <f t="shared" si="81"/>
        <v/>
      </c>
      <c r="CM67" s="452" t="str">
        <f t="shared" si="81"/>
        <v/>
      </c>
      <c r="CN67" s="453" t="str">
        <f t="shared" si="80"/>
        <v/>
      </c>
      <c r="CO67" s="451" t="str">
        <f t="shared" si="80"/>
        <v/>
      </c>
      <c r="CP67" s="452" t="str">
        <f t="shared" si="80"/>
        <v/>
      </c>
      <c r="CQ67" s="452" t="str">
        <f t="shared" si="80"/>
        <v/>
      </c>
      <c r="CR67" s="452" t="str">
        <f t="shared" si="80"/>
        <v/>
      </c>
      <c r="CS67" s="453" t="str">
        <f t="shared" si="80"/>
        <v/>
      </c>
      <c r="CT67" s="451" t="str">
        <f t="shared" si="80"/>
        <v/>
      </c>
      <c r="CU67" s="452" t="str">
        <f t="shared" si="80"/>
        <v/>
      </c>
      <c r="CV67" s="452" t="str">
        <f t="shared" si="80"/>
        <v/>
      </c>
      <c r="CW67" s="452" t="str">
        <f t="shared" si="79"/>
        <v/>
      </c>
      <c r="CX67" s="453" t="str">
        <f t="shared" si="79"/>
        <v/>
      </c>
      <c r="CY67" s="451" t="str">
        <f t="shared" si="79"/>
        <v/>
      </c>
      <c r="CZ67" s="452" t="str">
        <f t="shared" si="79"/>
        <v/>
      </c>
      <c r="DA67" s="452" t="str">
        <f t="shared" si="79"/>
        <v/>
      </c>
      <c r="DB67" s="452" t="str">
        <f t="shared" si="79"/>
        <v/>
      </c>
      <c r="DC67" s="453" t="str">
        <f t="shared" si="79"/>
        <v/>
      </c>
      <c r="DD67" s="451" t="str">
        <f t="shared" si="79"/>
        <v/>
      </c>
      <c r="DE67" s="452" t="str">
        <f t="shared" si="84"/>
        <v/>
      </c>
      <c r="DF67" s="452" t="str">
        <f t="shared" si="84"/>
        <v/>
      </c>
      <c r="DG67" s="452" t="str">
        <f t="shared" si="84"/>
        <v/>
      </c>
      <c r="DH67" s="453" t="str">
        <f t="shared" si="84"/>
        <v/>
      </c>
      <c r="DI67" s="451" t="str">
        <f t="shared" si="84"/>
        <v/>
      </c>
      <c r="DJ67" s="452" t="str">
        <f t="shared" si="84"/>
        <v/>
      </c>
      <c r="DK67" s="452" t="str">
        <f t="shared" si="84"/>
        <v/>
      </c>
      <c r="DL67" s="452" t="str">
        <f t="shared" si="84"/>
        <v/>
      </c>
      <c r="DM67" s="453" t="str">
        <f t="shared" si="84"/>
        <v/>
      </c>
      <c r="DN67" s="451" t="str">
        <f t="shared" si="84"/>
        <v/>
      </c>
      <c r="DO67" s="452" t="str">
        <f t="shared" si="84"/>
        <v/>
      </c>
      <c r="DP67" s="452" t="str">
        <f t="shared" si="83"/>
        <v/>
      </c>
      <c r="DQ67" s="452" t="str">
        <f t="shared" si="83"/>
        <v/>
      </c>
      <c r="DR67" s="453" t="str">
        <f t="shared" si="83"/>
        <v/>
      </c>
      <c r="DS67" s="451" t="str">
        <f t="shared" si="83"/>
        <v/>
      </c>
      <c r="DT67" s="452" t="str">
        <f t="shared" si="83"/>
        <v/>
      </c>
      <c r="DU67" s="452" t="str">
        <f t="shared" si="83"/>
        <v/>
      </c>
      <c r="DV67" s="452" t="str">
        <f t="shared" si="83"/>
        <v/>
      </c>
      <c r="DW67" s="453" t="str">
        <f t="shared" si="83"/>
        <v/>
      </c>
      <c r="DX67" s="451" t="str">
        <f t="shared" si="83"/>
        <v/>
      </c>
      <c r="DY67" s="452" t="str">
        <f t="shared" si="83"/>
        <v/>
      </c>
      <c r="DZ67" s="452" t="str">
        <f t="shared" si="83"/>
        <v/>
      </c>
      <c r="EA67" s="452" t="str">
        <f t="shared" si="83"/>
        <v/>
      </c>
      <c r="EB67" s="453" t="str">
        <f t="shared" si="83"/>
        <v/>
      </c>
      <c r="EC67" s="451" t="str">
        <f t="shared" si="82"/>
        <v/>
      </c>
      <c r="ED67" s="452" t="str">
        <f t="shared" si="82"/>
        <v/>
      </c>
      <c r="EE67" s="452" t="str">
        <f t="shared" si="82"/>
        <v/>
      </c>
      <c r="EF67" s="452" t="str">
        <f t="shared" si="82"/>
        <v/>
      </c>
      <c r="EG67" s="453" t="str">
        <f t="shared" si="82"/>
        <v/>
      </c>
      <c r="EH67" s="451" t="str">
        <f t="shared" si="82"/>
        <v/>
      </c>
      <c r="EI67" s="452" t="str">
        <f t="shared" si="82"/>
        <v/>
      </c>
      <c r="EJ67" s="452" t="str">
        <f t="shared" si="82"/>
        <v/>
      </c>
      <c r="EK67" s="452" t="str">
        <f t="shared" si="82"/>
        <v/>
      </c>
      <c r="EL67" s="453" t="str">
        <f t="shared" si="82"/>
        <v/>
      </c>
      <c r="EM67" s="451" t="str">
        <f t="shared" si="82"/>
        <v/>
      </c>
      <c r="EN67" s="452" t="str">
        <f t="shared" si="82"/>
        <v/>
      </c>
      <c r="EO67" s="452" t="str">
        <f t="shared" si="82"/>
        <v/>
      </c>
      <c r="EP67" s="452" t="str">
        <f t="shared" si="82"/>
        <v/>
      </c>
      <c r="EQ67" s="453" t="str">
        <f t="shared" si="82"/>
        <v/>
      </c>
      <c r="ER67" s="451" t="str">
        <f t="shared" si="82"/>
        <v/>
      </c>
      <c r="ES67" s="452" t="str">
        <f t="shared" si="93"/>
        <v/>
      </c>
      <c r="ET67" s="452" t="str">
        <f t="shared" si="93"/>
        <v/>
      </c>
      <c r="EU67" s="452" t="str">
        <f t="shared" si="93"/>
        <v/>
      </c>
      <c r="EV67" s="453" t="str">
        <f t="shared" si="93"/>
        <v/>
      </c>
      <c r="EW67" s="451" t="str">
        <f t="shared" si="93"/>
        <v/>
      </c>
      <c r="EX67" s="452" t="str">
        <f t="shared" si="93"/>
        <v/>
      </c>
      <c r="EY67" s="452" t="str">
        <f t="shared" si="93"/>
        <v/>
      </c>
      <c r="EZ67" s="452" t="str">
        <f t="shared" si="93"/>
        <v/>
      </c>
      <c r="FA67" s="453" t="str">
        <f t="shared" si="93"/>
        <v/>
      </c>
      <c r="FB67" s="451" t="str">
        <f t="shared" si="93"/>
        <v/>
      </c>
      <c r="FC67" s="452" t="str">
        <f t="shared" si="93"/>
        <v/>
      </c>
      <c r="FD67" s="452" t="str">
        <f t="shared" si="93"/>
        <v/>
      </c>
      <c r="FE67" s="452" t="str">
        <f t="shared" si="93"/>
        <v/>
      </c>
      <c r="FF67" s="453" t="str">
        <f t="shared" si="93"/>
        <v/>
      </c>
      <c r="FG67" s="451" t="str">
        <f t="shared" si="93"/>
        <v/>
      </c>
      <c r="FH67" s="452" t="str">
        <f t="shared" si="93"/>
        <v/>
      </c>
      <c r="FI67" s="452" t="str">
        <f t="shared" si="85"/>
        <v/>
      </c>
      <c r="FJ67" s="452" t="str">
        <f t="shared" si="85"/>
        <v/>
      </c>
      <c r="FK67" s="453" t="str">
        <f t="shared" si="85"/>
        <v/>
      </c>
      <c r="FL67" s="451" t="str">
        <f t="shared" si="71"/>
        <v/>
      </c>
      <c r="FM67" s="452" t="str">
        <f t="shared" si="71"/>
        <v/>
      </c>
      <c r="FN67" s="452" t="str">
        <f t="shared" si="71"/>
        <v/>
      </c>
      <c r="FO67" s="452" t="str">
        <f t="shared" si="71"/>
        <v/>
      </c>
      <c r="FP67" s="453" t="str">
        <f t="shared" si="71"/>
        <v/>
      </c>
      <c r="FQ67" s="451" t="str">
        <f t="shared" si="71"/>
        <v/>
      </c>
      <c r="FR67" s="452" t="str">
        <f t="shared" si="71"/>
        <v/>
      </c>
      <c r="FS67" s="452" t="str">
        <f t="shared" si="71"/>
        <v/>
      </c>
      <c r="FT67" s="452" t="str">
        <f t="shared" si="71"/>
        <v/>
      </c>
      <c r="FU67" s="453" t="str">
        <f t="shared" si="71"/>
        <v/>
      </c>
      <c r="FV67" s="451" t="str">
        <f t="shared" si="71"/>
        <v/>
      </c>
      <c r="FW67" s="452" t="str">
        <f t="shared" si="71"/>
        <v/>
      </c>
      <c r="FX67" s="452" t="str">
        <f t="shared" si="71"/>
        <v/>
      </c>
      <c r="FY67" s="452" t="str">
        <f t="shared" si="71"/>
        <v/>
      </c>
      <c r="FZ67" s="453" t="str">
        <f t="shared" si="98"/>
        <v/>
      </c>
      <c r="GA67" s="451" t="str">
        <f t="shared" si="98"/>
        <v/>
      </c>
      <c r="GB67" s="452" t="str">
        <f t="shared" si="98"/>
        <v/>
      </c>
      <c r="GC67" s="452" t="str">
        <f t="shared" si="98"/>
        <v/>
      </c>
      <c r="GD67" s="452" t="str">
        <f t="shared" si="98"/>
        <v/>
      </c>
      <c r="GE67" s="453" t="str">
        <f t="shared" si="98"/>
        <v/>
      </c>
      <c r="GF67" s="451" t="str">
        <f t="shared" si="98"/>
        <v/>
      </c>
      <c r="GG67" s="452" t="str">
        <f t="shared" si="98"/>
        <v/>
      </c>
      <c r="GH67" s="452" t="str">
        <f t="shared" si="98"/>
        <v/>
      </c>
      <c r="GI67" s="452" t="str">
        <f t="shared" si="98"/>
        <v/>
      </c>
      <c r="GJ67" s="453" t="str">
        <f t="shared" si="98"/>
        <v/>
      </c>
      <c r="GK67" s="451" t="str">
        <f t="shared" si="98"/>
        <v/>
      </c>
      <c r="GL67" s="452" t="str">
        <f t="shared" si="98"/>
        <v/>
      </c>
      <c r="GM67" s="452" t="str">
        <f t="shared" si="98"/>
        <v/>
      </c>
      <c r="GN67" s="452" t="str">
        <f t="shared" si="98"/>
        <v/>
      </c>
      <c r="GO67" s="453" t="str">
        <f t="shared" si="98"/>
        <v/>
      </c>
      <c r="GP67" s="451" t="str">
        <f t="shared" si="96"/>
        <v/>
      </c>
      <c r="GQ67" s="452" t="str">
        <f t="shared" si="96"/>
        <v/>
      </c>
      <c r="GR67" s="452" t="str">
        <f t="shared" si="96"/>
        <v/>
      </c>
      <c r="GS67" s="452" t="str">
        <f t="shared" si="96"/>
        <v/>
      </c>
      <c r="GT67" s="453" t="str">
        <f t="shared" si="96"/>
        <v/>
      </c>
      <c r="GU67" s="451" t="str">
        <f t="shared" si="96"/>
        <v/>
      </c>
      <c r="GV67" s="452" t="str">
        <f t="shared" si="96"/>
        <v/>
      </c>
      <c r="GW67" s="452" t="str">
        <f t="shared" si="96"/>
        <v/>
      </c>
      <c r="GX67" s="452" t="str">
        <f t="shared" si="96"/>
        <v/>
      </c>
      <c r="GY67" s="453" t="str">
        <f t="shared" si="96"/>
        <v/>
      </c>
      <c r="GZ67" s="451" t="str">
        <f t="shared" si="96"/>
        <v/>
      </c>
      <c r="HA67" s="452" t="str">
        <f t="shared" si="86"/>
        <v/>
      </c>
      <c r="HB67" s="452" t="str">
        <f t="shared" si="86"/>
        <v/>
      </c>
      <c r="HC67" s="452" t="str">
        <f t="shared" si="86"/>
        <v/>
      </c>
      <c r="HD67" s="453" t="str">
        <f t="shared" si="86"/>
        <v/>
      </c>
      <c r="HE67" s="451" t="str">
        <f t="shared" si="86"/>
        <v/>
      </c>
      <c r="HF67" s="452" t="str">
        <f t="shared" si="86"/>
        <v/>
      </c>
      <c r="HG67" s="452" t="str">
        <f t="shared" si="94"/>
        <v/>
      </c>
      <c r="HH67" s="452" t="str">
        <f t="shared" si="94"/>
        <v/>
      </c>
      <c r="HI67" s="453" t="str">
        <f t="shared" si="94"/>
        <v/>
      </c>
      <c r="HJ67" s="451" t="str">
        <f t="shared" si="94"/>
        <v/>
      </c>
      <c r="HK67" s="452" t="str">
        <f t="shared" si="94"/>
        <v/>
      </c>
      <c r="HL67" s="452" t="str">
        <f t="shared" si="94"/>
        <v/>
      </c>
      <c r="HM67" s="452" t="str">
        <f t="shared" si="94"/>
        <v/>
      </c>
      <c r="HN67" s="453" t="str">
        <f t="shared" si="94"/>
        <v/>
      </c>
      <c r="HO67" s="451" t="str">
        <f t="shared" si="94"/>
        <v/>
      </c>
      <c r="HP67" s="452" t="str">
        <f t="shared" si="94"/>
        <v/>
      </c>
      <c r="HQ67" s="452" t="str">
        <f t="shared" si="94"/>
        <v/>
      </c>
      <c r="HR67" s="452" t="str">
        <f t="shared" si="94"/>
        <v/>
      </c>
      <c r="HS67" s="453" t="str">
        <f t="shared" si="94"/>
        <v/>
      </c>
      <c r="HT67" s="451" t="str">
        <f t="shared" si="94"/>
        <v/>
      </c>
      <c r="HU67" s="452" t="str">
        <f t="shared" si="94"/>
        <v/>
      </c>
      <c r="HV67" s="452" t="str">
        <f t="shared" si="94"/>
        <v/>
      </c>
      <c r="HW67" s="452" t="str">
        <f t="shared" si="87"/>
        <v/>
      </c>
      <c r="HX67" s="453" t="str">
        <f t="shared" si="87"/>
        <v/>
      </c>
      <c r="HY67" s="451" t="str">
        <f t="shared" si="87"/>
        <v/>
      </c>
      <c r="HZ67" s="452" t="str">
        <f t="shared" si="99"/>
        <v/>
      </c>
      <c r="IA67" s="452" t="str">
        <f t="shared" si="99"/>
        <v/>
      </c>
      <c r="IB67" s="452" t="str">
        <f t="shared" si="99"/>
        <v/>
      </c>
      <c r="IC67" s="453" t="str">
        <f t="shared" si="99"/>
        <v/>
      </c>
      <c r="ID67" s="451" t="str">
        <f t="shared" si="99"/>
        <v/>
      </c>
      <c r="IE67" s="452" t="str">
        <f t="shared" si="99"/>
        <v/>
      </c>
      <c r="IF67" s="452" t="str">
        <f t="shared" si="99"/>
        <v/>
      </c>
      <c r="IG67" s="452" t="str">
        <f t="shared" si="99"/>
        <v/>
      </c>
      <c r="IH67" s="453" t="str">
        <f t="shared" si="99"/>
        <v/>
      </c>
      <c r="II67" s="451" t="str">
        <f t="shared" si="99"/>
        <v/>
      </c>
      <c r="IJ67" s="452" t="str">
        <f t="shared" si="99"/>
        <v/>
      </c>
      <c r="IK67" s="452" t="str">
        <f t="shared" si="99"/>
        <v/>
      </c>
      <c r="IL67" s="452" t="str">
        <f t="shared" si="99"/>
        <v/>
      </c>
      <c r="IM67" s="453" t="str">
        <f t="shared" si="99"/>
        <v/>
      </c>
      <c r="IN67" s="451" t="str">
        <f t="shared" si="99"/>
        <v/>
      </c>
      <c r="IO67" s="452" t="str">
        <f t="shared" si="88"/>
        <v/>
      </c>
      <c r="IP67" s="452" t="str">
        <f t="shared" si="88"/>
        <v/>
      </c>
      <c r="IQ67" s="452" t="str">
        <f t="shared" si="88"/>
        <v/>
      </c>
      <c r="IR67" s="453" t="str">
        <f t="shared" si="88"/>
        <v/>
      </c>
    </row>
    <row r="68" spans="1:252" x14ac:dyDescent="0.2">
      <c r="A68" s="461">
        <v>6.9</v>
      </c>
      <c r="C68" s="447" t="s">
        <v>1359</v>
      </c>
      <c r="D68" s="447"/>
      <c r="E68" s="448"/>
      <c r="F68" s="448"/>
      <c r="G68" s="448"/>
      <c r="H68" s="448"/>
      <c r="I68" s="448"/>
      <c r="J68" s="449" t="str">
        <f t="shared" si="89"/>
        <v/>
      </c>
      <c r="K68" s="449" t="str">
        <f t="shared" si="90"/>
        <v/>
      </c>
      <c r="L68" s="450">
        <f t="shared" ref="L68:L113" si="101">SUM(M68:IR68)</f>
        <v>0</v>
      </c>
      <c r="M68" s="451" t="str">
        <f t="shared" si="91"/>
        <v/>
      </c>
      <c r="N68" s="452" t="str">
        <f t="shared" si="91"/>
        <v/>
      </c>
      <c r="O68" s="452" t="str">
        <f t="shared" si="91"/>
        <v/>
      </c>
      <c r="P68" s="452" t="str">
        <f t="shared" si="91"/>
        <v/>
      </c>
      <c r="Q68" s="453" t="str">
        <f t="shared" si="91"/>
        <v/>
      </c>
      <c r="R68" s="451" t="str">
        <f t="shared" si="91"/>
        <v/>
      </c>
      <c r="S68" s="452" t="str">
        <f t="shared" si="91"/>
        <v/>
      </c>
      <c r="T68" s="452" t="str">
        <f t="shared" si="91"/>
        <v/>
      </c>
      <c r="U68" s="452" t="str">
        <f t="shared" si="91"/>
        <v/>
      </c>
      <c r="V68" s="453" t="str">
        <f t="shared" si="91"/>
        <v/>
      </c>
      <c r="W68" s="451" t="str">
        <f t="shared" si="91"/>
        <v/>
      </c>
      <c r="X68" s="452" t="str">
        <f t="shared" si="91"/>
        <v/>
      </c>
      <c r="Y68" s="452" t="str">
        <f t="shared" si="91"/>
        <v/>
      </c>
      <c r="Z68" s="452" t="str">
        <f t="shared" si="91"/>
        <v/>
      </c>
      <c r="AA68" s="453" t="str">
        <f t="shared" si="91"/>
        <v/>
      </c>
      <c r="AB68" s="451" t="str">
        <f t="shared" si="91"/>
        <v/>
      </c>
      <c r="AC68" s="452" t="str">
        <f t="shared" si="100"/>
        <v/>
      </c>
      <c r="AD68" s="452" t="str">
        <f t="shared" si="100"/>
        <v/>
      </c>
      <c r="AE68" s="452" t="str">
        <f t="shared" si="100"/>
        <v/>
      </c>
      <c r="AF68" s="453" t="str">
        <f t="shared" si="100"/>
        <v/>
      </c>
      <c r="AG68" s="451" t="str">
        <f t="shared" si="100"/>
        <v/>
      </c>
      <c r="AH68" s="452" t="str">
        <f t="shared" si="100"/>
        <v/>
      </c>
      <c r="AI68" s="452" t="str">
        <f t="shared" si="100"/>
        <v/>
      </c>
      <c r="AJ68" s="452" t="str">
        <f t="shared" si="100"/>
        <v/>
      </c>
      <c r="AK68" s="453" t="str">
        <f t="shared" si="100"/>
        <v/>
      </c>
      <c r="AL68" s="451" t="str">
        <f t="shared" si="100"/>
        <v/>
      </c>
      <c r="AM68" s="452" t="str">
        <f t="shared" si="100"/>
        <v/>
      </c>
      <c r="AN68" s="452" t="str">
        <f t="shared" si="100"/>
        <v/>
      </c>
      <c r="AO68" s="452" t="str">
        <f t="shared" si="100"/>
        <v/>
      </c>
      <c r="AP68" s="453" t="str">
        <f t="shared" si="100"/>
        <v/>
      </c>
      <c r="AQ68" s="451" t="str">
        <f t="shared" si="100"/>
        <v/>
      </c>
      <c r="AR68" s="452" t="str">
        <f t="shared" si="97"/>
        <v/>
      </c>
      <c r="AS68" s="452" t="str">
        <f t="shared" si="97"/>
        <v/>
      </c>
      <c r="AT68" s="452" t="str">
        <f t="shared" si="97"/>
        <v/>
      </c>
      <c r="AU68" s="453" t="str">
        <f t="shared" si="97"/>
        <v/>
      </c>
      <c r="AV68" s="451" t="str">
        <f t="shared" si="97"/>
        <v/>
      </c>
      <c r="AW68" s="452" t="str">
        <f t="shared" si="97"/>
        <v/>
      </c>
      <c r="AX68" s="452" t="str">
        <f t="shared" si="97"/>
        <v/>
      </c>
      <c r="AY68" s="452" t="str">
        <f t="shared" si="97"/>
        <v/>
      </c>
      <c r="AZ68" s="453" t="str">
        <f t="shared" si="97"/>
        <v/>
      </c>
      <c r="BA68" s="451" t="str">
        <f t="shared" si="78"/>
        <v/>
      </c>
      <c r="BB68" s="452" t="str">
        <f t="shared" si="78"/>
        <v/>
      </c>
      <c r="BC68" s="452" t="str">
        <f t="shared" si="78"/>
        <v/>
      </c>
      <c r="BD68" s="452" t="str">
        <f t="shared" si="78"/>
        <v/>
      </c>
      <c r="BE68" s="453" t="str">
        <f t="shared" si="78"/>
        <v/>
      </c>
      <c r="BF68" s="451" t="str">
        <f t="shared" si="78"/>
        <v/>
      </c>
      <c r="BG68" s="452" t="str">
        <f t="shared" si="78"/>
        <v/>
      </c>
      <c r="BH68" s="452" t="str">
        <f t="shared" si="78"/>
        <v/>
      </c>
      <c r="BI68" s="452" t="str">
        <f t="shared" si="92"/>
        <v/>
      </c>
      <c r="BJ68" s="453" t="str">
        <f t="shared" si="92"/>
        <v/>
      </c>
      <c r="BK68" s="451" t="str">
        <f t="shared" si="92"/>
        <v/>
      </c>
      <c r="BL68" s="452" t="str">
        <f t="shared" si="92"/>
        <v/>
      </c>
      <c r="BM68" s="452" t="str">
        <f t="shared" si="92"/>
        <v/>
      </c>
      <c r="BN68" s="452" t="str">
        <f t="shared" si="92"/>
        <v/>
      </c>
      <c r="BO68" s="453" t="str">
        <f t="shared" si="92"/>
        <v/>
      </c>
      <c r="BP68" s="451" t="str">
        <f t="shared" si="92"/>
        <v/>
      </c>
      <c r="BQ68" s="452" t="str">
        <f t="shared" si="92"/>
        <v/>
      </c>
      <c r="BR68" s="452" t="str">
        <f t="shared" si="92"/>
        <v/>
      </c>
      <c r="BS68" s="452" t="str">
        <f t="shared" si="92"/>
        <v/>
      </c>
      <c r="BT68" s="453" t="str">
        <f t="shared" si="92"/>
        <v/>
      </c>
      <c r="BU68" s="451" t="str">
        <f t="shared" si="92"/>
        <v/>
      </c>
      <c r="BV68" s="452" t="str">
        <f t="shared" si="92"/>
        <v/>
      </c>
      <c r="BW68" s="452" t="str">
        <f t="shared" si="92"/>
        <v/>
      </c>
      <c r="BX68" s="452" t="str">
        <f t="shared" si="92"/>
        <v/>
      </c>
      <c r="BY68" s="453" t="str">
        <f t="shared" si="81"/>
        <v/>
      </c>
      <c r="BZ68" s="451" t="str">
        <f t="shared" si="81"/>
        <v/>
      </c>
      <c r="CA68" s="452" t="str">
        <f t="shared" si="81"/>
        <v/>
      </c>
      <c r="CB68" s="452" t="str">
        <f t="shared" si="81"/>
        <v/>
      </c>
      <c r="CC68" s="452" t="str">
        <f t="shared" si="81"/>
        <v/>
      </c>
      <c r="CD68" s="453" t="str">
        <f t="shared" si="81"/>
        <v/>
      </c>
      <c r="CE68" s="451" t="str">
        <f t="shared" si="81"/>
        <v/>
      </c>
      <c r="CF68" s="452" t="str">
        <f t="shared" si="81"/>
        <v/>
      </c>
      <c r="CG68" s="452" t="str">
        <f t="shared" si="81"/>
        <v/>
      </c>
      <c r="CH68" s="452" t="str">
        <f t="shared" si="81"/>
        <v/>
      </c>
      <c r="CI68" s="453" t="str">
        <f t="shared" si="81"/>
        <v/>
      </c>
      <c r="CJ68" s="451" t="str">
        <f t="shared" si="81"/>
        <v/>
      </c>
      <c r="CK68" s="452" t="str">
        <f t="shared" si="81"/>
        <v/>
      </c>
      <c r="CL68" s="452" t="str">
        <f t="shared" si="81"/>
        <v/>
      </c>
      <c r="CM68" s="452" t="str">
        <f t="shared" si="81"/>
        <v/>
      </c>
      <c r="CN68" s="453" t="str">
        <f t="shared" si="81"/>
        <v/>
      </c>
      <c r="CO68" s="451" t="str">
        <f t="shared" si="80"/>
        <v/>
      </c>
      <c r="CP68" s="452" t="str">
        <f t="shared" si="80"/>
        <v/>
      </c>
      <c r="CQ68" s="452" t="str">
        <f t="shared" si="80"/>
        <v/>
      </c>
      <c r="CR68" s="452" t="str">
        <f t="shared" si="80"/>
        <v/>
      </c>
      <c r="CS68" s="453" t="str">
        <f t="shared" si="80"/>
        <v/>
      </c>
      <c r="CT68" s="451" t="str">
        <f t="shared" si="80"/>
        <v/>
      </c>
      <c r="CU68" s="452" t="str">
        <f t="shared" si="80"/>
        <v/>
      </c>
      <c r="CV68" s="452" t="str">
        <f t="shared" si="80"/>
        <v/>
      </c>
      <c r="CW68" s="452" t="str">
        <f t="shared" si="79"/>
        <v/>
      </c>
      <c r="CX68" s="453" t="str">
        <f t="shared" si="79"/>
        <v/>
      </c>
      <c r="CY68" s="451" t="str">
        <f t="shared" si="79"/>
        <v/>
      </c>
      <c r="CZ68" s="452" t="str">
        <f t="shared" si="79"/>
        <v/>
      </c>
      <c r="DA68" s="452" t="str">
        <f t="shared" si="79"/>
        <v/>
      </c>
      <c r="DB68" s="452" t="str">
        <f t="shared" si="79"/>
        <v/>
      </c>
      <c r="DC68" s="453" t="str">
        <f t="shared" si="79"/>
        <v/>
      </c>
      <c r="DD68" s="451" t="str">
        <f t="shared" si="79"/>
        <v/>
      </c>
      <c r="DE68" s="452" t="str">
        <f t="shared" si="84"/>
        <v/>
      </c>
      <c r="DF68" s="452" t="str">
        <f t="shared" si="84"/>
        <v/>
      </c>
      <c r="DG68" s="452" t="str">
        <f t="shared" si="84"/>
        <v/>
      </c>
      <c r="DH68" s="453" t="str">
        <f t="shared" si="84"/>
        <v/>
      </c>
      <c r="DI68" s="451" t="str">
        <f t="shared" si="84"/>
        <v/>
      </c>
      <c r="DJ68" s="452" t="str">
        <f t="shared" si="84"/>
        <v/>
      </c>
      <c r="DK68" s="452" t="str">
        <f t="shared" si="84"/>
        <v/>
      </c>
      <c r="DL68" s="452" t="str">
        <f t="shared" si="84"/>
        <v/>
      </c>
      <c r="DM68" s="453" t="str">
        <f t="shared" si="84"/>
        <v/>
      </c>
      <c r="DN68" s="451" t="str">
        <f t="shared" si="84"/>
        <v/>
      </c>
      <c r="DO68" s="452" t="str">
        <f t="shared" si="84"/>
        <v/>
      </c>
      <c r="DP68" s="452" t="str">
        <f t="shared" si="83"/>
        <v/>
      </c>
      <c r="DQ68" s="452" t="str">
        <f t="shared" si="83"/>
        <v/>
      </c>
      <c r="DR68" s="453" t="str">
        <f t="shared" si="83"/>
        <v/>
      </c>
      <c r="DS68" s="451" t="str">
        <f t="shared" si="83"/>
        <v/>
      </c>
      <c r="DT68" s="452" t="str">
        <f t="shared" si="83"/>
        <v/>
      </c>
      <c r="DU68" s="452" t="str">
        <f t="shared" si="83"/>
        <v/>
      </c>
      <c r="DV68" s="452" t="str">
        <f t="shared" si="83"/>
        <v/>
      </c>
      <c r="DW68" s="453" t="str">
        <f t="shared" si="83"/>
        <v/>
      </c>
      <c r="DX68" s="451" t="str">
        <f t="shared" si="83"/>
        <v/>
      </c>
      <c r="DY68" s="452" t="str">
        <f t="shared" si="83"/>
        <v/>
      </c>
      <c r="DZ68" s="452" t="str">
        <f t="shared" si="83"/>
        <v/>
      </c>
      <c r="EA68" s="452" t="str">
        <f t="shared" si="83"/>
        <v/>
      </c>
      <c r="EB68" s="453" t="str">
        <f t="shared" si="83"/>
        <v/>
      </c>
      <c r="EC68" s="451" t="str">
        <f t="shared" si="82"/>
        <v/>
      </c>
      <c r="ED68" s="452" t="str">
        <f t="shared" si="82"/>
        <v/>
      </c>
      <c r="EE68" s="452" t="str">
        <f t="shared" si="82"/>
        <v/>
      </c>
      <c r="EF68" s="452" t="str">
        <f t="shared" si="82"/>
        <v/>
      </c>
      <c r="EG68" s="453" t="str">
        <f t="shared" si="82"/>
        <v/>
      </c>
      <c r="EH68" s="451" t="str">
        <f t="shared" si="82"/>
        <v/>
      </c>
      <c r="EI68" s="452" t="str">
        <f t="shared" si="82"/>
        <v/>
      </c>
      <c r="EJ68" s="452" t="str">
        <f t="shared" si="82"/>
        <v/>
      </c>
      <c r="EK68" s="452" t="str">
        <f t="shared" si="82"/>
        <v/>
      </c>
      <c r="EL68" s="453" t="str">
        <f t="shared" si="82"/>
        <v/>
      </c>
      <c r="EM68" s="451" t="str">
        <f t="shared" si="82"/>
        <v/>
      </c>
      <c r="EN68" s="452" t="str">
        <f t="shared" si="82"/>
        <v/>
      </c>
      <c r="EO68" s="452" t="str">
        <f t="shared" si="82"/>
        <v/>
      </c>
      <c r="EP68" s="452" t="str">
        <f t="shared" si="82"/>
        <v/>
      </c>
      <c r="EQ68" s="453" t="str">
        <f t="shared" si="82"/>
        <v/>
      </c>
      <c r="ER68" s="451" t="str">
        <f t="shared" si="82"/>
        <v/>
      </c>
      <c r="ES68" s="452" t="str">
        <f t="shared" si="93"/>
        <v/>
      </c>
      <c r="ET68" s="452" t="str">
        <f t="shared" si="93"/>
        <v/>
      </c>
      <c r="EU68" s="452" t="str">
        <f t="shared" si="93"/>
        <v/>
      </c>
      <c r="EV68" s="453" t="str">
        <f t="shared" si="93"/>
        <v/>
      </c>
      <c r="EW68" s="451" t="str">
        <f t="shared" si="93"/>
        <v/>
      </c>
      <c r="EX68" s="452" t="str">
        <f t="shared" si="93"/>
        <v/>
      </c>
      <c r="EY68" s="452" t="str">
        <f t="shared" si="93"/>
        <v/>
      </c>
      <c r="EZ68" s="452" t="str">
        <f t="shared" si="93"/>
        <v/>
      </c>
      <c r="FA68" s="453" t="str">
        <f t="shared" si="93"/>
        <v/>
      </c>
      <c r="FB68" s="451" t="str">
        <f t="shared" si="93"/>
        <v/>
      </c>
      <c r="FC68" s="452" t="str">
        <f t="shared" si="93"/>
        <v/>
      </c>
      <c r="FD68" s="452" t="str">
        <f t="shared" si="93"/>
        <v/>
      </c>
      <c r="FE68" s="452" t="str">
        <f t="shared" si="93"/>
        <v/>
      </c>
      <c r="FF68" s="453" t="str">
        <f t="shared" si="93"/>
        <v/>
      </c>
      <c r="FG68" s="451" t="str">
        <f t="shared" si="93"/>
        <v/>
      </c>
      <c r="FH68" s="452" t="str">
        <f t="shared" si="93"/>
        <v/>
      </c>
      <c r="FI68" s="452" t="str">
        <f t="shared" si="85"/>
        <v/>
      </c>
      <c r="FJ68" s="452" t="str">
        <f t="shared" si="85"/>
        <v/>
      </c>
      <c r="FK68" s="453" t="str">
        <f t="shared" si="85"/>
        <v/>
      </c>
      <c r="FL68" s="451" t="str">
        <f t="shared" si="71"/>
        <v/>
      </c>
      <c r="FM68" s="452" t="str">
        <f t="shared" si="71"/>
        <v/>
      </c>
      <c r="FN68" s="452" t="str">
        <f t="shared" si="71"/>
        <v/>
      </c>
      <c r="FO68" s="452" t="str">
        <f t="shared" si="71"/>
        <v/>
      </c>
      <c r="FP68" s="453" t="str">
        <f t="shared" si="71"/>
        <v/>
      </c>
      <c r="FQ68" s="451" t="str">
        <f t="shared" si="71"/>
        <v/>
      </c>
      <c r="FR68" s="452" t="str">
        <f t="shared" ref="FR68:GG83" si="102">IF(AND(FR$2&gt;=$J68,FR$2&lt;=$K68),1,"")</f>
        <v/>
      </c>
      <c r="FS68" s="452" t="str">
        <f t="shared" si="102"/>
        <v/>
      </c>
      <c r="FT68" s="452" t="str">
        <f t="shared" si="102"/>
        <v/>
      </c>
      <c r="FU68" s="453" t="str">
        <f t="shared" si="102"/>
        <v/>
      </c>
      <c r="FV68" s="451" t="str">
        <f t="shared" si="102"/>
        <v/>
      </c>
      <c r="FW68" s="452" t="str">
        <f t="shared" si="102"/>
        <v/>
      </c>
      <c r="FX68" s="452" t="str">
        <f t="shared" si="102"/>
        <v/>
      </c>
      <c r="FY68" s="452" t="str">
        <f t="shared" si="102"/>
        <v/>
      </c>
      <c r="FZ68" s="453" t="str">
        <f t="shared" si="102"/>
        <v/>
      </c>
      <c r="GA68" s="451" t="str">
        <f t="shared" si="102"/>
        <v/>
      </c>
      <c r="GB68" s="452" t="str">
        <f t="shared" si="102"/>
        <v/>
      </c>
      <c r="GC68" s="452" t="str">
        <f t="shared" si="102"/>
        <v/>
      </c>
      <c r="GD68" s="452" t="str">
        <f t="shared" si="102"/>
        <v/>
      </c>
      <c r="GE68" s="453" t="str">
        <f t="shared" si="102"/>
        <v/>
      </c>
      <c r="GF68" s="451" t="str">
        <f t="shared" si="102"/>
        <v/>
      </c>
      <c r="GG68" s="452" t="str">
        <f t="shared" si="102"/>
        <v/>
      </c>
      <c r="GH68" s="452" t="str">
        <f t="shared" si="98"/>
        <v/>
      </c>
      <c r="GI68" s="452" t="str">
        <f t="shared" si="98"/>
        <v/>
      </c>
      <c r="GJ68" s="453" t="str">
        <f t="shared" si="98"/>
        <v/>
      </c>
      <c r="GK68" s="451" t="str">
        <f t="shared" si="96"/>
        <v/>
      </c>
      <c r="GL68" s="452" t="str">
        <f t="shared" si="96"/>
        <v/>
      </c>
      <c r="GM68" s="452" t="str">
        <f t="shared" si="96"/>
        <v/>
      </c>
      <c r="GN68" s="452" t="str">
        <f t="shared" si="96"/>
        <v/>
      </c>
      <c r="GO68" s="453" t="str">
        <f t="shared" si="96"/>
        <v/>
      </c>
      <c r="GP68" s="451" t="str">
        <f t="shared" si="96"/>
        <v/>
      </c>
      <c r="GQ68" s="452" t="str">
        <f t="shared" si="96"/>
        <v/>
      </c>
      <c r="GR68" s="452" t="str">
        <f t="shared" si="96"/>
        <v/>
      </c>
      <c r="GS68" s="452" t="str">
        <f t="shared" si="96"/>
        <v/>
      </c>
      <c r="GT68" s="453" t="str">
        <f t="shared" si="96"/>
        <v/>
      </c>
      <c r="GU68" s="451" t="str">
        <f t="shared" si="96"/>
        <v/>
      </c>
      <c r="GV68" s="452" t="str">
        <f t="shared" si="96"/>
        <v/>
      </c>
      <c r="GW68" s="452" t="str">
        <f t="shared" si="96"/>
        <v/>
      </c>
      <c r="GX68" s="452" t="str">
        <f t="shared" si="96"/>
        <v/>
      </c>
      <c r="GY68" s="453" t="str">
        <f t="shared" si="96"/>
        <v/>
      </c>
      <c r="GZ68" s="451" t="str">
        <f t="shared" si="96"/>
        <v/>
      </c>
      <c r="HA68" s="452" t="str">
        <f t="shared" si="86"/>
        <v/>
      </c>
      <c r="HB68" s="452" t="str">
        <f t="shared" si="86"/>
        <v/>
      </c>
      <c r="HC68" s="452" t="str">
        <f t="shared" si="86"/>
        <v/>
      </c>
      <c r="HD68" s="453" t="str">
        <f t="shared" si="86"/>
        <v/>
      </c>
      <c r="HE68" s="451" t="str">
        <f t="shared" si="86"/>
        <v/>
      </c>
      <c r="HF68" s="452" t="str">
        <f t="shared" si="86"/>
        <v/>
      </c>
      <c r="HG68" s="452" t="str">
        <f t="shared" si="94"/>
        <v/>
      </c>
      <c r="HH68" s="452" t="str">
        <f t="shared" si="94"/>
        <v/>
      </c>
      <c r="HI68" s="453" t="str">
        <f t="shared" si="94"/>
        <v/>
      </c>
      <c r="HJ68" s="451" t="str">
        <f t="shared" si="94"/>
        <v/>
      </c>
      <c r="HK68" s="452" t="str">
        <f t="shared" si="94"/>
        <v/>
      </c>
      <c r="HL68" s="452" t="str">
        <f t="shared" si="94"/>
        <v/>
      </c>
      <c r="HM68" s="452" t="str">
        <f t="shared" si="94"/>
        <v/>
      </c>
      <c r="HN68" s="453" t="str">
        <f t="shared" si="94"/>
        <v/>
      </c>
      <c r="HO68" s="451" t="str">
        <f t="shared" si="94"/>
        <v/>
      </c>
      <c r="HP68" s="452" t="str">
        <f t="shared" si="94"/>
        <v/>
      </c>
      <c r="HQ68" s="452" t="str">
        <f t="shared" si="94"/>
        <v/>
      </c>
      <c r="HR68" s="452" t="str">
        <f t="shared" si="94"/>
        <v/>
      </c>
      <c r="HS68" s="453" t="str">
        <f t="shared" si="94"/>
        <v/>
      </c>
      <c r="HT68" s="451" t="str">
        <f t="shared" si="94"/>
        <v/>
      </c>
      <c r="HU68" s="452" t="str">
        <f t="shared" si="94"/>
        <v/>
      </c>
      <c r="HV68" s="452" t="str">
        <f t="shared" si="94"/>
        <v/>
      </c>
      <c r="HW68" s="452" t="str">
        <f t="shared" si="87"/>
        <v/>
      </c>
      <c r="HX68" s="453" t="str">
        <f t="shared" si="87"/>
        <v/>
      </c>
      <c r="HY68" s="451" t="str">
        <f t="shared" si="87"/>
        <v/>
      </c>
      <c r="HZ68" s="452" t="str">
        <f t="shared" si="99"/>
        <v/>
      </c>
      <c r="IA68" s="452" t="str">
        <f t="shared" si="99"/>
        <v/>
      </c>
      <c r="IB68" s="452" t="str">
        <f t="shared" si="99"/>
        <v/>
      </c>
      <c r="IC68" s="453" t="str">
        <f t="shared" si="99"/>
        <v/>
      </c>
      <c r="ID68" s="451" t="str">
        <f t="shared" si="88"/>
        <v/>
      </c>
      <c r="IE68" s="452" t="str">
        <f t="shared" si="88"/>
        <v/>
      </c>
      <c r="IF68" s="452" t="str">
        <f t="shared" si="88"/>
        <v/>
      </c>
      <c r="IG68" s="452" t="str">
        <f t="shared" si="88"/>
        <v/>
      </c>
      <c r="IH68" s="453" t="str">
        <f t="shared" si="88"/>
        <v/>
      </c>
      <c r="II68" s="451" t="str">
        <f t="shared" si="88"/>
        <v/>
      </c>
      <c r="IJ68" s="452" t="str">
        <f t="shared" si="88"/>
        <v/>
      </c>
      <c r="IK68" s="452" t="str">
        <f t="shared" si="88"/>
        <v/>
      </c>
      <c r="IL68" s="452" t="str">
        <f t="shared" si="88"/>
        <v/>
      </c>
      <c r="IM68" s="453" t="str">
        <f t="shared" si="88"/>
        <v/>
      </c>
      <c r="IN68" s="451" t="str">
        <f t="shared" si="88"/>
        <v/>
      </c>
      <c r="IO68" s="452" t="str">
        <f t="shared" si="88"/>
        <v/>
      </c>
      <c r="IP68" s="452" t="str">
        <f t="shared" si="88"/>
        <v/>
      </c>
      <c r="IQ68" s="452" t="str">
        <f t="shared" si="88"/>
        <v/>
      </c>
      <c r="IR68" s="453" t="str">
        <f t="shared" si="88"/>
        <v/>
      </c>
    </row>
    <row r="69" spans="1:252" x14ac:dyDescent="0.2">
      <c r="A69" s="462">
        <v>6.1</v>
      </c>
      <c r="B69" s="463"/>
      <c r="C69" s="464" t="s">
        <v>1360</v>
      </c>
      <c r="D69" s="464"/>
      <c r="E69" s="465"/>
      <c r="F69" s="465"/>
      <c r="G69" s="465"/>
      <c r="H69" s="465"/>
      <c r="I69" s="466"/>
      <c r="J69" s="467" t="str">
        <f t="shared" si="89"/>
        <v/>
      </c>
      <c r="K69" s="467" t="str">
        <f t="shared" si="90"/>
        <v/>
      </c>
      <c r="L69" s="468">
        <f t="shared" si="101"/>
        <v>0</v>
      </c>
      <c r="M69" s="469" t="str">
        <f t="shared" si="91"/>
        <v/>
      </c>
      <c r="N69" s="470" t="str">
        <f t="shared" si="91"/>
        <v/>
      </c>
      <c r="O69" s="470" t="str">
        <f t="shared" si="91"/>
        <v/>
      </c>
      <c r="P69" s="470" t="str">
        <f t="shared" si="91"/>
        <v/>
      </c>
      <c r="Q69" s="471" t="str">
        <f t="shared" si="91"/>
        <v/>
      </c>
      <c r="R69" s="469" t="str">
        <f t="shared" si="91"/>
        <v/>
      </c>
      <c r="S69" s="470" t="str">
        <f t="shared" si="91"/>
        <v/>
      </c>
      <c r="T69" s="470" t="str">
        <f t="shared" si="91"/>
        <v/>
      </c>
      <c r="U69" s="470" t="str">
        <f t="shared" si="91"/>
        <v/>
      </c>
      <c r="V69" s="471" t="str">
        <f t="shared" si="91"/>
        <v/>
      </c>
      <c r="W69" s="469" t="str">
        <f t="shared" si="91"/>
        <v/>
      </c>
      <c r="X69" s="470" t="str">
        <f t="shared" si="91"/>
        <v/>
      </c>
      <c r="Y69" s="470" t="str">
        <f t="shared" si="91"/>
        <v/>
      </c>
      <c r="Z69" s="470" t="str">
        <f t="shared" si="91"/>
        <v/>
      </c>
      <c r="AA69" s="471" t="str">
        <f t="shared" si="91"/>
        <v/>
      </c>
      <c r="AB69" s="469" t="str">
        <f t="shared" si="100"/>
        <v/>
      </c>
      <c r="AC69" s="470" t="str">
        <f t="shared" si="100"/>
        <v/>
      </c>
      <c r="AD69" s="470" t="str">
        <f t="shared" si="100"/>
        <v/>
      </c>
      <c r="AE69" s="470" t="str">
        <f t="shared" si="100"/>
        <v/>
      </c>
      <c r="AF69" s="471" t="str">
        <f t="shared" si="100"/>
        <v/>
      </c>
      <c r="AG69" s="469" t="str">
        <f t="shared" si="100"/>
        <v/>
      </c>
      <c r="AH69" s="470" t="str">
        <f t="shared" si="100"/>
        <v/>
      </c>
      <c r="AI69" s="470" t="str">
        <f t="shared" si="100"/>
        <v/>
      </c>
      <c r="AJ69" s="470" t="str">
        <f t="shared" si="100"/>
        <v/>
      </c>
      <c r="AK69" s="471" t="str">
        <f t="shared" si="100"/>
        <v/>
      </c>
      <c r="AL69" s="469" t="str">
        <f t="shared" si="100"/>
        <v/>
      </c>
      <c r="AM69" s="470" t="str">
        <f t="shared" si="100"/>
        <v/>
      </c>
      <c r="AN69" s="470" t="str">
        <f t="shared" si="100"/>
        <v/>
      </c>
      <c r="AO69" s="470" t="str">
        <f t="shared" si="100"/>
        <v/>
      </c>
      <c r="AP69" s="471" t="str">
        <f t="shared" si="100"/>
        <v/>
      </c>
      <c r="AQ69" s="469" t="str">
        <f t="shared" si="100"/>
        <v/>
      </c>
      <c r="AR69" s="470" t="str">
        <f t="shared" si="97"/>
        <v/>
      </c>
      <c r="AS69" s="470" t="str">
        <f t="shared" si="97"/>
        <v/>
      </c>
      <c r="AT69" s="470" t="str">
        <f t="shared" si="97"/>
        <v/>
      </c>
      <c r="AU69" s="471" t="str">
        <f t="shared" si="97"/>
        <v/>
      </c>
      <c r="AV69" s="469" t="str">
        <f t="shared" si="97"/>
        <v/>
      </c>
      <c r="AW69" s="470" t="str">
        <f t="shared" si="97"/>
        <v/>
      </c>
      <c r="AX69" s="470" t="str">
        <f t="shared" si="97"/>
        <v/>
      </c>
      <c r="AY69" s="470" t="str">
        <f t="shared" si="97"/>
        <v/>
      </c>
      <c r="AZ69" s="471" t="str">
        <f t="shared" si="97"/>
        <v/>
      </c>
      <c r="BA69" s="469" t="str">
        <f t="shared" si="78"/>
        <v/>
      </c>
      <c r="BB69" s="470" t="str">
        <f t="shared" si="78"/>
        <v/>
      </c>
      <c r="BC69" s="470" t="str">
        <f t="shared" si="78"/>
        <v/>
      </c>
      <c r="BD69" s="470" t="str">
        <f t="shared" si="78"/>
        <v/>
      </c>
      <c r="BE69" s="471" t="str">
        <f t="shared" si="78"/>
        <v/>
      </c>
      <c r="BF69" s="469" t="str">
        <f t="shared" si="78"/>
        <v/>
      </c>
      <c r="BG69" s="470" t="str">
        <f t="shared" si="78"/>
        <v/>
      </c>
      <c r="BH69" s="470" t="str">
        <f t="shared" si="78"/>
        <v/>
      </c>
      <c r="BI69" s="470" t="str">
        <f t="shared" si="92"/>
        <v/>
      </c>
      <c r="BJ69" s="471" t="str">
        <f t="shared" si="92"/>
        <v/>
      </c>
      <c r="BK69" s="469" t="str">
        <f t="shared" si="92"/>
        <v/>
      </c>
      <c r="BL69" s="470" t="str">
        <f t="shared" si="92"/>
        <v/>
      </c>
      <c r="BM69" s="470" t="str">
        <f t="shared" si="92"/>
        <v/>
      </c>
      <c r="BN69" s="470" t="str">
        <f t="shared" si="92"/>
        <v/>
      </c>
      <c r="BO69" s="471" t="str">
        <f t="shared" si="92"/>
        <v/>
      </c>
      <c r="BP69" s="469" t="str">
        <f t="shared" si="92"/>
        <v/>
      </c>
      <c r="BQ69" s="470" t="str">
        <f t="shared" si="92"/>
        <v/>
      </c>
      <c r="BR69" s="470" t="str">
        <f t="shared" si="92"/>
        <v/>
      </c>
      <c r="BS69" s="470" t="str">
        <f t="shared" si="92"/>
        <v/>
      </c>
      <c r="BT69" s="471" t="str">
        <f t="shared" si="92"/>
        <v/>
      </c>
      <c r="BU69" s="469" t="str">
        <f t="shared" si="92"/>
        <v/>
      </c>
      <c r="BV69" s="470" t="str">
        <f t="shared" si="92"/>
        <v/>
      </c>
      <c r="BW69" s="470" t="str">
        <f t="shared" si="92"/>
        <v/>
      </c>
      <c r="BX69" s="470" t="str">
        <f t="shared" si="92"/>
        <v/>
      </c>
      <c r="BY69" s="471" t="str">
        <f t="shared" si="81"/>
        <v/>
      </c>
      <c r="BZ69" s="469" t="str">
        <f t="shared" si="81"/>
        <v/>
      </c>
      <c r="CA69" s="470" t="str">
        <f t="shared" si="81"/>
        <v/>
      </c>
      <c r="CB69" s="470" t="str">
        <f t="shared" si="81"/>
        <v/>
      </c>
      <c r="CC69" s="470" t="str">
        <f t="shared" si="81"/>
        <v/>
      </c>
      <c r="CD69" s="471" t="str">
        <f t="shared" si="81"/>
        <v/>
      </c>
      <c r="CE69" s="469" t="str">
        <f t="shared" si="81"/>
        <v/>
      </c>
      <c r="CF69" s="470" t="str">
        <f t="shared" si="81"/>
        <v/>
      </c>
      <c r="CG69" s="470" t="str">
        <f t="shared" si="81"/>
        <v/>
      </c>
      <c r="CH69" s="470" t="str">
        <f t="shared" si="81"/>
        <v/>
      </c>
      <c r="CI69" s="471" t="str">
        <f t="shared" si="81"/>
        <v/>
      </c>
      <c r="CJ69" s="469" t="str">
        <f t="shared" si="81"/>
        <v/>
      </c>
      <c r="CK69" s="470" t="str">
        <f t="shared" si="81"/>
        <v/>
      </c>
      <c r="CL69" s="470" t="str">
        <f t="shared" si="81"/>
        <v/>
      </c>
      <c r="CM69" s="470" t="str">
        <f t="shared" si="81"/>
        <v/>
      </c>
      <c r="CN69" s="471" t="str">
        <f t="shared" si="81"/>
        <v/>
      </c>
      <c r="CO69" s="469" t="str">
        <f t="shared" si="80"/>
        <v/>
      </c>
      <c r="CP69" s="470" t="str">
        <f t="shared" si="80"/>
        <v/>
      </c>
      <c r="CQ69" s="470" t="str">
        <f t="shared" si="80"/>
        <v/>
      </c>
      <c r="CR69" s="470" t="str">
        <f t="shared" si="80"/>
        <v/>
      </c>
      <c r="CS69" s="471" t="str">
        <f t="shared" si="80"/>
        <v/>
      </c>
      <c r="CT69" s="469" t="str">
        <f t="shared" si="80"/>
        <v/>
      </c>
      <c r="CU69" s="470" t="str">
        <f t="shared" si="80"/>
        <v/>
      </c>
      <c r="CV69" s="470" t="str">
        <f t="shared" si="80"/>
        <v/>
      </c>
      <c r="CW69" s="470" t="str">
        <f t="shared" si="79"/>
        <v/>
      </c>
      <c r="CX69" s="471" t="str">
        <f t="shared" si="79"/>
        <v/>
      </c>
      <c r="CY69" s="469" t="str">
        <f t="shared" si="79"/>
        <v/>
      </c>
      <c r="CZ69" s="470" t="str">
        <f t="shared" si="79"/>
        <v/>
      </c>
      <c r="DA69" s="470" t="str">
        <f t="shared" si="79"/>
        <v/>
      </c>
      <c r="DB69" s="470" t="str">
        <f t="shared" si="79"/>
        <v/>
      </c>
      <c r="DC69" s="471" t="str">
        <f t="shared" si="79"/>
        <v/>
      </c>
      <c r="DD69" s="469" t="str">
        <f t="shared" si="79"/>
        <v/>
      </c>
      <c r="DE69" s="470" t="str">
        <f t="shared" si="84"/>
        <v/>
      </c>
      <c r="DF69" s="470" t="str">
        <f t="shared" si="84"/>
        <v/>
      </c>
      <c r="DG69" s="470" t="str">
        <f t="shared" si="84"/>
        <v/>
      </c>
      <c r="DH69" s="471" t="str">
        <f t="shared" si="84"/>
        <v/>
      </c>
      <c r="DI69" s="469" t="str">
        <f t="shared" si="84"/>
        <v/>
      </c>
      <c r="DJ69" s="470" t="str">
        <f t="shared" si="84"/>
        <v/>
      </c>
      <c r="DK69" s="470" t="str">
        <f t="shared" si="84"/>
        <v/>
      </c>
      <c r="DL69" s="470" t="str">
        <f t="shared" si="84"/>
        <v/>
      </c>
      <c r="DM69" s="471" t="str">
        <f t="shared" si="84"/>
        <v/>
      </c>
      <c r="DN69" s="469" t="str">
        <f t="shared" si="84"/>
        <v/>
      </c>
      <c r="DO69" s="470" t="str">
        <f t="shared" si="84"/>
        <v/>
      </c>
      <c r="DP69" s="470" t="str">
        <f t="shared" si="83"/>
        <v/>
      </c>
      <c r="DQ69" s="470" t="str">
        <f t="shared" si="83"/>
        <v/>
      </c>
      <c r="DR69" s="471" t="str">
        <f t="shared" si="83"/>
        <v/>
      </c>
      <c r="DS69" s="469" t="str">
        <f t="shared" si="83"/>
        <v/>
      </c>
      <c r="DT69" s="470" t="str">
        <f t="shared" si="83"/>
        <v/>
      </c>
      <c r="DU69" s="470" t="str">
        <f t="shared" si="83"/>
        <v/>
      </c>
      <c r="DV69" s="470" t="str">
        <f t="shared" si="83"/>
        <v/>
      </c>
      <c r="DW69" s="471" t="str">
        <f t="shared" si="83"/>
        <v/>
      </c>
      <c r="DX69" s="469" t="str">
        <f t="shared" si="83"/>
        <v/>
      </c>
      <c r="DY69" s="470" t="str">
        <f t="shared" si="83"/>
        <v/>
      </c>
      <c r="DZ69" s="470" t="str">
        <f t="shared" si="83"/>
        <v/>
      </c>
      <c r="EA69" s="470" t="str">
        <f t="shared" si="83"/>
        <v/>
      </c>
      <c r="EB69" s="471" t="str">
        <f t="shared" si="83"/>
        <v/>
      </c>
      <c r="EC69" s="469" t="str">
        <f t="shared" si="82"/>
        <v/>
      </c>
      <c r="ED69" s="470" t="str">
        <f t="shared" si="82"/>
        <v/>
      </c>
      <c r="EE69" s="470" t="str">
        <f t="shared" si="82"/>
        <v/>
      </c>
      <c r="EF69" s="470" t="str">
        <f t="shared" si="82"/>
        <v/>
      </c>
      <c r="EG69" s="471" t="str">
        <f t="shared" si="82"/>
        <v/>
      </c>
      <c r="EH69" s="469" t="str">
        <f t="shared" si="82"/>
        <v/>
      </c>
      <c r="EI69" s="470" t="str">
        <f t="shared" si="82"/>
        <v/>
      </c>
      <c r="EJ69" s="470" t="str">
        <f t="shared" si="82"/>
        <v/>
      </c>
      <c r="EK69" s="470" t="str">
        <f t="shared" si="82"/>
        <v/>
      </c>
      <c r="EL69" s="471" t="str">
        <f t="shared" si="82"/>
        <v/>
      </c>
      <c r="EM69" s="469" t="str">
        <f t="shared" si="82"/>
        <v/>
      </c>
      <c r="EN69" s="470" t="str">
        <f t="shared" si="82"/>
        <v/>
      </c>
      <c r="EO69" s="470" t="str">
        <f t="shared" si="82"/>
        <v/>
      </c>
      <c r="EP69" s="470" t="str">
        <f t="shared" si="82"/>
        <v/>
      </c>
      <c r="EQ69" s="471" t="str">
        <f t="shared" si="82"/>
        <v/>
      </c>
      <c r="ER69" s="469" t="str">
        <f t="shared" si="82"/>
        <v/>
      </c>
      <c r="ES69" s="470" t="str">
        <f t="shared" si="93"/>
        <v/>
      </c>
      <c r="ET69" s="470" t="str">
        <f t="shared" si="93"/>
        <v/>
      </c>
      <c r="EU69" s="470" t="str">
        <f t="shared" si="93"/>
        <v/>
      </c>
      <c r="EV69" s="471" t="str">
        <f t="shared" si="93"/>
        <v/>
      </c>
      <c r="EW69" s="469" t="str">
        <f t="shared" si="93"/>
        <v/>
      </c>
      <c r="EX69" s="470" t="str">
        <f t="shared" si="93"/>
        <v/>
      </c>
      <c r="EY69" s="470" t="str">
        <f t="shared" si="93"/>
        <v/>
      </c>
      <c r="EZ69" s="470" t="str">
        <f t="shared" si="93"/>
        <v/>
      </c>
      <c r="FA69" s="471" t="str">
        <f t="shared" si="93"/>
        <v/>
      </c>
      <c r="FB69" s="469" t="str">
        <f t="shared" si="93"/>
        <v/>
      </c>
      <c r="FC69" s="470" t="str">
        <f t="shared" si="93"/>
        <v/>
      </c>
      <c r="FD69" s="470" t="str">
        <f t="shared" si="93"/>
        <v/>
      </c>
      <c r="FE69" s="470" t="str">
        <f t="shared" si="93"/>
        <v/>
      </c>
      <c r="FF69" s="471" t="str">
        <f t="shared" si="93"/>
        <v/>
      </c>
      <c r="FG69" s="469" t="str">
        <f t="shared" si="93"/>
        <v/>
      </c>
      <c r="FH69" s="470" t="str">
        <f t="shared" si="93"/>
        <v/>
      </c>
      <c r="FI69" s="470" t="str">
        <f t="shared" si="85"/>
        <v/>
      </c>
      <c r="FJ69" s="470" t="str">
        <f t="shared" si="85"/>
        <v/>
      </c>
      <c r="FK69" s="471" t="str">
        <f t="shared" si="85"/>
        <v/>
      </c>
      <c r="FL69" s="469" t="str">
        <f t="shared" si="85"/>
        <v/>
      </c>
      <c r="FM69" s="470" t="str">
        <f t="shared" ref="FM69:GB84" si="103">IF(AND(FM$2&gt;=$J69,FM$2&lt;=$K69),1,"")</f>
        <v/>
      </c>
      <c r="FN69" s="470" t="str">
        <f t="shared" si="103"/>
        <v/>
      </c>
      <c r="FO69" s="470" t="str">
        <f t="shared" si="103"/>
        <v/>
      </c>
      <c r="FP69" s="471" t="str">
        <f t="shared" si="103"/>
        <v/>
      </c>
      <c r="FQ69" s="469" t="str">
        <f t="shared" si="103"/>
        <v/>
      </c>
      <c r="FR69" s="470" t="str">
        <f t="shared" si="103"/>
        <v/>
      </c>
      <c r="FS69" s="470" t="str">
        <f t="shared" si="103"/>
        <v/>
      </c>
      <c r="FT69" s="470" t="str">
        <f t="shared" si="103"/>
        <v/>
      </c>
      <c r="FU69" s="471" t="str">
        <f t="shared" si="103"/>
        <v/>
      </c>
      <c r="FV69" s="469" t="str">
        <f t="shared" si="103"/>
        <v/>
      </c>
      <c r="FW69" s="470" t="str">
        <f t="shared" si="103"/>
        <v/>
      </c>
      <c r="FX69" s="470" t="str">
        <f t="shared" si="103"/>
        <v/>
      </c>
      <c r="FY69" s="470" t="str">
        <f t="shared" si="103"/>
        <v/>
      </c>
      <c r="FZ69" s="471" t="str">
        <f t="shared" si="103"/>
        <v/>
      </c>
      <c r="GA69" s="469" t="str">
        <f t="shared" si="103"/>
        <v/>
      </c>
      <c r="GB69" s="470" t="str">
        <f t="shared" si="102"/>
        <v/>
      </c>
      <c r="GC69" s="470" t="str">
        <f t="shared" si="102"/>
        <v/>
      </c>
      <c r="GD69" s="470" t="str">
        <f t="shared" si="102"/>
        <v/>
      </c>
      <c r="GE69" s="471" t="str">
        <f t="shared" si="102"/>
        <v/>
      </c>
      <c r="GF69" s="469" t="str">
        <f t="shared" si="102"/>
        <v/>
      </c>
      <c r="GG69" s="470" t="str">
        <f t="shared" si="102"/>
        <v/>
      </c>
      <c r="GH69" s="470" t="str">
        <f t="shared" si="98"/>
        <v/>
      </c>
      <c r="GI69" s="470" t="str">
        <f t="shared" si="98"/>
        <v/>
      </c>
      <c r="GJ69" s="471" t="str">
        <f t="shared" si="98"/>
        <v/>
      </c>
      <c r="GK69" s="469" t="str">
        <f t="shared" si="98"/>
        <v/>
      </c>
      <c r="GL69" s="470" t="str">
        <f t="shared" si="98"/>
        <v/>
      </c>
      <c r="GM69" s="470" t="str">
        <f t="shared" si="98"/>
        <v/>
      </c>
      <c r="GN69" s="470" t="str">
        <f t="shared" si="98"/>
        <v/>
      </c>
      <c r="GO69" s="471" t="str">
        <f t="shared" si="98"/>
        <v/>
      </c>
      <c r="GP69" s="469" t="str">
        <f t="shared" si="96"/>
        <v/>
      </c>
      <c r="GQ69" s="470" t="str">
        <f t="shared" si="96"/>
        <v/>
      </c>
      <c r="GR69" s="470" t="str">
        <f t="shared" si="96"/>
        <v/>
      </c>
      <c r="GS69" s="470" t="str">
        <f t="shared" si="96"/>
        <v/>
      </c>
      <c r="GT69" s="471" t="str">
        <f t="shared" si="96"/>
        <v/>
      </c>
      <c r="GU69" s="469" t="str">
        <f t="shared" si="96"/>
        <v/>
      </c>
      <c r="GV69" s="470" t="str">
        <f t="shared" si="96"/>
        <v/>
      </c>
      <c r="GW69" s="470" t="str">
        <f t="shared" si="96"/>
        <v/>
      </c>
      <c r="GX69" s="470" t="str">
        <f t="shared" si="96"/>
        <v/>
      </c>
      <c r="GY69" s="471" t="str">
        <f t="shared" si="96"/>
        <v/>
      </c>
      <c r="GZ69" s="469" t="str">
        <f t="shared" si="96"/>
        <v/>
      </c>
      <c r="HA69" s="470" t="str">
        <f t="shared" si="86"/>
        <v/>
      </c>
      <c r="HB69" s="470" t="str">
        <f t="shared" si="86"/>
        <v/>
      </c>
      <c r="HC69" s="470" t="str">
        <f t="shared" si="86"/>
        <v/>
      </c>
      <c r="HD69" s="471" t="str">
        <f t="shared" si="86"/>
        <v/>
      </c>
      <c r="HE69" s="469" t="str">
        <f t="shared" si="86"/>
        <v/>
      </c>
      <c r="HF69" s="470" t="str">
        <f t="shared" si="86"/>
        <v/>
      </c>
      <c r="HG69" s="470" t="str">
        <f t="shared" si="94"/>
        <v/>
      </c>
      <c r="HH69" s="470" t="str">
        <f t="shared" si="94"/>
        <v/>
      </c>
      <c r="HI69" s="471" t="str">
        <f t="shared" si="94"/>
        <v/>
      </c>
      <c r="HJ69" s="469" t="str">
        <f t="shared" si="94"/>
        <v/>
      </c>
      <c r="HK69" s="470" t="str">
        <f t="shared" si="94"/>
        <v/>
      </c>
      <c r="HL69" s="470" t="str">
        <f t="shared" si="94"/>
        <v/>
      </c>
      <c r="HM69" s="470" t="str">
        <f t="shared" si="94"/>
        <v/>
      </c>
      <c r="HN69" s="471" t="str">
        <f t="shared" si="94"/>
        <v/>
      </c>
      <c r="HO69" s="469" t="str">
        <f t="shared" si="94"/>
        <v/>
      </c>
      <c r="HP69" s="470" t="str">
        <f t="shared" si="94"/>
        <v/>
      </c>
      <c r="HQ69" s="470" t="str">
        <f t="shared" si="94"/>
        <v/>
      </c>
      <c r="HR69" s="470" t="str">
        <f t="shared" si="94"/>
        <v/>
      </c>
      <c r="HS69" s="471" t="str">
        <f t="shared" si="94"/>
        <v/>
      </c>
      <c r="HT69" s="469" t="str">
        <f t="shared" si="94"/>
        <v/>
      </c>
      <c r="HU69" s="470" t="str">
        <f t="shared" si="94"/>
        <v/>
      </c>
      <c r="HV69" s="470" t="str">
        <f t="shared" si="94"/>
        <v/>
      </c>
      <c r="HW69" s="470" t="str">
        <f t="shared" si="87"/>
        <v/>
      </c>
      <c r="HX69" s="471" t="str">
        <f t="shared" si="87"/>
        <v/>
      </c>
      <c r="HY69" s="469" t="str">
        <f t="shared" si="87"/>
        <v/>
      </c>
      <c r="HZ69" s="470" t="str">
        <f t="shared" si="99"/>
        <v/>
      </c>
      <c r="IA69" s="470" t="str">
        <f t="shared" si="99"/>
        <v/>
      </c>
      <c r="IB69" s="470" t="str">
        <f t="shared" si="99"/>
        <v/>
      </c>
      <c r="IC69" s="471" t="str">
        <f t="shared" si="99"/>
        <v/>
      </c>
      <c r="ID69" s="469" t="str">
        <f t="shared" si="99"/>
        <v/>
      </c>
      <c r="IE69" s="470" t="str">
        <f t="shared" si="99"/>
        <v/>
      </c>
      <c r="IF69" s="470" t="str">
        <f t="shared" si="99"/>
        <v/>
      </c>
      <c r="IG69" s="470" t="str">
        <f t="shared" si="99"/>
        <v/>
      </c>
      <c r="IH69" s="471" t="str">
        <f t="shared" si="99"/>
        <v/>
      </c>
      <c r="II69" s="469" t="str">
        <f t="shared" si="99"/>
        <v/>
      </c>
      <c r="IJ69" s="470" t="str">
        <f t="shared" si="99"/>
        <v/>
      </c>
      <c r="IK69" s="470" t="str">
        <f t="shared" si="99"/>
        <v/>
      </c>
      <c r="IL69" s="470" t="str">
        <f t="shared" si="99"/>
        <v/>
      </c>
      <c r="IM69" s="471" t="str">
        <f t="shared" si="99"/>
        <v/>
      </c>
      <c r="IN69" s="469" t="str">
        <f t="shared" si="99"/>
        <v/>
      </c>
      <c r="IO69" s="470" t="str">
        <f t="shared" si="88"/>
        <v/>
      </c>
      <c r="IP69" s="470" t="str">
        <f t="shared" si="88"/>
        <v/>
      </c>
      <c r="IQ69" s="470" t="str">
        <f t="shared" si="88"/>
        <v/>
      </c>
      <c r="IR69" s="471" t="str">
        <f t="shared" si="88"/>
        <v/>
      </c>
    </row>
    <row r="70" spans="1:252" x14ac:dyDescent="0.2">
      <c r="A70" s="455">
        <v>7</v>
      </c>
      <c r="B70" s="456"/>
      <c r="C70" s="456" t="str">
        <f>Breakdown!$A15</f>
        <v>Package 2 Piping</v>
      </c>
      <c r="D70" s="457"/>
      <c r="E70" s="437" t="str">
        <f>IF(E71="","",MIN(E71:E80))</f>
        <v/>
      </c>
      <c r="F70" s="437" t="str">
        <f>IF(F71="","",MAX(F71:F80))</f>
        <v/>
      </c>
      <c r="G70" s="437"/>
      <c r="H70" s="437"/>
      <c r="I70" s="458"/>
      <c r="J70" s="459">
        <f>MIN(J71:J80)</f>
        <v>0</v>
      </c>
      <c r="K70" s="459">
        <f>MAX(K71:K80)</f>
        <v>0</v>
      </c>
      <c r="L70" s="460">
        <f t="shared" si="101"/>
        <v>0</v>
      </c>
      <c r="M70" s="451" t="str">
        <f t="shared" si="91"/>
        <v/>
      </c>
      <c r="N70" s="452" t="str">
        <f t="shared" si="91"/>
        <v/>
      </c>
      <c r="O70" s="452" t="str">
        <f t="shared" si="91"/>
        <v/>
      </c>
      <c r="P70" s="452" t="str">
        <f t="shared" si="91"/>
        <v/>
      </c>
      <c r="Q70" s="453" t="str">
        <f t="shared" si="91"/>
        <v/>
      </c>
      <c r="R70" s="451" t="str">
        <f t="shared" si="91"/>
        <v/>
      </c>
      <c r="S70" s="452" t="str">
        <f t="shared" si="91"/>
        <v/>
      </c>
      <c r="T70" s="452" t="str">
        <f t="shared" si="91"/>
        <v/>
      </c>
      <c r="U70" s="452" t="str">
        <f t="shared" si="91"/>
        <v/>
      </c>
      <c r="V70" s="453" t="str">
        <f t="shared" si="91"/>
        <v/>
      </c>
      <c r="W70" s="451" t="str">
        <f t="shared" si="91"/>
        <v/>
      </c>
      <c r="X70" s="452" t="str">
        <f t="shared" si="91"/>
        <v/>
      </c>
      <c r="Y70" s="452" t="str">
        <f t="shared" si="91"/>
        <v/>
      </c>
      <c r="Z70" s="452" t="str">
        <f t="shared" si="91"/>
        <v/>
      </c>
      <c r="AA70" s="453" t="str">
        <f t="shared" si="91"/>
        <v/>
      </c>
      <c r="AB70" s="451" t="str">
        <f t="shared" si="91"/>
        <v/>
      </c>
      <c r="AC70" s="452" t="str">
        <f t="shared" si="100"/>
        <v/>
      </c>
      <c r="AD70" s="452" t="str">
        <f t="shared" si="100"/>
        <v/>
      </c>
      <c r="AE70" s="452" t="str">
        <f t="shared" si="100"/>
        <v/>
      </c>
      <c r="AF70" s="453" t="str">
        <f t="shared" si="100"/>
        <v/>
      </c>
      <c r="AG70" s="451" t="str">
        <f t="shared" si="100"/>
        <v/>
      </c>
      <c r="AH70" s="452" t="str">
        <f t="shared" si="100"/>
        <v/>
      </c>
      <c r="AI70" s="452" t="str">
        <f t="shared" si="100"/>
        <v/>
      </c>
      <c r="AJ70" s="452" t="str">
        <f t="shared" si="100"/>
        <v/>
      </c>
      <c r="AK70" s="453" t="str">
        <f t="shared" si="100"/>
        <v/>
      </c>
      <c r="AL70" s="451" t="str">
        <f t="shared" si="100"/>
        <v/>
      </c>
      <c r="AM70" s="452" t="str">
        <f t="shared" si="100"/>
        <v/>
      </c>
      <c r="AN70" s="452" t="str">
        <f t="shared" si="100"/>
        <v/>
      </c>
      <c r="AO70" s="452" t="str">
        <f t="shared" si="100"/>
        <v/>
      </c>
      <c r="AP70" s="453" t="str">
        <f t="shared" si="100"/>
        <v/>
      </c>
      <c r="AQ70" s="451" t="str">
        <f t="shared" si="100"/>
        <v/>
      </c>
      <c r="AR70" s="452" t="str">
        <f t="shared" si="97"/>
        <v/>
      </c>
      <c r="AS70" s="452" t="str">
        <f t="shared" si="78"/>
        <v/>
      </c>
      <c r="AT70" s="452" t="str">
        <f t="shared" si="78"/>
        <v/>
      </c>
      <c r="AU70" s="453" t="str">
        <f t="shared" si="97"/>
        <v/>
      </c>
      <c r="AV70" s="451" t="str">
        <f t="shared" si="97"/>
        <v/>
      </c>
      <c r="AW70" s="452" t="str">
        <f t="shared" si="97"/>
        <v/>
      </c>
      <c r="AX70" s="452" t="str">
        <f t="shared" si="97"/>
        <v/>
      </c>
      <c r="AY70" s="452" t="str">
        <f t="shared" si="97"/>
        <v/>
      </c>
      <c r="AZ70" s="453" t="str">
        <f t="shared" si="97"/>
        <v/>
      </c>
      <c r="BA70" s="451" t="str">
        <f t="shared" ref="BA70:BP85" si="104">IF(AND(BA$2&gt;=$J70,BA$2&lt;=$K70),1,"")</f>
        <v/>
      </c>
      <c r="BB70" s="452" t="str">
        <f t="shared" si="104"/>
        <v/>
      </c>
      <c r="BC70" s="452" t="str">
        <f t="shared" si="104"/>
        <v/>
      </c>
      <c r="BD70" s="452" t="str">
        <f t="shared" si="104"/>
        <v/>
      </c>
      <c r="BE70" s="453" t="str">
        <f t="shared" si="104"/>
        <v/>
      </c>
      <c r="BF70" s="451" t="str">
        <f t="shared" si="104"/>
        <v/>
      </c>
      <c r="BG70" s="452" t="str">
        <f t="shared" si="104"/>
        <v/>
      </c>
      <c r="BH70" s="452" t="str">
        <f t="shared" si="104"/>
        <v/>
      </c>
      <c r="BI70" s="452" t="str">
        <f t="shared" si="104"/>
        <v/>
      </c>
      <c r="BJ70" s="453" t="str">
        <f t="shared" si="104"/>
        <v/>
      </c>
      <c r="BK70" s="451" t="str">
        <f t="shared" si="104"/>
        <v/>
      </c>
      <c r="BL70" s="452" t="str">
        <f t="shared" si="104"/>
        <v/>
      </c>
      <c r="BM70" s="452" t="str">
        <f t="shared" si="104"/>
        <v/>
      </c>
      <c r="BN70" s="452" t="str">
        <f t="shared" si="104"/>
        <v/>
      </c>
      <c r="BO70" s="453" t="str">
        <f t="shared" si="104"/>
        <v/>
      </c>
      <c r="BP70" s="451" t="str">
        <f t="shared" si="104"/>
        <v/>
      </c>
      <c r="BQ70" s="452" t="str">
        <f t="shared" si="92"/>
        <v/>
      </c>
      <c r="BR70" s="452" t="str">
        <f t="shared" si="92"/>
        <v/>
      </c>
      <c r="BS70" s="452" t="str">
        <f t="shared" si="92"/>
        <v/>
      </c>
      <c r="BT70" s="453" t="str">
        <f t="shared" si="92"/>
        <v/>
      </c>
      <c r="BU70" s="451" t="str">
        <f t="shared" si="92"/>
        <v/>
      </c>
      <c r="BV70" s="452" t="str">
        <f t="shared" si="92"/>
        <v/>
      </c>
      <c r="BW70" s="452" t="str">
        <f t="shared" si="92"/>
        <v/>
      </c>
      <c r="BX70" s="452" t="str">
        <f t="shared" si="92"/>
        <v/>
      </c>
      <c r="BY70" s="453" t="str">
        <f t="shared" si="81"/>
        <v/>
      </c>
      <c r="BZ70" s="451" t="str">
        <f t="shared" si="81"/>
        <v/>
      </c>
      <c r="CA70" s="452" t="str">
        <f t="shared" si="81"/>
        <v/>
      </c>
      <c r="CB70" s="452" t="str">
        <f t="shared" si="81"/>
        <v/>
      </c>
      <c r="CC70" s="452" t="str">
        <f t="shared" si="81"/>
        <v/>
      </c>
      <c r="CD70" s="453" t="str">
        <f t="shared" si="81"/>
        <v/>
      </c>
      <c r="CE70" s="451" t="str">
        <f t="shared" si="81"/>
        <v/>
      </c>
      <c r="CF70" s="452" t="str">
        <f t="shared" si="81"/>
        <v/>
      </c>
      <c r="CG70" s="452" t="str">
        <f t="shared" si="81"/>
        <v/>
      </c>
      <c r="CH70" s="452" t="str">
        <f t="shared" si="81"/>
        <v/>
      </c>
      <c r="CI70" s="453" t="str">
        <f t="shared" si="81"/>
        <v/>
      </c>
      <c r="CJ70" s="451" t="str">
        <f t="shared" si="81"/>
        <v/>
      </c>
      <c r="CK70" s="452" t="str">
        <f t="shared" si="81"/>
        <v/>
      </c>
      <c r="CL70" s="452" t="str">
        <f t="shared" si="81"/>
        <v/>
      </c>
      <c r="CM70" s="452" t="str">
        <f t="shared" si="81"/>
        <v/>
      </c>
      <c r="CN70" s="453" t="str">
        <f t="shared" si="81"/>
        <v/>
      </c>
      <c r="CO70" s="451" t="str">
        <f t="shared" si="80"/>
        <v/>
      </c>
      <c r="CP70" s="452" t="str">
        <f t="shared" si="80"/>
        <v/>
      </c>
      <c r="CQ70" s="452" t="str">
        <f t="shared" si="80"/>
        <v/>
      </c>
      <c r="CR70" s="452" t="str">
        <f t="shared" si="80"/>
        <v/>
      </c>
      <c r="CS70" s="453" t="str">
        <f t="shared" si="80"/>
        <v/>
      </c>
      <c r="CT70" s="451" t="str">
        <f t="shared" si="80"/>
        <v/>
      </c>
      <c r="CU70" s="452" t="str">
        <f t="shared" si="80"/>
        <v/>
      </c>
      <c r="CV70" s="452" t="str">
        <f t="shared" si="80"/>
        <v/>
      </c>
      <c r="CW70" s="452" t="str">
        <f t="shared" si="79"/>
        <v/>
      </c>
      <c r="CX70" s="453" t="str">
        <f t="shared" si="79"/>
        <v/>
      </c>
      <c r="CY70" s="451" t="str">
        <f t="shared" si="79"/>
        <v/>
      </c>
      <c r="CZ70" s="452" t="str">
        <f t="shared" si="79"/>
        <v/>
      </c>
      <c r="DA70" s="452" t="str">
        <f t="shared" si="79"/>
        <v/>
      </c>
      <c r="DB70" s="452" t="str">
        <f t="shared" si="79"/>
        <v/>
      </c>
      <c r="DC70" s="453" t="str">
        <f t="shared" si="79"/>
        <v/>
      </c>
      <c r="DD70" s="451" t="str">
        <f t="shared" si="79"/>
        <v/>
      </c>
      <c r="DE70" s="452" t="str">
        <f t="shared" si="84"/>
        <v/>
      </c>
      <c r="DF70" s="452" t="str">
        <f t="shared" si="84"/>
        <v/>
      </c>
      <c r="DG70" s="452" t="str">
        <f t="shared" si="84"/>
        <v/>
      </c>
      <c r="DH70" s="453" t="str">
        <f t="shared" si="84"/>
        <v/>
      </c>
      <c r="DI70" s="451" t="str">
        <f t="shared" si="84"/>
        <v/>
      </c>
      <c r="DJ70" s="452" t="str">
        <f t="shared" si="84"/>
        <v/>
      </c>
      <c r="DK70" s="452" t="str">
        <f t="shared" si="84"/>
        <v/>
      </c>
      <c r="DL70" s="452" t="str">
        <f t="shared" si="84"/>
        <v/>
      </c>
      <c r="DM70" s="453" t="str">
        <f t="shared" si="84"/>
        <v/>
      </c>
      <c r="DN70" s="451" t="str">
        <f t="shared" si="84"/>
        <v/>
      </c>
      <c r="DO70" s="452" t="str">
        <f t="shared" si="84"/>
        <v/>
      </c>
      <c r="DP70" s="452" t="str">
        <f t="shared" si="83"/>
        <v/>
      </c>
      <c r="DQ70" s="452" t="str">
        <f t="shared" si="83"/>
        <v/>
      </c>
      <c r="DR70" s="453" t="str">
        <f t="shared" si="83"/>
        <v/>
      </c>
      <c r="DS70" s="451" t="str">
        <f t="shared" si="83"/>
        <v/>
      </c>
      <c r="DT70" s="452" t="str">
        <f t="shared" si="83"/>
        <v/>
      </c>
      <c r="DU70" s="452" t="str">
        <f t="shared" si="83"/>
        <v/>
      </c>
      <c r="DV70" s="452" t="str">
        <f t="shared" si="83"/>
        <v/>
      </c>
      <c r="DW70" s="453" t="str">
        <f t="shared" si="83"/>
        <v/>
      </c>
      <c r="DX70" s="451" t="str">
        <f t="shared" si="83"/>
        <v/>
      </c>
      <c r="DY70" s="452" t="str">
        <f t="shared" si="83"/>
        <v/>
      </c>
      <c r="DZ70" s="452" t="str">
        <f t="shared" si="83"/>
        <v/>
      </c>
      <c r="EA70" s="452" t="str">
        <f t="shared" si="83"/>
        <v/>
      </c>
      <c r="EB70" s="453" t="str">
        <f t="shared" si="83"/>
        <v/>
      </c>
      <c r="EC70" s="451" t="str">
        <f t="shared" si="82"/>
        <v/>
      </c>
      <c r="ED70" s="452" t="str">
        <f t="shared" si="82"/>
        <v/>
      </c>
      <c r="EE70" s="452" t="str">
        <f t="shared" si="82"/>
        <v/>
      </c>
      <c r="EF70" s="452" t="str">
        <f t="shared" si="82"/>
        <v/>
      </c>
      <c r="EG70" s="453" t="str">
        <f t="shared" si="82"/>
        <v/>
      </c>
      <c r="EH70" s="451" t="str">
        <f t="shared" si="82"/>
        <v/>
      </c>
      <c r="EI70" s="452" t="str">
        <f t="shared" si="82"/>
        <v/>
      </c>
      <c r="EJ70" s="452" t="str">
        <f t="shared" si="82"/>
        <v/>
      </c>
      <c r="EK70" s="452" t="str">
        <f t="shared" si="82"/>
        <v/>
      </c>
      <c r="EL70" s="453" t="str">
        <f t="shared" si="82"/>
        <v/>
      </c>
      <c r="EM70" s="451" t="str">
        <f t="shared" si="82"/>
        <v/>
      </c>
      <c r="EN70" s="452" t="str">
        <f t="shared" si="82"/>
        <v/>
      </c>
      <c r="EO70" s="452" t="str">
        <f t="shared" si="82"/>
        <v/>
      </c>
      <c r="EP70" s="452" t="str">
        <f t="shared" si="82"/>
        <v/>
      </c>
      <c r="EQ70" s="453" t="str">
        <f t="shared" si="82"/>
        <v/>
      </c>
      <c r="ER70" s="451" t="str">
        <f t="shared" si="82"/>
        <v/>
      </c>
      <c r="ES70" s="452" t="str">
        <f t="shared" si="93"/>
        <v/>
      </c>
      <c r="ET70" s="452" t="str">
        <f t="shared" si="93"/>
        <v/>
      </c>
      <c r="EU70" s="452" t="str">
        <f t="shared" si="93"/>
        <v/>
      </c>
      <c r="EV70" s="453" t="str">
        <f t="shared" si="93"/>
        <v/>
      </c>
      <c r="EW70" s="451" t="str">
        <f t="shared" si="93"/>
        <v/>
      </c>
      <c r="EX70" s="452" t="str">
        <f t="shared" si="93"/>
        <v/>
      </c>
      <c r="EY70" s="452" t="str">
        <f t="shared" si="93"/>
        <v/>
      </c>
      <c r="EZ70" s="452" t="str">
        <f t="shared" si="93"/>
        <v/>
      </c>
      <c r="FA70" s="453" t="str">
        <f t="shared" si="93"/>
        <v/>
      </c>
      <c r="FB70" s="451" t="str">
        <f t="shared" si="93"/>
        <v/>
      </c>
      <c r="FC70" s="452" t="str">
        <f t="shared" si="93"/>
        <v/>
      </c>
      <c r="FD70" s="452" t="str">
        <f t="shared" si="93"/>
        <v/>
      </c>
      <c r="FE70" s="452" t="str">
        <f t="shared" si="93"/>
        <v/>
      </c>
      <c r="FF70" s="453" t="str">
        <f t="shared" si="93"/>
        <v/>
      </c>
      <c r="FG70" s="451" t="str">
        <f t="shared" si="93"/>
        <v/>
      </c>
      <c r="FH70" s="452" t="str">
        <f t="shared" si="93"/>
        <v/>
      </c>
      <c r="FI70" s="452" t="str">
        <f t="shared" si="85"/>
        <v/>
      </c>
      <c r="FJ70" s="452" t="str">
        <f t="shared" si="85"/>
        <v/>
      </c>
      <c r="FK70" s="453" t="str">
        <f t="shared" si="85"/>
        <v/>
      </c>
      <c r="FL70" s="451" t="str">
        <f t="shared" si="85"/>
        <v/>
      </c>
      <c r="FM70" s="452" t="str">
        <f t="shared" si="103"/>
        <v/>
      </c>
      <c r="FN70" s="452" t="str">
        <f t="shared" si="103"/>
        <v/>
      </c>
      <c r="FO70" s="452" t="str">
        <f t="shared" si="103"/>
        <v/>
      </c>
      <c r="FP70" s="453" t="str">
        <f t="shared" si="103"/>
        <v/>
      </c>
      <c r="FQ70" s="451" t="str">
        <f t="shared" si="103"/>
        <v/>
      </c>
      <c r="FR70" s="452" t="str">
        <f t="shared" si="103"/>
        <v/>
      </c>
      <c r="FS70" s="452" t="str">
        <f t="shared" si="103"/>
        <v/>
      </c>
      <c r="FT70" s="452" t="str">
        <f t="shared" si="103"/>
        <v/>
      </c>
      <c r="FU70" s="453" t="str">
        <f t="shared" si="103"/>
        <v/>
      </c>
      <c r="FV70" s="451" t="str">
        <f t="shared" si="103"/>
        <v/>
      </c>
      <c r="FW70" s="452" t="str">
        <f t="shared" si="103"/>
        <v/>
      </c>
      <c r="FX70" s="452" t="str">
        <f t="shared" si="103"/>
        <v/>
      </c>
      <c r="FY70" s="452" t="str">
        <f t="shared" si="103"/>
        <v/>
      </c>
      <c r="FZ70" s="453" t="str">
        <f t="shared" si="103"/>
        <v/>
      </c>
      <c r="GA70" s="451" t="str">
        <f t="shared" si="103"/>
        <v/>
      </c>
      <c r="GB70" s="452" t="str">
        <f t="shared" si="102"/>
        <v/>
      </c>
      <c r="GC70" s="452" t="str">
        <f t="shared" si="102"/>
        <v/>
      </c>
      <c r="GD70" s="452" t="str">
        <f t="shared" si="102"/>
        <v/>
      </c>
      <c r="GE70" s="453" t="str">
        <f t="shared" si="102"/>
        <v/>
      </c>
      <c r="GF70" s="451" t="str">
        <f t="shared" si="102"/>
        <v/>
      </c>
      <c r="GG70" s="452" t="str">
        <f t="shared" si="102"/>
        <v/>
      </c>
      <c r="GH70" s="452" t="str">
        <f t="shared" si="98"/>
        <v/>
      </c>
      <c r="GI70" s="452" t="str">
        <f t="shared" si="98"/>
        <v/>
      </c>
      <c r="GJ70" s="453" t="str">
        <f t="shared" si="98"/>
        <v/>
      </c>
      <c r="GK70" s="451" t="str">
        <f t="shared" si="98"/>
        <v/>
      </c>
      <c r="GL70" s="452" t="str">
        <f t="shared" si="98"/>
        <v/>
      </c>
      <c r="GM70" s="452" t="str">
        <f t="shared" si="98"/>
        <v/>
      </c>
      <c r="GN70" s="452" t="str">
        <f t="shared" si="98"/>
        <v/>
      </c>
      <c r="GO70" s="453" t="str">
        <f t="shared" si="98"/>
        <v/>
      </c>
      <c r="GP70" s="451" t="str">
        <f t="shared" si="96"/>
        <v/>
      </c>
      <c r="GQ70" s="452" t="str">
        <f t="shared" si="96"/>
        <v/>
      </c>
      <c r="GR70" s="452" t="str">
        <f t="shared" si="96"/>
        <v/>
      </c>
      <c r="GS70" s="452" t="str">
        <f t="shared" si="96"/>
        <v/>
      </c>
      <c r="GT70" s="453" t="str">
        <f t="shared" si="96"/>
        <v/>
      </c>
      <c r="GU70" s="451" t="str">
        <f t="shared" si="96"/>
        <v/>
      </c>
      <c r="GV70" s="452" t="str">
        <f t="shared" si="96"/>
        <v/>
      </c>
      <c r="GW70" s="452" t="str">
        <f t="shared" si="96"/>
        <v/>
      </c>
      <c r="GX70" s="452" t="str">
        <f t="shared" si="96"/>
        <v/>
      </c>
      <c r="GY70" s="453" t="str">
        <f t="shared" si="96"/>
        <v/>
      </c>
      <c r="GZ70" s="451" t="str">
        <f t="shared" si="96"/>
        <v/>
      </c>
      <c r="HA70" s="452" t="str">
        <f t="shared" si="86"/>
        <v/>
      </c>
      <c r="HB70" s="452" t="str">
        <f t="shared" si="86"/>
        <v/>
      </c>
      <c r="HC70" s="452" t="str">
        <f t="shared" si="86"/>
        <v/>
      </c>
      <c r="HD70" s="453" t="str">
        <f t="shared" si="86"/>
        <v/>
      </c>
      <c r="HE70" s="451" t="str">
        <f t="shared" si="86"/>
        <v/>
      </c>
      <c r="HF70" s="452" t="str">
        <f t="shared" si="86"/>
        <v/>
      </c>
      <c r="HG70" s="452" t="str">
        <f t="shared" si="94"/>
        <v/>
      </c>
      <c r="HH70" s="452" t="str">
        <f t="shared" si="94"/>
        <v/>
      </c>
      <c r="HI70" s="453" t="str">
        <f t="shared" si="94"/>
        <v/>
      </c>
      <c r="HJ70" s="451" t="str">
        <f t="shared" si="94"/>
        <v/>
      </c>
      <c r="HK70" s="452" t="str">
        <f t="shared" si="94"/>
        <v/>
      </c>
      <c r="HL70" s="452" t="str">
        <f t="shared" si="94"/>
        <v/>
      </c>
      <c r="HM70" s="452" t="str">
        <f t="shared" si="94"/>
        <v/>
      </c>
      <c r="HN70" s="453" t="str">
        <f t="shared" si="94"/>
        <v/>
      </c>
      <c r="HO70" s="451" t="str">
        <f t="shared" si="94"/>
        <v/>
      </c>
      <c r="HP70" s="452" t="str">
        <f t="shared" si="94"/>
        <v/>
      </c>
      <c r="HQ70" s="452" t="str">
        <f t="shared" si="94"/>
        <v/>
      </c>
      <c r="HR70" s="452" t="str">
        <f t="shared" si="94"/>
        <v/>
      </c>
      <c r="HS70" s="453" t="str">
        <f t="shared" si="94"/>
        <v/>
      </c>
      <c r="HT70" s="451" t="str">
        <f t="shared" si="94"/>
        <v/>
      </c>
      <c r="HU70" s="452" t="str">
        <f t="shared" si="94"/>
        <v/>
      </c>
      <c r="HV70" s="452" t="str">
        <f t="shared" si="94"/>
        <v/>
      </c>
      <c r="HW70" s="452" t="str">
        <f t="shared" si="87"/>
        <v/>
      </c>
      <c r="HX70" s="453" t="str">
        <f t="shared" si="87"/>
        <v/>
      </c>
      <c r="HY70" s="451" t="str">
        <f t="shared" si="87"/>
        <v/>
      </c>
      <c r="HZ70" s="452" t="str">
        <f t="shared" si="99"/>
        <v/>
      </c>
      <c r="IA70" s="452" t="str">
        <f t="shared" si="99"/>
        <v/>
      </c>
      <c r="IB70" s="452" t="str">
        <f t="shared" si="99"/>
        <v/>
      </c>
      <c r="IC70" s="453" t="str">
        <f t="shared" si="99"/>
        <v/>
      </c>
      <c r="ID70" s="451" t="str">
        <f t="shared" si="99"/>
        <v/>
      </c>
      <c r="IE70" s="452" t="str">
        <f t="shared" si="99"/>
        <v/>
      </c>
      <c r="IF70" s="452" t="str">
        <f t="shared" si="99"/>
        <v/>
      </c>
      <c r="IG70" s="452" t="str">
        <f t="shared" si="99"/>
        <v/>
      </c>
      <c r="IH70" s="453" t="str">
        <f t="shared" si="99"/>
        <v/>
      </c>
      <c r="II70" s="451" t="str">
        <f t="shared" si="99"/>
        <v/>
      </c>
      <c r="IJ70" s="452" t="str">
        <f t="shared" si="99"/>
        <v/>
      </c>
      <c r="IK70" s="452" t="str">
        <f t="shared" si="99"/>
        <v/>
      </c>
      <c r="IL70" s="452" t="str">
        <f t="shared" si="99"/>
        <v/>
      </c>
      <c r="IM70" s="453" t="str">
        <f t="shared" si="99"/>
        <v/>
      </c>
      <c r="IN70" s="451" t="str">
        <f t="shared" si="99"/>
        <v/>
      </c>
      <c r="IO70" s="452" t="str">
        <f t="shared" si="88"/>
        <v/>
      </c>
      <c r="IP70" s="452" t="str">
        <f t="shared" si="88"/>
        <v/>
      </c>
      <c r="IQ70" s="452" t="str">
        <f t="shared" si="88"/>
        <v/>
      </c>
      <c r="IR70" s="453" t="str">
        <f t="shared" si="88"/>
        <v/>
      </c>
    </row>
    <row r="71" spans="1:252" x14ac:dyDescent="0.2">
      <c r="A71" s="461">
        <v>7.1</v>
      </c>
      <c r="C71" s="447" t="s">
        <v>1351</v>
      </c>
      <c r="D71" s="447"/>
      <c r="E71" s="448"/>
      <c r="F71" s="448"/>
      <c r="G71" s="448"/>
      <c r="H71" s="448"/>
      <c r="I71" s="448"/>
      <c r="J71" s="449" t="str">
        <f t="shared" ref="J71:J80" si="105">IF(E71="","",E71-$M$3+1)</f>
        <v/>
      </c>
      <c r="K71" s="449" t="str">
        <f t="shared" ref="K71:K80" si="106">IF(F71="","",F71-$M$3+1)</f>
        <v/>
      </c>
      <c r="L71" s="450">
        <f t="shared" si="101"/>
        <v>0</v>
      </c>
      <c r="M71" s="451" t="str">
        <f t="shared" si="91"/>
        <v/>
      </c>
      <c r="N71" s="452" t="str">
        <f t="shared" si="91"/>
        <v/>
      </c>
      <c r="O71" s="452" t="str">
        <f t="shared" si="91"/>
        <v/>
      </c>
      <c r="P71" s="452" t="str">
        <f t="shared" si="91"/>
        <v/>
      </c>
      <c r="Q71" s="453" t="str">
        <f t="shared" si="91"/>
        <v/>
      </c>
      <c r="R71" s="451" t="str">
        <f t="shared" si="91"/>
        <v/>
      </c>
      <c r="S71" s="452" t="str">
        <f t="shared" si="91"/>
        <v/>
      </c>
      <c r="T71" s="452" t="str">
        <f t="shared" si="91"/>
        <v/>
      </c>
      <c r="U71" s="452" t="str">
        <f t="shared" si="91"/>
        <v/>
      </c>
      <c r="V71" s="453" t="str">
        <f t="shared" si="91"/>
        <v/>
      </c>
      <c r="W71" s="451" t="str">
        <f t="shared" si="91"/>
        <v/>
      </c>
      <c r="X71" s="452" t="str">
        <f t="shared" si="91"/>
        <v/>
      </c>
      <c r="Y71" s="452" t="str">
        <f t="shared" si="91"/>
        <v/>
      </c>
      <c r="Z71" s="452" t="str">
        <f t="shared" si="91"/>
        <v/>
      </c>
      <c r="AA71" s="453" t="str">
        <f t="shared" si="91"/>
        <v/>
      </c>
      <c r="AB71" s="451" t="str">
        <f t="shared" si="91"/>
        <v/>
      </c>
      <c r="AC71" s="452" t="str">
        <f t="shared" si="100"/>
        <v/>
      </c>
      <c r="AD71" s="452" t="str">
        <f t="shared" si="100"/>
        <v/>
      </c>
      <c r="AE71" s="452" t="str">
        <f t="shared" si="100"/>
        <v/>
      </c>
      <c r="AF71" s="453" t="str">
        <f t="shared" si="100"/>
        <v/>
      </c>
      <c r="AG71" s="451" t="str">
        <f t="shared" si="100"/>
        <v/>
      </c>
      <c r="AH71" s="452" t="str">
        <f t="shared" si="100"/>
        <v/>
      </c>
      <c r="AI71" s="452" t="str">
        <f t="shared" si="100"/>
        <v/>
      </c>
      <c r="AJ71" s="452" t="str">
        <f t="shared" si="100"/>
        <v/>
      </c>
      <c r="AK71" s="453" t="str">
        <f t="shared" si="100"/>
        <v/>
      </c>
      <c r="AL71" s="451" t="str">
        <f t="shared" si="100"/>
        <v/>
      </c>
      <c r="AM71" s="452" t="str">
        <f t="shared" si="100"/>
        <v/>
      </c>
      <c r="AN71" s="452" t="str">
        <f t="shared" si="100"/>
        <v/>
      </c>
      <c r="AO71" s="452" t="str">
        <f t="shared" si="100"/>
        <v/>
      </c>
      <c r="AP71" s="453" t="str">
        <f t="shared" si="100"/>
        <v/>
      </c>
      <c r="AQ71" s="451" t="str">
        <f t="shared" si="100"/>
        <v/>
      </c>
      <c r="AR71" s="452" t="str">
        <f t="shared" si="97"/>
        <v/>
      </c>
      <c r="AS71" s="452" t="str">
        <f t="shared" si="97"/>
        <v/>
      </c>
      <c r="AT71" s="452" t="str">
        <f t="shared" si="97"/>
        <v/>
      </c>
      <c r="AU71" s="453" t="str">
        <f t="shared" si="97"/>
        <v/>
      </c>
      <c r="AV71" s="451" t="str">
        <f t="shared" si="97"/>
        <v/>
      </c>
      <c r="AW71" s="452" t="str">
        <f t="shared" si="97"/>
        <v/>
      </c>
      <c r="AX71" s="452" t="str">
        <f t="shared" si="97"/>
        <v/>
      </c>
      <c r="AY71" s="452" t="str">
        <f t="shared" si="97"/>
        <v/>
      </c>
      <c r="AZ71" s="453" t="str">
        <f t="shared" si="97"/>
        <v/>
      </c>
      <c r="BA71" s="451" t="str">
        <f t="shared" si="104"/>
        <v/>
      </c>
      <c r="BB71" s="452" t="str">
        <f t="shared" si="104"/>
        <v/>
      </c>
      <c r="BC71" s="452" t="str">
        <f t="shared" si="104"/>
        <v/>
      </c>
      <c r="BD71" s="452" t="str">
        <f t="shared" si="104"/>
        <v/>
      </c>
      <c r="BE71" s="453" t="str">
        <f t="shared" si="104"/>
        <v/>
      </c>
      <c r="BF71" s="451" t="str">
        <f t="shared" si="104"/>
        <v/>
      </c>
      <c r="BG71" s="452" t="str">
        <f t="shared" si="104"/>
        <v/>
      </c>
      <c r="BH71" s="452" t="str">
        <f t="shared" si="104"/>
        <v/>
      </c>
      <c r="BI71" s="452" t="str">
        <f t="shared" si="104"/>
        <v/>
      </c>
      <c r="BJ71" s="453" t="str">
        <f t="shared" si="104"/>
        <v/>
      </c>
      <c r="BK71" s="451" t="str">
        <f t="shared" si="104"/>
        <v/>
      </c>
      <c r="BL71" s="452" t="str">
        <f t="shared" si="104"/>
        <v/>
      </c>
      <c r="BM71" s="452" t="str">
        <f t="shared" si="104"/>
        <v/>
      </c>
      <c r="BN71" s="452" t="str">
        <f t="shared" si="104"/>
        <v/>
      </c>
      <c r="BO71" s="453" t="str">
        <f t="shared" si="104"/>
        <v/>
      </c>
      <c r="BP71" s="451" t="str">
        <f t="shared" si="104"/>
        <v/>
      </c>
      <c r="BQ71" s="452" t="str">
        <f t="shared" si="92"/>
        <v/>
      </c>
      <c r="BR71" s="452" t="str">
        <f t="shared" si="92"/>
        <v/>
      </c>
      <c r="BS71" s="452" t="str">
        <f t="shared" si="92"/>
        <v/>
      </c>
      <c r="BT71" s="453" t="str">
        <f t="shared" si="92"/>
        <v/>
      </c>
      <c r="BU71" s="451" t="str">
        <f t="shared" si="92"/>
        <v/>
      </c>
      <c r="BV71" s="452" t="str">
        <f t="shared" si="92"/>
        <v/>
      </c>
      <c r="BW71" s="452" t="str">
        <f t="shared" si="92"/>
        <v/>
      </c>
      <c r="BX71" s="452" t="str">
        <f t="shared" si="92"/>
        <v/>
      </c>
      <c r="BY71" s="453" t="str">
        <f t="shared" si="81"/>
        <v/>
      </c>
      <c r="BZ71" s="451" t="str">
        <f t="shared" si="81"/>
        <v/>
      </c>
      <c r="CA71" s="452" t="str">
        <f t="shared" si="81"/>
        <v/>
      </c>
      <c r="CB71" s="452" t="str">
        <f t="shared" si="81"/>
        <v/>
      </c>
      <c r="CC71" s="452" t="str">
        <f t="shared" si="81"/>
        <v/>
      </c>
      <c r="CD71" s="453" t="str">
        <f t="shared" si="81"/>
        <v/>
      </c>
      <c r="CE71" s="451" t="str">
        <f t="shared" si="81"/>
        <v/>
      </c>
      <c r="CF71" s="452" t="str">
        <f t="shared" si="81"/>
        <v/>
      </c>
      <c r="CG71" s="452" t="str">
        <f t="shared" si="81"/>
        <v/>
      </c>
      <c r="CH71" s="452" t="str">
        <f t="shared" si="81"/>
        <v/>
      </c>
      <c r="CI71" s="453" t="str">
        <f t="shared" si="81"/>
        <v/>
      </c>
      <c r="CJ71" s="451" t="str">
        <f t="shared" si="81"/>
        <v/>
      </c>
      <c r="CK71" s="452" t="str">
        <f t="shared" si="81"/>
        <v/>
      </c>
      <c r="CL71" s="452" t="str">
        <f t="shared" si="81"/>
        <v/>
      </c>
      <c r="CM71" s="452" t="str">
        <f t="shared" si="81"/>
        <v/>
      </c>
      <c r="CN71" s="453" t="str">
        <f t="shared" si="81"/>
        <v/>
      </c>
      <c r="CO71" s="451" t="str">
        <f t="shared" si="80"/>
        <v/>
      </c>
      <c r="CP71" s="452" t="str">
        <f t="shared" si="80"/>
        <v/>
      </c>
      <c r="CQ71" s="452" t="str">
        <f t="shared" si="80"/>
        <v/>
      </c>
      <c r="CR71" s="452" t="str">
        <f t="shared" si="80"/>
        <v/>
      </c>
      <c r="CS71" s="453" t="str">
        <f t="shared" si="80"/>
        <v/>
      </c>
      <c r="CT71" s="451" t="str">
        <f t="shared" si="80"/>
        <v/>
      </c>
      <c r="CU71" s="452" t="str">
        <f t="shared" si="80"/>
        <v/>
      </c>
      <c r="CV71" s="452" t="str">
        <f t="shared" si="80"/>
        <v/>
      </c>
      <c r="CW71" s="452" t="str">
        <f t="shared" si="79"/>
        <v/>
      </c>
      <c r="CX71" s="453" t="str">
        <f t="shared" si="79"/>
        <v/>
      </c>
      <c r="CY71" s="451" t="str">
        <f t="shared" si="79"/>
        <v/>
      </c>
      <c r="CZ71" s="452" t="str">
        <f t="shared" si="79"/>
        <v/>
      </c>
      <c r="DA71" s="452" t="str">
        <f t="shared" si="79"/>
        <v/>
      </c>
      <c r="DB71" s="452" t="str">
        <f t="shared" si="79"/>
        <v/>
      </c>
      <c r="DC71" s="453" t="str">
        <f t="shared" si="79"/>
        <v/>
      </c>
      <c r="DD71" s="451" t="str">
        <f t="shared" si="79"/>
        <v/>
      </c>
      <c r="DE71" s="452" t="str">
        <f t="shared" si="84"/>
        <v/>
      </c>
      <c r="DF71" s="452" t="str">
        <f t="shared" si="84"/>
        <v/>
      </c>
      <c r="DG71" s="452" t="str">
        <f t="shared" si="84"/>
        <v/>
      </c>
      <c r="DH71" s="453" t="str">
        <f t="shared" si="84"/>
        <v/>
      </c>
      <c r="DI71" s="451" t="str">
        <f t="shared" si="84"/>
        <v/>
      </c>
      <c r="DJ71" s="452" t="str">
        <f t="shared" si="84"/>
        <v/>
      </c>
      <c r="DK71" s="452" t="str">
        <f t="shared" si="84"/>
        <v/>
      </c>
      <c r="DL71" s="452" t="str">
        <f t="shared" si="84"/>
        <v/>
      </c>
      <c r="DM71" s="453" t="str">
        <f t="shared" si="84"/>
        <v/>
      </c>
      <c r="DN71" s="451" t="str">
        <f t="shared" si="84"/>
        <v/>
      </c>
      <c r="DO71" s="452" t="str">
        <f t="shared" si="84"/>
        <v/>
      </c>
      <c r="DP71" s="452" t="str">
        <f t="shared" si="83"/>
        <v/>
      </c>
      <c r="DQ71" s="452" t="str">
        <f t="shared" si="83"/>
        <v/>
      </c>
      <c r="DR71" s="453" t="str">
        <f t="shared" si="83"/>
        <v/>
      </c>
      <c r="DS71" s="451" t="str">
        <f t="shared" si="83"/>
        <v/>
      </c>
      <c r="DT71" s="452" t="str">
        <f t="shared" si="83"/>
        <v/>
      </c>
      <c r="DU71" s="452" t="str">
        <f t="shared" si="83"/>
        <v/>
      </c>
      <c r="DV71" s="452" t="str">
        <f t="shared" si="83"/>
        <v/>
      </c>
      <c r="DW71" s="453" t="str">
        <f t="shared" si="83"/>
        <v/>
      </c>
      <c r="DX71" s="451" t="str">
        <f t="shared" si="83"/>
        <v/>
      </c>
      <c r="DY71" s="452" t="str">
        <f t="shared" si="83"/>
        <v/>
      </c>
      <c r="DZ71" s="452" t="str">
        <f t="shared" si="83"/>
        <v/>
      </c>
      <c r="EA71" s="452" t="str">
        <f t="shared" si="83"/>
        <v/>
      </c>
      <c r="EB71" s="453" t="str">
        <f t="shared" si="83"/>
        <v/>
      </c>
      <c r="EC71" s="451" t="str">
        <f t="shared" ref="EC71:ER86" si="107">IF(AND(EC$2&gt;=$J71,EC$2&lt;=$K71),1,"")</f>
        <v/>
      </c>
      <c r="ED71" s="452" t="str">
        <f t="shared" si="107"/>
        <v/>
      </c>
      <c r="EE71" s="452" t="str">
        <f t="shared" si="107"/>
        <v/>
      </c>
      <c r="EF71" s="452" t="str">
        <f t="shared" si="107"/>
        <v/>
      </c>
      <c r="EG71" s="453" t="str">
        <f t="shared" si="107"/>
        <v/>
      </c>
      <c r="EH71" s="451" t="str">
        <f t="shared" si="107"/>
        <v/>
      </c>
      <c r="EI71" s="452" t="str">
        <f t="shared" si="107"/>
        <v/>
      </c>
      <c r="EJ71" s="452" t="str">
        <f t="shared" si="107"/>
        <v/>
      </c>
      <c r="EK71" s="452" t="str">
        <f t="shared" si="107"/>
        <v/>
      </c>
      <c r="EL71" s="453" t="str">
        <f t="shared" si="107"/>
        <v/>
      </c>
      <c r="EM71" s="451" t="str">
        <f t="shared" si="107"/>
        <v/>
      </c>
      <c r="EN71" s="452" t="str">
        <f t="shared" si="107"/>
        <v/>
      </c>
      <c r="EO71" s="452" t="str">
        <f t="shared" si="107"/>
        <v/>
      </c>
      <c r="EP71" s="452" t="str">
        <f t="shared" si="107"/>
        <v/>
      </c>
      <c r="EQ71" s="453" t="str">
        <f t="shared" si="107"/>
        <v/>
      </c>
      <c r="ER71" s="451" t="str">
        <f t="shared" si="107"/>
        <v/>
      </c>
      <c r="ES71" s="452" t="str">
        <f t="shared" si="93"/>
        <v/>
      </c>
      <c r="ET71" s="452" t="str">
        <f t="shared" si="93"/>
        <v/>
      </c>
      <c r="EU71" s="452" t="str">
        <f t="shared" si="93"/>
        <v/>
      </c>
      <c r="EV71" s="453" t="str">
        <f t="shared" si="93"/>
        <v/>
      </c>
      <c r="EW71" s="451" t="str">
        <f t="shared" si="93"/>
        <v/>
      </c>
      <c r="EX71" s="452" t="str">
        <f t="shared" si="93"/>
        <v/>
      </c>
      <c r="EY71" s="452" t="str">
        <f t="shared" si="93"/>
        <v/>
      </c>
      <c r="EZ71" s="452" t="str">
        <f t="shared" si="93"/>
        <v/>
      </c>
      <c r="FA71" s="453" t="str">
        <f t="shared" si="93"/>
        <v/>
      </c>
      <c r="FB71" s="451" t="str">
        <f t="shared" si="93"/>
        <v/>
      </c>
      <c r="FC71" s="452" t="str">
        <f t="shared" si="93"/>
        <v/>
      </c>
      <c r="FD71" s="452" t="str">
        <f t="shared" si="93"/>
        <v/>
      </c>
      <c r="FE71" s="452" t="str">
        <f t="shared" si="93"/>
        <v/>
      </c>
      <c r="FF71" s="453" t="str">
        <f t="shared" si="93"/>
        <v/>
      </c>
      <c r="FG71" s="451" t="str">
        <f t="shared" si="93"/>
        <v/>
      </c>
      <c r="FH71" s="452" t="str">
        <f t="shared" si="93"/>
        <v/>
      </c>
      <c r="FI71" s="452" t="str">
        <f t="shared" si="85"/>
        <v/>
      </c>
      <c r="FJ71" s="452" t="str">
        <f t="shared" si="85"/>
        <v/>
      </c>
      <c r="FK71" s="453" t="str">
        <f t="shared" si="85"/>
        <v/>
      </c>
      <c r="FL71" s="451" t="str">
        <f t="shared" si="85"/>
        <v/>
      </c>
      <c r="FM71" s="452" t="str">
        <f t="shared" si="103"/>
        <v/>
      </c>
      <c r="FN71" s="452" t="str">
        <f t="shared" si="103"/>
        <v/>
      </c>
      <c r="FO71" s="452" t="str">
        <f t="shared" si="103"/>
        <v/>
      </c>
      <c r="FP71" s="453" t="str">
        <f t="shared" si="103"/>
        <v/>
      </c>
      <c r="FQ71" s="451" t="str">
        <f t="shared" si="103"/>
        <v/>
      </c>
      <c r="FR71" s="452" t="str">
        <f t="shared" si="103"/>
        <v/>
      </c>
      <c r="FS71" s="452" t="str">
        <f t="shared" si="103"/>
        <v/>
      </c>
      <c r="FT71" s="452" t="str">
        <f t="shared" si="103"/>
        <v/>
      </c>
      <c r="FU71" s="453" t="str">
        <f t="shared" si="103"/>
        <v/>
      </c>
      <c r="FV71" s="451" t="str">
        <f t="shared" si="103"/>
        <v/>
      </c>
      <c r="FW71" s="452" t="str">
        <f t="shared" si="103"/>
        <v/>
      </c>
      <c r="FX71" s="452" t="str">
        <f t="shared" si="103"/>
        <v/>
      </c>
      <c r="FY71" s="452" t="str">
        <f t="shared" si="103"/>
        <v/>
      </c>
      <c r="FZ71" s="453" t="str">
        <f t="shared" si="103"/>
        <v/>
      </c>
      <c r="GA71" s="451" t="str">
        <f t="shared" si="103"/>
        <v/>
      </c>
      <c r="GB71" s="452" t="str">
        <f t="shared" si="102"/>
        <v/>
      </c>
      <c r="GC71" s="452" t="str">
        <f t="shared" si="102"/>
        <v/>
      </c>
      <c r="GD71" s="452" t="str">
        <f t="shared" si="102"/>
        <v/>
      </c>
      <c r="GE71" s="453" t="str">
        <f t="shared" si="102"/>
        <v/>
      </c>
      <c r="GF71" s="451" t="str">
        <f t="shared" si="102"/>
        <v/>
      </c>
      <c r="GG71" s="452" t="str">
        <f t="shared" si="102"/>
        <v/>
      </c>
      <c r="GH71" s="452" t="str">
        <f t="shared" si="98"/>
        <v/>
      </c>
      <c r="GI71" s="452" t="str">
        <f t="shared" si="98"/>
        <v/>
      </c>
      <c r="GJ71" s="453" t="str">
        <f t="shared" si="98"/>
        <v/>
      </c>
      <c r="GK71" s="451" t="str">
        <f t="shared" si="98"/>
        <v/>
      </c>
      <c r="GL71" s="452" t="str">
        <f t="shared" si="98"/>
        <v/>
      </c>
      <c r="GM71" s="452" t="str">
        <f t="shared" si="98"/>
        <v/>
      </c>
      <c r="GN71" s="452" t="str">
        <f t="shared" si="98"/>
        <v/>
      </c>
      <c r="GO71" s="453" t="str">
        <f t="shared" si="98"/>
        <v/>
      </c>
      <c r="GP71" s="451" t="str">
        <f t="shared" si="96"/>
        <v/>
      </c>
      <c r="GQ71" s="452" t="str">
        <f t="shared" si="96"/>
        <v/>
      </c>
      <c r="GR71" s="452" t="str">
        <f t="shared" si="96"/>
        <v/>
      </c>
      <c r="GS71" s="452" t="str">
        <f t="shared" si="96"/>
        <v/>
      </c>
      <c r="GT71" s="453" t="str">
        <f t="shared" si="96"/>
        <v/>
      </c>
      <c r="GU71" s="451" t="str">
        <f t="shared" si="96"/>
        <v/>
      </c>
      <c r="GV71" s="452" t="str">
        <f t="shared" si="96"/>
        <v/>
      </c>
      <c r="GW71" s="452" t="str">
        <f t="shared" si="96"/>
        <v/>
      </c>
      <c r="GX71" s="452" t="str">
        <f t="shared" si="96"/>
        <v/>
      </c>
      <c r="GY71" s="453" t="str">
        <f t="shared" si="96"/>
        <v/>
      </c>
      <c r="GZ71" s="451" t="str">
        <f t="shared" si="96"/>
        <v/>
      </c>
      <c r="HA71" s="452" t="str">
        <f t="shared" si="86"/>
        <v/>
      </c>
      <c r="HB71" s="452" t="str">
        <f t="shared" si="86"/>
        <v/>
      </c>
      <c r="HC71" s="452" t="str">
        <f t="shared" si="86"/>
        <v/>
      </c>
      <c r="HD71" s="453" t="str">
        <f t="shared" si="86"/>
        <v/>
      </c>
      <c r="HE71" s="451" t="str">
        <f t="shared" si="86"/>
        <v/>
      </c>
      <c r="HF71" s="452" t="str">
        <f t="shared" si="86"/>
        <v/>
      </c>
      <c r="HG71" s="452" t="str">
        <f t="shared" si="94"/>
        <v/>
      </c>
      <c r="HH71" s="452" t="str">
        <f t="shared" si="94"/>
        <v/>
      </c>
      <c r="HI71" s="453" t="str">
        <f t="shared" si="94"/>
        <v/>
      </c>
      <c r="HJ71" s="451" t="str">
        <f t="shared" si="94"/>
        <v/>
      </c>
      <c r="HK71" s="452" t="str">
        <f t="shared" si="94"/>
        <v/>
      </c>
      <c r="HL71" s="452" t="str">
        <f t="shared" si="94"/>
        <v/>
      </c>
      <c r="HM71" s="452" t="str">
        <f t="shared" si="94"/>
        <v/>
      </c>
      <c r="HN71" s="453" t="str">
        <f t="shared" si="94"/>
        <v/>
      </c>
      <c r="HO71" s="451" t="str">
        <f t="shared" si="94"/>
        <v/>
      </c>
      <c r="HP71" s="452" t="str">
        <f t="shared" si="94"/>
        <v/>
      </c>
      <c r="HQ71" s="452" t="str">
        <f t="shared" si="94"/>
        <v/>
      </c>
      <c r="HR71" s="452" t="str">
        <f t="shared" si="94"/>
        <v/>
      </c>
      <c r="HS71" s="453" t="str">
        <f t="shared" si="94"/>
        <v/>
      </c>
      <c r="HT71" s="451" t="str">
        <f t="shared" si="94"/>
        <v/>
      </c>
      <c r="HU71" s="452" t="str">
        <f t="shared" si="94"/>
        <v/>
      </c>
      <c r="HV71" s="452" t="str">
        <f t="shared" si="94"/>
        <v/>
      </c>
      <c r="HW71" s="452" t="str">
        <f t="shared" si="87"/>
        <v/>
      </c>
      <c r="HX71" s="453" t="str">
        <f t="shared" si="87"/>
        <v/>
      </c>
      <c r="HY71" s="451" t="str">
        <f t="shared" si="87"/>
        <v/>
      </c>
      <c r="HZ71" s="452" t="str">
        <f t="shared" si="99"/>
        <v/>
      </c>
      <c r="IA71" s="452" t="str">
        <f t="shared" si="99"/>
        <v/>
      </c>
      <c r="IB71" s="452" t="str">
        <f t="shared" si="99"/>
        <v/>
      </c>
      <c r="IC71" s="453" t="str">
        <f t="shared" si="99"/>
        <v/>
      </c>
      <c r="ID71" s="451" t="str">
        <f t="shared" si="99"/>
        <v/>
      </c>
      <c r="IE71" s="452" t="str">
        <f t="shared" si="99"/>
        <v/>
      </c>
      <c r="IF71" s="452" t="str">
        <f t="shared" si="99"/>
        <v/>
      </c>
      <c r="IG71" s="452" t="str">
        <f t="shared" si="99"/>
        <v/>
      </c>
      <c r="IH71" s="453" t="str">
        <f t="shared" si="99"/>
        <v/>
      </c>
      <c r="II71" s="451" t="str">
        <f t="shared" si="99"/>
        <v/>
      </c>
      <c r="IJ71" s="452" t="str">
        <f t="shared" si="99"/>
        <v/>
      </c>
      <c r="IK71" s="452" t="str">
        <f t="shared" si="99"/>
        <v/>
      </c>
      <c r="IL71" s="452" t="str">
        <f t="shared" si="99"/>
        <v/>
      </c>
      <c r="IM71" s="453" t="str">
        <f t="shared" si="99"/>
        <v/>
      </c>
      <c r="IN71" s="451" t="str">
        <f t="shared" si="99"/>
        <v/>
      </c>
      <c r="IO71" s="452" t="str">
        <f t="shared" si="88"/>
        <v/>
      </c>
      <c r="IP71" s="452" t="str">
        <f t="shared" si="88"/>
        <v/>
      </c>
      <c r="IQ71" s="452" t="str">
        <f t="shared" si="88"/>
        <v/>
      </c>
      <c r="IR71" s="453" t="str">
        <f t="shared" si="88"/>
        <v/>
      </c>
    </row>
    <row r="72" spans="1:252" x14ac:dyDescent="0.2">
      <c r="A72" s="461">
        <v>7.2</v>
      </c>
      <c r="C72" s="447" t="s">
        <v>1352</v>
      </c>
      <c r="D72" s="447"/>
      <c r="E72" s="448"/>
      <c r="F72" s="448"/>
      <c r="G72" s="448"/>
      <c r="H72" s="448"/>
      <c r="I72" s="448"/>
      <c r="J72" s="449" t="str">
        <f t="shared" si="105"/>
        <v/>
      </c>
      <c r="K72" s="449" t="str">
        <f t="shared" si="106"/>
        <v/>
      </c>
      <c r="L72" s="450">
        <f t="shared" si="101"/>
        <v>0</v>
      </c>
      <c r="M72" s="451" t="str">
        <f t="shared" si="91"/>
        <v/>
      </c>
      <c r="N72" s="452" t="str">
        <f t="shared" si="91"/>
        <v/>
      </c>
      <c r="O72" s="452" t="str">
        <f t="shared" si="91"/>
        <v/>
      </c>
      <c r="P72" s="452" t="str">
        <f t="shared" si="91"/>
        <v/>
      </c>
      <c r="Q72" s="453" t="str">
        <f t="shared" si="91"/>
        <v/>
      </c>
      <c r="R72" s="451" t="str">
        <f t="shared" si="91"/>
        <v/>
      </c>
      <c r="S72" s="452" t="str">
        <f t="shared" si="91"/>
        <v/>
      </c>
      <c r="T72" s="452" t="str">
        <f t="shared" si="91"/>
        <v/>
      </c>
      <c r="U72" s="452" t="str">
        <f t="shared" si="91"/>
        <v/>
      </c>
      <c r="V72" s="453" t="str">
        <f t="shared" si="91"/>
        <v/>
      </c>
      <c r="W72" s="451" t="str">
        <f t="shared" si="91"/>
        <v/>
      </c>
      <c r="X72" s="452" t="str">
        <f t="shared" si="91"/>
        <v/>
      </c>
      <c r="Y72" s="452" t="str">
        <f t="shared" si="91"/>
        <v/>
      </c>
      <c r="Z72" s="452" t="str">
        <f t="shared" si="91"/>
        <v/>
      </c>
      <c r="AA72" s="453" t="str">
        <f t="shared" si="91"/>
        <v/>
      </c>
      <c r="AB72" s="451" t="str">
        <f t="shared" si="91"/>
        <v/>
      </c>
      <c r="AC72" s="452" t="str">
        <f t="shared" si="100"/>
        <v/>
      </c>
      <c r="AD72" s="452" t="str">
        <f t="shared" si="100"/>
        <v/>
      </c>
      <c r="AE72" s="452" t="str">
        <f t="shared" si="100"/>
        <v/>
      </c>
      <c r="AF72" s="453" t="str">
        <f t="shared" si="100"/>
        <v/>
      </c>
      <c r="AG72" s="451" t="str">
        <f t="shared" si="100"/>
        <v/>
      </c>
      <c r="AH72" s="452" t="str">
        <f t="shared" si="100"/>
        <v/>
      </c>
      <c r="AI72" s="452" t="str">
        <f t="shared" si="100"/>
        <v/>
      </c>
      <c r="AJ72" s="452" t="str">
        <f t="shared" si="100"/>
        <v/>
      </c>
      <c r="AK72" s="453" t="str">
        <f t="shared" si="100"/>
        <v/>
      </c>
      <c r="AL72" s="451" t="str">
        <f t="shared" si="100"/>
        <v/>
      </c>
      <c r="AM72" s="452" t="str">
        <f t="shared" si="100"/>
        <v/>
      </c>
      <c r="AN72" s="452" t="str">
        <f t="shared" si="100"/>
        <v/>
      </c>
      <c r="AO72" s="452" t="str">
        <f t="shared" si="100"/>
        <v/>
      </c>
      <c r="AP72" s="453" t="str">
        <f t="shared" si="100"/>
        <v/>
      </c>
      <c r="AQ72" s="451" t="str">
        <f t="shared" si="100"/>
        <v/>
      </c>
      <c r="AR72" s="452" t="str">
        <f t="shared" si="97"/>
        <v/>
      </c>
      <c r="AS72" s="452" t="str">
        <f t="shared" si="97"/>
        <v/>
      </c>
      <c r="AT72" s="452" t="str">
        <f t="shared" si="97"/>
        <v/>
      </c>
      <c r="AU72" s="453" t="str">
        <f t="shared" si="97"/>
        <v/>
      </c>
      <c r="AV72" s="451" t="str">
        <f t="shared" si="97"/>
        <v/>
      </c>
      <c r="AW72" s="452" t="str">
        <f t="shared" si="97"/>
        <v/>
      </c>
      <c r="AX72" s="452" t="str">
        <f t="shared" si="97"/>
        <v/>
      </c>
      <c r="AY72" s="452" t="str">
        <f t="shared" si="97"/>
        <v/>
      </c>
      <c r="AZ72" s="453" t="str">
        <f t="shared" si="97"/>
        <v/>
      </c>
      <c r="BA72" s="451" t="str">
        <f t="shared" si="104"/>
        <v/>
      </c>
      <c r="BB72" s="452" t="str">
        <f t="shared" si="104"/>
        <v/>
      </c>
      <c r="BC72" s="452" t="str">
        <f t="shared" si="104"/>
        <v/>
      </c>
      <c r="BD72" s="452" t="str">
        <f t="shared" si="104"/>
        <v/>
      </c>
      <c r="BE72" s="453" t="str">
        <f t="shared" si="104"/>
        <v/>
      </c>
      <c r="BF72" s="451" t="str">
        <f t="shared" si="104"/>
        <v/>
      </c>
      <c r="BG72" s="452" t="str">
        <f t="shared" si="104"/>
        <v/>
      </c>
      <c r="BH72" s="452" t="str">
        <f t="shared" si="104"/>
        <v/>
      </c>
      <c r="BI72" s="452" t="str">
        <f t="shared" si="104"/>
        <v/>
      </c>
      <c r="BJ72" s="453" t="str">
        <f t="shared" si="104"/>
        <v/>
      </c>
      <c r="BK72" s="451" t="str">
        <f t="shared" si="104"/>
        <v/>
      </c>
      <c r="BL72" s="452" t="str">
        <f t="shared" si="104"/>
        <v/>
      </c>
      <c r="BM72" s="452" t="str">
        <f t="shared" si="104"/>
        <v/>
      </c>
      <c r="BN72" s="452" t="str">
        <f t="shared" si="104"/>
        <v/>
      </c>
      <c r="BO72" s="453" t="str">
        <f t="shared" si="104"/>
        <v/>
      </c>
      <c r="BP72" s="451" t="str">
        <f t="shared" si="104"/>
        <v/>
      </c>
      <c r="BQ72" s="452" t="str">
        <f t="shared" si="92"/>
        <v/>
      </c>
      <c r="BR72" s="452" t="str">
        <f t="shared" si="92"/>
        <v/>
      </c>
      <c r="BS72" s="452" t="str">
        <f t="shared" si="92"/>
        <v/>
      </c>
      <c r="BT72" s="453" t="str">
        <f t="shared" si="92"/>
        <v/>
      </c>
      <c r="BU72" s="451" t="str">
        <f t="shared" si="92"/>
        <v/>
      </c>
      <c r="BV72" s="452" t="str">
        <f t="shared" si="92"/>
        <v/>
      </c>
      <c r="BW72" s="452" t="str">
        <f t="shared" si="92"/>
        <v/>
      </c>
      <c r="BX72" s="452" t="str">
        <f t="shared" si="92"/>
        <v/>
      </c>
      <c r="BY72" s="453" t="str">
        <f t="shared" si="81"/>
        <v/>
      </c>
      <c r="BZ72" s="451" t="str">
        <f t="shared" si="81"/>
        <v/>
      </c>
      <c r="CA72" s="452" t="str">
        <f t="shared" si="81"/>
        <v/>
      </c>
      <c r="CB72" s="452" t="str">
        <f t="shared" si="81"/>
        <v/>
      </c>
      <c r="CC72" s="452" t="str">
        <f t="shared" si="81"/>
        <v/>
      </c>
      <c r="CD72" s="453" t="str">
        <f t="shared" si="81"/>
        <v/>
      </c>
      <c r="CE72" s="451" t="str">
        <f t="shared" si="81"/>
        <v/>
      </c>
      <c r="CF72" s="452" t="str">
        <f t="shared" si="81"/>
        <v/>
      </c>
      <c r="CG72" s="452" t="str">
        <f t="shared" si="81"/>
        <v/>
      </c>
      <c r="CH72" s="452" t="str">
        <f t="shared" si="81"/>
        <v/>
      </c>
      <c r="CI72" s="453" t="str">
        <f t="shared" si="81"/>
        <v/>
      </c>
      <c r="CJ72" s="451" t="str">
        <f t="shared" si="81"/>
        <v/>
      </c>
      <c r="CK72" s="452" t="str">
        <f t="shared" si="81"/>
        <v/>
      </c>
      <c r="CL72" s="452" t="str">
        <f t="shared" si="81"/>
        <v/>
      </c>
      <c r="CM72" s="452" t="str">
        <f t="shared" si="81"/>
        <v/>
      </c>
      <c r="CN72" s="453" t="str">
        <f t="shared" si="81"/>
        <v/>
      </c>
      <c r="CO72" s="451" t="str">
        <f t="shared" si="80"/>
        <v/>
      </c>
      <c r="CP72" s="452" t="str">
        <f t="shared" si="80"/>
        <v/>
      </c>
      <c r="CQ72" s="452" t="str">
        <f t="shared" si="80"/>
        <v/>
      </c>
      <c r="CR72" s="452" t="str">
        <f t="shared" si="80"/>
        <v/>
      </c>
      <c r="CS72" s="453" t="str">
        <f t="shared" si="80"/>
        <v/>
      </c>
      <c r="CT72" s="451" t="str">
        <f t="shared" si="80"/>
        <v/>
      </c>
      <c r="CU72" s="452" t="str">
        <f t="shared" si="80"/>
        <v/>
      </c>
      <c r="CV72" s="452" t="str">
        <f t="shared" si="80"/>
        <v/>
      </c>
      <c r="CW72" s="452" t="str">
        <f t="shared" si="79"/>
        <v/>
      </c>
      <c r="CX72" s="453" t="str">
        <f t="shared" si="79"/>
        <v/>
      </c>
      <c r="CY72" s="451" t="str">
        <f t="shared" si="79"/>
        <v/>
      </c>
      <c r="CZ72" s="452" t="str">
        <f t="shared" si="79"/>
        <v/>
      </c>
      <c r="DA72" s="452" t="str">
        <f t="shared" si="79"/>
        <v/>
      </c>
      <c r="DB72" s="452" t="str">
        <f t="shared" si="79"/>
        <v/>
      </c>
      <c r="DC72" s="453" t="str">
        <f t="shared" si="79"/>
        <v/>
      </c>
      <c r="DD72" s="451" t="str">
        <f t="shared" si="79"/>
        <v/>
      </c>
      <c r="DE72" s="452" t="str">
        <f t="shared" si="84"/>
        <v/>
      </c>
      <c r="DF72" s="452" t="str">
        <f t="shared" si="84"/>
        <v/>
      </c>
      <c r="DG72" s="452" t="str">
        <f t="shared" si="84"/>
        <v/>
      </c>
      <c r="DH72" s="453" t="str">
        <f t="shared" si="84"/>
        <v/>
      </c>
      <c r="DI72" s="451" t="str">
        <f t="shared" si="84"/>
        <v/>
      </c>
      <c r="DJ72" s="452" t="str">
        <f t="shared" si="84"/>
        <v/>
      </c>
      <c r="DK72" s="452" t="str">
        <f t="shared" si="84"/>
        <v/>
      </c>
      <c r="DL72" s="452" t="str">
        <f t="shared" si="84"/>
        <v/>
      </c>
      <c r="DM72" s="453" t="str">
        <f t="shared" si="84"/>
        <v/>
      </c>
      <c r="DN72" s="451" t="str">
        <f t="shared" si="84"/>
        <v/>
      </c>
      <c r="DO72" s="452" t="str">
        <f t="shared" si="84"/>
        <v/>
      </c>
      <c r="DP72" s="452" t="str">
        <f t="shared" si="83"/>
        <v/>
      </c>
      <c r="DQ72" s="452" t="str">
        <f t="shared" si="83"/>
        <v/>
      </c>
      <c r="DR72" s="453" t="str">
        <f t="shared" si="83"/>
        <v/>
      </c>
      <c r="DS72" s="451" t="str">
        <f t="shared" si="83"/>
        <v/>
      </c>
      <c r="DT72" s="452" t="str">
        <f t="shared" si="83"/>
        <v/>
      </c>
      <c r="DU72" s="452" t="str">
        <f t="shared" si="83"/>
        <v/>
      </c>
      <c r="DV72" s="452" t="str">
        <f t="shared" si="83"/>
        <v/>
      </c>
      <c r="DW72" s="453" t="str">
        <f t="shared" si="83"/>
        <v/>
      </c>
      <c r="DX72" s="451" t="str">
        <f t="shared" si="83"/>
        <v/>
      </c>
      <c r="DY72" s="452" t="str">
        <f t="shared" si="83"/>
        <v/>
      </c>
      <c r="DZ72" s="452" t="str">
        <f t="shared" si="83"/>
        <v/>
      </c>
      <c r="EA72" s="452" t="str">
        <f t="shared" si="83"/>
        <v/>
      </c>
      <c r="EB72" s="453" t="str">
        <f t="shared" si="83"/>
        <v/>
      </c>
      <c r="EC72" s="451" t="str">
        <f t="shared" si="107"/>
        <v/>
      </c>
      <c r="ED72" s="452" t="str">
        <f t="shared" si="107"/>
        <v/>
      </c>
      <c r="EE72" s="452" t="str">
        <f t="shared" si="107"/>
        <v/>
      </c>
      <c r="EF72" s="452" t="str">
        <f t="shared" si="107"/>
        <v/>
      </c>
      <c r="EG72" s="453" t="str">
        <f t="shared" si="107"/>
        <v/>
      </c>
      <c r="EH72" s="451" t="str">
        <f t="shared" si="107"/>
        <v/>
      </c>
      <c r="EI72" s="452" t="str">
        <f t="shared" si="107"/>
        <v/>
      </c>
      <c r="EJ72" s="452" t="str">
        <f t="shared" si="107"/>
        <v/>
      </c>
      <c r="EK72" s="452" t="str">
        <f t="shared" si="107"/>
        <v/>
      </c>
      <c r="EL72" s="453" t="str">
        <f t="shared" si="107"/>
        <v/>
      </c>
      <c r="EM72" s="451" t="str">
        <f t="shared" si="107"/>
        <v/>
      </c>
      <c r="EN72" s="452" t="str">
        <f t="shared" si="107"/>
        <v/>
      </c>
      <c r="EO72" s="452" t="str">
        <f t="shared" si="107"/>
        <v/>
      </c>
      <c r="EP72" s="452" t="str">
        <f t="shared" si="107"/>
        <v/>
      </c>
      <c r="EQ72" s="453" t="str">
        <f t="shared" si="107"/>
        <v/>
      </c>
      <c r="ER72" s="451" t="str">
        <f t="shared" si="107"/>
        <v/>
      </c>
      <c r="ES72" s="452" t="str">
        <f t="shared" si="93"/>
        <v/>
      </c>
      <c r="ET72" s="452" t="str">
        <f t="shared" si="93"/>
        <v/>
      </c>
      <c r="EU72" s="452" t="str">
        <f t="shared" si="93"/>
        <v/>
      </c>
      <c r="EV72" s="453" t="str">
        <f t="shared" si="93"/>
        <v/>
      </c>
      <c r="EW72" s="451" t="str">
        <f t="shared" si="93"/>
        <v/>
      </c>
      <c r="EX72" s="452" t="str">
        <f t="shared" si="93"/>
        <v/>
      </c>
      <c r="EY72" s="452" t="str">
        <f t="shared" si="93"/>
        <v/>
      </c>
      <c r="EZ72" s="452" t="str">
        <f t="shared" si="93"/>
        <v/>
      </c>
      <c r="FA72" s="453" t="str">
        <f t="shared" si="93"/>
        <v/>
      </c>
      <c r="FB72" s="451" t="str">
        <f t="shared" si="93"/>
        <v/>
      </c>
      <c r="FC72" s="452" t="str">
        <f t="shared" si="93"/>
        <v/>
      </c>
      <c r="FD72" s="452" t="str">
        <f t="shared" si="93"/>
        <v/>
      </c>
      <c r="FE72" s="452" t="str">
        <f t="shared" si="93"/>
        <v/>
      </c>
      <c r="FF72" s="453" t="str">
        <f t="shared" si="93"/>
        <v/>
      </c>
      <c r="FG72" s="451" t="str">
        <f t="shared" si="93"/>
        <v/>
      </c>
      <c r="FH72" s="452" t="str">
        <f t="shared" si="93"/>
        <v/>
      </c>
      <c r="FI72" s="452" t="str">
        <f t="shared" si="85"/>
        <v/>
      </c>
      <c r="FJ72" s="452" t="str">
        <f t="shared" si="85"/>
        <v/>
      </c>
      <c r="FK72" s="453" t="str">
        <f t="shared" si="85"/>
        <v/>
      </c>
      <c r="FL72" s="451" t="str">
        <f t="shared" si="85"/>
        <v/>
      </c>
      <c r="FM72" s="452" t="str">
        <f t="shared" si="103"/>
        <v/>
      </c>
      <c r="FN72" s="452" t="str">
        <f t="shared" si="103"/>
        <v/>
      </c>
      <c r="FO72" s="452" t="str">
        <f t="shared" si="103"/>
        <v/>
      </c>
      <c r="FP72" s="453" t="str">
        <f t="shared" si="103"/>
        <v/>
      </c>
      <c r="FQ72" s="451" t="str">
        <f t="shared" si="103"/>
        <v/>
      </c>
      <c r="FR72" s="452" t="str">
        <f t="shared" si="103"/>
        <v/>
      </c>
      <c r="FS72" s="452" t="str">
        <f t="shared" si="103"/>
        <v/>
      </c>
      <c r="FT72" s="452" t="str">
        <f t="shared" si="103"/>
        <v/>
      </c>
      <c r="FU72" s="453" t="str">
        <f t="shared" si="103"/>
        <v/>
      </c>
      <c r="FV72" s="451" t="str">
        <f t="shared" si="103"/>
        <v/>
      </c>
      <c r="FW72" s="452" t="str">
        <f t="shared" si="103"/>
        <v/>
      </c>
      <c r="FX72" s="452" t="str">
        <f t="shared" si="103"/>
        <v/>
      </c>
      <c r="FY72" s="452" t="str">
        <f t="shared" si="103"/>
        <v/>
      </c>
      <c r="FZ72" s="453" t="str">
        <f t="shared" si="103"/>
        <v/>
      </c>
      <c r="GA72" s="451" t="str">
        <f t="shared" si="103"/>
        <v/>
      </c>
      <c r="GB72" s="452" t="str">
        <f t="shared" si="102"/>
        <v/>
      </c>
      <c r="GC72" s="452" t="str">
        <f t="shared" si="102"/>
        <v/>
      </c>
      <c r="GD72" s="452" t="str">
        <f t="shared" si="102"/>
        <v/>
      </c>
      <c r="GE72" s="453" t="str">
        <f t="shared" si="102"/>
        <v/>
      </c>
      <c r="GF72" s="451" t="str">
        <f t="shared" si="102"/>
        <v/>
      </c>
      <c r="GG72" s="452" t="str">
        <f t="shared" si="102"/>
        <v/>
      </c>
      <c r="GH72" s="452" t="str">
        <f t="shared" si="98"/>
        <v/>
      </c>
      <c r="GI72" s="452" t="str">
        <f t="shared" si="98"/>
        <v/>
      </c>
      <c r="GJ72" s="453" t="str">
        <f t="shared" si="98"/>
        <v/>
      </c>
      <c r="GK72" s="451" t="str">
        <f t="shared" si="98"/>
        <v/>
      </c>
      <c r="GL72" s="452" t="str">
        <f t="shared" si="98"/>
        <v/>
      </c>
      <c r="GM72" s="452" t="str">
        <f t="shared" si="98"/>
        <v/>
      </c>
      <c r="GN72" s="452" t="str">
        <f t="shared" si="98"/>
        <v/>
      </c>
      <c r="GO72" s="453" t="str">
        <f t="shared" si="98"/>
        <v/>
      </c>
      <c r="GP72" s="451" t="str">
        <f t="shared" si="96"/>
        <v/>
      </c>
      <c r="GQ72" s="452" t="str">
        <f t="shared" si="96"/>
        <v/>
      </c>
      <c r="GR72" s="452" t="str">
        <f t="shared" si="96"/>
        <v/>
      </c>
      <c r="GS72" s="452" t="str">
        <f t="shared" si="96"/>
        <v/>
      </c>
      <c r="GT72" s="453" t="str">
        <f t="shared" si="96"/>
        <v/>
      </c>
      <c r="GU72" s="451" t="str">
        <f t="shared" si="96"/>
        <v/>
      </c>
      <c r="GV72" s="452" t="str">
        <f t="shared" si="96"/>
        <v/>
      </c>
      <c r="GW72" s="452" t="str">
        <f t="shared" si="96"/>
        <v/>
      </c>
      <c r="GX72" s="452" t="str">
        <f t="shared" si="96"/>
        <v/>
      </c>
      <c r="GY72" s="453" t="str">
        <f t="shared" si="96"/>
        <v/>
      </c>
      <c r="GZ72" s="451" t="str">
        <f t="shared" si="96"/>
        <v/>
      </c>
      <c r="HA72" s="452" t="str">
        <f t="shared" si="86"/>
        <v/>
      </c>
      <c r="HB72" s="452" t="str">
        <f t="shared" si="86"/>
        <v/>
      </c>
      <c r="HC72" s="452" t="str">
        <f t="shared" si="86"/>
        <v/>
      </c>
      <c r="HD72" s="453" t="str">
        <f t="shared" si="86"/>
        <v/>
      </c>
      <c r="HE72" s="451" t="str">
        <f t="shared" si="86"/>
        <v/>
      </c>
      <c r="HF72" s="452" t="str">
        <f t="shared" si="86"/>
        <v/>
      </c>
      <c r="HG72" s="452" t="str">
        <f t="shared" si="94"/>
        <v/>
      </c>
      <c r="HH72" s="452" t="str">
        <f t="shared" si="94"/>
        <v/>
      </c>
      <c r="HI72" s="453" t="str">
        <f t="shared" si="94"/>
        <v/>
      </c>
      <c r="HJ72" s="451" t="str">
        <f t="shared" si="94"/>
        <v/>
      </c>
      <c r="HK72" s="452" t="str">
        <f t="shared" si="94"/>
        <v/>
      </c>
      <c r="HL72" s="452" t="str">
        <f t="shared" si="94"/>
        <v/>
      </c>
      <c r="HM72" s="452" t="str">
        <f t="shared" si="94"/>
        <v/>
      </c>
      <c r="HN72" s="453" t="str">
        <f t="shared" si="94"/>
        <v/>
      </c>
      <c r="HO72" s="451" t="str">
        <f t="shared" si="94"/>
        <v/>
      </c>
      <c r="HP72" s="452" t="str">
        <f t="shared" si="94"/>
        <v/>
      </c>
      <c r="HQ72" s="452" t="str">
        <f t="shared" si="94"/>
        <v/>
      </c>
      <c r="HR72" s="452" t="str">
        <f t="shared" si="94"/>
        <v/>
      </c>
      <c r="HS72" s="453" t="str">
        <f t="shared" si="94"/>
        <v/>
      </c>
      <c r="HT72" s="451" t="str">
        <f t="shared" si="94"/>
        <v/>
      </c>
      <c r="HU72" s="452" t="str">
        <f t="shared" si="94"/>
        <v/>
      </c>
      <c r="HV72" s="452" t="str">
        <f t="shared" si="94"/>
        <v/>
      </c>
      <c r="HW72" s="452" t="str">
        <f t="shared" si="87"/>
        <v/>
      </c>
      <c r="HX72" s="453" t="str">
        <f t="shared" si="87"/>
        <v/>
      </c>
      <c r="HY72" s="451" t="str">
        <f t="shared" si="87"/>
        <v/>
      </c>
      <c r="HZ72" s="452" t="str">
        <f t="shared" si="99"/>
        <v/>
      </c>
      <c r="IA72" s="452" t="str">
        <f t="shared" si="99"/>
        <v/>
      </c>
      <c r="IB72" s="452" t="str">
        <f t="shared" si="99"/>
        <v/>
      </c>
      <c r="IC72" s="453" t="str">
        <f t="shared" si="99"/>
        <v/>
      </c>
      <c r="ID72" s="451" t="str">
        <f t="shared" si="99"/>
        <v/>
      </c>
      <c r="IE72" s="452" t="str">
        <f t="shared" si="99"/>
        <v/>
      </c>
      <c r="IF72" s="452" t="str">
        <f t="shared" si="99"/>
        <v/>
      </c>
      <c r="IG72" s="452" t="str">
        <f t="shared" si="99"/>
        <v/>
      </c>
      <c r="IH72" s="453" t="str">
        <f t="shared" si="99"/>
        <v/>
      </c>
      <c r="II72" s="451" t="str">
        <f t="shared" si="99"/>
        <v/>
      </c>
      <c r="IJ72" s="452" t="str">
        <f t="shared" si="99"/>
        <v/>
      </c>
      <c r="IK72" s="452" t="str">
        <f t="shared" si="99"/>
        <v/>
      </c>
      <c r="IL72" s="452" t="str">
        <f t="shared" si="99"/>
        <v/>
      </c>
      <c r="IM72" s="453" t="str">
        <f t="shared" si="99"/>
        <v/>
      </c>
      <c r="IN72" s="451" t="str">
        <f t="shared" si="99"/>
        <v/>
      </c>
      <c r="IO72" s="452" t="str">
        <f t="shared" si="99"/>
        <v/>
      </c>
      <c r="IP72" s="452" t="str">
        <f t="shared" si="88"/>
        <v/>
      </c>
      <c r="IQ72" s="452" t="str">
        <f t="shared" si="88"/>
        <v/>
      </c>
      <c r="IR72" s="453" t="str">
        <f t="shared" si="88"/>
        <v/>
      </c>
    </row>
    <row r="73" spans="1:252" x14ac:dyDescent="0.2">
      <c r="A73" s="461">
        <v>7.3</v>
      </c>
      <c r="C73" s="447" t="s">
        <v>1353</v>
      </c>
      <c r="D73" s="447"/>
      <c r="E73" s="448"/>
      <c r="F73" s="448"/>
      <c r="G73" s="448"/>
      <c r="H73" s="448"/>
      <c r="I73" s="448"/>
      <c r="J73" s="449" t="str">
        <f t="shared" si="105"/>
        <v/>
      </c>
      <c r="K73" s="449" t="str">
        <f t="shared" si="106"/>
        <v/>
      </c>
      <c r="L73" s="450">
        <f t="shared" si="101"/>
        <v>0</v>
      </c>
      <c r="M73" s="451" t="str">
        <f t="shared" si="91"/>
        <v/>
      </c>
      <c r="N73" s="452" t="str">
        <f t="shared" si="91"/>
        <v/>
      </c>
      <c r="O73" s="452" t="str">
        <f t="shared" si="91"/>
        <v/>
      </c>
      <c r="P73" s="452" t="str">
        <f t="shared" si="91"/>
        <v/>
      </c>
      <c r="Q73" s="453" t="str">
        <f t="shared" si="91"/>
        <v/>
      </c>
      <c r="R73" s="451" t="str">
        <f t="shared" si="91"/>
        <v/>
      </c>
      <c r="S73" s="452" t="str">
        <f t="shared" si="91"/>
        <v/>
      </c>
      <c r="T73" s="452" t="str">
        <f t="shared" si="91"/>
        <v/>
      </c>
      <c r="U73" s="452" t="str">
        <f t="shared" si="91"/>
        <v/>
      </c>
      <c r="V73" s="453" t="str">
        <f t="shared" si="91"/>
        <v/>
      </c>
      <c r="W73" s="451" t="str">
        <f t="shared" si="91"/>
        <v/>
      </c>
      <c r="X73" s="452" t="str">
        <f t="shared" si="91"/>
        <v/>
      </c>
      <c r="Y73" s="452" t="str">
        <f t="shared" si="91"/>
        <v/>
      </c>
      <c r="Z73" s="452" t="str">
        <f t="shared" si="91"/>
        <v/>
      </c>
      <c r="AA73" s="453" t="str">
        <f t="shared" si="91"/>
        <v/>
      </c>
      <c r="AB73" s="451" t="str">
        <f t="shared" si="91"/>
        <v/>
      </c>
      <c r="AC73" s="452" t="str">
        <f t="shared" si="100"/>
        <v/>
      </c>
      <c r="AD73" s="452" t="str">
        <f t="shared" si="100"/>
        <v/>
      </c>
      <c r="AE73" s="452" t="str">
        <f t="shared" si="100"/>
        <v/>
      </c>
      <c r="AF73" s="453" t="str">
        <f t="shared" si="100"/>
        <v/>
      </c>
      <c r="AG73" s="451" t="str">
        <f t="shared" si="100"/>
        <v/>
      </c>
      <c r="AH73" s="452" t="str">
        <f t="shared" si="100"/>
        <v/>
      </c>
      <c r="AI73" s="452" t="str">
        <f t="shared" si="100"/>
        <v/>
      </c>
      <c r="AJ73" s="452" t="str">
        <f t="shared" si="100"/>
        <v/>
      </c>
      <c r="AK73" s="453" t="str">
        <f t="shared" si="100"/>
        <v/>
      </c>
      <c r="AL73" s="451" t="str">
        <f t="shared" si="100"/>
        <v/>
      </c>
      <c r="AM73" s="452" t="str">
        <f t="shared" si="100"/>
        <v/>
      </c>
      <c r="AN73" s="452" t="str">
        <f t="shared" si="100"/>
        <v/>
      </c>
      <c r="AO73" s="452" t="str">
        <f t="shared" si="100"/>
        <v/>
      </c>
      <c r="AP73" s="453" t="str">
        <f t="shared" si="100"/>
        <v/>
      </c>
      <c r="AQ73" s="451" t="str">
        <f t="shared" si="100"/>
        <v/>
      </c>
      <c r="AR73" s="452" t="str">
        <f t="shared" si="97"/>
        <v/>
      </c>
      <c r="AS73" s="452" t="str">
        <f t="shared" si="97"/>
        <v/>
      </c>
      <c r="AT73" s="452" t="str">
        <f t="shared" si="97"/>
        <v/>
      </c>
      <c r="AU73" s="453" t="str">
        <f t="shared" si="97"/>
        <v/>
      </c>
      <c r="AV73" s="451" t="str">
        <f t="shared" si="97"/>
        <v/>
      </c>
      <c r="AW73" s="452" t="str">
        <f t="shared" si="97"/>
        <v/>
      </c>
      <c r="AX73" s="452" t="str">
        <f t="shared" si="97"/>
        <v/>
      </c>
      <c r="AY73" s="452" t="str">
        <f t="shared" si="97"/>
        <v/>
      </c>
      <c r="AZ73" s="453" t="str">
        <f t="shared" si="97"/>
        <v/>
      </c>
      <c r="BA73" s="451" t="str">
        <f t="shared" si="104"/>
        <v/>
      </c>
      <c r="BB73" s="452" t="str">
        <f t="shared" si="104"/>
        <v/>
      </c>
      <c r="BC73" s="452" t="str">
        <f t="shared" si="104"/>
        <v/>
      </c>
      <c r="BD73" s="452" t="str">
        <f t="shared" si="104"/>
        <v/>
      </c>
      <c r="BE73" s="453" t="str">
        <f t="shared" si="104"/>
        <v/>
      </c>
      <c r="BF73" s="451" t="str">
        <f t="shared" si="104"/>
        <v/>
      </c>
      <c r="BG73" s="452" t="str">
        <f t="shared" si="104"/>
        <v/>
      </c>
      <c r="BH73" s="452" t="str">
        <f t="shared" si="104"/>
        <v/>
      </c>
      <c r="BI73" s="452" t="str">
        <f t="shared" si="104"/>
        <v/>
      </c>
      <c r="BJ73" s="453" t="str">
        <f t="shared" si="104"/>
        <v/>
      </c>
      <c r="BK73" s="451" t="str">
        <f t="shared" si="104"/>
        <v/>
      </c>
      <c r="BL73" s="452" t="str">
        <f t="shared" si="104"/>
        <v/>
      </c>
      <c r="BM73" s="452" t="str">
        <f t="shared" si="104"/>
        <v/>
      </c>
      <c r="BN73" s="452" t="str">
        <f t="shared" si="104"/>
        <v/>
      </c>
      <c r="BO73" s="453" t="str">
        <f t="shared" si="104"/>
        <v/>
      </c>
      <c r="BP73" s="451" t="str">
        <f t="shared" si="104"/>
        <v/>
      </c>
      <c r="BQ73" s="452" t="str">
        <f t="shared" si="92"/>
        <v/>
      </c>
      <c r="BR73" s="452" t="str">
        <f t="shared" si="92"/>
        <v/>
      </c>
      <c r="BS73" s="452" t="str">
        <f t="shared" si="92"/>
        <v/>
      </c>
      <c r="BT73" s="453" t="str">
        <f t="shared" si="92"/>
        <v/>
      </c>
      <c r="BU73" s="451" t="str">
        <f t="shared" si="92"/>
        <v/>
      </c>
      <c r="BV73" s="452" t="str">
        <f t="shared" si="92"/>
        <v/>
      </c>
      <c r="BW73" s="452" t="str">
        <f t="shared" si="92"/>
        <v/>
      </c>
      <c r="BX73" s="452" t="str">
        <f t="shared" si="92"/>
        <v/>
      </c>
      <c r="BY73" s="453" t="str">
        <f t="shared" ref="BY73:CN88" si="108">IF(AND(BY$2&gt;=$J73,BY$2&lt;=$K73),1,"")</f>
        <v/>
      </c>
      <c r="BZ73" s="451" t="str">
        <f t="shared" si="108"/>
        <v/>
      </c>
      <c r="CA73" s="452" t="str">
        <f t="shared" si="108"/>
        <v/>
      </c>
      <c r="CB73" s="452" t="str">
        <f t="shared" si="108"/>
        <v/>
      </c>
      <c r="CC73" s="452" t="str">
        <f t="shared" si="108"/>
        <v/>
      </c>
      <c r="CD73" s="453" t="str">
        <f t="shared" si="108"/>
        <v/>
      </c>
      <c r="CE73" s="451" t="str">
        <f t="shared" si="108"/>
        <v/>
      </c>
      <c r="CF73" s="452" t="str">
        <f t="shared" si="108"/>
        <v/>
      </c>
      <c r="CG73" s="452" t="str">
        <f t="shared" si="108"/>
        <v/>
      </c>
      <c r="CH73" s="452" t="str">
        <f t="shared" si="108"/>
        <v/>
      </c>
      <c r="CI73" s="453" t="str">
        <f t="shared" si="108"/>
        <v/>
      </c>
      <c r="CJ73" s="451" t="str">
        <f t="shared" si="108"/>
        <v/>
      </c>
      <c r="CK73" s="452" t="str">
        <f t="shared" si="108"/>
        <v/>
      </c>
      <c r="CL73" s="452" t="str">
        <f t="shared" si="108"/>
        <v/>
      </c>
      <c r="CM73" s="452" t="str">
        <f t="shared" si="108"/>
        <v/>
      </c>
      <c r="CN73" s="453" t="str">
        <f t="shared" si="108"/>
        <v/>
      </c>
      <c r="CO73" s="451" t="str">
        <f t="shared" si="80"/>
        <v/>
      </c>
      <c r="CP73" s="452" t="str">
        <f t="shared" si="80"/>
        <v/>
      </c>
      <c r="CQ73" s="452" t="str">
        <f t="shared" si="80"/>
        <v/>
      </c>
      <c r="CR73" s="452" t="str">
        <f t="shared" si="80"/>
        <v/>
      </c>
      <c r="CS73" s="453" t="str">
        <f t="shared" si="80"/>
        <v/>
      </c>
      <c r="CT73" s="451" t="str">
        <f t="shared" si="80"/>
        <v/>
      </c>
      <c r="CU73" s="452" t="str">
        <f t="shared" si="80"/>
        <v/>
      </c>
      <c r="CV73" s="452" t="str">
        <f t="shared" si="80"/>
        <v/>
      </c>
      <c r="CW73" s="452" t="str">
        <f t="shared" si="79"/>
        <v/>
      </c>
      <c r="CX73" s="453" t="str">
        <f t="shared" si="79"/>
        <v/>
      </c>
      <c r="CY73" s="451" t="str">
        <f t="shared" si="79"/>
        <v/>
      </c>
      <c r="CZ73" s="452" t="str">
        <f t="shared" si="79"/>
        <v/>
      </c>
      <c r="DA73" s="452" t="str">
        <f t="shared" si="79"/>
        <v/>
      </c>
      <c r="DB73" s="452" t="str">
        <f t="shared" si="79"/>
        <v/>
      </c>
      <c r="DC73" s="453" t="str">
        <f t="shared" si="79"/>
        <v/>
      </c>
      <c r="DD73" s="451" t="str">
        <f t="shared" si="79"/>
        <v/>
      </c>
      <c r="DE73" s="452" t="str">
        <f t="shared" si="84"/>
        <v/>
      </c>
      <c r="DF73" s="452" t="str">
        <f t="shared" si="84"/>
        <v/>
      </c>
      <c r="DG73" s="452" t="str">
        <f t="shared" si="84"/>
        <v/>
      </c>
      <c r="DH73" s="453" t="str">
        <f t="shared" si="84"/>
        <v/>
      </c>
      <c r="DI73" s="451" t="str">
        <f t="shared" si="84"/>
        <v/>
      </c>
      <c r="DJ73" s="452" t="str">
        <f t="shared" si="84"/>
        <v/>
      </c>
      <c r="DK73" s="452" t="str">
        <f t="shared" si="84"/>
        <v/>
      </c>
      <c r="DL73" s="452" t="str">
        <f t="shared" si="84"/>
        <v/>
      </c>
      <c r="DM73" s="453" t="str">
        <f t="shared" si="84"/>
        <v/>
      </c>
      <c r="DN73" s="451" t="str">
        <f t="shared" si="84"/>
        <v/>
      </c>
      <c r="DO73" s="452" t="str">
        <f t="shared" si="84"/>
        <v/>
      </c>
      <c r="DP73" s="452" t="str">
        <f t="shared" si="83"/>
        <v/>
      </c>
      <c r="DQ73" s="452" t="str">
        <f t="shared" si="83"/>
        <v/>
      </c>
      <c r="DR73" s="453" t="str">
        <f t="shared" si="83"/>
        <v/>
      </c>
      <c r="DS73" s="451" t="str">
        <f t="shared" si="83"/>
        <v/>
      </c>
      <c r="DT73" s="452" t="str">
        <f t="shared" si="83"/>
        <v/>
      </c>
      <c r="DU73" s="452" t="str">
        <f t="shared" si="83"/>
        <v/>
      </c>
      <c r="DV73" s="452" t="str">
        <f t="shared" si="83"/>
        <v/>
      </c>
      <c r="DW73" s="453" t="str">
        <f t="shared" si="83"/>
        <v/>
      </c>
      <c r="DX73" s="451" t="str">
        <f t="shared" si="83"/>
        <v/>
      </c>
      <c r="DY73" s="452" t="str">
        <f t="shared" si="83"/>
        <v/>
      </c>
      <c r="DZ73" s="452" t="str">
        <f t="shared" si="83"/>
        <v/>
      </c>
      <c r="EA73" s="452" t="str">
        <f t="shared" si="83"/>
        <v/>
      </c>
      <c r="EB73" s="453" t="str">
        <f t="shared" si="83"/>
        <v/>
      </c>
      <c r="EC73" s="451" t="str">
        <f t="shared" si="107"/>
        <v/>
      </c>
      <c r="ED73" s="452" t="str">
        <f t="shared" si="107"/>
        <v/>
      </c>
      <c r="EE73" s="452" t="str">
        <f t="shared" si="107"/>
        <v/>
      </c>
      <c r="EF73" s="452" t="str">
        <f t="shared" si="107"/>
        <v/>
      </c>
      <c r="EG73" s="453" t="str">
        <f t="shared" si="107"/>
        <v/>
      </c>
      <c r="EH73" s="451" t="str">
        <f t="shared" si="107"/>
        <v/>
      </c>
      <c r="EI73" s="452" t="str">
        <f t="shared" si="107"/>
        <v/>
      </c>
      <c r="EJ73" s="452" t="str">
        <f t="shared" si="107"/>
        <v/>
      </c>
      <c r="EK73" s="452" t="str">
        <f t="shared" si="107"/>
        <v/>
      </c>
      <c r="EL73" s="453" t="str">
        <f t="shared" si="107"/>
        <v/>
      </c>
      <c r="EM73" s="451" t="str">
        <f t="shared" si="107"/>
        <v/>
      </c>
      <c r="EN73" s="452" t="str">
        <f t="shared" si="107"/>
        <v/>
      </c>
      <c r="EO73" s="452" t="str">
        <f t="shared" si="107"/>
        <v/>
      </c>
      <c r="EP73" s="452" t="str">
        <f t="shared" si="107"/>
        <v/>
      </c>
      <c r="EQ73" s="453" t="str">
        <f t="shared" si="107"/>
        <v/>
      </c>
      <c r="ER73" s="451" t="str">
        <f t="shared" si="107"/>
        <v/>
      </c>
      <c r="ES73" s="452" t="str">
        <f t="shared" si="93"/>
        <v/>
      </c>
      <c r="ET73" s="452" t="str">
        <f t="shared" si="93"/>
        <v/>
      </c>
      <c r="EU73" s="452" t="str">
        <f t="shared" si="93"/>
        <v/>
      </c>
      <c r="EV73" s="453" t="str">
        <f t="shared" si="93"/>
        <v/>
      </c>
      <c r="EW73" s="451" t="str">
        <f t="shared" si="93"/>
        <v/>
      </c>
      <c r="EX73" s="452" t="str">
        <f t="shared" si="93"/>
        <v/>
      </c>
      <c r="EY73" s="452" t="str">
        <f t="shared" si="93"/>
        <v/>
      </c>
      <c r="EZ73" s="452" t="str">
        <f t="shared" si="93"/>
        <v/>
      </c>
      <c r="FA73" s="453" t="str">
        <f t="shared" si="93"/>
        <v/>
      </c>
      <c r="FB73" s="451" t="str">
        <f t="shared" si="93"/>
        <v/>
      </c>
      <c r="FC73" s="452" t="str">
        <f t="shared" si="93"/>
        <v/>
      </c>
      <c r="FD73" s="452" t="str">
        <f t="shared" si="93"/>
        <v/>
      </c>
      <c r="FE73" s="452" t="str">
        <f t="shared" si="93"/>
        <v/>
      </c>
      <c r="FF73" s="453" t="str">
        <f t="shared" si="93"/>
        <v/>
      </c>
      <c r="FG73" s="451" t="str">
        <f t="shared" si="93"/>
        <v/>
      </c>
      <c r="FH73" s="452" t="str">
        <f t="shared" si="93"/>
        <v/>
      </c>
      <c r="FI73" s="452" t="str">
        <f t="shared" si="85"/>
        <v/>
      </c>
      <c r="FJ73" s="452" t="str">
        <f t="shared" si="85"/>
        <v/>
      </c>
      <c r="FK73" s="453" t="str">
        <f t="shared" si="85"/>
        <v/>
      </c>
      <c r="FL73" s="451" t="str">
        <f t="shared" si="85"/>
        <v/>
      </c>
      <c r="FM73" s="452" t="str">
        <f t="shared" si="103"/>
        <v/>
      </c>
      <c r="FN73" s="452" t="str">
        <f t="shared" si="103"/>
        <v/>
      </c>
      <c r="FO73" s="452" t="str">
        <f t="shared" si="103"/>
        <v/>
      </c>
      <c r="FP73" s="453" t="str">
        <f t="shared" si="103"/>
        <v/>
      </c>
      <c r="FQ73" s="451" t="str">
        <f t="shared" si="103"/>
        <v/>
      </c>
      <c r="FR73" s="452" t="str">
        <f t="shared" si="103"/>
        <v/>
      </c>
      <c r="FS73" s="452" t="str">
        <f t="shared" si="103"/>
        <v/>
      </c>
      <c r="FT73" s="452" t="str">
        <f t="shared" si="103"/>
        <v/>
      </c>
      <c r="FU73" s="453" t="str">
        <f t="shared" si="103"/>
        <v/>
      </c>
      <c r="FV73" s="451" t="str">
        <f t="shared" si="103"/>
        <v/>
      </c>
      <c r="FW73" s="452" t="str">
        <f t="shared" si="103"/>
        <v/>
      </c>
      <c r="FX73" s="452" t="str">
        <f t="shared" si="103"/>
        <v/>
      </c>
      <c r="FY73" s="452" t="str">
        <f t="shared" si="103"/>
        <v/>
      </c>
      <c r="FZ73" s="453" t="str">
        <f t="shared" si="103"/>
        <v/>
      </c>
      <c r="GA73" s="451" t="str">
        <f t="shared" si="103"/>
        <v/>
      </c>
      <c r="GB73" s="452" t="str">
        <f t="shared" si="102"/>
        <v/>
      </c>
      <c r="GC73" s="452" t="str">
        <f t="shared" si="102"/>
        <v/>
      </c>
      <c r="GD73" s="452" t="str">
        <f t="shared" si="102"/>
        <v/>
      </c>
      <c r="GE73" s="453" t="str">
        <f t="shared" si="102"/>
        <v/>
      </c>
      <c r="GF73" s="451" t="str">
        <f t="shared" si="102"/>
        <v/>
      </c>
      <c r="GG73" s="452" t="str">
        <f t="shared" si="102"/>
        <v/>
      </c>
      <c r="GH73" s="452" t="str">
        <f t="shared" si="98"/>
        <v/>
      </c>
      <c r="GI73" s="452" t="str">
        <f t="shared" si="98"/>
        <v/>
      </c>
      <c r="GJ73" s="453" t="str">
        <f t="shared" si="98"/>
        <v/>
      </c>
      <c r="GK73" s="451" t="str">
        <f t="shared" si="98"/>
        <v/>
      </c>
      <c r="GL73" s="452" t="str">
        <f t="shared" si="98"/>
        <v/>
      </c>
      <c r="GM73" s="452" t="str">
        <f t="shared" si="98"/>
        <v/>
      </c>
      <c r="GN73" s="452" t="str">
        <f t="shared" si="98"/>
        <v/>
      </c>
      <c r="GO73" s="453" t="str">
        <f t="shared" si="98"/>
        <v/>
      </c>
      <c r="GP73" s="451" t="str">
        <f t="shared" si="96"/>
        <v/>
      </c>
      <c r="GQ73" s="452" t="str">
        <f t="shared" si="96"/>
        <v/>
      </c>
      <c r="GR73" s="452" t="str">
        <f t="shared" si="96"/>
        <v/>
      </c>
      <c r="GS73" s="452" t="str">
        <f t="shared" si="96"/>
        <v/>
      </c>
      <c r="GT73" s="453" t="str">
        <f t="shared" si="96"/>
        <v/>
      </c>
      <c r="GU73" s="451" t="str">
        <f t="shared" si="96"/>
        <v/>
      </c>
      <c r="GV73" s="452" t="str">
        <f t="shared" si="96"/>
        <v/>
      </c>
      <c r="GW73" s="452" t="str">
        <f t="shared" si="96"/>
        <v/>
      </c>
      <c r="GX73" s="452" t="str">
        <f t="shared" si="96"/>
        <v/>
      </c>
      <c r="GY73" s="453" t="str">
        <f t="shared" si="96"/>
        <v/>
      </c>
      <c r="GZ73" s="451" t="str">
        <f t="shared" si="96"/>
        <v/>
      </c>
      <c r="HA73" s="452" t="str">
        <f t="shared" si="86"/>
        <v/>
      </c>
      <c r="HB73" s="452" t="str">
        <f t="shared" si="86"/>
        <v/>
      </c>
      <c r="HC73" s="452" t="str">
        <f t="shared" si="86"/>
        <v/>
      </c>
      <c r="HD73" s="453" t="str">
        <f t="shared" si="86"/>
        <v/>
      </c>
      <c r="HE73" s="451" t="str">
        <f t="shared" si="86"/>
        <v/>
      </c>
      <c r="HF73" s="452" t="str">
        <f t="shared" si="86"/>
        <v/>
      </c>
      <c r="HG73" s="452" t="str">
        <f t="shared" si="94"/>
        <v/>
      </c>
      <c r="HH73" s="452" t="str">
        <f t="shared" si="94"/>
        <v/>
      </c>
      <c r="HI73" s="453" t="str">
        <f t="shared" si="94"/>
        <v/>
      </c>
      <c r="HJ73" s="451" t="str">
        <f t="shared" si="94"/>
        <v/>
      </c>
      <c r="HK73" s="452" t="str">
        <f t="shared" si="94"/>
        <v/>
      </c>
      <c r="HL73" s="452" t="str">
        <f t="shared" si="94"/>
        <v/>
      </c>
      <c r="HM73" s="452" t="str">
        <f t="shared" si="94"/>
        <v/>
      </c>
      <c r="HN73" s="453" t="str">
        <f t="shared" si="94"/>
        <v/>
      </c>
      <c r="HO73" s="451" t="str">
        <f t="shared" si="94"/>
        <v/>
      </c>
      <c r="HP73" s="452" t="str">
        <f t="shared" si="94"/>
        <v/>
      </c>
      <c r="HQ73" s="452" t="str">
        <f t="shared" si="94"/>
        <v/>
      </c>
      <c r="HR73" s="452" t="str">
        <f t="shared" si="94"/>
        <v/>
      </c>
      <c r="HS73" s="453" t="str">
        <f t="shared" si="94"/>
        <v/>
      </c>
      <c r="HT73" s="451" t="str">
        <f t="shared" si="94"/>
        <v/>
      </c>
      <c r="HU73" s="452" t="str">
        <f t="shared" si="94"/>
        <v/>
      </c>
      <c r="HV73" s="452" t="str">
        <f t="shared" si="94"/>
        <v/>
      </c>
      <c r="HW73" s="452" t="str">
        <f t="shared" si="87"/>
        <v/>
      </c>
      <c r="HX73" s="453" t="str">
        <f t="shared" si="87"/>
        <v/>
      </c>
      <c r="HY73" s="451" t="str">
        <f t="shared" si="87"/>
        <v/>
      </c>
      <c r="HZ73" s="452" t="str">
        <f t="shared" si="99"/>
        <v/>
      </c>
      <c r="IA73" s="452" t="str">
        <f t="shared" si="99"/>
        <v/>
      </c>
      <c r="IB73" s="452" t="str">
        <f t="shared" si="99"/>
        <v/>
      </c>
      <c r="IC73" s="453" t="str">
        <f t="shared" si="99"/>
        <v/>
      </c>
      <c r="ID73" s="451" t="str">
        <f t="shared" si="99"/>
        <v/>
      </c>
      <c r="IE73" s="452" t="str">
        <f t="shared" si="99"/>
        <v/>
      </c>
      <c r="IF73" s="452" t="str">
        <f t="shared" si="99"/>
        <v/>
      </c>
      <c r="IG73" s="452" t="str">
        <f t="shared" si="99"/>
        <v/>
      </c>
      <c r="IH73" s="453" t="str">
        <f t="shared" si="99"/>
        <v/>
      </c>
      <c r="II73" s="451" t="str">
        <f t="shared" si="99"/>
        <v/>
      </c>
      <c r="IJ73" s="452" t="str">
        <f t="shared" si="99"/>
        <v/>
      </c>
      <c r="IK73" s="452" t="str">
        <f t="shared" si="99"/>
        <v/>
      </c>
      <c r="IL73" s="452" t="str">
        <f t="shared" si="99"/>
        <v/>
      </c>
      <c r="IM73" s="453" t="str">
        <f t="shared" si="99"/>
        <v/>
      </c>
      <c r="IN73" s="451" t="str">
        <f t="shared" si="99"/>
        <v/>
      </c>
      <c r="IO73" s="452" t="str">
        <f t="shared" si="88"/>
        <v/>
      </c>
      <c r="IP73" s="452" t="str">
        <f t="shared" si="88"/>
        <v/>
      </c>
      <c r="IQ73" s="452" t="str">
        <f t="shared" si="88"/>
        <v/>
      </c>
      <c r="IR73" s="453" t="str">
        <f t="shared" si="88"/>
        <v/>
      </c>
    </row>
    <row r="74" spans="1:252" x14ac:dyDescent="0.2">
      <c r="A74" s="461">
        <v>7.4</v>
      </c>
      <c r="C74" s="447" t="s">
        <v>1354</v>
      </c>
      <c r="D74" s="447"/>
      <c r="E74" s="448"/>
      <c r="F74" s="448"/>
      <c r="G74" s="448"/>
      <c r="H74" s="448"/>
      <c r="I74" s="448"/>
      <c r="J74" s="449" t="str">
        <f t="shared" si="105"/>
        <v/>
      </c>
      <c r="K74" s="449" t="str">
        <f t="shared" si="106"/>
        <v/>
      </c>
      <c r="L74" s="450">
        <f t="shared" si="101"/>
        <v>0</v>
      </c>
      <c r="M74" s="451" t="str">
        <f t="shared" si="91"/>
        <v/>
      </c>
      <c r="N74" s="452" t="str">
        <f t="shared" si="91"/>
        <v/>
      </c>
      <c r="O74" s="452" t="str">
        <f t="shared" si="91"/>
        <v/>
      </c>
      <c r="P74" s="452" t="str">
        <f t="shared" si="91"/>
        <v/>
      </c>
      <c r="Q74" s="453" t="str">
        <f t="shared" si="91"/>
        <v/>
      </c>
      <c r="R74" s="451" t="str">
        <f t="shared" si="91"/>
        <v/>
      </c>
      <c r="S74" s="452" t="str">
        <f t="shared" si="91"/>
        <v/>
      </c>
      <c r="T74" s="452" t="str">
        <f t="shared" si="91"/>
        <v/>
      </c>
      <c r="U74" s="452" t="str">
        <f t="shared" si="91"/>
        <v/>
      </c>
      <c r="V74" s="453" t="str">
        <f t="shared" si="91"/>
        <v/>
      </c>
      <c r="W74" s="451" t="str">
        <f t="shared" si="91"/>
        <v/>
      </c>
      <c r="X74" s="452" t="str">
        <f t="shared" si="91"/>
        <v/>
      </c>
      <c r="Y74" s="452" t="str">
        <f t="shared" si="91"/>
        <v/>
      </c>
      <c r="Z74" s="452" t="str">
        <f t="shared" si="91"/>
        <v/>
      </c>
      <c r="AA74" s="453" t="str">
        <f t="shared" si="91"/>
        <v/>
      </c>
      <c r="AB74" s="451" t="str">
        <f t="shared" si="91"/>
        <v/>
      </c>
      <c r="AC74" s="452" t="str">
        <f t="shared" si="100"/>
        <v/>
      </c>
      <c r="AD74" s="452" t="str">
        <f t="shared" si="100"/>
        <v/>
      </c>
      <c r="AE74" s="452" t="str">
        <f t="shared" si="100"/>
        <v/>
      </c>
      <c r="AF74" s="453" t="str">
        <f t="shared" si="100"/>
        <v/>
      </c>
      <c r="AG74" s="451" t="str">
        <f t="shared" si="100"/>
        <v/>
      </c>
      <c r="AH74" s="452" t="str">
        <f t="shared" si="100"/>
        <v/>
      </c>
      <c r="AI74" s="452" t="str">
        <f t="shared" si="100"/>
        <v/>
      </c>
      <c r="AJ74" s="452" t="str">
        <f t="shared" si="100"/>
        <v/>
      </c>
      <c r="AK74" s="453" t="str">
        <f t="shared" si="100"/>
        <v/>
      </c>
      <c r="AL74" s="451" t="str">
        <f t="shared" si="100"/>
        <v/>
      </c>
      <c r="AM74" s="452" t="str">
        <f t="shared" si="100"/>
        <v/>
      </c>
      <c r="AN74" s="452" t="str">
        <f t="shared" si="100"/>
        <v/>
      </c>
      <c r="AO74" s="452" t="str">
        <f t="shared" si="100"/>
        <v/>
      </c>
      <c r="AP74" s="453" t="str">
        <f t="shared" si="100"/>
        <v/>
      </c>
      <c r="AQ74" s="451" t="str">
        <f t="shared" si="100"/>
        <v/>
      </c>
      <c r="AR74" s="452" t="str">
        <f t="shared" si="97"/>
        <v/>
      </c>
      <c r="AS74" s="452" t="str">
        <f t="shared" si="97"/>
        <v/>
      </c>
      <c r="AT74" s="452" t="str">
        <f t="shared" si="97"/>
        <v/>
      </c>
      <c r="AU74" s="453" t="str">
        <f t="shared" si="97"/>
        <v/>
      </c>
      <c r="AV74" s="451" t="str">
        <f t="shared" si="97"/>
        <v/>
      </c>
      <c r="AW74" s="452" t="str">
        <f t="shared" si="97"/>
        <v/>
      </c>
      <c r="AX74" s="452" t="str">
        <f t="shared" si="97"/>
        <v/>
      </c>
      <c r="AY74" s="452" t="str">
        <f t="shared" si="97"/>
        <v/>
      </c>
      <c r="AZ74" s="453" t="str">
        <f t="shared" si="97"/>
        <v/>
      </c>
      <c r="BA74" s="451" t="str">
        <f t="shared" si="104"/>
        <v/>
      </c>
      <c r="BB74" s="452" t="str">
        <f t="shared" si="104"/>
        <v/>
      </c>
      <c r="BC74" s="452" t="str">
        <f t="shared" si="104"/>
        <v/>
      </c>
      <c r="BD74" s="452" t="str">
        <f t="shared" si="104"/>
        <v/>
      </c>
      <c r="BE74" s="453" t="str">
        <f t="shared" si="104"/>
        <v/>
      </c>
      <c r="BF74" s="451" t="str">
        <f t="shared" si="104"/>
        <v/>
      </c>
      <c r="BG74" s="452" t="str">
        <f t="shared" si="104"/>
        <v/>
      </c>
      <c r="BH74" s="452" t="str">
        <f t="shared" si="104"/>
        <v/>
      </c>
      <c r="BI74" s="452" t="str">
        <f t="shared" si="104"/>
        <v/>
      </c>
      <c r="BJ74" s="453" t="str">
        <f t="shared" si="104"/>
        <v/>
      </c>
      <c r="BK74" s="451" t="str">
        <f t="shared" si="104"/>
        <v/>
      </c>
      <c r="BL74" s="452" t="str">
        <f t="shared" si="104"/>
        <v/>
      </c>
      <c r="BM74" s="452" t="str">
        <f t="shared" si="104"/>
        <v/>
      </c>
      <c r="BN74" s="452" t="str">
        <f t="shared" si="104"/>
        <v/>
      </c>
      <c r="BO74" s="453" t="str">
        <f t="shared" si="104"/>
        <v/>
      </c>
      <c r="BP74" s="451" t="str">
        <f t="shared" si="104"/>
        <v/>
      </c>
      <c r="BQ74" s="452" t="str">
        <f t="shared" si="92"/>
        <v/>
      </c>
      <c r="BR74" s="452" t="str">
        <f t="shared" si="92"/>
        <v/>
      </c>
      <c r="BS74" s="452" t="str">
        <f t="shared" si="92"/>
        <v/>
      </c>
      <c r="BT74" s="453" t="str">
        <f t="shared" si="92"/>
        <v/>
      </c>
      <c r="BU74" s="451" t="str">
        <f t="shared" si="92"/>
        <v/>
      </c>
      <c r="BV74" s="452" t="str">
        <f t="shared" si="92"/>
        <v/>
      </c>
      <c r="BW74" s="452" t="str">
        <f t="shared" si="92"/>
        <v/>
      </c>
      <c r="BX74" s="452" t="str">
        <f t="shared" si="92"/>
        <v/>
      </c>
      <c r="BY74" s="453" t="str">
        <f t="shared" si="108"/>
        <v/>
      </c>
      <c r="BZ74" s="451" t="str">
        <f t="shared" si="108"/>
        <v/>
      </c>
      <c r="CA74" s="452" t="str">
        <f t="shared" si="108"/>
        <v/>
      </c>
      <c r="CB74" s="452" t="str">
        <f t="shared" si="108"/>
        <v/>
      </c>
      <c r="CC74" s="452" t="str">
        <f t="shared" si="108"/>
        <v/>
      </c>
      <c r="CD74" s="453" t="str">
        <f t="shared" si="108"/>
        <v/>
      </c>
      <c r="CE74" s="451" t="str">
        <f t="shared" si="108"/>
        <v/>
      </c>
      <c r="CF74" s="452" t="str">
        <f t="shared" si="108"/>
        <v/>
      </c>
      <c r="CG74" s="452" t="str">
        <f t="shared" si="108"/>
        <v/>
      </c>
      <c r="CH74" s="452" t="str">
        <f t="shared" si="108"/>
        <v/>
      </c>
      <c r="CI74" s="453" t="str">
        <f t="shared" si="108"/>
        <v/>
      </c>
      <c r="CJ74" s="451" t="str">
        <f t="shared" si="108"/>
        <v/>
      </c>
      <c r="CK74" s="452" t="str">
        <f t="shared" si="108"/>
        <v/>
      </c>
      <c r="CL74" s="452" t="str">
        <f t="shared" si="108"/>
        <v/>
      </c>
      <c r="CM74" s="452" t="str">
        <f t="shared" si="108"/>
        <v/>
      </c>
      <c r="CN74" s="453" t="str">
        <f t="shared" si="108"/>
        <v/>
      </c>
      <c r="CO74" s="451" t="str">
        <f t="shared" si="80"/>
        <v/>
      </c>
      <c r="CP74" s="452" t="str">
        <f t="shared" si="80"/>
        <v/>
      </c>
      <c r="CQ74" s="452" t="str">
        <f t="shared" si="80"/>
        <v/>
      </c>
      <c r="CR74" s="452" t="str">
        <f t="shared" si="80"/>
        <v/>
      </c>
      <c r="CS74" s="453" t="str">
        <f t="shared" si="80"/>
        <v/>
      </c>
      <c r="CT74" s="451" t="str">
        <f t="shared" si="80"/>
        <v/>
      </c>
      <c r="CU74" s="452" t="str">
        <f t="shared" si="80"/>
        <v/>
      </c>
      <c r="CV74" s="452" t="str">
        <f t="shared" si="80"/>
        <v/>
      </c>
      <c r="CW74" s="452" t="str">
        <f t="shared" ref="CW74:DL89" si="109">IF(AND(CW$2&gt;=$J74,CW$2&lt;=$K74),1,"")</f>
        <v/>
      </c>
      <c r="CX74" s="453" t="str">
        <f t="shared" si="109"/>
        <v/>
      </c>
      <c r="CY74" s="451" t="str">
        <f t="shared" si="109"/>
        <v/>
      </c>
      <c r="CZ74" s="452" t="str">
        <f t="shared" si="109"/>
        <v/>
      </c>
      <c r="DA74" s="452" t="str">
        <f t="shared" si="109"/>
        <v/>
      </c>
      <c r="DB74" s="452" t="str">
        <f t="shared" si="109"/>
        <v/>
      </c>
      <c r="DC74" s="453" t="str">
        <f t="shared" si="109"/>
        <v/>
      </c>
      <c r="DD74" s="451" t="str">
        <f t="shared" si="109"/>
        <v/>
      </c>
      <c r="DE74" s="452" t="str">
        <f t="shared" si="109"/>
        <v/>
      </c>
      <c r="DF74" s="452" t="str">
        <f t="shared" si="109"/>
        <v/>
      </c>
      <c r="DG74" s="452" t="str">
        <f t="shared" si="109"/>
        <v/>
      </c>
      <c r="DH74" s="453" t="str">
        <f t="shared" si="109"/>
        <v/>
      </c>
      <c r="DI74" s="451" t="str">
        <f t="shared" si="109"/>
        <v/>
      </c>
      <c r="DJ74" s="452" t="str">
        <f t="shared" si="109"/>
        <v/>
      </c>
      <c r="DK74" s="452" t="str">
        <f t="shared" si="109"/>
        <v/>
      </c>
      <c r="DL74" s="452" t="str">
        <f t="shared" si="109"/>
        <v/>
      </c>
      <c r="DM74" s="453" t="str">
        <f t="shared" si="84"/>
        <v/>
      </c>
      <c r="DN74" s="451" t="str">
        <f t="shared" si="84"/>
        <v/>
      </c>
      <c r="DO74" s="452" t="str">
        <f t="shared" si="84"/>
        <v/>
      </c>
      <c r="DP74" s="452" t="str">
        <f t="shared" si="83"/>
        <v/>
      </c>
      <c r="DQ74" s="452" t="str">
        <f t="shared" si="83"/>
        <v/>
      </c>
      <c r="DR74" s="453" t="str">
        <f t="shared" si="83"/>
        <v/>
      </c>
      <c r="DS74" s="451" t="str">
        <f t="shared" si="83"/>
        <v/>
      </c>
      <c r="DT74" s="452" t="str">
        <f t="shared" si="83"/>
        <v/>
      </c>
      <c r="DU74" s="452" t="str">
        <f t="shared" si="83"/>
        <v/>
      </c>
      <c r="DV74" s="452" t="str">
        <f t="shared" si="83"/>
        <v/>
      </c>
      <c r="DW74" s="453" t="str">
        <f t="shared" si="83"/>
        <v/>
      </c>
      <c r="DX74" s="451" t="str">
        <f t="shared" si="83"/>
        <v/>
      </c>
      <c r="DY74" s="452" t="str">
        <f t="shared" si="83"/>
        <v/>
      </c>
      <c r="DZ74" s="452" t="str">
        <f t="shared" si="83"/>
        <v/>
      </c>
      <c r="EA74" s="452" t="str">
        <f t="shared" si="83"/>
        <v/>
      </c>
      <c r="EB74" s="453" t="str">
        <f t="shared" si="83"/>
        <v/>
      </c>
      <c r="EC74" s="451" t="str">
        <f t="shared" si="107"/>
        <v/>
      </c>
      <c r="ED74" s="452" t="str">
        <f t="shared" si="107"/>
        <v/>
      </c>
      <c r="EE74" s="452" t="str">
        <f t="shared" si="107"/>
        <v/>
      </c>
      <c r="EF74" s="452" t="str">
        <f t="shared" si="107"/>
        <v/>
      </c>
      <c r="EG74" s="453" t="str">
        <f t="shared" si="107"/>
        <v/>
      </c>
      <c r="EH74" s="451" t="str">
        <f t="shared" si="107"/>
        <v/>
      </c>
      <c r="EI74" s="452" t="str">
        <f t="shared" si="107"/>
        <v/>
      </c>
      <c r="EJ74" s="452" t="str">
        <f t="shared" si="107"/>
        <v/>
      </c>
      <c r="EK74" s="452" t="str">
        <f t="shared" si="107"/>
        <v/>
      </c>
      <c r="EL74" s="453" t="str">
        <f t="shared" si="107"/>
        <v/>
      </c>
      <c r="EM74" s="451" t="str">
        <f t="shared" si="107"/>
        <v/>
      </c>
      <c r="EN74" s="452" t="str">
        <f t="shared" si="107"/>
        <v/>
      </c>
      <c r="EO74" s="452" t="str">
        <f t="shared" si="107"/>
        <v/>
      </c>
      <c r="EP74" s="452" t="str">
        <f t="shared" si="107"/>
        <v/>
      </c>
      <c r="EQ74" s="453" t="str">
        <f t="shared" si="107"/>
        <v/>
      </c>
      <c r="ER74" s="451" t="str">
        <f t="shared" si="107"/>
        <v/>
      </c>
      <c r="ES74" s="452" t="str">
        <f t="shared" si="93"/>
        <v/>
      </c>
      <c r="ET74" s="452" t="str">
        <f t="shared" si="93"/>
        <v/>
      </c>
      <c r="EU74" s="452" t="str">
        <f t="shared" si="93"/>
        <v/>
      </c>
      <c r="EV74" s="453" t="str">
        <f t="shared" si="93"/>
        <v/>
      </c>
      <c r="EW74" s="451" t="str">
        <f t="shared" si="93"/>
        <v/>
      </c>
      <c r="EX74" s="452" t="str">
        <f t="shared" si="93"/>
        <v/>
      </c>
      <c r="EY74" s="452" t="str">
        <f t="shared" si="93"/>
        <v/>
      </c>
      <c r="EZ74" s="452" t="str">
        <f t="shared" si="93"/>
        <v/>
      </c>
      <c r="FA74" s="453" t="str">
        <f t="shared" si="93"/>
        <v/>
      </c>
      <c r="FB74" s="451" t="str">
        <f t="shared" si="93"/>
        <v/>
      </c>
      <c r="FC74" s="452" t="str">
        <f t="shared" si="93"/>
        <v/>
      </c>
      <c r="FD74" s="452" t="str">
        <f t="shared" si="93"/>
        <v/>
      </c>
      <c r="FE74" s="452" t="str">
        <f t="shared" si="93"/>
        <v/>
      </c>
      <c r="FF74" s="453" t="str">
        <f t="shared" si="93"/>
        <v/>
      </c>
      <c r="FG74" s="451" t="str">
        <f t="shared" si="93"/>
        <v/>
      </c>
      <c r="FH74" s="452" t="str">
        <f t="shared" si="93"/>
        <v/>
      </c>
      <c r="FI74" s="452" t="str">
        <f t="shared" si="85"/>
        <v/>
      </c>
      <c r="FJ74" s="452" t="str">
        <f t="shared" si="85"/>
        <v/>
      </c>
      <c r="FK74" s="453" t="str">
        <f t="shared" si="85"/>
        <v/>
      </c>
      <c r="FL74" s="451" t="str">
        <f t="shared" si="85"/>
        <v/>
      </c>
      <c r="FM74" s="452" t="str">
        <f t="shared" si="103"/>
        <v/>
      </c>
      <c r="FN74" s="452" t="str">
        <f t="shared" si="103"/>
        <v/>
      </c>
      <c r="FO74" s="452" t="str">
        <f t="shared" si="103"/>
        <v/>
      </c>
      <c r="FP74" s="453" t="str">
        <f t="shared" si="103"/>
        <v/>
      </c>
      <c r="FQ74" s="451" t="str">
        <f t="shared" si="103"/>
        <v/>
      </c>
      <c r="FR74" s="452" t="str">
        <f t="shared" si="103"/>
        <v/>
      </c>
      <c r="FS74" s="452" t="str">
        <f t="shared" si="103"/>
        <v/>
      </c>
      <c r="FT74" s="452" t="str">
        <f t="shared" si="103"/>
        <v/>
      </c>
      <c r="FU74" s="453" t="str">
        <f t="shared" si="103"/>
        <v/>
      </c>
      <c r="FV74" s="451" t="str">
        <f t="shared" si="103"/>
        <v/>
      </c>
      <c r="FW74" s="452" t="str">
        <f t="shared" si="103"/>
        <v/>
      </c>
      <c r="FX74" s="452" t="str">
        <f t="shared" si="103"/>
        <v/>
      </c>
      <c r="FY74" s="452" t="str">
        <f t="shared" si="103"/>
        <v/>
      </c>
      <c r="FZ74" s="453" t="str">
        <f t="shared" si="103"/>
        <v/>
      </c>
      <c r="GA74" s="451" t="str">
        <f t="shared" si="103"/>
        <v/>
      </c>
      <c r="GB74" s="452" t="str">
        <f t="shared" si="102"/>
        <v/>
      </c>
      <c r="GC74" s="452" t="str">
        <f t="shared" si="102"/>
        <v/>
      </c>
      <c r="GD74" s="452" t="str">
        <f t="shared" si="102"/>
        <v/>
      </c>
      <c r="GE74" s="453" t="str">
        <f t="shared" si="102"/>
        <v/>
      </c>
      <c r="GF74" s="451" t="str">
        <f t="shared" si="102"/>
        <v/>
      </c>
      <c r="GG74" s="452" t="str">
        <f t="shared" si="102"/>
        <v/>
      </c>
      <c r="GH74" s="452" t="str">
        <f t="shared" si="98"/>
        <v/>
      </c>
      <c r="GI74" s="452" t="str">
        <f t="shared" si="98"/>
        <v/>
      </c>
      <c r="GJ74" s="453" t="str">
        <f t="shared" si="98"/>
        <v/>
      </c>
      <c r="GK74" s="451" t="str">
        <f t="shared" si="98"/>
        <v/>
      </c>
      <c r="GL74" s="452" t="str">
        <f t="shared" si="98"/>
        <v/>
      </c>
      <c r="GM74" s="452" t="str">
        <f t="shared" si="98"/>
        <v/>
      </c>
      <c r="GN74" s="452" t="str">
        <f t="shared" si="98"/>
        <v/>
      </c>
      <c r="GO74" s="453" t="str">
        <f t="shared" si="98"/>
        <v/>
      </c>
      <c r="GP74" s="451" t="str">
        <f t="shared" si="96"/>
        <v/>
      </c>
      <c r="GQ74" s="452" t="str">
        <f t="shared" si="96"/>
        <v/>
      </c>
      <c r="GR74" s="452" t="str">
        <f t="shared" si="96"/>
        <v/>
      </c>
      <c r="GS74" s="452" t="str">
        <f t="shared" si="96"/>
        <v/>
      </c>
      <c r="GT74" s="453" t="str">
        <f t="shared" si="96"/>
        <v/>
      </c>
      <c r="GU74" s="451" t="str">
        <f t="shared" si="96"/>
        <v/>
      </c>
      <c r="GV74" s="452" t="str">
        <f t="shared" si="96"/>
        <v/>
      </c>
      <c r="GW74" s="452" t="str">
        <f t="shared" si="96"/>
        <v/>
      </c>
      <c r="GX74" s="452" t="str">
        <f t="shared" si="96"/>
        <v/>
      </c>
      <c r="GY74" s="453" t="str">
        <f t="shared" si="96"/>
        <v/>
      </c>
      <c r="GZ74" s="451" t="str">
        <f t="shared" si="96"/>
        <v/>
      </c>
      <c r="HA74" s="452" t="str">
        <f t="shared" si="86"/>
        <v/>
      </c>
      <c r="HB74" s="452" t="str">
        <f t="shared" si="86"/>
        <v/>
      </c>
      <c r="HC74" s="452" t="str">
        <f t="shared" si="86"/>
        <v/>
      </c>
      <c r="HD74" s="453" t="str">
        <f t="shared" si="86"/>
        <v/>
      </c>
      <c r="HE74" s="451" t="str">
        <f t="shared" si="86"/>
        <v/>
      </c>
      <c r="HF74" s="452" t="str">
        <f t="shared" si="86"/>
        <v/>
      </c>
      <c r="HG74" s="452" t="str">
        <f t="shared" si="94"/>
        <v/>
      </c>
      <c r="HH74" s="452" t="str">
        <f t="shared" si="94"/>
        <v/>
      </c>
      <c r="HI74" s="453" t="str">
        <f t="shared" si="94"/>
        <v/>
      </c>
      <c r="HJ74" s="451" t="str">
        <f t="shared" si="94"/>
        <v/>
      </c>
      <c r="HK74" s="452" t="str">
        <f t="shared" si="94"/>
        <v/>
      </c>
      <c r="HL74" s="452" t="str">
        <f t="shared" si="94"/>
        <v/>
      </c>
      <c r="HM74" s="452" t="str">
        <f t="shared" si="94"/>
        <v/>
      </c>
      <c r="HN74" s="453" t="str">
        <f t="shared" si="94"/>
        <v/>
      </c>
      <c r="HO74" s="451" t="str">
        <f t="shared" si="94"/>
        <v/>
      </c>
      <c r="HP74" s="452" t="str">
        <f t="shared" si="94"/>
        <v/>
      </c>
      <c r="HQ74" s="452" t="str">
        <f t="shared" si="94"/>
        <v/>
      </c>
      <c r="HR74" s="452" t="str">
        <f t="shared" si="94"/>
        <v/>
      </c>
      <c r="HS74" s="453" t="str">
        <f t="shared" si="94"/>
        <v/>
      </c>
      <c r="HT74" s="451" t="str">
        <f t="shared" si="94"/>
        <v/>
      </c>
      <c r="HU74" s="452" t="str">
        <f t="shared" si="94"/>
        <v/>
      </c>
      <c r="HV74" s="452" t="str">
        <f t="shared" si="94"/>
        <v/>
      </c>
      <c r="HW74" s="452" t="str">
        <f t="shared" si="87"/>
        <v/>
      </c>
      <c r="HX74" s="453" t="str">
        <f t="shared" si="87"/>
        <v/>
      </c>
      <c r="HY74" s="451" t="str">
        <f t="shared" si="87"/>
        <v/>
      </c>
      <c r="HZ74" s="452" t="str">
        <f t="shared" si="99"/>
        <v/>
      </c>
      <c r="IA74" s="452" t="str">
        <f t="shared" si="99"/>
        <v/>
      </c>
      <c r="IB74" s="452" t="str">
        <f t="shared" si="99"/>
        <v/>
      </c>
      <c r="IC74" s="453" t="str">
        <f t="shared" si="99"/>
        <v/>
      </c>
      <c r="ID74" s="451" t="str">
        <f t="shared" si="99"/>
        <v/>
      </c>
      <c r="IE74" s="452" t="str">
        <f t="shared" si="99"/>
        <v/>
      </c>
      <c r="IF74" s="452" t="str">
        <f t="shared" si="99"/>
        <v/>
      </c>
      <c r="IG74" s="452" t="str">
        <f t="shared" si="99"/>
        <v/>
      </c>
      <c r="IH74" s="453" t="str">
        <f t="shared" si="99"/>
        <v/>
      </c>
      <c r="II74" s="451" t="str">
        <f t="shared" si="99"/>
        <v/>
      </c>
      <c r="IJ74" s="452" t="str">
        <f t="shared" si="99"/>
        <v/>
      </c>
      <c r="IK74" s="452" t="str">
        <f t="shared" si="99"/>
        <v/>
      </c>
      <c r="IL74" s="452" t="str">
        <f t="shared" si="99"/>
        <v/>
      </c>
      <c r="IM74" s="453" t="str">
        <f t="shared" si="99"/>
        <v/>
      </c>
      <c r="IN74" s="451" t="str">
        <f t="shared" si="99"/>
        <v/>
      </c>
      <c r="IO74" s="452" t="str">
        <f t="shared" si="88"/>
        <v/>
      </c>
      <c r="IP74" s="452" t="str">
        <f t="shared" si="88"/>
        <v/>
      </c>
      <c r="IQ74" s="452" t="str">
        <f t="shared" si="88"/>
        <v/>
      </c>
      <c r="IR74" s="453" t="str">
        <f t="shared" si="88"/>
        <v/>
      </c>
    </row>
    <row r="75" spans="1:252" x14ac:dyDescent="0.2">
      <c r="A75" s="461">
        <v>7.5</v>
      </c>
      <c r="C75" s="447" t="s">
        <v>1355</v>
      </c>
      <c r="D75" s="447"/>
      <c r="E75" s="448"/>
      <c r="F75" s="448"/>
      <c r="G75" s="448"/>
      <c r="H75" s="448"/>
      <c r="I75" s="448"/>
      <c r="J75" s="449" t="str">
        <f t="shared" si="105"/>
        <v/>
      </c>
      <c r="K75" s="449" t="str">
        <f t="shared" si="106"/>
        <v/>
      </c>
      <c r="L75" s="450">
        <f t="shared" si="101"/>
        <v>0</v>
      </c>
      <c r="M75" s="451" t="str">
        <f t="shared" si="91"/>
        <v/>
      </c>
      <c r="N75" s="452" t="str">
        <f t="shared" si="91"/>
        <v/>
      </c>
      <c r="O75" s="452" t="str">
        <f t="shared" si="91"/>
        <v/>
      </c>
      <c r="P75" s="452" t="str">
        <f t="shared" si="91"/>
        <v/>
      </c>
      <c r="Q75" s="453" t="str">
        <f t="shared" si="91"/>
        <v/>
      </c>
      <c r="R75" s="451" t="str">
        <f t="shared" si="91"/>
        <v/>
      </c>
      <c r="S75" s="452" t="str">
        <f t="shared" si="91"/>
        <v/>
      </c>
      <c r="T75" s="452" t="str">
        <f t="shared" si="91"/>
        <v/>
      </c>
      <c r="U75" s="452" t="str">
        <f t="shared" si="91"/>
        <v/>
      </c>
      <c r="V75" s="453" t="str">
        <f t="shared" si="91"/>
        <v/>
      </c>
      <c r="W75" s="451" t="str">
        <f t="shared" si="91"/>
        <v/>
      </c>
      <c r="X75" s="452" t="str">
        <f t="shared" si="91"/>
        <v/>
      </c>
      <c r="Y75" s="452" t="str">
        <f t="shared" si="91"/>
        <v/>
      </c>
      <c r="Z75" s="452" t="str">
        <f t="shared" si="91"/>
        <v/>
      </c>
      <c r="AA75" s="453" t="str">
        <f t="shared" si="91"/>
        <v/>
      </c>
      <c r="AB75" s="451" t="str">
        <f t="shared" si="91"/>
        <v/>
      </c>
      <c r="AC75" s="452" t="str">
        <f t="shared" si="100"/>
        <v/>
      </c>
      <c r="AD75" s="452" t="str">
        <f t="shared" si="100"/>
        <v/>
      </c>
      <c r="AE75" s="452" t="str">
        <f t="shared" si="100"/>
        <v/>
      </c>
      <c r="AF75" s="453" t="str">
        <f t="shared" si="100"/>
        <v/>
      </c>
      <c r="AG75" s="451" t="str">
        <f t="shared" si="100"/>
        <v/>
      </c>
      <c r="AH75" s="452" t="str">
        <f t="shared" si="100"/>
        <v/>
      </c>
      <c r="AI75" s="452" t="str">
        <f t="shared" si="100"/>
        <v/>
      </c>
      <c r="AJ75" s="452" t="str">
        <f t="shared" si="100"/>
        <v/>
      </c>
      <c r="AK75" s="453" t="str">
        <f t="shared" si="100"/>
        <v/>
      </c>
      <c r="AL75" s="451" t="str">
        <f t="shared" si="100"/>
        <v/>
      </c>
      <c r="AM75" s="452" t="str">
        <f t="shared" si="100"/>
        <v/>
      </c>
      <c r="AN75" s="452" t="str">
        <f t="shared" si="100"/>
        <v/>
      </c>
      <c r="AO75" s="452" t="str">
        <f t="shared" si="100"/>
        <v/>
      </c>
      <c r="AP75" s="453" t="str">
        <f t="shared" si="100"/>
        <v/>
      </c>
      <c r="AQ75" s="451" t="str">
        <f t="shared" si="100"/>
        <v/>
      </c>
      <c r="AR75" s="452" t="str">
        <f t="shared" si="97"/>
        <v/>
      </c>
      <c r="AS75" s="452" t="str">
        <f t="shared" si="97"/>
        <v/>
      </c>
      <c r="AT75" s="452" t="str">
        <f t="shared" si="97"/>
        <v/>
      </c>
      <c r="AU75" s="453" t="str">
        <f t="shared" si="97"/>
        <v/>
      </c>
      <c r="AV75" s="451" t="str">
        <f t="shared" si="97"/>
        <v/>
      </c>
      <c r="AW75" s="452" t="str">
        <f t="shared" si="97"/>
        <v/>
      </c>
      <c r="AX75" s="452" t="str">
        <f t="shared" si="97"/>
        <v/>
      </c>
      <c r="AY75" s="452" t="str">
        <f t="shared" si="97"/>
        <v/>
      </c>
      <c r="AZ75" s="453" t="str">
        <f t="shared" si="97"/>
        <v/>
      </c>
      <c r="BA75" s="451" t="str">
        <f t="shared" si="104"/>
        <v/>
      </c>
      <c r="BB75" s="452" t="str">
        <f t="shared" si="104"/>
        <v/>
      </c>
      <c r="BC75" s="452" t="str">
        <f t="shared" si="104"/>
        <v/>
      </c>
      <c r="BD75" s="452" t="str">
        <f t="shared" si="104"/>
        <v/>
      </c>
      <c r="BE75" s="453" t="str">
        <f t="shared" si="104"/>
        <v/>
      </c>
      <c r="BF75" s="451" t="str">
        <f t="shared" si="104"/>
        <v/>
      </c>
      <c r="BG75" s="452" t="str">
        <f t="shared" si="104"/>
        <v/>
      </c>
      <c r="BH75" s="452" t="str">
        <f t="shared" si="104"/>
        <v/>
      </c>
      <c r="BI75" s="452" t="str">
        <f t="shared" si="104"/>
        <v/>
      </c>
      <c r="BJ75" s="453" t="str">
        <f t="shared" si="104"/>
        <v/>
      </c>
      <c r="BK75" s="451" t="str">
        <f t="shared" si="104"/>
        <v/>
      </c>
      <c r="BL75" s="452" t="str">
        <f t="shared" si="104"/>
        <v/>
      </c>
      <c r="BM75" s="452" t="str">
        <f t="shared" si="104"/>
        <v/>
      </c>
      <c r="BN75" s="452" t="str">
        <f t="shared" si="104"/>
        <v/>
      </c>
      <c r="BO75" s="453" t="str">
        <f t="shared" si="104"/>
        <v/>
      </c>
      <c r="BP75" s="451" t="str">
        <f t="shared" si="104"/>
        <v/>
      </c>
      <c r="BQ75" s="452" t="str">
        <f t="shared" si="92"/>
        <v/>
      </c>
      <c r="BR75" s="452" t="str">
        <f t="shared" si="92"/>
        <v/>
      </c>
      <c r="BS75" s="452" t="str">
        <f t="shared" si="92"/>
        <v/>
      </c>
      <c r="BT75" s="453" t="str">
        <f t="shared" si="92"/>
        <v/>
      </c>
      <c r="BU75" s="451" t="str">
        <f t="shared" si="92"/>
        <v/>
      </c>
      <c r="BV75" s="452" t="str">
        <f t="shared" si="92"/>
        <v/>
      </c>
      <c r="BW75" s="452" t="str">
        <f t="shared" si="92"/>
        <v/>
      </c>
      <c r="BX75" s="452" t="str">
        <f t="shared" si="92"/>
        <v/>
      </c>
      <c r="BY75" s="453" t="str">
        <f t="shared" si="108"/>
        <v/>
      </c>
      <c r="BZ75" s="451" t="str">
        <f t="shared" si="108"/>
        <v/>
      </c>
      <c r="CA75" s="452" t="str">
        <f t="shared" si="108"/>
        <v/>
      </c>
      <c r="CB75" s="452" t="str">
        <f t="shared" si="108"/>
        <v/>
      </c>
      <c r="CC75" s="452" t="str">
        <f t="shared" si="108"/>
        <v/>
      </c>
      <c r="CD75" s="453" t="str">
        <f t="shared" si="108"/>
        <v/>
      </c>
      <c r="CE75" s="451" t="str">
        <f t="shared" si="108"/>
        <v/>
      </c>
      <c r="CF75" s="452" t="str">
        <f t="shared" si="108"/>
        <v/>
      </c>
      <c r="CG75" s="452" t="str">
        <f t="shared" si="108"/>
        <v/>
      </c>
      <c r="CH75" s="452" t="str">
        <f t="shared" si="108"/>
        <v/>
      </c>
      <c r="CI75" s="453" t="str">
        <f t="shared" si="108"/>
        <v/>
      </c>
      <c r="CJ75" s="451" t="str">
        <f t="shared" si="108"/>
        <v/>
      </c>
      <c r="CK75" s="452" t="str">
        <f t="shared" si="108"/>
        <v/>
      </c>
      <c r="CL75" s="452" t="str">
        <f t="shared" si="108"/>
        <v/>
      </c>
      <c r="CM75" s="452" t="str">
        <f t="shared" si="108"/>
        <v/>
      </c>
      <c r="CN75" s="453" t="str">
        <f t="shared" si="108"/>
        <v/>
      </c>
      <c r="CO75" s="451" t="str">
        <f t="shared" si="80"/>
        <v/>
      </c>
      <c r="CP75" s="452" t="str">
        <f t="shared" si="80"/>
        <v/>
      </c>
      <c r="CQ75" s="452" t="str">
        <f t="shared" si="80"/>
        <v/>
      </c>
      <c r="CR75" s="452" t="str">
        <f t="shared" si="80"/>
        <v/>
      </c>
      <c r="CS75" s="453" t="str">
        <f t="shared" si="80"/>
        <v/>
      </c>
      <c r="CT75" s="451" t="str">
        <f t="shared" si="80"/>
        <v/>
      </c>
      <c r="CU75" s="452" t="str">
        <f t="shared" si="80"/>
        <v/>
      </c>
      <c r="CV75" s="452" t="str">
        <f t="shared" si="80"/>
        <v/>
      </c>
      <c r="CW75" s="452" t="str">
        <f t="shared" si="109"/>
        <v/>
      </c>
      <c r="CX75" s="453" t="str">
        <f t="shared" si="109"/>
        <v/>
      </c>
      <c r="CY75" s="451" t="str">
        <f t="shared" si="109"/>
        <v/>
      </c>
      <c r="CZ75" s="452" t="str">
        <f t="shared" si="109"/>
        <v/>
      </c>
      <c r="DA75" s="452" t="str">
        <f t="shared" si="109"/>
        <v/>
      </c>
      <c r="DB75" s="452" t="str">
        <f t="shared" si="109"/>
        <v/>
      </c>
      <c r="DC75" s="453" t="str">
        <f t="shared" si="109"/>
        <v/>
      </c>
      <c r="DD75" s="451" t="str">
        <f t="shared" si="109"/>
        <v/>
      </c>
      <c r="DE75" s="452" t="str">
        <f t="shared" si="109"/>
        <v/>
      </c>
      <c r="DF75" s="452" t="str">
        <f t="shared" si="109"/>
        <v/>
      </c>
      <c r="DG75" s="452" t="str">
        <f t="shared" si="109"/>
        <v/>
      </c>
      <c r="DH75" s="453" t="str">
        <f t="shared" si="109"/>
        <v/>
      </c>
      <c r="DI75" s="451" t="str">
        <f t="shared" si="109"/>
        <v/>
      </c>
      <c r="DJ75" s="452" t="str">
        <f t="shared" si="109"/>
        <v/>
      </c>
      <c r="DK75" s="452" t="str">
        <f t="shared" si="109"/>
        <v/>
      </c>
      <c r="DL75" s="452" t="str">
        <f t="shared" si="109"/>
        <v/>
      </c>
      <c r="DM75" s="453" t="str">
        <f t="shared" si="84"/>
        <v/>
      </c>
      <c r="DN75" s="451" t="str">
        <f t="shared" si="84"/>
        <v/>
      </c>
      <c r="DO75" s="452" t="str">
        <f t="shared" si="84"/>
        <v/>
      </c>
      <c r="DP75" s="452" t="str">
        <f t="shared" si="83"/>
        <v/>
      </c>
      <c r="DQ75" s="452" t="str">
        <f t="shared" si="83"/>
        <v/>
      </c>
      <c r="DR75" s="453" t="str">
        <f t="shared" si="83"/>
        <v/>
      </c>
      <c r="DS75" s="451" t="str">
        <f t="shared" si="83"/>
        <v/>
      </c>
      <c r="DT75" s="452" t="str">
        <f t="shared" si="83"/>
        <v/>
      </c>
      <c r="DU75" s="452" t="str">
        <f t="shared" ref="DU75:EJ90" si="110">IF(AND(DU$2&gt;=$J75,DU$2&lt;=$K75),1,"")</f>
        <v/>
      </c>
      <c r="DV75" s="452" t="str">
        <f t="shared" si="110"/>
        <v/>
      </c>
      <c r="DW75" s="453" t="str">
        <f t="shared" si="110"/>
        <v/>
      </c>
      <c r="DX75" s="451" t="str">
        <f t="shared" si="110"/>
        <v/>
      </c>
      <c r="DY75" s="452" t="str">
        <f t="shared" si="110"/>
        <v/>
      </c>
      <c r="DZ75" s="452" t="str">
        <f t="shared" si="110"/>
        <v/>
      </c>
      <c r="EA75" s="452" t="str">
        <f t="shared" si="110"/>
        <v/>
      </c>
      <c r="EB75" s="453" t="str">
        <f t="shared" si="110"/>
        <v/>
      </c>
      <c r="EC75" s="451" t="str">
        <f t="shared" si="110"/>
        <v/>
      </c>
      <c r="ED75" s="452" t="str">
        <f t="shared" si="110"/>
        <v/>
      </c>
      <c r="EE75" s="452" t="str">
        <f t="shared" si="110"/>
        <v/>
      </c>
      <c r="EF75" s="452" t="str">
        <f t="shared" si="107"/>
        <v/>
      </c>
      <c r="EG75" s="453" t="str">
        <f t="shared" si="107"/>
        <v/>
      </c>
      <c r="EH75" s="451" t="str">
        <f t="shared" si="107"/>
        <v/>
      </c>
      <c r="EI75" s="452" t="str">
        <f t="shared" si="107"/>
        <v/>
      </c>
      <c r="EJ75" s="452" t="str">
        <f t="shared" si="107"/>
        <v/>
      </c>
      <c r="EK75" s="452" t="str">
        <f t="shared" si="107"/>
        <v/>
      </c>
      <c r="EL75" s="453" t="str">
        <f t="shared" si="107"/>
        <v/>
      </c>
      <c r="EM75" s="451" t="str">
        <f t="shared" si="107"/>
        <v/>
      </c>
      <c r="EN75" s="452" t="str">
        <f t="shared" si="107"/>
        <v/>
      </c>
      <c r="EO75" s="452" t="str">
        <f t="shared" si="107"/>
        <v/>
      </c>
      <c r="EP75" s="452" t="str">
        <f t="shared" si="107"/>
        <v/>
      </c>
      <c r="EQ75" s="453" t="str">
        <f t="shared" si="107"/>
        <v/>
      </c>
      <c r="ER75" s="451" t="str">
        <f t="shared" si="107"/>
        <v/>
      </c>
      <c r="ES75" s="452" t="str">
        <f t="shared" si="93"/>
        <v/>
      </c>
      <c r="ET75" s="452" t="str">
        <f t="shared" si="93"/>
        <v/>
      </c>
      <c r="EU75" s="452" t="str">
        <f t="shared" si="93"/>
        <v/>
      </c>
      <c r="EV75" s="453" t="str">
        <f t="shared" si="93"/>
        <v/>
      </c>
      <c r="EW75" s="451" t="str">
        <f t="shared" si="93"/>
        <v/>
      </c>
      <c r="EX75" s="452" t="str">
        <f t="shared" si="93"/>
        <v/>
      </c>
      <c r="EY75" s="452" t="str">
        <f t="shared" si="93"/>
        <v/>
      </c>
      <c r="EZ75" s="452" t="str">
        <f t="shared" si="93"/>
        <v/>
      </c>
      <c r="FA75" s="453" t="str">
        <f t="shared" si="93"/>
        <v/>
      </c>
      <c r="FB75" s="451" t="str">
        <f t="shared" si="93"/>
        <v/>
      </c>
      <c r="FC75" s="452" t="str">
        <f t="shared" si="93"/>
        <v/>
      </c>
      <c r="FD75" s="452" t="str">
        <f t="shared" si="93"/>
        <v/>
      </c>
      <c r="FE75" s="452" t="str">
        <f t="shared" si="93"/>
        <v/>
      </c>
      <c r="FF75" s="453" t="str">
        <f t="shared" si="93"/>
        <v/>
      </c>
      <c r="FG75" s="451" t="str">
        <f t="shared" si="93"/>
        <v/>
      </c>
      <c r="FH75" s="452" t="str">
        <f t="shared" ref="FH75:FW90" si="111">IF(AND(FH$2&gt;=$J75,FH$2&lt;=$K75),1,"")</f>
        <v/>
      </c>
      <c r="FI75" s="452" t="str">
        <f t="shared" si="111"/>
        <v/>
      </c>
      <c r="FJ75" s="452" t="str">
        <f t="shared" si="111"/>
        <v/>
      </c>
      <c r="FK75" s="453" t="str">
        <f t="shared" si="111"/>
        <v/>
      </c>
      <c r="FL75" s="451" t="str">
        <f t="shared" si="111"/>
        <v/>
      </c>
      <c r="FM75" s="452" t="str">
        <f t="shared" si="111"/>
        <v/>
      </c>
      <c r="FN75" s="452" t="str">
        <f t="shared" si="111"/>
        <v/>
      </c>
      <c r="FO75" s="452" t="str">
        <f t="shared" si="111"/>
        <v/>
      </c>
      <c r="FP75" s="453" t="str">
        <f t="shared" si="111"/>
        <v/>
      </c>
      <c r="FQ75" s="451" t="str">
        <f t="shared" si="111"/>
        <v/>
      </c>
      <c r="FR75" s="452" t="str">
        <f t="shared" si="111"/>
        <v/>
      </c>
      <c r="FS75" s="452" t="str">
        <f t="shared" si="111"/>
        <v/>
      </c>
      <c r="FT75" s="452" t="str">
        <f t="shared" si="111"/>
        <v/>
      </c>
      <c r="FU75" s="453" t="str">
        <f t="shared" si="111"/>
        <v/>
      </c>
      <c r="FV75" s="451" t="str">
        <f t="shared" si="111"/>
        <v/>
      </c>
      <c r="FW75" s="452" t="str">
        <f t="shared" si="111"/>
        <v/>
      </c>
      <c r="FX75" s="452" t="str">
        <f t="shared" si="103"/>
        <v/>
      </c>
      <c r="FY75" s="452" t="str">
        <f t="shared" si="103"/>
        <v/>
      </c>
      <c r="FZ75" s="453" t="str">
        <f t="shared" si="103"/>
        <v/>
      </c>
      <c r="GA75" s="451" t="str">
        <f t="shared" si="103"/>
        <v/>
      </c>
      <c r="GB75" s="452" t="str">
        <f t="shared" si="102"/>
        <v/>
      </c>
      <c r="GC75" s="452" t="str">
        <f t="shared" si="102"/>
        <v/>
      </c>
      <c r="GD75" s="452" t="str">
        <f t="shared" si="102"/>
        <v/>
      </c>
      <c r="GE75" s="453" t="str">
        <f t="shared" si="102"/>
        <v/>
      </c>
      <c r="GF75" s="451" t="str">
        <f t="shared" si="102"/>
        <v/>
      </c>
      <c r="GG75" s="452" t="str">
        <f t="shared" si="102"/>
        <v/>
      </c>
      <c r="GH75" s="452" t="str">
        <f t="shared" si="98"/>
        <v/>
      </c>
      <c r="GI75" s="452" t="str">
        <f t="shared" si="98"/>
        <v/>
      </c>
      <c r="GJ75" s="453" t="str">
        <f t="shared" si="98"/>
        <v/>
      </c>
      <c r="GK75" s="451" t="str">
        <f t="shared" si="98"/>
        <v/>
      </c>
      <c r="GL75" s="452" t="str">
        <f t="shared" si="98"/>
        <v/>
      </c>
      <c r="GM75" s="452" t="str">
        <f t="shared" si="98"/>
        <v/>
      </c>
      <c r="GN75" s="452" t="str">
        <f t="shared" si="98"/>
        <v/>
      </c>
      <c r="GO75" s="453" t="str">
        <f t="shared" si="98"/>
        <v/>
      </c>
      <c r="GP75" s="451" t="str">
        <f t="shared" si="96"/>
        <v/>
      </c>
      <c r="GQ75" s="452" t="str">
        <f t="shared" si="96"/>
        <v/>
      </c>
      <c r="GR75" s="452" t="str">
        <f t="shared" si="96"/>
        <v/>
      </c>
      <c r="GS75" s="452" t="str">
        <f t="shared" si="96"/>
        <v/>
      </c>
      <c r="GT75" s="453" t="str">
        <f t="shared" si="96"/>
        <v/>
      </c>
      <c r="GU75" s="451" t="str">
        <f t="shared" si="96"/>
        <v/>
      </c>
      <c r="GV75" s="452" t="str">
        <f t="shared" si="96"/>
        <v/>
      </c>
      <c r="GW75" s="452" t="str">
        <f t="shared" si="96"/>
        <v/>
      </c>
      <c r="GX75" s="452" t="str">
        <f t="shared" si="96"/>
        <v/>
      </c>
      <c r="GY75" s="453" t="str">
        <f t="shared" si="96"/>
        <v/>
      </c>
      <c r="GZ75" s="451" t="str">
        <f t="shared" si="96"/>
        <v/>
      </c>
      <c r="HA75" s="452" t="str">
        <f t="shared" si="86"/>
        <v/>
      </c>
      <c r="HB75" s="452" t="str">
        <f t="shared" si="86"/>
        <v/>
      </c>
      <c r="HC75" s="452" t="str">
        <f t="shared" si="86"/>
        <v/>
      </c>
      <c r="HD75" s="453" t="str">
        <f t="shared" si="86"/>
        <v/>
      </c>
      <c r="HE75" s="451" t="str">
        <f t="shared" si="86"/>
        <v/>
      </c>
      <c r="HF75" s="452" t="str">
        <f t="shared" si="86"/>
        <v/>
      </c>
      <c r="HG75" s="452" t="str">
        <f t="shared" si="94"/>
        <v/>
      </c>
      <c r="HH75" s="452" t="str">
        <f t="shared" si="94"/>
        <v/>
      </c>
      <c r="HI75" s="453" t="str">
        <f t="shared" si="94"/>
        <v/>
      </c>
      <c r="HJ75" s="451" t="str">
        <f t="shared" si="94"/>
        <v/>
      </c>
      <c r="HK75" s="452" t="str">
        <f t="shared" si="94"/>
        <v/>
      </c>
      <c r="HL75" s="452" t="str">
        <f t="shared" si="94"/>
        <v/>
      </c>
      <c r="HM75" s="452" t="str">
        <f t="shared" si="94"/>
        <v/>
      </c>
      <c r="HN75" s="453" t="str">
        <f t="shared" si="94"/>
        <v/>
      </c>
      <c r="HO75" s="451" t="str">
        <f t="shared" si="94"/>
        <v/>
      </c>
      <c r="HP75" s="452" t="str">
        <f t="shared" si="94"/>
        <v/>
      </c>
      <c r="HQ75" s="452" t="str">
        <f t="shared" si="94"/>
        <v/>
      </c>
      <c r="HR75" s="452" t="str">
        <f t="shared" si="94"/>
        <v/>
      </c>
      <c r="HS75" s="453" t="str">
        <f t="shared" si="94"/>
        <v/>
      </c>
      <c r="HT75" s="451" t="str">
        <f t="shared" si="94"/>
        <v/>
      </c>
      <c r="HU75" s="452" t="str">
        <f t="shared" si="94"/>
        <v/>
      </c>
      <c r="HV75" s="452" t="str">
        <f t="shared" si="94"/>
        <v/>
      </c>
      <c r="HW75" s="452" t="str">
        <f t="shared" si="87"/>
        <v/>
      </c>
      <c r="HX75" s="453" t="str">
        <f t="shared" si="87"/>
        <v/>
      </c>
      <c r="HY75" s="451" t="str">
        <f t="shared" si="87"/>
        <v/>
      </c>
      <c r="HZ75" s="452" t="str">
        <f t="shared" si="99"/>
        <v/>
      </c>
      <c r="IA75" s="452" t="str">
        <f t="shared" si="99"/>
        <v/>
      </c>
      <c r="IB75" s="452" t="str">
        <f t="shared" si="99"/>
        <v/>
      </c>
      <c r="IC75" s="453" t="str">
        <f t="shared" si="99"/>
        <v/>
      </c>
      <c r="ID75" s="451" t="str">
        <f t="shared" si="99"/>
        <v/>
      </c>
      <c r="IE75" s="452" t="str">
        <f t="shared" si="99"/>
        <v/>
      </c>
      <c r="IF75" s="452" t="str">
        <f t="shared" si="99"/>
        <v/>
      </c>
      <c r="IG75" s="452" t="str">
        <f t="shared" si="99"/>
        <v/>
      </c>
      <c r="IH75" s="453" t="str">
        <f t="shared" si="99"/>
        <v/>
      </c>
      <c r="II75" s="451" t="str">
        <f t="shared" si="99"/>
        <v/>
      </c>
      <c r="IJ75" s="452" t="str">
        <f t="shared" si="99"/>
        <v/>
      </c>
      <c r="IK75" s="452" t="str">
        <f t="shared" si="99"/>
        <v/>
      </c>
      <c r="IL75" s="452" t="str">
        <f t="shared" si="99"/>
        <v/>
      </c>
      <c r="IM75" s="453" t="str">
        <f t="shared" si="99"/>
        <v/>
      </c>
      <c r="IN75" s="451" t="str">
        <f t="shared" si="99"/>
        <v/>
      </c>
      <c r="IO75" s="452" t="str">
        <f t="shared" si="88"/>
        <v/>
      </c>
      <c r="IP75" s="452" t="str">
        <f t="shared" si="88"/>
        <v/>
      </c>
      <c r="IQ75" s="452" t="str">
        <f t="shared" si="88"/>
        <v/>
      </c>
      <c r="IR75" s="453" t="str">
        <f t="shared" si="88"/>
        <v/>
      </c>
    </row>
    <row r="76" spans="1:252" x14ac:dyDescent="0.2">
      <c r="A76" s="461">
        <v>7.6</v>
      </c>
      <c r="C76" s="447" t="s">
        <v>1356</v>
      </c>
      <c r="D76" s="447"/>
      <c r="E76" s="448"/>
      <c r="F76" s="448"/>
      <c r="G76" s="448"/>
      <c r="H76" s="448"/>
      <c r="I76" s="448"/>
      <c r="J76" s="449" t="str">
        <f t="shared" si="105"/>
        <v/>
      </c>
      <c r="K76" s="449" t="str">
        <f t="shared" si="106"/>
        <v/>
      </c>
      <c r="L76" s="450">
        <f t="shared" si="101"/>
        <v>0</v>
      </c>
      <c r="M76" s="451" t="str">
        <f t="shared" ref="M76:AB91" si="112">IF(AND(M$2&gt;=$J76,M$2&lt;=$K76),1,"")</f>
        <v/>
      </c>
      <c r="N76" s="452" t="str">
        <f t="shared" si="112"/>
        <v/>
      </c>
      <c r="O76" s="452" t="str">
        <f t="shared" si="112"/>
        <v/>
      </c>
      <c r="P76" s="452" t="str">
        <f t="shared" si="112"/>
        <v/>
      </c>
      <c r="Q76" s="453" t="str">
        <f t="shared" si="112"/>
        <v/>
      </c>
      <c r="R76" s="451" t="str">
        <f t="shared" si="112"/>
        <v/>
      </c>
      <c r="S76" s="452" t="str">
        <f t="shared" si="112"/>
        <v/>
      </c>
      <c r="T76" s="452" t="str">
        <f t="shared" si="112"/>
        <v/>
      </c>
      <c r="U76" s="452" t="str">
        <f t="shared" si="112"/>
        <v/>
      </c>
      <c r="V76" s="453" t="str">
        <f t="shared" si="112"/>
        <v/>
      </c>
      <c r="W76" s="451" t="str">
        <f t="shared" si="112"/>
        <v/>
      </c>
      <c r="X76" s="452" t="str">
        <f t="shared" si="112"/>
        <v/>
      </c>
      <c r="Y76" s="452" t="str">
        <f t="shared" si="112"/>
        <v/>
      </c>
      <c r="Z76" s="452" t="str">
        <f t="shared" si="112"/>
        <v/>
      </c>
      <c r="AA76" s="453" t="str">
        <f t="shared" si="112"/>
        <v/>
      </c>
      <c r="AB76" s="451" t="str">
        <f t="shared" si="112"/>
        <v/>
      </c>
      <c r="AC76" s="452" t="str">
        <f t="shared" si="100"/>
        <v/>
      </c>
      <c r="AD76" s="452" t="str">
        <f t="shared" si="100"/>
        <v/>
      </c>
      <c r="AE76" s="452" t="str">
        <f t="shared" si="100"/>
        <v/>
      </c>
      <c r="AF76" s="453" t="str">
        <f t="shared" si="100"/>
        <v/>
      </c>
      <c r="AG76" s="451" t="str">
        <f t="shared" si="100"/>
        <v/>
      </c>
      <c r="AH76" s="452" t="str">
        <f t="shared" si="100"/>
        <v/>
      </c>
      <c r="AI76" s="452" t="str">
        <f t="shared" si="100"/>
        <v/>
      </c>
      <c r="AJ76" s="452" t="str">
        <f t="shared" si="100"/>
        <v/>
      </c>
      <c r="AK76" s="453" t="str">
        <f t="shared" si="100"/>
        <v/>
      </c>
      <c r="AL76" s="451" t="str">
        <f t="shared" si="100"/>
        <v/>
      </c>
      <c r="AM76" s="452" t="str">
        <f t="shared" si="100"/>
        <v/>
      </c>
      <c r="AN76" s="452" t="str">
        <f t="shared" si="100"/>
        <v/>
      </c>
      <c r="AO76" s="452" t="str">
        <f t="shared" si="100"/>
        <v/>
      </c>
      <c r="AP76" s="453" t="str">
        <f t="shared" si="100"/>
        <v/>
      </c>
      <c r="AQ76" s="451" t="str">
        <f t="shared" si="100"/>
        <v/>
      </c>
      <c r="AR76" s="452" t="str">
        <f t="shared" si="97"/>
        <v/>
      </c>
      <c r="AS76" s="452" t="str">
        <f t="shared" si="97"/>
        <v/>
      </c>
      <c r="AT76" s="452" t="str">
        <f t="shared" si="97"/>
        <v/>
      </c>
      <c r="AU76" s="453" t="str">
        <f t="shared" si="97"/>
        <v/>
      </c>
      <c r="AV76" s="451" t="str">
        <f t="shared" si="97"/>
        <v/>
      </c>
      <c r="AW76" s="452" t="str">
        <f t="shared" si="97"/>
        <v/>
      </c>
      <c r="AX76" s="452" t="str">
        <f t="shared" si="97"/>
        <v/>
      </c>
      <c r="AY76" s="452" t="str">
        <f t="shared" si="97"/>
        <v/>
      </c>
      <c r="AZ76" s="453" t="str">
        <f t="shared" si="97"/>
        <v/>
      </c>
      <c r="BA76" s="451" t="str">
        <f t="shared" si="104"/>
        <v/>
      </c>
      <c r="BB76" s="452" t="str">
        <f t="shared" si="104"/>
        <v/>
      </c>
      <c r="BC76" s="452" t="str">
        <f t="shared" si="104"/>
        <v/>
      </c>
      <c r="BD76" s="452" t="str">
        <f t="shared" si="104"/>
        <v/>
      </c>
      <c r="BE76" s="453" t="str">
        <f t="shared" si="104"/>
        <v/>
      </c>
      <c r="BF76" s="451" t="str">
        <f t="shared" si="104"/>
        <v/>
      </c>
      <c r="BG76" s="452" t="str">
        <f t="shared" si="104"/>
        <v/>
      </c>
      <c r="BH76" s="452" t="str">
        <f t="shared" si="104"/>
        <v/>
      </c>
      <c r="BI76" s="452" t="str">
        <f t="shared" si="104"/>
        <v/>
      </c>
      <c r="BJ76" s="453" t="str">
        <f t="shared" si="104"/>
        <v/>
      </c>
      <c r="BK76" s="451" t="str">
        <f t="shared" si="104"/>
        <v/>
      </c>
      <c r="BL76" s="452" t="str">
        <f t="shared" si="104"/>
        <v/>
      </c>
      <c r="BM76" s="452" t="str">
        <f t="shared" si="104"/>
        <v/>
      </c>
      <c r="BN76" s="452" t="str">
        <f t="shared" si="104"/>
        <v/>
      </c>
      <c r="BO76" s="453" t="str">
        <f t="shared" si="104"/>
        <v/>
      </c>
      <c r="BP76" s="451" t="str">
        <f t="shared" si="104"/>
        <v/>
      </c>
      <c r="BQ76" s="452" t="str">
        <f t="shared" si="92"/>
        <v/>
      </c>
      <c r="BR76" s="452" t="str">
        <f t="shared" si="92"/>
        <v/>
      </c>
      <c r="BS76" s="452" t="str">
        <f t="shared" si="92"/>
        <v/>
      </c>
      <c r="BT76" s="453" t="str">
        <f t="shared" si="92"/>
        <v/>
      </c>
      <c r="BU76" s="451" t="str">
        <f t="shared" si="92"/>
        <v/>
      </c>
      <c r="BV76" s="452" t="str">
        <f t="shared" si="92"/>
        <v/>
      </c>
      <c r="BW76" s="452" t="str">
        <f t="shared" si="92"/>
        <v/>
      </c>
      <c r="BX76" s="452" t="str">
        <f t="shared" si="92"/>
        <v/>
      </c>
      <c r="BY76" s="453" t="str">
        <f t="shared" si="108"/>
        <v/>
      </c>
      <c r="BZ76" s="451" t="str">
        <f t="shared" si="108"/>
        <v/>
      </c>
      <c r="CA76" s="452" t="str">
        <f t="shared" si="108"/>
        <v/>
      </c>
      <c r="CB76" s="452" t="str">
        <f t="shared" si="108"/>
        <v/>
      </c>
      <c r="CC76" s="452" t="str">
        <f t="shared" si="108"/>
        <v/>
      </c>
      <c r="CD76" s="453" t="str">
        <f t="shared" si="108"/>
        <v/>
      </c>
      <c r="CE76" s="451" t="str">
        <f t="shared" si="108"/>
        <v/>
      </c>
      <c r="CF76" s="452" t="str">
        <f t="shared" si="108"/>
        <v/>
      </c>
      <c r="CG76" s="452" t="str">
        <f t="shared" si="108"/>
        <v/>
      </c>
      <c r="CH76" s="452" t="str">
        <f t="shared" si="108"/>
        <v/>
      </c>
      <c r="CI76" s="453" t="str">
        <f t="shared" si="108"/>
        <v/>
      </c>
      <c r="CJ76" s="451" t="str">
        <f t="shared" si="108"/>
        <v/>
      </c>
      <c r="CK76" s="452" t="str">
        <f t="shared" si="108"/>
        <v/>
      </c>
      <c r="CL76" s="452" t="str">
        <f t="shared" si="108"/>
        <v/>
      </c>
      <c r="CM76" s="452" t="str">
        <f t="shared" si="108"/>
        <v/>
      </c>
      <c r="CN76" s="453" t="str">
        <f t="shared" si="108"/>
        <v/>
      </c>
      <c r="CO76" s="451" t="str">
        <f t="shared" si="80"/>
        <v/>
      </c>
      <c r="CP76" s="452" t="str">
        <f t="shared" si="80"/>
        <v/>
      </c>
      <c r="CQ76" s="452" t="str">
        <f t="shared" si="80"/>
        <v/>
      </c>
      <c r="CR76" s="452" t="str">
        <f t="shared" si="80"/>
        <v/>
      </c>
      <c r="CS76" s="453" t="str">
        <f t="shared" si="80"/>
        <v/>
      </c>
      <c r="CT76" s="451" t="str">
        <f t="shared" si="80"/>
        <v/>
      </c>
      <c r="CU76" s="452" t="str">
        <f t="shared" si="80"/>
        <v/>
      </c>
      <c r="CV76" s="452" t="str">
        <f t="shared" si="80"/>
        <v/>
      </c>
      <c r="CW76" s="452" t="str">
        <f t="shared" si="109"/>
        <v/>
      </c>
      <c r="CX76" s="453" t="str">
        <f t="shared" si="109"/>
        <v/>
      </c>
      <c r="CY76" s="451" t="str">
        <f t="shared" si="109"/>
        <v/>
      </c>
      <c r="CZ76" s="452" t="str">
        <f t="shared" si="109"/>
        <v/>
      </c>
      <c r="DA76" s="452" t="str">
        <f t="shared" si="109"/>
        <v/>
      </c>
      <c r="DB76" s="452" t="str">
        <f t="shared" si="109"/>
        <v/>
      </c>
      <c r="DC76" s="453" t="str">
        <f t="shared" si="109"/>
        <v/>
      </c>
      <c r="DD76" s="451" t="str">
        <f t="shared" si="109"/>
        <v/>
      </c>
      <c r="DE76" s="452" t="str">
        <f t="shared" si="109"/>
        <v/>
      </c>
      <c r="DF76" s="452" t="str">
        <f t="shared" si="109"/>
        <v/>
      </c>
      <c r="DG76" s="452" t="str">
        <f t="shared" si="109"/>
        <v/>
      </c>
      <c r="DH76" s="453" t="str">
        <f t="shared" si="109"/>
        <v/>
      </c>
      <c r="DI76" s="451" t="str">
        <f t="shared" si="109"/>
        <v/>
      </c>
      <c r="DJ76" s="452" t="str">
        <f t="shared" si="109"/>
        <v/>
      </c>
      <c r="DK76" s="452" t="str">
        <f t="shared" si="109"/>
        <v/>
      </c>
      <c r="DL76" s="452" t="str">
        <f t="shared" si="109"/>
        <v/>
      </c>
      <c r="DM76" s="453" t="str">
        <f t="shared" si="84"/>
        <v/>
      </c>
      <c r="DN76" s="451" t="str">
        <f t="shared" si="84"/>
        <v/>
      </c>
      <c r="DO76" s="452" t="str">
        <f t="shared" si="84"/>
        <v/>
      </c>
      <c r="DP76" s="452" t="str">
        <f t="shared" si="84"/>
        <v/>
      </c>
      <c r="DQ76" s="452" t="str">
        <f t="shared" si="84"/>
        <v/>
      </c>
      <c r="DR76" s="453" t="str">
        <f t="shared" si="84"/>
        <v/>
      </c>
      <c r="DS76" s="451" t="str">
        <f t="shared" si="84"/>
        <v/>
      </c>
      <c r="DT76" s="452" t="str">
        <f t="shared" si="84"/>
        <v/>
      </c>
      <c r="DU76" s="452" t="str">
        <f t="shared" si="110"/>
        <v/>
      </c>
      <c r="DV76" s="452" t="str">
        <f t="shared" si="110"/>
        <v/>
      </c>
      <c r="DW76" s="453" t="str">
        <f t="shared" si="110"/>
        <v/>
      </c>
      <c r="DX76" s="451" t="str">
        <f t="shared" si="110"/>
        <v/>
      </c>
      <c r="DY76" s="452" t="str">
        <f t="shared" si="110"/>
        <v/>
      </c>
      <c r="DZ76" s="452" t="str">
        <f t="shared" si="110"/>
        <v/>
      </c>
      <c r="EA76" s="452" t="str">
        <f t="shared" si="110"/>
        <v/>
      </c>
      <c r="EB76" s="453" t="str">
        <f t="shared" si="110"/>
        <v/>
      </c>
      <c r="EC76" s="451" t="str">
        <f t="shared" si="110"/>
        <v/>
      </c>
      <c r="ED76" s="452" t="str">
        <f t="shared" si="110"/>
        <v/>
      </c>
      <c r="EE76" s="452" t="str">
        <f t="shared" si="110"/>
        <v/>
      </c>
      <c r="EF76" s="452" t="str">
        <f t="shared" si="107"/>
        <v/>
      </c>
      <c r="EG76" s="453" t="str">
        <f t="shared" si="107"/>
        <v/>
      </c>
      <c r="EH76" s="451" t="str">
        <f t="shared" si="107"/>
        <v/>
      </c>
      <c r="EI76" s="452" t="str">
        <f t="shared" si="107"/>
        <v/>
      </c>
      <c r="EJ76" s="452" t="str">
        <f t="shared" si="107"/>
        <v/>
      </c>
      <c r="EK76" s="452" t="str">
        <f t="shared" si="107"/>
        <v/>
      </c>
      <c r="EL76" s="453" t="str">
        <f t="shared" si="107"/>
        <v/>
      </c>
      <c r="EM76" s="451" t="str">
        <f t="shared" si="107"/>
        <v/>
      </c>
      <c r="EN76" s="452" t="str">
        <f t="shared" si="107"/>
        <v/>
      </c>
      <c r="EO76" s="452" t="str">
        <f t="shared" si="107"/>
        <v/>
      </c>
      <c r="EP76" s="452" t="str">
        <f t="shared" si="107"/>
        <v/>
      </c>
      <c r="EQ76" s="453" t="str">
        <f t="shared" si="107"/>
        <v/>
      </c>
      <c r="ER76" s="451" t="str">
        <f t="shared" si="107"/>
        <v/>
      </c>
      <c r="ES76" s="452" t="str">
        <f t="shared" ref="ES76:FH91" si="113">IF(AND(ES$2&gt;=$J76,ES$2&lt;=$K76),1,"")</f>
        <v/>
      </c>
      <c r="ET76" s="452" t="str">
        <f t="shared" si="113"/>
        <v/>
      </c>
      <c r="EU76" s="452" t="str">
        <f t="shared" si="113"/>
        <v/>
      </c>
      <c r="EV76" s="453" t="str">
        <f t="shared" si="113"/>
        <v/>
      </c>
      <c r="EW76" s="451" t="str">
        <f t="shared" si="113"/>
        <v/>
      </c>
      <c r="EX76" s="452" t="str">
        <f t="shared" si="113"/>
        <v/>
      </c>
      <c r="EY76" s="452" t="str">
        <f t="shared" si="113"/>
        <v/>
      </c>
      <c r="EZ76" s="452" t="str">
        <f t="shared" si="113"/>
        <v/>
      </c>
      <c r="FA76" s="453" t="str">
        <f t="shared" si="113"/>
        <v/>
      </c>
      <c r="FB76" s="451" t="str">
        <f t="shared" si="113"/>
        <v/>
      </c>
      <c r="FC76" s="452" t="str">
        <f t="shared" si="113"/>
        <v/>
      </c>
      <c r="FD76" s="452" t="str">
        <f t="shared" si="113"/>
        <v/>
      </c>
      <c r="FE76" s="452" t="str">
        <f t="shared" si="113"/>
        <v/>
      </c>
      <c r="FF76" s="453" t="str">
        <f t="shared" si="113"/>
        <v/>
      </c>
      <c r="FG76" s="451" t="str">
        <f t="shared" si="113"/>
        <v/>
      </c>
      <c r="FH76" s="452" t="str">
        <f t="shared" si="113"/>
        <v/>
      </c>
      <c r="FI76" s="452" t="str">
        <f t="shared" si="111"/>
        <v/>
      </c>
      <c r="FJ76" s="452" t="str">
        <f t="shared" si="111"/>
        <v/>
      </c>
      <c r="FK76" s="453" t="str">
        <f t="shared" si="111"/>
        <v/>
      </c>
      <c r="FL76" s="451" t="str">
        <f t="shared" si="111"/>
        <v/>
      </c>
      <c r="FM76" s="452" t="str">
        <f t="shared" si="111"/>
        <v/>
      </c>
      <c r="FN76" s="452" t="str">
        <f t="shared" si="111"/>
        <v/>
      </c>
      <c r="FO76" s="452" t="str">
        <f t="shared" si="111"/>
        <v/>
      </c>
      <c r="FP76" s="453" t="str">
        <f t="shared" si="111"/>
        <v/>
      </c>
      <c r="FQ76" s="451" t="str">
        <f t="shared" si="111"/>
        <v/>
      </c>
      <c r="FR76" s="452" t="str">
        <f t="shared" si="111"/>
        <v/>
      </c>
      <c r="FS76" s="452" t="str">
        <f t="shared" si="111"/>
        <v/>
      </c>
      <c r="FT76" s="452" t="str">
        <f t="shared" si="111"/>
        <v/>
      </c>
      <c r="FU76" s="453" t="str">
        <f t="shared" si="111"/>
        <v/>
      </c>
      <c r="FV76" s="451" t="str">
        <f t="shared" si="111"/>
        <v/>
      </c>
      <c r="FW76" s="452" t="str">
        <f t="shared" si="111"/>
        <v/>
      </c>
      <c r="FX76" s="452" t="str">
        <f t="shared" si="103"/>
        <v/>
      </c>
      <c r="FY76" s="452" t="str">
        <f t="shared" si="103"/>
        <v/>
      </c>
      <c r="FZ76" s="453" t="str">
        <f t="shared" si="103"/>
        <v/>
      </c>
      <c r="GA76" s="451" t="str">
        <f t="shared" si="103"/>
        <v/>
      </c>
      <c r="GB76" s="452" t="str">
        <f t="shared" si="102"/>
        <v/>
      </c>
      <c r="GC76" s="452" t="str">
        <f t="shared" si="102"/>
        <v/>
      </c>
      <c r="GD76" s="452" t="str">
        <f t="shared" si="102"/>
        <v/>
      </c>
      <c r="GE76" s="453" t="str">
        <f t="shared" si="102"/>
        <v/>
      </c>
      <c r="GF76" s="451" t="str">
        <f t="shared" si="102"/>
        <v/>
      </c>
      <c r="GG76" s="452" t="str">
        <f t="shared" si="102"/>
        <v/>
      </c>
      <c r="GH76" s="452" t="str">
        <f t="shared" si="98"/>
        <v/>
      </c>
      <c r="GI76" s="452" t="str">
        <f t="shared" si="98"/>
        <v/>
      </c>
      <c r="GJ76" s="453" t="str">
        <f t="shared" si="98"/>
        <v/>
      </c>
      <c r="GK76" s="451" t="str">
        <f t="shared" si="98"/>
        <v/>
      </c>
      <c r="GL76" s="452" t="str">
        <f t="shared" si="98"/>
        <v/>
      </c>
      <c r="GM76" s="452" t="str">
        <f t="shared" si="98"/>
        <v/>
      </c>
      <c r="GN76" s="452" t="str">
        <f t="shared" si="98"/>
        <v/>
      </c>
      <c r="GO76" s="453" t="str">
        <f t="shared" si="98"/>
        <v/>
      </c>
      <c r="GP76" s="451" t="str">
        <f t="shared" si="96"/>
        <v/>
      </c>
      <c r="GQ76" s="452" t="str">
        <f t="shared" si="96"/>
        <v/>
      </c>
      <c r="GR76" s="452" t="str">
        <f t="shared" si="96"/>
        <v/>
      </c>
      <c r="GS76" s="452" t="str">
        <f t="shared" si="96"/>
        <v/>
      </c>
      <c r="GT76" s="453" t="str">
        <f t="shared" si="96"/>
        <v/>
      </c>
      <c r="GU76" s="451" t="str">
        <f t="shared" si="96"/>
        <v/>
      </c>
      <c r="GV76" s="452" t="str">
        <f t="shared" si="96"/>
        <v/>
      </c>
      <c r="GW76" s="452" t="str">
        <f t="shared" si="96"/>
        <v/>
      </c>
      <c r="GX76" s="452" t="str">
        <f t="shared" si="96"/>
        <v/>
      </c>
      <c r="GY76" s="453" t="str">
        <f t="shared" si="96"/>
        <v/>
      </c>
      <c r="GZ76" s="451" t="str">
        <f t="shared" si="96"/>
        <v/>
      </c>
      <c r="HA76" s="452" t="str">
        <f t="shared" si="86"/>
        <v/>
      </c>
      <c r="HB76" s="452" t="str">
        <f t="shared" si="86"/>
        <v/>
      </c>
      <c r="HC76" s="452" t="str">
        <f t="shared" si="86"/>
        <v/>
      </c>
      <c r="HD76" s="453" t="str">
        <f t="shared" si="86"/>
        <v/>
      </c>
      <c r="HE76" s="451" t="str">
        <f t="shared" si="86"/>
        <v/>
      </c>
      <c r="HF76" s="452" t="str">
        <f t="shared" si="86"/>
        <v/>
      </c>
      <c r="HG76" s="452" t="str">
        <f t="shared" si="94"/>
        <v/>
      </c>
      <c r="HH76" s="452" t="str">
        <f t="shared" si="94"/>
        <v/>
      </c>
      <c r="HI76" s="453" t="str">
        <f t="shared" si="94"/>
        <v/>
      </c>
      <c r="HJ76" s="451" t="str">
        <f t="shared" si="94"/>
        <v/>
      </c>
      <c r="HK76" s="452" t="str">
        <f t="shared" si="94"/>
        <v/>
      </c>
      <c r="HL76" s="452" t="str">
        <f t="shared" si="94"/>
        <v/>
      </c>
      <c r="HM76" s="452" t="str">
        <f t="shared" si="94"/>
        <v/>
      </c>
      <c r="HN76" s="453" t="str">
        <f t="shared" si="94"/>
        <v/>
      </c>
      <c r="HO76" s="451" t="str">
        <f t="shared" si="94"/>
        <v/>
      </c>
      <c r="HP76" s="452" t="str">
        <f t="shared" si="94"/>
        <v/>
      </c>
      <c r="HQ76" s="452" t="str">
        <f t="shared" si="94"/>
        <v/>
      </c>
      <c r="HR76" s="452" t="str">
        <f t="shared" si="94"/>
        <v/>
      </c>
      <c r="HS76" s="453" t="str">
        <f t="shared" si="94"/>
        <v/>
      </c>
      <c r="HT76" s="451" t="str">
        <f t="shared" si="94"/>
        <v/>
      </c>
      <c r="HU76" s="452" t="str">
        <f t="shared" si="94"/>
        <v/>
      </c>
      <c r="HV76" s="452" t="str">
        <f t="shared" si="94"/>
        <v/>
      </c>
      <c r="HW76" s="452" t="str">
        <f t="shared" si="87"/>
        <v/>
      </c>
      <c r="HX76" s="453" t="str">
        <f t="shared" si="87"/>
        <v/>
      </c>
      <c r="HY76" s="451" t="str">
        <f t="shared" si="87"/>
        <v/>
      </c>
      <c r="HZ76" s="452" t="str">
        <f t="shared" si="99"/>
        <v/>
      </c>
      <c r="IA76" s="452" t="str">
        <f t="shared" si="99"/>
        <v/>
      </c>
      <c r="IB76" s="452" t="str">
        <f t="shared" si="99"/>
        <v/>
      </c>
      <c r="IC76" s="453" t="str">
        <f t="shared" si="99"/>
        <v/>
      </c>
      <c r="ID76" s="451" t="str">
        <f t="shared" si="99"/>
        <v/>
      </c>
      <c r="IE76" s="452" t="str">
        <f t="shared" si="99"/>
        <v/>
      </c>
      <c r="IF76" s="452" t="str">
        <f t="shared" si="99"/>
        <v/>
      </c>
      <c r="IG76" s="452" t="str">
        <f t="shared" si="99"/>
        <v/>
      </c>
      <c r="IH76" s="453" t="str">
        <f t="shared" si="99"/>
        <v/>
      </c>
      <c r="II76" s="451" t="str">
        <f t="shared" si="99"/>
        <v/>
      </c>
      <c r="IJ76" s="452" t="str">
        <f t="shared" si="99"/>
        <v/>
      </c>
      <c r="IK76" s="452" t="str">
        <f t="shared" si="99"/>
        <v/>
      </c>
      <c r="IL76" s="452" t="str">
        <f t="shared" si="99"/>
        <v/>
      </c>
      <c r="IM76" s="453" t="str">
        <f t="shared" si="99"/>
        <v/>
      </c>
      <c r="IN76" s="451" t="str">
        <f t="shared" si="99"/>
        <v/>
      </c>
      <c r="IO76" s="452" t="str">
        <f t="shared" si="88"/>
        <v/>
      </c>
      <c r="IP76" s="452" t="str">
        <f t="shared" si="88"/>
        <v/>
      </c>
      <c r="IQ76" s="452" t="str">
        <f t="shared" si="88"/>
        <v/>
      </c>
      <c r="IR76" s="453" t="str">
        <f t="shared" si="88"/>
        <v/>
      </c>
    </row>
    <row r="77" spans="1:252" x14ac:dyDescent="0.2">
      <c r="A77" s="461">
        <v>7.7</v>
      </c>
      <c r="C77" s="447" t="s">
        <v>1357</v>
      </c>
      <c r="D77" s="447"/>
      <c r="E77" s="448"/>
      <c r="F77" s="448"/>
      <c r="G77" s="448"/>
      <c r="H77" s="448"/>
      <c r="I77" s="448"/>
      <c r="J77" s="449" t="str">
        <f t="shared" si="105"/>
        <v/>
      </c>
      <c r="K77" s="449" t="str">
        <f t="shared" si="106"/>
        <v/>
      </c>
      <c r="L77" s="450">
        <f t="shared" si="101"/>
        <v>0</v>
      </c>
      <c r="M77" s="451" t="str">
        <f t="shared" si="112"/>
        <v/>
      </c>
      <c r="N77" s="452" t="str">
        <f t="shared" si="112"/>
        <v/>
      </c>
      <c r="O77" s="452" t="str">
        <f t="shared" si="112"/>
        <v/>
      </c>
      <c r="P77" s="452" t="str">
        <f t="shared" si="112"/>
        <v/>
      </c>
      <c r="Q77" s="453" t="str">
        <f t="shared" si="112"/>
        <v/>
      </c>
      <c r="R77" s="451" t="str">
        <f t="shared" si="112"/>
        <v/>
      </c>
      <c r="S77" s="452" t="str">
        <f t="shared" si="112"/>
        <v/>
      </c>
      <c r="T77" s="452" t="str">
        <f t="shared" si="112"/>
        <v/>
      </c>
      <c r="U77" s="452" t="str">
        <f t="shared" si="112"/>
        <v/>
      </c>
      <c r="V77" s="453" t="str">
        <f t="shared" si="112"/>
        <v/>
      </c>
      <c r="W77" s="451" t="str">
        <f t="shared" si="112"/>
        <v/>
      </c>
      <c r="X77" s="452" t="str">
        <f t="shared" si="112"/>
        <v/>
      </c>
      <c r="Y77" s="452" t="str">
        <f t="shared" si="112"/>
        <v/>
      </c>
      <c r="Z77" s="452" t="str">
        <f t="shared" si="112"/>
        <v/>
      </c>
      <c r="AA77" s="453" t="str">
        <f t="shared" si="112"/>
        <v/>
      </c>
      <c r="AB77" s="451" t="str">
        <f t="shared" si="112"/>
        <v/>
      </c>
      <c r="AC77" s="452" t="str">
        <f t="shared" si="100"/>
        <v/>
      </c>
      <c r="AD77" s="452" t="str">
        <f t="shared" si="100"/>
        <v/>
      </c>
      <c r="AE77" s="452" t="str">
        <f t="shared" si="100"/>
        <v/>
      </c>
      <c r="AF77" s="453" t="str">
        <f t="shared" si="100"/>
        <v/>
      </c>
      <c r="AG77" s="451" t="str">
        <f t="shared" si="100"/>
        <v/>
      </c>
      <c r="AH77" s="452" t="str">
        <f t="shared" si="100"/>
        <v/>
      </c>
      <c r="AI77" s="452" t="str">
        <f t="shared" si="100"/>
        <v/>
      </c>
      <c r="AJ77" s="452" t="str">
        <f t="shared" si="100"/>
        <v/>
      </c>
      <c r="AK77" s="453" t="str">
        <f t="shared" si="100"/>
        <v/>
      </c>
      <c r="AL77" s="451" t="str">
        <f t="shared" si="100"/>
        <v/>
      </c>
      <c r="AM77" s="452" t="str">
        <f t="shared" si="100"/>
        <v/>
      </c>
      <c r="AN77" s="452" t="str">
        <f t="shared" si="100"/>
        <v/>
      </c>
      <c r="AO77" s="452" t="str">
        <f t="shared" si="100"/>
        <v/>
      </c>
      <c r="AP77" s="453" t="str">
        <f t="shared" si="100"/>
        <v/>
      </c>
      <c r="AQ77" s="451" t="str">
        <f t="shared" si="100"/>
        <v/>
      </c>
      <c r="AR77" s="452" t="str">
        <f t="shared" si="97"/>
        <v/>
      </c>
      <c r="AS77" s="452" t="str">
        <f t="shared" si="97"/>
        <v/>
      </c>
      <c r="AT77" s="452" t="str">
        <f t="shared" si="97"/>
        <v/>
      </c>
      <c r="AU77" s="453" t="str">
        <f t="shared" si="97"/>
        <v/>
      </c>
      <c r="AV77" s="451" t="str">
        <f t="shared" si="97"/>
        <v/>
      </c>
      <c r="AW77" s="452" t="str">
        <f t="shared" si="97"/>
        <v/>
      </c>
      <c r="AX77" s="452" t="str">
        <f t="shared" si="97"/>
        <v/>
      </c>
      <c r="AY77" s="452" t="str">
        <f t="shared" si="97"/>
        <v/>
      </c>
      <c r="AZ77" s="453" t="str">
        <f t="shared" si="97"/>
        <v/>
      </c>
      <c r="BA77" s="451" t="str">
        <f t="shared" si="104"/>
        <v/>
      </c>
      <c r="BB77" s="452" t="str">
        <f t="shared" si="104"/>
        <v/>
      </c>
      <c r="BC77" s="452" t="str">
        <f t="shared" si="104"/>
        <v/>
      </c>
      <c r="BD77" s="452" t="str">
        <f t="shared" si="104"/>
        <v/>
      </c>
      <c r="BE77" s="453" t="str">
        <f t="shared" si="104"/>
        <v/>
      </c>
      <c r="BF77" s="451" t="str">
        <f t="shared" si="104"/>
        <v/>
      </c>
      <c r="BG77" s="452" t="str">
        <f t="shared" si="104"/>
        <v/>
      </c>
      <c r="BH77" s="452" t="str">
        <f t="shared" si="104"/>
        <v/>
      </c>
      <c r="BI77" s="452" t="str">
        <f t="shared" si="104"/>
        <v/>
      </c>
      <c r="BJ77" s="453" t="str">
        <f t="shared" si="104"/>
        <v/>
      </c>
      <c r="BK77" s="451" t="str">
        <f t="shared" si="104"/>
        <v/>
      </c>
      <c r="BL77" s="452" t="str">
        <f t="shared" si="104"/>
        <v/>
      </c>
      <c r="BM77" s="452" t="str">
        <f t="shared" si="104"/>
        <v/>
      </c>
      <c r="BN77" s="452" t="str">
        <f t="shared" si="104"/>
        <v/>
      </c>
      <c r="BO77" s="453" t="str">
        <f t="shared" si="104"/>
        <v/>
      </c>
      <c r="BP77" s="451" t="str">
        <f t="shared" si="104"/>
        <v/>
      </c>
      <c r="BQ77" s="452" t="str">
        <f t="shared" si="92"/>
        <v/>
      </c>
      <c r="BR77" s="452" t="str">
        <f t="shared" si="92"/>
        <v/>
      </c>
      <c r="BS77" s="452" t="str">
        <f t="shared" si="92"/>
        <v/>
      </c>
      <c r="BT77" s="453" t="str">
        <f t="shared" si="92"/>
        <v/>
      </c>
      <c r="BU77" s="451" t="str">
        <f t="shared" si="92"/>
        <v/>
      </c>
      <c r="BV77" s="452" t="str">
        <f t="shared" si="92"/>
        <v/>
      </c>
      <c r="BW77" s="452" t="str">
        <f t="shared" si="92"/>
        <v/>
      </c>
      <c r="BX77" s="452" t="str">
        <f t="shared" si="92"/>
        <v/>
      </c>
      <c r="BY77" s="453" t="str">
        <f t="shared" si="108"/>
        <v/>
      </c>
      <c r="BZ77" s="451" t="str">
        <f t="shared" si="108"/>
        <v/>
      </c>
      <c r="CA77" s="452" t="str">
        <f t="shared" si="108"/>
        <v/>
      </c>
      <c r="CB77" s="452" t="str">
        <f t="shared" si="108"/>
        <v/>
      </c>
      <c r="CC77" s="452" t="str">
        <f t="shared" si="108"/>
        <v/>
      </c>
      <c r="CD77" s="453" t="str">
        <f t="shared" si="108"/>
        <v/>
      </c>
      <c r="CE77" s="451" t="str">
        <f t="shared" si="108"/>
        <v/>
      </c>
      <c r="CF77" s="452" t="str">
        <f t="shared" si="108"/>
        <v/>
      </c>
      <c r="CG77" s="452" t="str">
        <f t="shared" si="108"/>
        <v/>
      </c>
      <c r="CH77" s="452" t="str">
        <f t="shared" si="108"/>
        <v/>
      </c>
      <c r="CI77" s="453" t="str">
        <f t="shared" si="108"/>
        <v/>
      </c>
      <c r="CJ77" s="451" t="str">
        <f t="shared" si="108"/>
        <v/>
      </c>
      <c r="CK77" s="452" t="str">
        <f t="shared" si="108"/>
        <v/>
      </c>
      <c r="CL77" s="452" t="str">
        <f t="shared" si="108"/>
        <v/>
      </c>
      <c r="CM77" s="452" t="str">
        <f t="shared" si="108"/>
        <v/>
      </c>
      <c r="CN77" s="453" t="str">
        <f t="shared" si="108"/>
        <v/>
      </c>
      <c r="CO77" s="451" t="str">
        <f t="shared" ref="CO77:DD92" si="114">IF(AND(CO$2&gt;=$J77,CO$2&lt;=$K77),1,"")</f>
        <v/>
      </c>
      <c r="CP77" s="452" t="str">
        <f t="shared" si="114"/>
        <v/>
      </c>
      <c r="CQ77" s="452" t="str">
        <f t="shared" si="114"/>
        <v/>
      </c>
      <c r="CR77" s="452" t="str">
        <f t="shared" si="114"/>
        <v/>
      </c>
      <c r="CS77" s="453" t="str">
        <f t="shared" si="114"/>
        <v/>
      </c>
      <c r="CT77" s="451" t="str">
        <f t="shared" si="114"/>
        <v/>
      </c>
      <c r="CU77" s="452" t="str">
        <f t="shared" si="114"/>
        <v/>
      </c>
      <c r="CV77" s="452" t="str">
        <f t="shared" si="114"/>
        <v/>
      </c>
      <c r="CW77" s="452" t="str">
        <f t="shared" si="114"/>
        <v/>
      </c>
      <c r="CX77" s="453" t="str">
        <f t="shared" si="114"/>
        <v/>
      </c>
      <c r="CY77" s="451" t="str">
        <f t="shared" si="114"/>
        <v/>
      </c>
      <c r="CZ77" s="452" t="str">
        <f t="shared" si="114"/>
        <v/>
      </c>
      <c r="DA77" s="452" t="str">
        <f t="shared" si="114"/>
        <v/>
      </c>
      <c r="DB77" s="452" t="str">
        <f t="shared" si="114"/>
        <v/>
      </c>
      <c r="DC77" s="453" t="str">
        <f t="shared" si="114"/>
        <v/>
      </c>
      <c r="DD77" s="451" t="str">
        <f t="shared" si="109"/>
        <v/>
      </c>
      <c r="DE77" s="452" t="str">
        <f t="shared" si="109"/>
        <v/>
      </c>
      <c r="DF77" s="452" t="str">
        <f t="shared" si="109"/>
        <v/>
      </c>
      <c r="DG77" s="452" t="str">
        <f t="shared" si="109"/>
        <v/>
      </c>
      <c r="DH77" s="453" t="str">
        <f t="shared" si="109"/>
        <v/>
      </c>
      <c r="DI77" s="451" t="str">
        <f t="shared" si="109"/>
        <v/>
      </c>
      <c r="DJ77" s="452" t="str">
        <f t="shared" si="109"/>
        <v/>
      </c>
      <c r="DK77" s="452" t="str">
        <f t="shared" si="109"/>
        <v/>
      </c>
      <c r="DL77" s="452" t="str">
        <f t="shared" si="109"/>
        <v/>
      </c>
      <c r="DM77" s="453" t="str">
        <f t="shared" si="84"/>
        <v/>
      </c>
      <c r="DN77" s="451" t="str">
        <f t="shared" si="84"/>
        <v/>
      </c>
      <c r="DO77" s="452" t="str">
        <f t="shared" si="84"/>
        <v/>
      </c>
      <c r="DP77" s="452" t="str">
        <f t="shared" si="84"/>
        <v/>
      </c>
      <c r="DQ77" s="452" t="str">
        <f t="shared" si="84"/>
        <v/>
      </c>
      <c r="DR77" s="453" t="str">
        <f t="shared" si="84"/>
        <v/>
      </c>
      <c r="DS77" s="451" t="str">
        <f t="shared" si="84"/>
        <v/>
      </c>
      <c r="DT77" s="452" t="str">
        <f t="shared" si="84"/>
        <v/>
      </c>
      <c r="DU77" s="452" t="str">
        <f t="shared" si="110"/>
        <v/>
      </c>
      <c r="DV77" s="452" t="str">
        <f t="shared" si="110"/>
        <v/>
      </c>
      <c r="DW77" s="453" t="str">
        <f t="shared" si="110"/>
        <v/>
      </c>
      <c r="DX77" s="451" t="str">
        <f t="shared" si="110"/>
        <v/>
      </c>
      <c r="DY77" s="452" t="str">
        <f t="shared" si="110"/>
        <v/>
      </c>
      <c r="DZ77" s="452" t="str">
        <f t="shared" si="110"/>
        <v/>
      </c>
      <c r="EA77" s="452" t="str">
        <f t="shared" si="110"/>
        <v/>
      </c>
      <c r="EB77" s="453" t="str">
        <f t="shared" si="110"/>
        <v/>
      </c>
      <c r="EC77" s="451" t="str">
        <f t="shared" si="110"/>
        <v/>
      </c>
      <c r="ED77" s="452" t="str">
        <f t="shared" si="110"/>
        <v/>
      </c>
      <c r="EE77" s="452" t="str">
        <f t="shared" si="110"/>
        <v/>
      </c>
      <c r="EF77" s="452" t="str">
        <f t="shared" si="107"/>
        <v/>
      </c>
      <c r="EG77" s="453" t="str">
        <f t="shared" si="107"/>
        <v/>
      </c>
      <c r="EH77" s="451" t="str">
        <f t="shared" si="107"/>
        <v/>
      </c>
      <c r="EI77" s="452" t="str">
        <f t="shared" si="107"/>
        <v/>
      </c>
      <c r="EJ77" s="452" t="str">
        <f t="shared" si="107"/>
        <v/>
      </c>
      <c r="EK77" s="452" t="str">
        <f t="shared" si="107"/>
        <v/>
      </c>
      <c r="EL77" s="453" t="str">
        <f t="shared" si="107"/>
        <v/>
      </c>
      <c r="EM77" s="451" t="str">
        <f t="shared" si="107"/>
        <v/>
      </c>
      <c r="EN77" s="452" t="str">
        <f t="shared" si="107"/>
        <v/>
      </c>
      <c r="EO77" s="452" t="str">
        <f t="shared" si="107"/>
        <v/>
      </c>
      <c r="EP77" s="452" t="str">
        <f t="shared" si="107"/>
        <v/>
      </c>
      <c r="EQ77" s="453" t="str">
        <f t="shared" si="107"/>
        <v/>
      </c>
      <c r="ER77" s="451" t="str">
        <f t="shared" si="107"/>
        <v/>
      </c>
      <c r="ES77" s="452" t="str">
        <f t="shared" si="113"/>
        <v/>
      </c>
      <c r="ET77" s="452" t="str">
        <f t="shared" si="113"/>
        <v/>
      </c>
      <c r="EU77" s="452" t="str">
        <f t="shared" si="113"/>
        <v/>
      </c>
      <c r="EV77" s="453" t="str">
        <f t="shared" si="113"/>
        <v/>
      </c>
      <c r="EW77" s="451" t="str">
        <f t="shared" si="113"/>
        <v/>
      </c>
      <c r="EX77" s="452" t="str">
        <f t="shared" si="113"/>
        <v/>
      </c>
      <c r="EY77" s="452" t="str">
        <f t="shared" si="113"/>
        <v/>
      </c>
      <c r="EZ77" s="452" t="str">
        <f t="shared" si="113"/>
        <v/>
      </c>
      <c r="FA77" s="453" t="str">
        <f t="shared" si="113"/>
        <v/>
      </c>
      <c r="FB77" s="451" t="str">
        <f t="shared" si="113"/>
        <v/>
      </c>
      <c r="FC77" s="452" t="str">
        <f t="shared" si="113"/>
        <v/>
      </c>
      <c r="FD77" s="452" t="str">
        <f t="shared" si="113"/>
        <v/>
      </c>
      <c r="FE77" s="452" t="str">
        <f t="shared" si="113"/>
        <v/>
      </c>
      <c r="FF77" s="453" t="str">
        <f t="shared" si="113"/>
        <v/>
      </c>
      <c r="FG77" s="451" t="str">
        <f t="shared" si="113"/>
        <v/>
      </c>
      <c r="FH77" s="452" t="str">
        <f t="shared" si="113"/>
        <v/>
      </c>
      <c r="FI77" s="452" t="str">
        <f t="shared" si="111"/>
        <v/>
      </c>
      <c r="FJ77" s="452" t="str">
        <f t="shared" si="111"/>
        <v/>
      </c>
      <c r="FK77" s="453" t="str">
        <f t="shared" si="111"/>
        <v/>
      </c>
      <c r="FL77" s="451" t="str">
        <f t="shared" si="111"/>
        <v/>
      </c>
      <c r="FM77" s="452" t="str">
        <f t="shared" si="111"/>
        <v/>
      </c>
      <c r="FN77" s="452" t="str">
        <f t="shared" si="111"/>
        <v/>
      </c>
      <c r="FO77" s="452" t="str">
        <f t="shared" si="111"/>
        <v/>
      </c>
      <c r="FP77" s="453" t="str">
        <f t="shared" si="111"/>
        <v/>
      </c>
      <c r="FQ77" s="451" t="str">
        <f t="shared" si="111"/>
        <v/>
      </c>
      <c r="FR77" s="452" t="str">
        <f t="shared" si="111"/>
        <v/>
      </c>
      <c r="FS77" s="452" t="str">
        <f t="shared" si="111"/>
        <v/>
      </c>
      <c r="FT77" s="452" t="str">
        <f t="shared" si="111"/>
        <v/>
      </c>
      <c r="FU77" s="453" t="str">
        <f t="shared" si="111"/>
        <v/>
      </c>
      <c r="FV77" s="451" t="str">
        <f t="shared" si="111"/>
        <v/>
      </c>
      <c r="FW77" s="452" t="str">
        <f t="shared" si="111"/>
        <v/>
      </c>
      <c r="FX77" s="452" t="str">
        <f t="shared" si="103"/>
        <v/>
      </c>
      <c r="FY77" s="452" t="str">
        <f t="shared" si="103"/>
        <v/>
      </c>
      <c r="FZ77" s="453" t="str">
        <f t="shared" si="103"/>
        <v/>
      </c>
      <c r="GA77" s="451" t="str">
        <f t="shared" si="103"/>
        <v/>
      </c>
      <c r="GB77" s="452" t="str">
        <f t="shared" si="102"/>
        <v/>
      </c>
      <c r="GC77" s="452" t="str">
        <f t="shared" si="102"/>
        <v/>
      </c>
      <c r="GD77" s="452" t="str">
        <f t="shared" si="102"/>
        <v/>
      </c>
      <c r="GE77" s="453" t="str">
        <f t="shared" si="102"/>
        <v/>
      </c>
      <c r="GF77" s="451" t="str">
        <f t="shared" si="102"/>
        <v/>
      </c>
      <c r="GG77" s="452" t="str">
        <f t="shared" si="102"/>
        <v/>
      </c>
      <c r="GH77" s="452" t="str">
        <f t="shared" si="98"/>
        <v/>
      </c>
      <c r="GI77" s="452" t="str">
        <f t="shared" si="98"/>
        <v/>
      </c>
      <c r="GJ77" s="453" t="str">
        <f t="shared" si="98"/>
        <v/>
      </c>
      <c r="GK77" s="451" t="str">
        <f t="shared" si="98"/>
        <v/>
      </c>
      <c r="GL77" s="452" t="str">
        <f t="shared" si="98"/>
        <v/>
      </c>
      <c r="GM77" s="452" t="str">
        <f t="shared" si="98"/>
        <v/>
      </c>
      <c r="GN77" s="452" t="str">
        <f t="shared" si="98"/>
        <v/>
      </c>
      <c r="GO77" s="453" t="str">
        <f t="shared" si="98"/>
        <v/>
      </c>
      <c r="GP77" s="451" t="str">
        <f t="shared" si="96"/>
        <v/>
      </c>
      <c r="GQ77" s="452" t="str">
        <f t="shared" si="96"/>
        <v/>
      </c>
      <c r="GR77" s="452" t="str">
        <f t="shared" si="96"/>
        <v/>
      </c>
      <c r="GS77" s="452" t="str">
        <f t="shared" si="96"/>
        <v/>
      </c>
      <c r="GT77" s="453" t="str">
        <f t="shared" si="96"/>
        <v/>
      </c>
      <c r="GU77" s="451" t="str">
        <f t="shared" si="96"/>
        <v/>
      </c>
      <c r="GV77" s="452" t="str">
        <f t="shared" si="96"/>
        <v/>
      </c>
      <c r="GW77" s="452" t="str">
        <f t="shared" si="96"/>
        <v/>
      </c>
      <c r="GX77" s="452" t="str">
        <f t="shared" si="96"/>
        <v/>
      </c>
      <c r="GY77" s="453" t="str">
        <f t="shared" si="96"/>
        <v/>
      </c>
      <c r="GZ77" s="451" t="str">
        <f t="shared" si="96"/>
        <v/>
      </c>
      <c r="HA77" s="452" t="str">
        <f t="shared" si="86"/>
        <v/>
      </c>
      <c r="HB77" s="452" t="str">
        <f t="shared" si="86"/>
        <v/>
      </c>
      <c r="HC77" s="452" t="str">
        <f t="shared" si="86"/>
        <v/>
      </c>
      <c r="HD77" s="453" t="str">
        <f t="shared" si="86"/>
        <v/>
      </c>
      <c r="HE77" s="451" t="str">
        <f t="shared" si="86"/>
        <v/>
      </c>
      <c r="HF77" s="452" t="str">
        <f t="shared" si="86"/>
        <v/>
      </c>
      <c r="HG77" s="452" t="str">
        <f t="shared" si="94"/>
        <v/>
      </c>
      <c r="HH77" s="452" t="str">
        <f t="shared" si="94"/>
        <v/>
      </c>
      <c r="HI77" s="453" t="str">
        <f t="shared" si="94"/>
        <v/>
      </c>
      <c r="HJ77" s="451" t="str">
        <f t="shared" si="94"/>
        <v/>
      </c>
      <c r="HK77" s="452" t="str">
        <f t="shared" si="94"/>
        <v/>
      </c>
      <c r="HL77" s="452" t="str">
        <f t="shared" si="94"/>
        <v/>
      </c>
      <c r="HM77" s="452" t="str">
        <f t="shared" si="94"/>
        <v/>
      </c>
      <c r="HN77" s="453" t="str">
        <f t="shared" si="94"/>
        <v/>
      </c>
      <c r="HO77" s="451" t="str">
        <f t="shared" si="94"/>
        <v/>
      </c>
      <c r="HP77" s="452" t="str">
        <f t="shared" si="94"/>
        <v/>
      </c>
      <c r="HQ77" s="452" t="str">
        <f t="shared" si="94"/>
        <v/>
      </c>
      <c r="HR77" s="452" t="str">
        <f t="shared" si="94"/>
        <v/>
      </c>
      <c r="HS77" s="453" t="str">
        <f t="shared" si="94"/>
        <v/>
      </c>
      <c r="HT77" s="451" t="str">
        <f t="shared" si="94"/>
        <v/>
      </c>
      <c r="HU77" s="452" t="str">
        <f t="shared" si="94"/>
        <v/>
      </c>
      <c r="HV77" s="452" t="str">
        <f t="shared" ref="HV77:IK92" si="115">IF(AND(HV$2&gt;=$J77,HV$2&lt;=$K77),1,"")</f>
        <v/>
      </c>
      <c r="HW77" s="452" t="str">
        <f t="shared" si="115"/>
        <v/>
      </c>
      <c r="HX77" s="453" t="str">
        <f t="shared" si="115"/>
        <v/>
      </c>
      <c r="HY77" s="451" t="str">
        <f t="shared" si="87"/>
        <v/>
      </c>
      <c r="HZ77" s="452" t="str">
        <f t="shared" si="99"/>
        <v/>
      </c>
      <c r="IA77" s="452" t="str">
        <f t="shared" si="99"/>
        <v/>
      </c>
      <c r="IB77" s="452" t="str">
        <f t="shared" si="99"/>
        <v/>
      </c>
      <c r="IC77" s="453" t="str">
        <f t="shared" si="99"/>
        <v/>
      </c>
      <c r="ID77" s="451" t="str">
        <f t="shared" si="99"/>
        <v/>
      </c>
      <c r="IE77" s="452" t="str">
        <f t="shared" si="99"/>
        <v/>
      </c>
      <c r="IF77" s="452" t="str">
        <f t="shared" si="99"/>
        <v/>
      </c>
      <c r="IG77" s="452" t="str">
        <f t="shared" si="99"/>
        <v/>
      </c>
      <c r="IH77" s="453" t="str">
        <f t="shared" si="99"/>
        <v/>
      </c>
      <c r="II77" s="451" t="str">
        <f t="shared" si="99"/>
        <v/>
      </c>
      <c r="IJ77" s="452" t="str">
        <f t="shared" si="99"/>
        <v/>
      </c>
      <c r="IK77" s="452" t="str">
        <f t="shared" si="99"/>
        <v/>
      </c>
      <c r="IL77" s="452" t="str">
        <f t="shared" si="99"/>
        <v/>
      </c>
      <c r="IM77" s="453" t="str">
        <f t="shared" si="99"/>
        <v/>
      </c>
      <c r="IN77" s="451" t="str">
        <f t="shared" si="99"/>
        <v/>
      </c>
      <c r="IO77" s="452" t="str">
        <f t="shared" si="88"/>
        <v/>
      </c>
      <c r="IP77" s="452" t="str">
        <f t="shared" si="88"/>
        <v/>
      </c>
      <c r="IQ77" s="452" t="str">
        <f t="shared" si="88"/>
        <v/>
      </c>
      <c r="IR77" s="453" t="str">
        <f t="shared" si="88"/>
        <v/>
      </c>
    </row>
    <row r="78" spans="1:252" x14ac:dyDescent="0.2">
      <c r="A78" s="461">
        <v>7.8</v>
      </c>
      <c r="C78" s="447" t="s">
        <v>1358</v>
      </c>
      <c r="D78" s="447"/>
      <c r="E78" s="448"/>
      <c r="F78" s="448"/>
      <c r="G78" s="448"/>
      <c r="H78" s="448"/>
      <c r="I78" s="448"/>
      <c r="J78" s="449" t="str">
        <f t="shared" si="105"/>
        <v/>
      </c>
      <c r="K78" s="449" t="str">
        <f t="shared" si="106"/>
        <v/>
      </c>
      <c r="L78" s="450">
        <f t="shared" si="101"/>
        <v>0</v>
      </c>
      <c r="M78" s="451" t="str">
        <f t="shared" si="112"/>
        <v/>
      </c>
      <c r="N78" s="452" t="str">
        <f t="shared" si="112"/>
        <v/>
      </c>
      <c r="O78" s="452" t="str">
        <f t="shared" si="112"/>
        <v/>
      </c>
      <c r="P78" s="452" t="str">
        <f t="shared" si="112"/>
        <v/>
      </c>
      <c r="Q78" s="453" t="str">
        <f t="shared" si="112"/>
        <v/>
      </c>
      <c r="R78" s="451" t="str">
        <f t="shared" si="112"/>
        <v/>
      </c>
      <c r="S78" s="452" t="str">
        <f t="shared" si="112"/>
        <v/>
      </c>
      <c r="T78" s="452" t="str">
        <f t="shared" si="112"/>
        <v/>
      </c>
      <c r="U78" s="452" t="str">
        <f t="shared" si="112"/>
        <v/>
      </c>
      <c r="V78" s="453" t="str">
        <f t="shared" si="112"/>
        <v/>
      </c>
      <c r="W78" s="451" t="str">
        <f t="shared" si="112"/>
        <v/>
      </c>
      <c r="X78" s="452" t="str">
        <f t="shared" si="112"/>
        <v/>
      </c>
      <c r="Y78" s="452" t="str">
        <f t="shared" si="112"/>
        <v/>
      </c>
      <c r="Z78" s="452" t="str">
        <f t="shared" si="112"/>
        <v/>
      </c>
      <c r="AA78" s="453" t="str">
        <f t="shared" si="112"/>
        <v/>
      </c>
      <c r="AB78" s="451" t="str">
        <f t="shared" si="112"/>
        <v/>
      </c>
      <c r="AC78" s="452" t="str">
        <f t="shared" si="100"/>
        <v/>
      </c>
      <c r="AD78" s="452" t="str">
        <f t="shared" si="100"/>
        <v/>
      </c>
      <c r="AE78" s="452" t="str">
        <f t="shared" si="100"/>
        <v/>
      </c>
      <c r="AF78" s="453" t="str">
        <f t="shared" si="100"/>
        <v/>
      </c>
      <c r="AG78" s="451" t="str">
        <f t="shared" si="100"/>
        <v/>
      </c>
      <c r="AH78" s="452" t="str">
        <f t="shared" si="100"/>
        <v/>
      </c>
      <c r="AI78" s="452" t="str">
        <f t="shared" si="100"/>
        <v/>
      </c>
      <c r="AJ78" s="452" t="str">
        <f t="shared" si="100"/>
        <v/>
      </c>
      <c r="AK78" s="453" t="str">
        <f t="shared" si="100"/>
        <v/>
      </c>
      <c r="AL78" s="451" t="str">
        <f t="shared" si="100"/>
        <v/>
      </c>
      <c r="AM78" s="452" t="str">
        <f t="shared" si="100"/>
        <v/>
      </c>
      <c r="AN78" s="452" t="str">
        <f t="shared" si="100"/>
        <v/>
      </c>
      <c r="AO78" s="452" t="str">
        <f t="shared" si="100"/>
        <v/>
      </c>
      <c r="AP78" s="453" t="str">
        <f t="shared" si="100"/>
        <v/>
      </c>
      <c r="AQ78" s="451" t="str">
        <f t="shared" si="100"/>
        <v/>
      </c>
      <c r="AR78" s="452" t="str">
        <f t="shared" si="97"/>
        <v/>
      </c>
      <c r="AS78" s="452" t="str">
        <f t="shared" si="97"/>
        <v/>
      </c>
      <c r="AT78" s="452" t="str">
        <f t="shared" si="97"/>
        <v/>
      </c>
      <c r="AU78" s="453" t="str">
        <f t="shared" si="97"/>
        <v/>
      </c>
      <c r="AV78" s="451" t="str">
        <f t="shared" si="97"/>
        <v/>
      </c>
      <c r="AW78" s="452" t="str">
        <f t="shared" si="97"/>
        <v/>
      </c>
      <c r="AX78" s="452" t="str">
        <f t="shared" si="97"/>
        <v/>
      </c>
      <c r="AY78" s="452" t="str">
        <f t="shared" si="97"/>
        <v/>
      </c>
      <c r="AZ78" s="453" t="str">
        <f t="shared" si="97"/>
        <v/>
      </c>
      <c r="BA78" s="451" t="str">
        <f t="shared" si="104"/>
        <v/>
      </c>
      <c r="BB78" s="452" t="str">
        <f t="shared" si="104"/>
        <v/>
      </c>
      <c r="BC78" s="452" t="str">
        <f t="shared" si="104"/>
        <v/>
      </c>
      <c r="BD78" s="452" t="str">
        <f t="shared" si="104"/>
        <v/>
      </c>
      <c r="BE78" s="453" t="str">
        <f t="shared" si="104"/>
        <v/>
      </c>
      <c r="BF78" s="451" t="str">
        <f t="shared" si="104"/>
        <v/>
      </c>
      <c r="BG78" s="452" t="str">
        <f t="shared" si="104"/>
        <v/>
      </c>
      <c r="BH78" s="452" t="str">
        <f t="shared" si="104"/>
        <v/>
      </c>
      <c r="BI78" s="452" t="str">
        <f t="shared" si="104"/>
        <v/>
      </c>
      <c r="BJ78" s="453" t="str">
        <f t="shared" si="104"/>
        <v/>
      </c>
      <c r="BK78" s="451" t="str">
        <f t="shared" si="104"/>
        <v/>
      </c>
      <c r="BL78" s="452" t="str">
        <f t="shared" si="104"/>
        <v/>
      </c>
      <c r="BM78" s="452" t="str">
        <f t="shared" si="104"/>
        <v/>
      </c>
      <c r="BN78" s="452" t="str">
        <f t="shared" si="104"/>
        <v/>
      </c>
      <c r="BO78" s="453" t="str">
        <f t="shared" si="104"/>
        <v/>
      </c>
      <c r="BP78" s="451" t="str">
        <f t="shared" si="104"/>
        <v/>
      </c>
      <c r="BQ78" s="452" t="str">
        <f t="shared" si="92"/>
        <v/>
      </c>
      <c r="BR78" s="452" t="str">
        <f t="shared" si="92"/>
        <v/>
      </c>
      <c r="BS78" s="452" t="str">
        <f t="shared" si="92"/>
        <v/>
      </c>
      <c r="BT78" s="453" t="str">
        <f t="shared" si="92"/>
        <v/>
      </c>
      <c r="BU78" s="451" t="str">
        <f t="shared" si="92"/>
        <v/>
      </c>
      <c r="BV78" s="452" t="str">
        <f t="shared" si="92"/>
        <v/>
      </c>
      <c r="BW78" s="452" t="str">
        <f t="shared" si="92"/>
        <v/>
      </c>
      <c r="BX78" s="452" t="str">
        <f t="shared" si="92"/>
        <v/>
      </c>
      <c r="BY78" s="453" t="str">
        <f t="shared" si="108"/>
        <v/>
      </c>
      <c r="BZ78" s="451" t="str">
        <f t="shared" si="108"/>
        <v/>
      </c>
      <c r="CA78" s="452" t="str">
        <f t="shared" si="108"/>
        <v/>
      </c>
      <c r="CB78" s="452" t="str">
        <f t="shared" si="108"/>
        <v/>
      </c>
      <c r="CC78" s="452" t="str">
        <f t="shared" si="108"/>
        <v/>
      </c>
      <c r="CD78" s="453" t="str">
        <f t="shared" si="108"/>
        <v/>
      </c>
      <c r="CE78" s="451" t="str">
        <f t="shared" si="108"/>
        <v/>
      </c>
      <c r="CF78" s="452" t="str">
        <f t="shared" si="108"/>
        <v/>
      </c>
      <c r="CG78" s="452" t="str">
        <f t="shared" si="108"/>
        <v/>
      </c>
      <c r="CH78" s="452" t="str">
        <f t="shared" si="108"/>
        <v/>
      </c>
      <c r="CI78" s="453" t="str">
        <f t="shared" si="108"/>
        <v/>
      </c>
      <c r="CJ78" s="451" t="str">
        <f t="shared" si="108"/>
        <v/>
      </c>
      <c r="CK78" s="452" t="str">
        <f t="shared" si="108"/>
        <v/>
      </c>
      <c r="CL78" s="452" t="str">
        <f t="shared" si="108"/>
        <v/>
      </c>
      <c r="CM78" s="452" t="str">
        <f t="shared" si="108"/>
        <v/>
      </c>
      <c r="CN78" s="453" t="str">
        <f t="shared" si="108"/>
        <v/>
      </c>
      <c r="CO78" s="451" t="str">
        <f t="shared" si="114"/>
        <v/>
      </c>
      <c r="CP78" s="452" t="str">
        <f t="shared" si="114"/>
        <v/>
      </c>
      <c r="CQ78" s="452" t="str">
        <f t="shared" si="114"/>
        <v/>
      </c>
      <c r="CR78" s="452" t="str">
        <f t="shared" si="114"/>
        <v/>
      </c>
      <c r="CS78" s="453" t="str">
        <f t="shared" si="114"/>
        <v/>
      </c>
      <c r="CT78" s="451" t="str">
        <f t="shared" si="114"/>
        <v/>
      </c>
      <c r="CU78" s="452" t="str">
        <f t="shared" si="114"/>
        <v/>
      </c>
      <c r="CV78" s="452" t="str">
        <f t="shared" si="114"/>
        <v/>
      </c>
      <c r="CW78" s="452" t="str">
        <f t="shared" si="114"/>
        <v/>
      </c>
      <c r="CX78" s="453" t="str">
        <f t="shared" si="114"/>
        <v/>
      </c>
      <c r="CY78" s="451" t="str">
        <f t="shared" si="114"/>
        <v/>
      </c>
      <c r="CZ78" s="452" t="str">
        <f t="shared" si="114"/>
        <v/>
      </c>
      <c r="DA78" s="452" t="str">
        <f t="shared" si="114"/>
        <v/>
      </c>
      <c r="DB78" s="452" t="str">
        <f t="shared" si="114"/>
        <v/>
      </c>
      <c r="DC78" s="453" t="str">
        <f t="shared" si="114"/>
        <v/>
      </c>
      <c r="DD78" s="451" t="str">
        <f t="shared" si="109"/>
        <v/>
      </c>
      <c r="DE78" s="452" t="str">
        <f t="shared" si="109"/>
        <v/>
      </c>
      <c r="DF78" s="452" t="str">
        <f t="shared" si="109"/>
        <v/>
      </c>
      <c r="DG78" s="452" t="str">
        <f t="shared" si="109"/>
        <v/>
      </c>
      <c r="DH78" s="453" t="str">
        <f t="shared" si="109"/>
        <v/>
      </c>
      <c r="DI78" s="451" t="str">
        <f t="shared" si="109"/>
        <v/>
      </c>
      <c r="DJ78" s="452" t="str">
        <f t="shared" si="109"/>
        <v/>
      </c>
      <c r="DK78" s="452" t="str">
        <f t="shared" si="109"/>
        <v/>
      </c>
      <c r="DL78" s="452" t="str">
        <f t="shared" si="109"/>
        <v/>
      </c>
      <c r="DM78" s="453" t="str">
        <f t="shared" si="84"/>
        <v/>
      </c>
      <c r="DN78" s="451" t="str">
        <f t="shared" si="84"/>
        <v/>
      </c>
      <c r="DO78" s="452" t="str">
        <f t="shared" si="84"/>
        <v/>
      </c>
      <c r="DP78" s="452" t="str">
        <f t="shared" si="84"/>
        <v/>
      </c>
      <c r="DQ78" s="452" t="str">
        <f t="shared" si="84"/>
        <v/>
      </c>
      <c r="DR78" s="453" t="str">
        <f t="shared" si="84"/>
        <v/>
      </c>
      <c r="DS78" s="451" t="str">
        <f t="shared" si="84"/>
        <v/>
      </c>
      <c r="DT78" s="452" t="str">
        <f t="shared" si="84"/>
        <v/>
      </c>
      <c r="DU78" s="452" t="str">
        <f t="shared" si="110"/>
        <v/>
      </c>
      <c r="DV78" s="452" t="str">
        <f t="shared" si="110"/>
        <v/>
      </c>
      <c r="DW78" s="453" t="str">
        <f t="shared" si="110"/>
        <v/>
      </c>
      <c r="DX78" s="451" t="str">
        <f t="shared" si="110"/>
        <v/>
      </c>
      <c r="DY78" s="452" t="str">
        <f t="shared" si="110"/>
        <v/>
      </c>
      <c r="DZ78" s="452" t="str">
        <f t="shared" si="110"/>
        <v/>
      </c>
      <c r="EA78" s="452" t="str">
        <f t="shared" si="110"/>
        <v/>
      </c>
      <c r="EB78" s="453" t="str">
        <f t="shared" si="110"/>
        <v/>
      </c>
      <c r="EC78" s="451" t="str">
        <f t="shared" si="110"/>
        <v/>
      </c>
      <c r="ED78" s="452" t="str">
        <f t="shared" si="110"/>
        <v/>
      </c>
      <c r="EE78" s="452" t="str">
        <f t="shared" si="110"/>
        <v/>
      </c>
      <c r="EF78" s="452" t="str">
        <f t="shared" si="107"/>
        <v/>
      </c>
      <c r="EG78" s="453" t="str">
        <f t="shared" si="107"/>
        <v/>
      </c>
      <c r="EH78" s="451" t="str">
        <f t="shared" si="107"/>
        <v/>
      </c>
      <c r="EI78" s="452" t="str">
        <f t="shared" si="107"/>
        <v/>
      </c>
      <c r="EJ78" s="452" t="str">
        <f t="shared" si="107"/>
        <v/>
      </c>
      <c r="EK78" s="452" t="str">
        <f t="shared" si="107"/>
        <v/>
      </c>
      <c r="EL78" s="453" t="str">
        <f t="shared" si="107"/>
        <v/>
      </c>
      <c r="EM78" s="451" t="str">
        <f t="shared" si="107"/>
        <v/>
      </c>
      <c r="EN78" s="452" t="str">
        <f t="shared" si="107"/>
        <v/>
      </c>
      <c r="EO78" s="452" t="str">
        <f t="shared" si="107"/>
        <v/>
      </c>
      <c r="EP78" s="452" t="str">
        <f t="shared" si="107"/>
        <v/>
      </c>
      <c r="EQ78" s="453" t="str">
        <f t="shared" si="107"/>
        <v/>
      </c>
      <c r="ER78" s="451" t="str">
        <f t="shared" si="107"/>
        <v/>
      </c>
      <c r="ES78" s="452" t="str">
        <f t="shared" si="113"/>
        <v/>
      </c>
      <c r="ET78" s="452" t="str">
        <f t="shared" si="113"/>
        <v/>
      </c>
      <c r="EU78" s="452" t="str">
        <f t="shared" si="113"/>
        <v/>
      </c>
      <c r="EV78" s="453" t="str">
        <f t="shared" si="113"/>
        <v/>
      </c>
      <c r="EW78" s="451" t="str">
        <f t="shared" si="113"/>
        <v/>
      </c>
      <c r="EX78" s="452" t="str">
        <f t="shared" si="113"/>
        <v/>
      </c>
      <c r="EY78" s="452" t="str">
        <f t="shared" si="113"/>
        <v/>
      </c>
      <c r="EZ78" s="452" t="str">
        <f t="shared" si="113"/>
        <v/>
      </c>
      <c r="FA78" s="453" t="str">
        <f t="shared" si="113"/>
        <v/>
      </c>
      <c r="FB78" s="451" t="str">
        <f t="shared" si="113"/>
        <v/>
      </c>
      <c r="FC78" s="452" t="str">
        <f t="shared" si="113"/>
        <v/>
      </c>
      <c r="FD78" s="452" t="str">
        <f t="shared" si="113"/>
        <v/>
      </c>
      <c r="FE78" s="452" t="str">
        <f t="shared" si="113"/>
        <v/>
      </c>
      <c r="FF78" s="453" t="str">
        <f t="shared" si="113"/>
        <v/>
      </c>
      <c r="FG78" s="451" t="str">
        <f t="shared" si="113"/>
        <v/>
      </c>
      <c r="FH78" s="452" t="str">
        <f t="shared" si="113"/>
        <v/>
      </c>
      <c r="FI78" s="452" t="str">
        <f t="shared" si="111"/>
        <v/>
      </c>
      <c r="FJ78" s="452" t="str">
        <f t="shared" si="111"/>
        <v/>
      </c>
      <c r="FK78" s="453" t="str">
        <f t="shared" si="111"/>
        <v/>
      </c>
      <c r="FL78" s="451" t="str">
        <f t="shared" si="111"/>
        <v/>
      </c>
      <c r="FM78" s="452" t="str">
        <f t="shared" si="111"/>
        <v/>
      </c>
      <c r="FN78" s="452" t="str">
        <f t="shared" si="111"/>
        <v/>
      </c>
      <c r="FO78" s="452" t="str">
        <f t="shared" si="111"/>
        <v/>
      </c>
      <c r="FP78" s="453" t="str">
        <f t="shared" si="111"/>
        <v/>
      </c>
      <c r="FQ78" s="451" t="str">
        <f t="shared" si="111"/>
        <v/>
      </c>
      <c r="FR78" s="452" t="str">
        <f t="shared" si="111"/>
        <v/>
      </c>
      <c r="FS78" s="452" t="str">
        <f t="shared" si="111"/>
        <v/>
      </c>
      <c r="FT78" s="452" t="str">
        <f t="shared" si="111"/>
        <v/>
      </c>
      <c r="FU78" s="453" t="str">
        <f t="shared" si="111"/>
        <v/>
      </c>
      <c r="FV78" s="451" t="str">
        <f t="shared" si="111"/>
        <v/>
      </c>
      <c r="FW78" s="452" t="str">
        <f t="shared" si="111"/>
        <v/>
      </c>
      <c r="FX78" s="452" t="str">
        <f t="shared" si="103"/>
        <v/>
      </c>
      <c r="FY78" s="452" t="str">
        <f t="shared" si="103"/>
        <v/>
      </c>
      <c r="FZ78" s="453" t="str">
        <f t="shared" si="103"/>
        <v/>
      </c>
      <c r="GA78" s="451" t="str">
        <f t="shared" si="103"/>
        <v/>
      </c>
      <c r="GB78" s="452" t="str">
        <f t="shared" si="102"/>
        <v/>
      </c>
      <c r="GC78" s="452" t="str">
        <f t="shared" si="102"/>
        <v/>
      </c>
      <c r="GD78" s="452" t="str">
        <f t="shared" si="102"/>
        <v/>
      </c>
      <c r="GE78" s="453" t="str">
        <f t="shared" si="102"/>
        <v/>
      </c>
      <c r="GF78" s="451" t="str">
        <f t="shared" si="102"/>
        <v/>
      </c>
      <c r="GG78" s="452" t="str">
        <f t="shared" si="102"/>
        <v/>
      </c>
      <c r="GH78" s="452" t="str">
        <f t="shared" si="98"/>
        <v/>
      </c>
      <c r="GI78" s="452" t="str">
        <f t="shared" si="98"/>
        <v/>
      </c>
      <c r="GJ78" s="453" t="str">
        <f t="shared" si="98"/>
        <v/>
      </c>
      <c r="GK78" s="451" t="str">
        <f t="shared" si="98"/>
        <v/>
      </c>
      <c r="GL78" s="452" t="str">
        <f t="shared" si="98"/>
        <v/>
      </c>
      <c r="GM78" s="452" t="str">
        <f t="shared" si="98"/>
        <v/>
      </c>
      <c r="GN78" s="452" t="str">
        <f t="shared" si="98"/>
        <v/>
      </c>
      <c r="GO78" s="453" t="str">
        <f t="shared" si="98"/>
        <v/>
      </c>
      <c r="GP78" s="451" t="str">
        <f t="shared" si="96"/>
        <v/>
      </c>
      <c r="GQ78" s="452" t="str">
        <f t="shared" si="96"/>
        <v/>
      </c>
      <c r="GR78" s="452" t="str">
        <f t="shared" si="96"/>
        <v/>
      </c>
      <c r="GS78" s="452" t="str">
        <f t="shared" si="96"/>
        <v/>
      </c>
      <c r="GT78" s="453" t="str">
        <f t="shared" si="96"/>
        <v/>
      </c>
      <c r="GU78" s="451" t="str">
        <f t="shared" si="96"/>
        <v/>
      </c>
      <c r="GV78" s="452" t="str">
        <f t="shared" si="96"/>
        <v/>
      </c>
      <c r="GW78" s="452" t="str">
        <f t="shared" si="96"/>
        <v/>
      </c>
      <c r="GX78" s="452" t="str">
        <f t="shared" si="96"/>
        <v/>
      </c>
      <c r="GY78" s="453" t="str">
        <f t="shared" si="96"/>
        <v/>
      </c>
      <c r="GZ78" s="451" t="str">
        <f t="shared" si="96"/>
        <v/>
      </c>
      <c r="HA78" s="452" t="str">
        <f t="shared" si="86"/>
        <v/>
      </c>
      <c r="HB78" s="452" t="str">
        <f t="shared" si="86"/>
        <v/>
      </c>
      <c r="HC78" s="452" t="str">
        <f t="shared" si="86"/>
        <v/>
      </c>
      <c r="HD78" s="453" t="str">
        <f t="shared" si="86"/>
        <v/>
      </c>
      <c r="HE78" s="451" t="str">
        <f t="shared" si="86"/>
        <v/>
      </c>
      <c r="HF78" s="452" t="str">
        <f t="shared" si="86"/>
        <v/>
      </c>
      <c r="HG78" s="452" t="str">
        <f t="shared" ref="HG78:HV93" si="116">IF(AND(HG$2&gt;=$J78,HG$2&lt;=$K78),1,"")</f>
        <v/>
      </c>
      <c r="HH78" s="452" t="str">
        <f t="shared" si="116"/>
        <v/>
      </c>
      <c r="HI78" s="453" t="str">
        <f t="shared" si="116"/>
        <v/>
      </c>
      <c r="HJ78" s="451" t="str">
        <f t="shared" si="116"/>
        <v/>
      </c>
      <c r="HK78" s="452" t="str">
        <f t="shared" si="116"/>
        <v/>
      </c>
      <c r="HL78" s="452" t="str">
        <f t="shared" si="116"/>
        <v/>
      </c>
      <c r="HM78" s="452" t="str">
        <f t="shared" si="116"/>
        <v/>
      </c>
      <c r="HN78" s="453" t="str">
        <f t="shared" si="116"/>
        <v/>
      </c>
      <c r="HO78" s="451" t="str">
        <f t="shared" si="116"/>
        <v/>
      </c>
      <c r="HP78" s="452" t="str">
        <f t="shared" si="116"/>
        <v/>
      </c>
      <c r="HQ78" s="452" t="str">
        <f t="shared" si="116"/>
        <v/>
      </c>
      <c r="HR78" s="452" t="str">
        <f t="shared" si="116"/>
        <v/>
      </c>
      <c r="HS78" s="453" t="str">
        <f t="shared" si="116"/>
        <v/>
      </c>
      <c r="HT78" s="451" t="str">
        <f t="shared" si="116"/>
        <v/>
      </c>
      <c r="HU78" s="452" t="str">
        <f t="shared" si="116"/>
        <v/>
      </c>
      <c r="HV78" s="452" t="str">
        <f t="shared" si="116"/>
        <v/>
      </c>
      <c r="HW78" s="452" t="str">
        <f t="shared" si="115"/>
        <v/>
      </c>
      <c r="HX78" s="453" t="str">
        <f t="shared" si="115"/>
        <v/>
      </c>
      <c r="HY78" s="451" t="str">
        <f t="shared" si="87"/>
        <v/>
      </c>
      <c r="HZ78" s="452" t="str">
        <f t="shared" si="99"/>
        <v/>
      </c>
      <c r="IA78" s="452" t="str">
        <f t="shared" si="99"/>
        <v/>
      </c>
      <c r="IB78" s="452" t="str">
        <f t="shared" si="99"/>
        <v/>
      </c>
      <c r="IC78" s="453" t="str">
        <f t="shared" si="99"/>
        <v/>
      </c>
      <c r="ID78" s="451" t="str">
        <f t="shared" si="99"/>
        <v/>
      </c>
      <c r="IE78" s="452" t="str">
        <f t="shared" si="99"/>
        <v/>
      </c>
      <c r="IF78" s="452" t="str">
        <f t="shared" si="99"/>
        <v/>
      </c>
      <c r="IG78" s="452" t="str">
        <f t="shared" si="99"/>
        <v/>
      </c>
      <c r="IH78" s="453" t="str">
        <f t="shared" si="99"/>
        <v/>
      </c>
      <c r="II78" s="451" t="str">
        <f t="shared" si="99"/>
        <v/>
      </c>
      <c r="IJ78" s="452" t="str">
        <f t="shared" si="99"/>
        <v/>
      </c>
      <c r="IK78" s="452" t="str">
        <f t="shared" si="99"/>
        <v/>
      </c>
      <c r="IL78" s="452" t="str">
        <f t="shared" si="99"/>
        <v/>
      </c>
      <c r="IM78" s="453" t="str">
        <f t="shared" si="99"/>
        <v/>
      </c>
      <c r="IN78" s="451" t="str">
        <f t="shared" si="99"/>
        <v/>
      </c>
      <c r="IO78" s="452" t="str">
        <f t="shared" si="88"/>
        <v/>
      </c>
      <c r="IP78" s="452" t="str">
        <f t="shared" si="88"/>
        <v/>
      </c>
      <c r="IQ78" s="452" t="str">
        <f t="shared" si="88"/>
        <v/>
      </c>
      <c r="IR78" s="453" t="str">
        <f t="shared" si="88"/>
        <v/>
      </c>
    </row>
    <row r="79" spans="1:252" x14ac:dyDescent="0.2">
      <c r="A79" s="461">
        <v>7.9</v>
      </c>
      <c r="C79" s="447" t="s">
        <v>1359</v>
      </c>
      <c r="D79" s="447"/>
      <c r="E79" s="448"/>
      <c r="F79" s="448"/>
      <c r="G79" s="448"/>
      <c r="H79" s="448"/>
      <c r="I79" s="448"/>
      <c r="J79" s="449" t="str">
        <f t="shared" si="105"/>
        <v/>
      </c>
      <c r="K79" s="449" t="str">
        <f t="shared" si="106"/>
        <v/>
      </c>
      <c r="L79" s="450">
        <f t="shared" si="101"/>
        <v>0</v>
      </c>
      <c r="M79" s="451" t="str">
        <f t="shared" si="112"/>
        <v/>
      </c>
      <c r="N79" s="452" t="str">
        <f t="shared" si="112"/>
        <v/>
      </c>
      <c r="O79" s="452" t="str">
        <f t="shared" si="112"/>
        <v/>
      </c>
      <c r="P79" s="452" t="str">
        <f t="shared" si="112"/>
        <v/>
      </c>
      <c r="Q79" s="453" t="str">
        <f t="shared" si="112"/>
        <v/>
      </c>
      <c r="R79" s="451" t="str">
        <f t="shared" si="112"/>
        <v/>
      </c>
      <c r="S79" s="452" t="str">
        <f t="shared" si="112"/>
        <v/>
      </c>
      <c r="T79" s="452" t="str">
        <f t="shared" si="112"/>
        <v/>
      </c>
      <c r="U79" s="452" t="str">
        <f t="shared" si="112"/>
        <v/>
      </c>
      <c r="V79" s="453" t="str">
        <f t="shared" si="112"/>
        <v/>
      </c>
      <c r="W79" s="451" t="str">
        <f t="shared" si="112"/>
        <v/>
      </c>
      <c r="X79" s="452" t="str">
        <f t="shared" si="112"/>
        <v/>
      </c>
      <c r="Y79" s="452" t="str">
        <f t="shared" si="112"/>
        <v/>
      </c>
      <c r="Z79" s="452" t="str">
        <f t="shared" si="112"/>
        <v/>
      </c>
      <c r="AA79" s="453" t="str">
        <f t="shared" si="112"/>
        <v/>
      </c>
      <c r="AB79" s="451" t="str">
        <f t="shared" si="112"/>
        <v/>
      </c>
      <c r="AC79" s="452" t="str">
        <f t="shared" si="100"/>
        <v/>
      </c>
      <c r="AD79" s="452" t="str">
        <f t="shared" si="100"/>
        <v/>
      </c>
      <c r="AE79" s="452" t="str">
        <f t="shared" si="100"/>
        <v/>
      </c>
      <c r="AF79" s="453" t="str">
        <f t="shared" si="100"/>
        <v/>
      </c>
      <c r="AG79" s="451" t="str">
        <f t="shared" si="100"/>
        <v/>
      </c>
      <c r="AH79" s="452" t="str">
        <f t="shared" si="100"/>
        <v/>
      </c>
      <c r="AI79" s="452" t="str">
        <f t="shared" si="100"/>
        <v/>
      </c>
      <c r="AJ79" s="452" t="str">
        <f t="shared" si="100"/>
        <v/>
      </c>
      <c r="AK79" s="453" t="str">
        <f t="shared" si="100"/>
        <v/>
      </c>
      <c r="AL79" s="451" t="str">
        <f t="shared" si="100"/>
        <v/>
      </c>
      <c r="AM79" s="452" t="str">
        <f t="shared" si="100"/>
        <v/>
      </c>
      <c r="AN79" s="452" t="str">
        <f t="shared" si="100"/>
        <v/>
      </c>
      <c r="AO79" s="452" t="str">
        <f t="shared" si="100"/>
        <v/>
      </c>
      <c r="AP79" s="453" t="str">
        <f t="shared" si="100"/>
        <v/>
      </c>
      <c r="AQ79" s="451" t="str">
        <f t="shared" si="100"/>
        <v/>
      </c>
      <c r="AR79" s="452" t="str">
        <f t="shared" si="97"/>
        <v/>
      </c>
      <c r="AS79" s="452" t="str">
        <f t="shared" si="97"/>
        <v/>
      </c>
      <c r="AT79" s="452" t="str">
        <f t="shared" si="97"/>
        <v/>
      </c>
      <c r="AU79" s="453" t="str">
        <f t="shared" si="97"/>
        <v/>
      </c>
      <c r="AV79" s="451" t="str">
        <f t="shared" si="97"/>
        <v/>
      </c>
      <c r="AW79" s="452" t="str">
        <f t="shared" si="97"/>
        <v/>
      </c>
      <c r="AX79" s="452" t="str">
        <f t="shared" si="97"/>
        <v/>
      </c>
      <c r="AY79" s="452" t="str">
        <f t="shared" si="97"/>
        <v/>
      </c>
      <c r="AZ79" s="453" t="str">
        <f t="shared" si="97"/>
        <v/>
      </c>
      <c r="BA79" s="451" t="str">
        <f t="shared" si="104"/>
        <v/>
      </c>
      <c r="BB79" s="452" t="str">
        <f t="shared" si="104"/>
        <v/>
      </c>
      <c r="BC79" s="452" t="str">
        <f t="shared" si="104"/>
        <v/>
      </c>
      <c r="BD79" s="452" t="str">
        <f t="shared" si="104"/>
        <v/>
      </c>
      <c r="BE79" s="453" t="str">
        <f t="shared" si="104"/>
        <v/>
      </c>
      <c r="BF79" s="451" t="str">
        <f t="shared" si="104"/>
        <v/>
      </c>
      <c r="BG79" s="452" t="str">
        <f t="shared" si="104"/>
        <v/>
      </c>
      <c r="BH79" s="452" t="str">
        <f t="shared" si="104"/>
        <v/>
      </c>
      <c r="BI79" s="452" t="str">
        <f t="shared" si="92"/>
        <v/>
      </c>
      <c r="BJ79" s="453" t="str">
        <f t="shared" si="92"/>
        <v/>
      </c>
      <c r="BK79" s="451" t="str">
        <f t="shared" si="92"/>
        <v/>
      </c>
      <c r="BL79" s="452" t="str">
        <f t="shared" si="92"/>
        <v/>
      </c>
      <c r="BM79" s="452" t="str">
        <f t="shared" si="92"/>
        <v/>
      </c>
      <c r="BN79" s="452" t="str">
        <f t="shared" si="92"/>
        <v/>
      </c>
      <c r="BO79" s="453" t="str">
        <f t="shared" si="92"/>
        <v/>
      </c>
      <c r="BP79" s="451" t="str">
        <f t="shared" si="92"/>
        <v/>
      </c>
      <c r="BQ79" s="452" t="str">
        <f t="shared" si="92"/>
        <v/>
      </c>
      <c r="BR79" s="452" t="str">
        <f t="shared" si="92"/>
        <v/>
      </c>
      <c r="BS79" s="452" t="str">
        <f t="shared" si="92"/>
        <v/>
      </c>
      <c r="BT79" s="453" t="str">
        <f t="shared" si="92"/>
        <v/>
      </c>
      <c r="BU79" s="451" t="str">
        <f t="shared" si="92"/>
        <v/>
      </c>
      <c r="BV79" s="452" t="str">
        <f t="shared" si="92"/>
        <v/>
      </c>
      <c r="BW79" s="452" t="str">
        <f t="shared" si="92"/>
        <v/>
      </c>
      <c r="BX79" s="452" t="str">
        <f t="shared" si="92"/>
        <v/>
      </c>
      <c r="BY79" s="453" t="str">
        <f t="shared" si="108"/>
        <v/>
      </c>
      <c r="BZ79" s="451" t="str">
        <f t="shared" si="108"/>
        <v/>
      </c>
      <c r="CA79" s="452" t="str">
        <f t="shared" si="108"/>
        <v/>
      </c>
      <c r="CB79" s="452" t="str">
        <f t="shared" si="108"/>
        <v/>
      </c>
      <c r="CC79" s="452" t="str">
        <f t="shared" si="108"/>
        <v/>
      </c>
      <c r="CD79" s="453" t="str">
        <f t="shared" si="108"/>
        <v/>
      </c>
      <c r="CE79" s="451" t="str">
        <f t="shared" si="108"/>
        <v/>
      </c>
      <c r="CF79" s="452" t="str">
        <f t="shared" si="108"/>
        <v/>
      </c>
      <c r="CG79" s="452" t="str">
        <f t="shared" si="108"/>
        <v/>
      </c>
      <c r="CH79" s="452" t="str">
        <f t="shared" si="108"/>
        <v/>
      </c>
      <c r="CI79" s="453" t="str">
        <f t="shared" si="108"/>
        <v/>
      </c>
      <c r="CJ79" s="451" t="str">
        <f t="shared" si="108"/>
        <v/>
      </c>
      <c r="CK79" s="452" t="str">
        <f t="shared" si="108"/>
        <v/>
      </c>
      <c r="CL79" s="452" t="str">
        <f t="shared" si="108"/>
        <v/>
      </c>
      <c r="CM79" s="452" t="str">
        <f t="shared" si="108"/>
        <v/>
      </c>
      <c r="CN79" s="453" t="str">
        <f t="shared" si="108"/>
        <v/>
      </c>
      <c r="CO79" s="451" t="str">
        <f t="shared" si="114"/>
        <v/>
      </c>
      <c r="CP79" s="452" t="str">
        <f t="shared" si="114"/>
        <v/>
      </c>
      <c r="CQ79" s="452" t="str">
        <f t="shared" si="114"/>
        <v/>
      </c>
      <c r="CR79" s="452" t="str">
        <f t="shared" si="114"/>
        <v/>
      </c>
      <c r="CS79" s="453" t="str">
        <f t="shared" si="114"/>
        <v/>
      </c>
      <c r="CT79" s="451" t="str">
        <f t="shared" si="114"/>
        <v/>
      </c>
      <c r="CU79" s="452" t="str">
        <f t="shared" si="114"/>
        <v/>
      </c>
      <c r="CV79" s="452" t="str">
        <f t="shared" si="114"/>
        <v/>
      </c>
      <c r="CW79" s="452" t="str">
        <f t="shared" si="114"/>
        <v/>
      </c>
      <c r="CX79" s="453" t="str">
        <f t="shared" si="114"/>
        <v/>
      </c>
      <c r="CY79" s="451" t="str">
        <f t="shared" si="114"/>
        <v/>
      </c>
      <c r="CZ79" s="452" t="str">
        <f t="shared" si="114"/>
        <v/>
      </c>
      <c r="DA79" s="452" t="str">
        <f t="shared" si="114"/>
        <v/>
      </c>
      <c r="DB79" s="452" t="str">
        <f t="shared" si="114"/>
        <v/>
      </c>
      <c r="DC79" s="453" t="str">
        <f t="shared" si="114"/>
        <v/>
      </c>
      <c r="DD79" s="451" t="str">
        <f t="shared" si="109"/>
        <v/>
      </c>
      <c r="DE79" s="452" t="str">
        <f t="shared" si="109"/>
        <v/>
      </c>
      <c r="DF79" s="452" t="str">
        <f t="shared" si="109"/>
        <v/>
      </c>
      <c r="DG79" s="452" t="str">
        <f t="shared" si="109"/>
        <v/>
      </c>
      <c r="DH79" s="453" t="str">
        <f t="shared" si="109"/>
        <v/>
      </c>
      <c r="DI79" s="451" t="str">
        <f t="shared" si="109"/>
        <v/>
      </c>
      <c r="DJ79" s="452" t="str">
        <f t="shared" si="109"/>
        <v/>
      </c>
      <c r="DK79" s="452" t="str">
        <f t="shared" si="109"/>
        <v/>
      </c>
      <c r="DL79" s="452" t="str">
        <f t="shared" si="109"/>
        <v/>
      </c>
      <c r="DM79" s="453" t="str">
        <f t="shared" si="84"/>
        <v/>
      </c>
      <c r="DN79" s="451" t="str">
        <f t="shared" si="84"/>
        <v/>
      </c>
      <c r="DO79" s="452" t="str">
        <f t="shared" si="84"/>
        <v/>
      </c>
      <c r="DP79" s="452" t="str">
        <f t="shared" si="84"/>
        <v/>
      </c>
      <c r="DQ79" s="452" t="str">
        <f t="shared" si="84"/>
        <v/>
      </c>
      <c r="DR79" s="453" t="str">
        <f t="shared" si="84"/>
        <v/>
      </c>
      <c r="DS79" s="451" t="str">
        <f t="shared" si="84"/>
        <v/>
      </c>
      <c r="DT79" s="452" t="str">
        <f t="shared" si="84"/>
        <v/>
      </c>
      <c r="DU79" s="452" t="str">
        <f t="shared" si="110"/>
        <v/>
      </c>
      <c r="DV79" s="452" t="str">
        <f t="shared" si="110"/>
        <v/>
      </c>
      <c r="DW79" s="453" t="str">
        <f t="shared" si="110"/>
        <v/>
      </c>
      <c r="DX79" s="451" t="str">
        <f t="shared" si="110"/>
        <v/>
      </c>
      <c r="DY79" s="452" t="str">
        <f t="shared" si="110"/>
        <v/>
      </c>
      <c r="DZ79" s="452" t="str">
        <f t="shared" si="110"/>
        <v/>
      </c>
      <c r="EA79" s="452" t="str">
        <f t="shared" si="110"/>
        <v/>
      </c>
      <c r="EB79" s="453" t="str">
        <f t="shared" si="110"/>
        <v/>
      </c>
      <c r="EC79" s="451" t="str">
        <f t="shared" si="110"/>
        <v/>
      </c>
      <c r="ED79" s="452" t="str">
        <f t="shared" si="110"/>
        <v/>
      </c>
      <c r="EE79" s="452" t="str">
        <f t="shared" si="110"/>
        <v/>
      </c>
      <c r="EF79" s="452" t="str">
        <f t="shared" si="107"/>
        <v/>
      </c>
      <c r="EG79" s="453" t="str">
        <f t="shared" si="107"/>
        <v/>
      </c>
      <c r="EH79" s="451" t="str">
        <f t="shared" si="107"/>
        <v/>
      </c>
      <c r="EI79" s="452" t="str">
        <f t="shared" si="107"/>
        <v/>
      </c>
      <c r="EJ79" s="452" t="str">
        <f t="shared" si="107"/>
        <v/>
      </c>
      <c r="EK79" s="452" t="str">
        <f t="shared" si="107"/>
        <v/>
      </c>
      <c r="EL79" s="453" t="str">
        <f t="shared" si="107"/>
        <v/>
      </c>
      <c r="EM79" s="451" t="str">
        <f t="shared" si="107"/>
        <v/>
      </c>
      <c r="EN79" s="452" t="str">
        <f t="shared" si="107"/>
        <v/>
      </c>
      <c r="EO79" s="452" t="str">
        <f t="shared" si="107"/>
        <v/>
      </c>
      <c r="EP79" s="452" t="str">
        <f t="shared" si="107"/>
        <v/>
      </c>
      <c r="EQ79" s="453" t="str">
        <f t="shared" si="107"/>
        <v/>
      </c>
      <c r="ER79" s="451" t="str">
        <f t="shared" si="107"/>
        <v/>
      </c>
      <c r="ES79" s="452" t="str">
        <f t="shared" si="113"/>
        <v/>
      </c>
      <c r="ET79" s="452" t="str">
        <f t="shared" si="113"/>
        <v/>
      </c>
      <c r="EU79" s="452" t="str">
        <f t="shared" si="113"/>
        <v/>
      </c>
      <c r="EV79" s="453" t="str">
        <f t="shared" si="113"/>
        <v/>
      </c>
      <c r="EW79" s="451" t="str">
        <f t="shared" si="113"/>
        <v/>
      </c>
      <c r="EX79" s="452" t="str">
        <f t="shared" si="113"/>
        <v/>
      </c>
      <c r="EY79" s="452" t="str">
        <f t="shared" si="113"/>
        <v/>
      </c>
      <c r="EZ79" s="452" t="str">
        <f t="shared" si="113"/>
        <v/>
      </c>
      <c r="FA79" s="453" t="str">
        <f t="shared" si="113"/>
        <v/>
      </c>
      <c r="FB79" s="451" t="str">
        <f t="shared" si="113"/>
        <v/>
      </c>
      <c r="FC79" s="452" t="str">
        <f t="shared" si="113"/>
        <v/>
      </c>
      <c r="FD79" s="452" t="str">
        <f t="shared" si="113"/>
        <v/>
      </c>
      <c r="FE79" s="452" t="str">
        <f t="shared" si="113"/>
        <v/>
      </c>
      <c r="FF79" s="453" t="str">
        <f t="shared" si="113"/>
        <v/>
      </c>
      <c r="FG79" s="451" t="str">
        <f t="shared" si="113"/>
        <v/>
      </c>
      <c r="FH79" s="452" t="str">
        <f t="shared" si="113"/>
        <v/>
      </c>
      <c r="FI79" s="452" t="str">
        <f t="shared" si="111"/>
        <v/>
      </c>
      <c r="FJ79" s="452" t="str">
        <f t="shared" si="111"/>
        <v/>
      </c>
      <c r="FK79" s="453" t="str">
        <f t="shared" si="111"/>
        <v/>
      </c>
      <c r="FL79" s="451" t="str">
        <f t="shared" si="111"/>
        <v/>
      </c>
      <c r="FM79" s="452" t="str">
        <f t="shared" si="111"/>
        <v/>
      </c>
      <c r="FN79" s="452" t="str">
        <f t="shared" si="111"/>
        <v/>
      </c>
      <c r="FO79" s="452" t="str">
        <f t="shared" si="111"/>
        <v/>
      </c>
      <c r="FP79" s="453" t="str">
        <f t="shared" si="111"/>
        <v/>
      </c>
      <c r="FQ79" s="451" t="str">
        <f t="shared" si="111"/>
        <v/>
      </c>
      <c r="FR79" s="452" t="str">
        <f t="shared" si="111"/>
        <v/>
      </c>
      <c r="FS79" s="452" t="str">
        <f t="shared" si="111"/>
        <v/>
      </c>
      <c r="FT79" s="452" t="str">
        <f t="shared" si="111"/>
        <v/>
      </c>
      <c r="FU79" s="453" t="str">
        <f t="shared" si="111"/>
        <v/>
      </c>
      <c r="FV79" s="451" t="str">
        <f t="shared" si="111"/>
        <v/>
      </c>
      <c r="FW79" s="452" t="str">
        <f t="shared" si="111"/>
        <v/>
      </c>
      <c r="FX79" s="452" t="str">
        <f t="shared" si="103"/>
        <v/>
      </c>
      <c r="FY79" s="452" t="str">
        <f t="shared" si="103"/>
        <v/>
      </c>
      <c r="FZ79" s="453" t="str">
        <f t="shared" si="103"/>
        <v/>
      </c>
      <c r="GA79" s="451" t="str">
        <f t="shared" si="103"/>
        <v/>
      </c>
      <c r="GB79" s="452" t="str">
        <f t="shared" si="102"/>
        <v/>
      </c>
      <c r="GC79" s="452" t="str">
        <f t="shared" si="102"/>
        <v/>
      </c>
      <c r="GD79" s="452" t="str">
        <f t="shared" si="102"/>
        <v/>
      </c>
      <c r="GE79" s="453" t="str">
        <f t="shared" si="102"/>
        <v/>
      </c>
      <c r="GF79" s="451" t="str">
        <f t="shared" si="102"/>
        <v/>
      </c>
      <c r="GG79" s="452" t="str">
        <f t="shared" si="102"/>
        <v/>
      </c>
      <c r="GH79" s="452" t="str">
        <f t="shared" si="98"/>
        <v/>
      </c>
      <c r="GI79" s="452" t="str">
        <f t="shared" si="98"/>
        <v/>
      </c>
      <c r="GJ79" s="453" t="str">
        <f t="shared" si="98"/>
        <v/>
      </c>
      <c r="GK79" s="451" t="str">
        <f t="shared" si="98"/>
        <v/>
      </c>
      <c r="GL79" s="452" t="str">
        <f t="shared" si="98"/>
        <v/>
      </c>
      <c r="GM79" s="452" t="str">
        <f t="shared" si="98"/>
        <v/>
      </c>
      <c r="GN79" s="452" t="str">
        <f t="shared" si="98"/>
        <v/>
      </c>
      <c r="GO79" s="453" t="str">
        <f t="shared" si="98"/>
        <v/>
      </c>
      <c r="GP79" s="451" t="str">
        <f t="shared" si="96"/>
        <v/>
      </c>
      <c r="GQ79" s="452" t="str">
        <f t="shared" si="96"/>
        <v/>
      </c>
      <c r="GR79" s="452" t="str">
        <f t="shared" si="96"/>
        <v/>
      </c>
      <c r="GS79" s="452" t="str">
        <f t="shared" si="96"/>
        <v/>
      </c>
      <c r="GT79" s="453" t="str">
        <f t="shared" si="96"/>
        <v/>
      </c>
      <c r="GU79" s="451" t="str">
        <f t="shared" si="96"/>
        <v/>
      </c>
      <c r="GV79" s="452" t="str">
        <f t="shared" si="96"/>
        <v/>
      </c>
      <c r="GW79" s="452" t="str">
        <f t="shared" si="96"/>
        <v/>
      </c>
      <c r="GX79" s="452" t="str">
        <f t="shared" si="96"/>
        <v/>
      </c>
      <c r="GY79" s="453" t="str">
        <f t="shared" si="96"/>
        <v/>
      </c>
      <c r="GZ79" s="451" t="str">
        <f t="shared" si="96"/>
        <v/>
      </c>
      <c r="HA79" s="452" t="str">
        <f t="shared" si="86"/>
        <v/>
      </c>
      <c r="HB79" s="452" t="str">
        <f t="shared" si="86"/>
        <v/>
      </c>
      <c r="HC79" s="452" t="str">
        <f t="shared" si="86"/>
        <v/>
      </c>
      <c r="HD79" s="453" t="str">
        <f t="shared" si="86"/>
        <v/>
      </c>
      <c r="HE79" s="451" t="str">
        <f t="shared" si="86"/>
        <v/>
      </c>
      <c r="HF79" s="452" t="str">
        <f t="shared" si="86"/>
        <v/>
      </c>
      <c r="HG79" s="452" t="str">
        <f t="shared" si="116"/>
        <v/>
      </c>
      <c r="HH79" s="452" t="str">
        <f t="shared" si="116"/>
        <v/>
      </c>
      <c r="HI79" s="453" t="str">
        <f t="shared" si="116"/>
        <v/>
      </c>
      <c r="HJ79" s="451" t="str">
        <f t="shared" si="116"/>
        <v/>
      </c>
      <c r="HK79" s="452" t="str">
        <f t="shared" si="116"/>
        <v/>
      </c>
      <c r="HL79" s="452" t="str">
        <f t="shared" si="116"/>
        <v/>
      </c>
      <c r="HM79" s="452" t="str">
        <f t="shared" si="116"/>
        <v/>
      </c>
      <c r="HN79" s="453" t="str">
        <f t="shared" si="116"/>
        <v/>
      </c>
      <c r="HO79" s="451" t="str">
        <f t="shared" si="116"/>
        <v/>
      </c>
      <c r="HP79" s="452" t="str">
        <f t="shared" si="116"/>
        <v/>
      </c>
      <c r="HQ79" s="452" t="str">
        <f t="shared" si="116"/>
        <v/>
      </c>
      <c r="HR79" s="452" t="str">
        <f t="shared" si="116"/>
        <v/>
      </c>
      <c r="HS79" s="453" t="str">
        <f t="shared" si="116"/>
        <v/>
      </c>
      <c r="HT79" s="451" t="str">
        <f t="shared" si="116"/>
        <v/>
      </c>
      <c r="HU79" s="452" t="str">
        <f t="shared" si="116"/>
        <v/>
      </c>
      <c r="HV79" s="452" t="str">
        <f t="shared" si="116"/>
        <v/>
      </c>
      <c r="HW79" s="452" t="str">
        <f t="shared" si="115"/>
        <v/>
      </c>
      <c r="HX79" s="453" t="str">
        <f t="shared" si="115"/>
        <v/>
      </c>
      <c r="HY79" s="451" t="str">
        <f t="shared" si="87"/>
        <v/>
      </c>
      <c r="HZ79" s="452" t="str">
        <f t="shared" si="99"/>
        <v/>
      </c>
      <c r="IA79" s="452" t="str">
        <f t="shared" si="99"/>
        <v/>
      </c>
      <c r="IB79" s="452" t="str">
        <f t="shared" si="99"/>
        <v/>
      </c>
      <c r="IC79" s="453" t="str">
        <f t="shared" si="99"/>
        <v/>
      </c>
      <c r="ID79" s="451" t="str">
        <f t="shared" si="99"/>
        <v/>
      </c>
      <c r="IE79" s="452" t="str">
        <f t="shared" si="99"/>
        <v/>
      </c>
      <c r="IF79" s="452" t="str">
        <f t="shared" si="99"/>
        <v/>
      </c>
      <c r="IG79" s="452" t="str">
        <f t="shared" si="99"/>
        <v/>
      </c>
      <c r="IH79" s="453" t="str">
        <f t="shared" si="99"/>
        <v/>
      </c>
      <c r="II79" s="451" t="str">
        <f t="shared" si="99"/>
        <v/>
      </c>
      <c r="IJ79" s="452" t="str">
        <f t="shared" si="99"/>
        <v/>
      </c>
      <c r="IK79" s="452" t="str">
        <f t="shared" si="99"/>
        <v/>
      </c>
      <c r="IL79" s="452" t="str">
        <f t="shared" si="99"/>
        <v/>
      </c>
      <c r="IM79" s="453" t="str">
        <f t="shared" si="99"/>
        <v/>
      </c>
      <c r="IN79" s="451" t="str">
        <f t="shared" si="99"/>
        <v/>
      </c>
      <c r="IO79" s="452" t="str">
        <f t="shared" si="88"/>
        <v/>
      </c>
      <c r="IP79" s="452" t="str">
        <f t="shared" si="88"/>
        <v/>
      </c>
      <c r="IQ79" s="452" t="str">
        <f t="shared" si="88"/>
        <v/>
      </c>
      <c r="IR79" s="453" t="str">
        <f t="shared" si="88"/>
        <v/>
      </c>
    </row>
    <row r="80" spans="1:252" x14ac:dyDescent="0.2">
      <c r="A80" s="462">
        <v>7.1</v>
      </c>
      <c r="B80" s="463"/>
      <c r="C80" s="464" t="s">
        <v>1360</v>
      </c>
      <c r="D80" s="464"/>
      <c r="E80" s="465"/>
      <c r="F80" s="465"/>
      <c r="G80" s="465"/>
      <c r="H80" s="465"/>
      <c r="I80" s="466"/>
      <c r="J80" s="467" t="str">
        <f t="shared" si="105"/>
        <v/>
      </c>
      <c r="K80" s="467" t="str">
        <f t="shared" si="106"/>
        <v/>
      </c>
      <c r="L80" s="468">
        <f t="shared" si="101"/>
        <v>0</v>
      </c>
      <c r="M80" s="469" t="str">
        <f t="shared" si="112"/>
        <v/>
      </c>
      <c r="N80" s="470" t="str">
        <f t="shared" si="112"/>
        <v/>
      </c>
      <c r="O80" s="470" t="str">
        <f t="shared" si="112"/>
        <v/>
      </c>
      <c r="P80" s="470" t="str">
        <f t="shared" si="112"/>
        <v/>
      </c>
      <c r="Q80" s="471" t="str">
        <f t="shared" si="112"/>
        <v/>
      </c>
      <c r="R80" s="469" t="str">
        <f t="shared" si="112"/>
        <v/>
      </c>
      <c r="S80" s="470" t="str">
        <f t="shared" si="112"/>
        <v/>
      </c>
      <c r="T80" s="470" t="str">
        <f t="shared" si="112"/>
        <v/>
      </c>
      <c r="U80" s="470" t="str">
        <f t="shared" si="112"/>
        <v/>
      </c>
      <c r="V80" s="471" t="str">
        <f t="shared" si="112"/>
        <v/>
      </c>
      <c r="W80" s="469" t="str">
        <f t="shared" si="112"/>
        <v/>
      </c>
      <c r="X80" s="470" t="str">
        <f t="shared" si="112"/>
        <v/>
      </c>
      <c r="Y80" s="470" t="str">
        <f t="shared" si="112"/>
        <v/>
      </c>
      <c r="Z80" s="470" t="str">
        <f t="shared" si="112"/>
        <v/>
      </c>
      <c r="AA80" s="471" t="str">
        <f t="shared" si="112"/>
        <v/>
      </c>
      <c r="AB80" s="469" t="str">
        <f t="shared" si="112"/>
        <v/>
      </c>
      <c r="AC80" s="470" t="str">
        <f t="shared" si="100"/>
        <v/>
      </c>
      <c r="AD80" s="470" t="str">
        <f t="shared" si="100"/>
        <v/>
      </c>
      <c r="AE80" s="470" t="str">
        <f t="shared" si="100"/>
        <v/>
      </c>
      <c r="AF80" s="471" t="str">
        <f t="shared" si="100"/>
        <v/>
      </c>
      <c r="AG80" s="469" t="str">
        <f t="shared" si="100"/>
        <v/>
      </c>
      <c r="AH80" s="470" t="str">
        <f t="shared" si="100"/>
        <v/>
      </c>
      <c r="AI80" s="470" t="str">
        <f t="shared" si="100"/>
        <v/>
      </c>
      <c r="AJ80" s="470" t="str">
        <f t="shared" si="100"/>
        <v/>
      </c>
      <c r="AK80" s="471" t="str">
        <f t="shared" si="100"/>
        <v/>
      </c>
      <c r="AL80" s="469" t="str">
        <f t="shared" si="100"/>
        <v/>
      </c>
      <c r="AM80" s="470" t="str">
        <f t="shared" si="100"/>
        <v/>
      </c>
      <c r="AN80" s="470" t="str">
        <f t="shared" si="100"/>
        <v/>
      </c>
      <c r="AO80" s="470" t="str">
        <f t="shared" si="100"/>
        <v/>
      </c>
      <c r="AP80" s="471" t="str">
        <f t="shared" si="100"/>
        <v/>
      </c>
      <c r="AQ80" s="469" t="str">
        <f t="shared" si="100"/>
        <v/>
      </c>
      <c r="AR80" s="470" t="str">
        <f t="shared" ref="AR80:BG95" si="117">IF(AND(AR$2&gt;=$J80,AR$2&lt;=$K80),1,"")</f>
        <v/>
      </c>
      <c r="AS80" s="470" t="str">
        <f t="shared" si="117"/>
        <v/>
      </c>
      <c r="AT80" s="470" t="str">
        <f t="shared" si="117"/>
        <v/>
      </c>
      <c r="AU80" s="471" t="str">
        <f t="shared" si="117"/>
        <v/>
      </c>
      <c r="AV80" s="469" t="str">
        <f t="shared" si="117"/>
        <v/>
      </c>
      <c r="AW80" s="470" t="str">
        <f t="shared" si="117"/>
        <v/>
      </c>
      <c r="AX80" s="470" t="str">
        <f t="shared" si="117"/>
        <v/>
      </c>
      <c r="AY80" s="470" t="str">
        <f t="shared" si="117"/>
        <v/>
      </c>
      <c r="AZ80" s="471" t="str">
        <f t="shared" si="117"/>
        <v/>
      </c>
      <c r="BA80" s="469" t="str">
        <f t="shared" si="117"/>
        <v/>
      </c>
      <c r="BB80" s="470" t="str">
        <f t="shared" si="117"/>
        <v/>
      </c>
      <c r="BC80" s="470" t="str">
        <f t="shared" si="117"/>
        <v/>
      </c>
      <c r="BD80" s="470" t="str">
        <f t="shared" si="117"/>
        <v/>
      </c>
      <c r="BE80" s="471" t="str">
        <f t="shared" si="117"/>
        <v/>
      </c>
      <c r="BF80" s="469" t="str">
        <f t="shared" si="117"/>
        <v/>
      </c>
      <c r="BG80" s="470" t="str">
        <f t="shared" si="117"/>
        <v/>
      </c>
      <c r="BH80" s="470" t="str">
        <f t="shared" si="104"/>
        <v/>
      </c>
      <c r="BI80" s="470" t="str">
        <f t="shared" si="92"/>
        <v/>
      </c>
      <c r="BJ80" s="471" t="str">
        <f t="shared" si="92"/>
        <v/>
      </c>
      <c r="BK80" s="469" t="str">
        <f t="shared" si="92"/>
        <v/>
      </c>
      <c r="BL80" s="470" t="str">
        <f t="shared" si="92"/>
        <v/>
      </c>
      <c r="BM80" s="470" t="str">
        <f t="shared" si="92"/>
        <v/>
      </c>
      <c r="BN80" s="470" t="str">
        <f t="shared" si="92"/>
        <v/>
      </c>
      <c r="BO80" s="471" t="str">
        <f t="shared" si="92"/>
        <v/>
      </c>
      <c r="BP80" s="469" t="str">
        <f t="shared" ref="BP80:CE95" si="118">IF(AND(BP$2&gt;=$J80,BP$2&lt;=$K80),1,"")</f>
        <v/>
      </c>
      <c r="BQ80" s="470" t="str">
        <f t="shared" si="118"/>
        <v/>
      </c>
      <c r="BR80" s="470" t="str">
        <f t="shared" si="118"/>
        <v/>
      </c>
      <c r="BS80" s="470" t="str">
        <f t="shared" si="118"/>
        <v/>
      </c>
      <c r="BT80" s="471" t="str">
        <f t="shared" si="118"/>
        <v/>
      </c>
      <c r="BU80" s="469" t="str">
        <f t="shared" si="118"/>
        <v/>
      </c>
      <c r="BV80" s="470" t="str">
        <f t="shared" si="118"/>
        <v/>
      </c>
      <c r="BW80" s="470" t="str">
        <f t="shared" si="118"/>
        <v/>
      </c>
      <c r="BX80" s="470" t="str">
        <f t="shared" si="118"/>
        <v/>
      </c>
      <c r="BY80" s="471" t="str">
        <f t="shared" si="118"/>
        <v/>
      </c>
      <c r="BZ80" s="469" t="str">
        <f t="shared" si="118"/>
        <v/>
      </c>
      <c r="CA80" s="470" t="str">
        <f t="shared" si="118"/>
        <v/>
      </c>
      <c r="CB80" s="470" t="str">
        <f t="shared" si="118"/>
        <v/>
      </c>
      <c r="CC80" s="470" t="str">
        <f t="shared" si="118"/>
        <v/>
      </c>
      <c r="CD80" s="471" t="str">
        <f t="shared" si="118"/>
        <v/>
      </c>
      <c r="CE80" s="469" t="str">
        <f t="shared" si="118"/>
        <v/>
      </c>
      <c r="CF80" s="470" t="str">
        <f t="shared" si="108"/>
        <v/>
      </c>
      <c r="CG80" s="470" t="str">
        <f t="shared" si="108"/>
        <v/>
      </c>
      <c r="CH80" s="470" t="str">
        <f t="shared" si="108"/>
        <v/>
      </c>
      <c r="CI80" s="471" t="str">
        <f t="shared" si="108"/>
        <v/>
      </c>
      <c r="CJ80" s="469" t="str">
        <f t="shared" si="108"/>
        <v/>
      </c>
      <c r="CK80" s="470" t="str">
        <f t="shared" si="108"/>
        <v/>
      </c>
      <c r="CL80" s="470" t="str">
        <f t="shared" si="108"/>
        <v/>
      </c>
      <c r="CM80" s="470" t="str">
        <f t="shared" si="108"/>
        <v/>
      </c>
      <c r="CN80" s="471" t="str">
        <f t="shared" si="108"/>
        <v/>
      </c>
      <c r="CO80" s="469" t="str">
        <f t="shared" si="114"/>
        <v/>
      </c>
      <c r="CP80" s="470" t="str">
        <f t="shared" si="114"/>
        <v/>
      </c>
      <c r="CQ80" s="470" t="str">
        <f t="shared" si="114"/>
        <v/>
      </c>
      <c r="CR80" s="470" t="str">
        <f t="shared" si="114"/>
        <v/>
      </c>
      <c r="CS80" s="471" t="str">
        <f t="shared" si="114"/>
        <v/>
      </c>
      <c r="CT80" s="469" t="str">
        <f t="shared" si="114"/>
        <v/>
      </c>
      <c r="CU80" s="470" t="str">
        <f t="shared" si="114"/>
        <v/>
      </c>
      <c r="CV80" s="470" t="str">
        <f t="shared" si="114"/>
        <v/>
      </c>
      <c r="CW80" s="470" t="str">
        <f t="shared" si="114"/>
        <v/>
      </c>
      <c r="CX80" s="471" t="str">
        <f t="shared" si="114"/>
        <v/>
      </c>
      <c r="CY80" s="469" t="str">
        <f t="shared" si="114"/>
        <v/>
      </c>
      <c r="CZ80" s="470" t="str">
        <f t="shared" si="114"/>
        <v/>
      </c>
      <c r="DA80" s="470" t="str">
        <f t="shared" si="114"/>
        <v/>
      </c>
      <c r="DB80" s="470" t="str">
        <f t="shared" si="114"/>
        <v/>
      </c>
      <c r="DC80" s="471" t="str">
        <f t="shared" si="114"/>
        <v/>
      </c>
      <c r="DD80" s="469" t="str">
        <f t="shared" si="109"/>
        <v/>
      </c>
      <c r="DE80" s="470" t="str">
        <f t="shared" si="109"/>
        <v/>
      </c>
      <c r="DF80" s="470" t="str">
        <f t="shared" si="109"/>
        <v/>
      </c>
      <c r="DG80" s="470" t="str">
        <f t="shared" si="109"/>
        <v/>
      </c>
      <c r="DH80" s="471" t="str">
        <f t="shared" si="109"/>
        <v/>
      </c>
      <c r="DI80" s="469" t="str">
        <f t="shared" si="109"/>
        <v/>
      </c>
      <c r="DJ80" s="470" t="str">
        <f t="shared" si="109"/>
        <v/>
      </c>
      <c r="DK80" s="470" t="str">
        <f t="shared" si="109"/>
        <v/>
      </c>
      <c r="DL80" s="470" t="str">
        <f t="shared" si="109"/>
        <v/>
      </c>
      <c r="DM80" s="471" t="str">
        <f t="shared" si="84"/>
        <v/>
      </c>
      <c r="DN80" s="469" t="str">
        <f t="shared" si="84"/>
        <v/>
      </c>
      <c r="DO80" s="470" t="str">
        <f t="shared" si="84"/>
        <v/>
      </c>
      <c r="DP80" s="470" t="str">
        <f t="shared" si="84"/>
        <v/>
      </c>
      <c r="DQ80" s="470" t="str">
        <f t="shared" si="84"/>
        <v/>
      </c>
      <c r="DR80" s="471" t="str">
        <f t="shared" si="84"/>
        <v/>
      </c>
      <c r="DS80" s="469" t="str">
        <f t="shared" si="84"/>
        <v/>
      </c>
      <c r="DT80" s="470" t="str">
        <f t="shared" si="84"/>
        <v/>
      </c>
      <c r="DU80" s="470" t="str">
        <f t="shared" si="110"/>
        <v/>
      </c>
      <c r="DV80" s="470" t="str">
        <f t="shared" si="110"/>
        <v/>
      </c>
      <c r="DW80" s="471" t="str">
        <f t="shared" si="110"/>
        <v/>
      </c>
      <c r="DX80" s="469" t="str">
        <f t="shared" si="110"/>
        <v/>
      </c>
      <c r="DY80" s="470" t="str">
        <f t="shared" si="110"/>
        <v/>
      </c>
      <c r="DZ80" s="470" t="str">
        <f t="shared" si="110"/>
        <v/>
      </c>
      <c r="EA80" s="470" t="str">
        <f t="shared" si="110"/>
        <v/>
      </c>
      <c r="EB80" s="471" t="str">
        <f t="shared" si="110"/>
        <v/>
      </c>
      <c r="EC80" s="469" t="str">
        <f t="shared" si="110"/>
        <v/>
      </c>
      <c r="ED80" s="470" t="str">
        <f t="shared" si="110"/>
        <v/>
      </c>
      <c r="EE80" s="470" t="str">
        <f t="shared" si="110"/>
        <v/>
      </c>
      <c r="EF80" s="470" t="str">
        <f t="shared" si="107"/>
        <v/>
      </c>
      <c r="EG80" s="471" t="str">
        <f t="shared" si="107"/>
        <v/>
      </c>
      <c r="EH80" s="469" t="str">
        <f t="shared" si="107"/>
        <v/>
      </c>
      <c r="EI80" s="470" t="str">
        <f t="shared" si="107"/>
        <v/>
      </c>
      <c r="EJ80" s="470" t="str">
        <f t="shared" si="107"/>
        <v/>
      </c>
      <c r="EK80" s="470" t="str">
        <f t="shared" si="107"/>
        <v/>
      </c>
      <c r="EL80" s="471" t="str">
        <f t="shared" si="107"/>
        <v/>
      </c>
      <c r="EM80" s="469" t="str">
        <f t="shared" si="107"/>
        <v/>
      </c>
      <c r="EN80" s="470" t="str">
        <f t="shared" si="107"/>
        <v/>
      </c>
      <c r="EO80" s="470" t="str">
        <f t="shared" si="107"/>
        <v/>
      </c>
      <c r="EP80" s="470" t="str">
        <f t="shared" si="107"/>
        <v/>
      </c>
      <c r="EQ80" s="471" t="str">
        <f t="shared" si="107"/>
        <v/>
      </c>
      <c r="ER80" s="469" t="str">
        <f t="shared" si="107"/>
        <v/>
      </c>
      <c r="ES80" s="470" t="str">
        <f t="shared" si="113"/>
        <v/>
      </c>
      <c r="ET80" s="470" t="str">
        <f t="shared" si="113"/>
        <v/>
      </c>
      <c r="EU80" s="470" t="str">
        <f t="shared" si="113"/>
        <v/>
      </c>
      <c r="EV80" s="471" t="str">
        <f t="shared" si="113"/>
        <v/>
      </c>
      <c r="EW80" s="469" t="str">
        <f t="shared" si="113"/>
        <v/>
      </c>
      <c r="EX80" s="470" t="str">
        <f t="shared" si="113"/>
        <v/>
      </c>
      <c r="EY80" s="470" t="str">
        <f t="shared" si="113"/>
        <v/>
      </c>
      <c r="EZ80" s="470" t="str">
        <f t="shared" si="113"/>
        <v/>
      </c>
      <c r="FA80" s="471" t="str">
        <f t="shared" si="113"/>
        <v/>
      </c>
      <c r="FB80" s="469" t="str">
        <f t="shared" si="113"/>
        <v/>
      </c>
      <c r="FC80" s="470" t="str">
        <f t="shared" si="113"/>
        <v/>
      </c>
      <c r="FD80" s="470" t="str">
        <f t="shared" si="113"/>
        <v/>
      </c>
      <c r="FE80" s="470" t="str">
        <f t="shared" si="113"/>
        <v/>
      </c>
      <c r="FF80" s="471" t="str">
        <f t="shared" si="113"/>
        <v/>
      </c>
      <c r="FG80" s="469" t="str">
        <f t="shared" si="113"/>
        <v/>
      </c>
      <c r="FH80" s="470" t="str">
        <f t="shared" si="113"/>
        <v/>
      </c>
      <c r="FI80" s="470" t="str">
        <f t="shared" si="111"/>
        <v/>
      </c>
      <c r="FJ80" s="470" t="str">
        <f t="shared" si="111"/>
        <v/>
      </c>
      <c r="FK80" s="471" t="str">
        <f t="shared" si="111"/>
        <v/>
      </c>
      <c r="FL80" s="469" t="str">
        <f t="shared" si="111"/>
        <v/>
      </c>
      <c r="FM80" s="470" t="str">
        <f t="shared" si="111"/>
        <v/>
      </c>
      <c r="FN80" s="470" t="str">
        <f t="shared" si="111"/>
        <v/>
      </c>
      <c r="FO80" s="470" t="str">
        <f t="shared" si="111"/>
        <v/>
      </c>
      <c r="FP80" s="471" t="str">
        <f t="shared" si="111"/>
        <v/>
      </c>
      <c r="FQ80" s="469" t="str">
        <f t="shared" si="111"/>
        <v/>
      </c>
      <c r="FR80" s="470" t="str">
        <f t="shared" si="111"/>
        <v/>
      </c>
      <c r="FS80" s="470" t="str">
        <f t="shared" si="111"/>
        <v/>
      </c>
      <c r="FT80" s="470" t="str">
        <f t="shared" si="111"/>
        <v/>
      </c>
      <c r="FU80" s="471" t="str">
        <f t="shared" si="111"/>
        <v/>
      </c>
      <c r="FV80" s="469" t="str">
        <f t="shared" si="111"/>
        <v/>
      </c>
      <c r="FW80" s="470" t="str">
        <f t="shared" si="111"/>
        <v/>
      </c>
      <c r="FX80" s="470" t="str">
        <f t="shared" si="103"/>
        <v/>
      </c>
      <c r="FY80" s="470" t="str">
        <f t="shared" si="103"/>
        <v/>
      </c>
      <c r="FZ80" s="471" t="str">
        <f t="shared" si="103"/>
        <v/>
      </c>
      <c r="GA80" s="469" t="str">
        <f t="shared" si="103"/>
        <v/>
      </c>
      <c r="GB80" s="470" t="str">
        <f t="shared" si="102"/>
        <v/>
      </c>
      <c r="GC80" s="470" t="str">
        <f t="shared" si="102"/>
        <v/>
      </c>
      <c r="GD80" s="470" t="str">
        <f t="shared" si="102"/>
        <v/>
      </c>
      <c r="GE80" s="471" t="str">
        <f t="shared" si="102"/>
        <v/>
      </c>
      <c r="GF80" s="469" t="str">
        <f t="shared" si="102"/>
        <v/>
      </c>
      <c r="GG80" s="470" t="str">
        <f t="shared" si="102"/>
        <v/>
      </c>
      <c r="GH80" s="470" t="str">
        <f t="shared" ref="GH80:GR83" si="119">IF(AND(GH$2&gt;=$J80,GH$2&lt;=$K80),1,"")</f>
        <v/>
      </c>
      <c r="GI80" s="470" t="str">
        <f t="shared" si="119"/>
        <v/>
      </c>
      <c r="GJ80" s="471" t="str">
        <f t="shared" si="119"/>
        <v/>
      </c>
      <c r="GK80" s="469" t="str">
        <f t="shared" si="119"/>
        <v/>
      </c>
      <c r="GL80" s="470" t="str">
        <f t="shared" si="119"/>
        <v/>
      </c>
      <c r="GM80" s="470" t="str">
        <f t="shared" si="119"/>
        <v/>
      </c>
      <c r="GN80" s="470" t="str">
        <f t="shared" si="119"/>
        <v/>
      </c>
      <c r="GO80" s="471" t="str">
        <f t="shared" si="119"/>
        <v/>
      </c>
      <c r="GP80" s="469" t="str">
        <f t="shared" si="119"/>
        <v/>
      </c>
      <c r="GQ80" s="470" t="str">
        <f t="shared" si="119"/>
        <v/>
      </c>
      <c r="GR80" s="470" t="str">
        <f t="shared" si="119"/>
        <v/>
      </c>
      <c r="GS80" s="470" t="str">
        <f t="shared" si="96"/>
        <v/>
      </c>
      <c r="GT80" s="471" t="str">
        <f t="shared" si="96"/>
        <v/>
      </c>
      <c r="GU80" s="469" t="str">
        <f t="shared" si="96"/>
        <v/>
      </c>
      <c r="GV80" s="470" t="str">
        <f t="shared" si="96"/>
        <v/>
      </c>
      <c r="GW80" s="470" t="str">
        <f t="shared" si="96"/>
        <v/>
      </c>
      <c r="GX80" s="470" t="str">
        <f t="shared" si="96"/>
        <v/>
      </c>
      <c r="GY80" s="471" t="str">
        <f t="shared" si="96"/>
        <v/>
      </c>
      <c r="GZ80" s="469" t="str">
        <f t="shared" si="96"/>
        <v/>
      </c>
      <c r="HA80" s="470" t="str">
        <f t="shared" si="86"/>
        <v/>
      </c>
      <c r="HB80" s="470" t="str">
        <f t="shared" si="86"/>
        <v/>
      </c>
      <c r="HC80" s="470" t="str">
        <f t="shared" si="86"/>
        <v/>
      </c>
      <c r="HD80" s="471" t="str">
        <f t="shared" si="86"/>
        <v/>
      </c>
      <c r="HE80" s="469" t="str">
        <f t="shared" si="86"/>
        <v/>
      </c>
      <c r="HF80" s="470" t="str">
        <f t="shared" si="86"/>
        <v/>
      </c>
      <c r="HG80" s="470" t="str">
        <f t="shared" si="116"/>
        <v/>
      </c>
      <c r="HH80" s="470" t="str">
        <f t="shared" si="116"/>
        <v/>
      </c>
      <c r="HI80" s="471" t="str">
        <f t="shared" si="116"/>
        <v/>
      </c>
      <c r="HJ80" s="469" t="str">
        <f t="shared" si="116"/>
        <v/>
      </c>
      <c r="HK80" s="470" t="str">
        <f t="shared" si="116"/>
        <v/>
      </c>
      <c r="HL80" s="470" t="str">
        <f t="shared" si="116"/>
        <v/>
      </c>
      <c r="HM80" s="470" t="str">
        <f t="shared" si="116"/>
        <v/>
      </c>
      <c r="HN80" s="471" t="str">
        <f t="shared" si="116"/>
        <v/>
      </c>
      <c r="HO80" s="469" t="str">
        <f t="shared" si="116"/>
        <v/>
      </c>
      <c r="HP80" s="470" t="str">
        <f t="shared" si="116"/>
        <v/>
      </c>
      <c r="HQ80" s="470" t="str">
        <f t="shared" si="116"/>
        <v/>
      </c>
      <c r="HR80" s="470" t="str">
        <f t="shared" si="116"/>
        <v/>
      </c>
      <c r="HS80" s="471" t="str">
        <f t="shared" si="116"/>
        <v/>
      </c>
      <c r="HT80" s="469" t="str">
        <f t="shared" si="116"/>
        <v/>
      </c>
      <c r="HU80" s="470" t="str">
        <f t="shared" si="116"/>
        <v/>
      </c>
      <c r="HV80" s="470" t="str">
        <f t="shared" si="116"/>
        <v/>
      </c>
      <c r="HW80" s="470" t="str">
        <f t="shared" si="115"/>
        <v/>
      </c>
      <c r="HX80" s="471" t="str">
        <f t="shared" si="115"/>
        <v/>
      </c>
      <c r="HY80" s="469" t="str">
        <f t="shared" si="87"/>
        <v/>
      </c>
      <c r="HZ80" s="470" t="str">
        <f t="shared" ref="HZ80:IO95" si="120">IF(AND(HZ$2&gt;=$J80,HZ$2&lt;=$K80),1,"")</f>
        <v/>
      </c>
      <c r="IA80" s="470" t="str">
        <f t="shared" si="120"/>
        <v/>
      </c>
      <c r="IB80" s="470" t="str">
        <f t="shared" si="120"/>
        <v/>
      </c>
      <c r="IC80" s="471" t="str">
        <f t="shared" si="120"/>
        <v/>
      </c>
      <c r="ID80" s="469" t="str">
        <f t="shared" si="120"/>
        <v/>
      </c>
      <c r="IE80" s="470" t="str">
        <f t="shared" si="120"/>
        <v/>
      </c>
      <c r="IF80" s="470" t="str">
        <f t="shared" si="120"/>
        <v/>
      </c>
      <c r="IG80" s="470" t="str">
        <f t="shared" si="120"/>
        <v/>
      </c>
      <c r="IH80" s="471" t="str">
        <f t="shared" si="120"/>
        <v/>
      </c>
      <c r="II80" s="469" t="str">
        <f t="shared" si="120"/>
        <v/>
      </c>
      <c r="IJ80" s="470" t="str">
        <f t="shared" si="120"/>
        <v/>
      </c>
      <c r="IK80" s="470" t="str">
        <f t="shared" si="120"/>
        <v/>
      </c>
      <c r="IL80" s="470" t="str">
        <f t="shared" si="120"/>
        <v/>
      </c>
      <c r="IM80" s="471" t="str">
        <f t="shared" si="120"/>
        <v/>
      </c>
      <c r="IN80" s="469" t="str">
        <f t="shared" si="120"/>
        <v/>
      </c>
      <c r="IO80" s="470" t="str">
        <f t="shared" si="88"/>
        <v/>
      </c>
      <c r="IP80" s="470" t="str">
        <f t="shared" si="88"/>
        <v/>
      </c>
      <c r="IQ80" s="470" t="str">
        <f t="shared" si="88"/>
        <v/>
      </c>
      <c r="IR80" s="471" t="str">
        <f t="shared" si="88"/>
        <v/>
      </c>
    </row>
    <row r="81" spans="1:252" x14ac:dyDescent="0.2">
      <c r="A81" s="455">
        <v>8</v>
      </c>
      <c r="B81" s="456"/>
      <c r="C81" s="456" t="str">
        <f>Breakdown!$A16</f>
        <v/>
      </c>
      <c r="D81" s="457"/>
      <c r="E81" s="437" t="str">
        <f>IF(E82="","",MIN(E82:E91))</f>
        <v/>
      </c>
      <c r="F81" s="437" t="str">
        <f>IF(F82="","",MAX(F82:F91))</f>
        <v/>
      </c>
      <c r="G81" s="437"/>
      <c r="H81" s="437"/>
      <c r="I81" s="458"/>
      <c r="J81" s="459">
        <f>MIN(J82:J91)</f>
        <v>0</v>
      </c>
      <c r="K81" s="459">
        <f>MAX(K82:K91)</f>
        <v>0</v>
      </c>
      <c r="L81" s="460">
        <f t="shared" si="101"/>
        <v>0</v>
      </c>
      <c r="M81" s="451" t="str">
        <f t="shared" si="112"/>
        <v/>
      </c>
      <c r="N81" s="452" t="str">
        <f t="shared" si="112"/>
        <v/>
      </c>
      <c r="O81" s="452" t="str">
        <f t="shared" si="112"/>
        <v/>
      </c>
      <c r="P81" s="452" t="str">
        <f t="shared" si="112"/>
        <v/>
      </c>
      <c r="Q81" s="453" t="str">
        <f t="shared" si="112"/>
        <v/>
      </c>
      <c r="R81" s="451" t="str">
        <f t="shared" si="112"/>
        <v/>
      </c>
      <c r="S81" s="452" t="str">
        <f t="shared" si="112"/>
        <v/>
      </c>
      <c r="T81" s="452" t="str">
        <f t="shared" si="112"/>
        <v/>
      </c>
      <c r="U81" s="452" t="str">
        <f t="shared" si="112"/>
        <v/>
      </c>
      <c r="V81" s="453" t="str">
        <f t="shared" si="112"/>
        <v/>
      </c>
      <c r="W81" s="451" t="str">
        <f t="shared" si="112"/>
        <v/>
      </c>
      <c r="X81" s="452" t="str">
        <f t="shared" si="112"/>
        <v/>
      </c>
      <c r="Y81" s="452" t="str">
        <f t="shared" si="112"/>
        <v/>
      </c>
      <c r="Z81" s="452" t="str">
        <f t="shared" si="112"/>
        <v/>
      </c>
      <c r="AA81" s="453" t="str">
        <f t="shared" si="112"/>
        <v/>
      </c>
      <c r="AB81" s="451" t="str">
        <f t="shared" si="112"/>
        <v/>
      </c>
      <c r="AC81" s="452" t="str">
        <f t="shared" ref="AC81:AR96" si="121">IF(AND(AC$2&gt;=$J81,AC$2&lt;=$K81),1,"")</f>
        <v/>
      </c>
      <c r="AD81" s="452" t="str">
        <f t="shared" si="121"/>
        <v/>
      </c>
      <c r="AE81" s="452" t="str">
        <f t="shared" si="121"/>
        <v/>
      </c>
      <c r="AF81" s="453" t="str">
        <f t="shared" si="121"/>
        <v/>
      </c>
      <c r="AG81" s="451" t="str">
        <f t="shared" si="121"/>
        <v/>
      </c>
      <c r="AH81" s="452" t="str">
        <f t="shared" si="121"/>
        <v/>
      </c>
      <c r="AI81" s="452" t="str">
        <f t="shared" si="121"/>
        <v/>
      </c>
      <c r="AJ81" s="452" t="str">
        <f t="shared" si="121"/>
        <v/>
      </c>
      <c r="AK81" s="453" t="str">
        <f t="shared" si="121"/>
        <v/>
      </c>
      <c r="AL81" s="451" t="str">
        <f t="shared" si="121"/>
        <v/>
      </c>
      <c r="AM81" s="452" t="str">
        <f t="shared" si="121"/>
        <v/>
      </c>
      <c r="AN81" s="452" t="str">
        <f t="shared" si="121"/>
        <v/>
      </c>
      <c r="AO81" s="452" t="str">
        <f t="shared" si="121"/>
        <v/>
      </c>
      <c r="AP81" s="453" t="str">
        <f t="shared" si="121"/>
        <v/>
      </c>
      <c r="AQ81" s="451" t="str">
        <f t="shared" si="121"/>
        <v/>
      </c>
      <c r="AR81" s="452" t="str">
        <f t="shared" si="121"/>
        <v/>
      </c>
      <c r="AS81" s="452" t="str">
        <f t="shared" si="117"/>
        <v/>
      </c>
      <c r="AT81" s="452" t="str">
        <f t="shared" si="117"/>
        <v/>
      </c>
      <c r="AU81" s="453" t="str">
        <f t="shared" si="117"/>
        <v/>
      </c>
      <c r="AV81" s="451" t="str">
        <f t="shared" si="117"/>
        <v/>
      </c>
      <c r="AW81" s="452" t="str">
        <f t="shared" si="117"/>
        <v/>
      </c>
      <c r="AX81" s="452" t="str">
        <f t="shared" si="117"/>
        <v/>
      </c>
      <c r="AY81" s="452" t="str">
        <f t="shared" si="117"/>
        <v/>
      </c>
      <c r="AZ81" s="453" t="str">
        <f t="shared" si="117"/>
        <v/>
      </c>
      <c r="BA81" s="451" t="str">
        <f t="shared" si="117"/>
        <v/>
      </c>
      <c r="BB81" s="452" t="str">
        <f t="shared" si="117"/>
        <v/>
      </c>
      <c r="BC81" s="452" t="str">
        <f t="shared" si="117"/>
        <v/>
      </c>
      <c r="BD81" s="452" t="str">
        <f t="shared" si="117"/>
        <v/>
      </c>
      <c r="BE81" s="453" t="str">
        <f t="shared" si="117"/>
        <v/>
      </c>
      <c r="BF81" s="451" t="str">
        <f t="shared" si="117"/>
        <v/>
      </c>
      <c r="BG81" s="452" t="str">
        <f t="shared" si="117"/>
        <v/>
      </c>
      <c r="BH81" s="452" t="str">
        <f t="shared" si="104"/>
        <v/>
      </c>
      <c r="BI81" s="452" t="str">
        <f t="shared" si="104"/>
        <v/>
      </c>
      <c r="BJ81" s="453" t="str">
        <f t="shared" si="104"/>
        <v/>
      </c>
      <c r="BK81" s="451" t="str">
        <f t="shared" si="104"/>
        <v/>
      </c>
      <c r="BL81" s="452" t="str">
        <f t="shared" si="104"/>
        <v/>
      </c>
      <c r="BM81" s="452" t="str">
        <f t="shared" si="104"/>
        <v/>
      </c>
      <c r="BN81" s="452" t="str">
        <f t="shared" si="104"/>
        <v/>
      </c>
      <c r="BO81" s="453" t="str">
        <f t="shared" si="104"/>
        <v/>
      </c>
      <c r="BP81" s="451" t="str">
        <f t="shared" si="104"/>
        <v/>
      </c>
      <c r="BQ81" s="452" t="str">
        <f t="shared" si="118"/>
        <v/>
      </c>
      <c r="BR81" s="452" t="str">
        <f t="shared" si="118"/>
        <v/>
      </c>
      <c r="BS81" s="452" t="str">
        <f t="shared" si="118"/>
        <v/>
      </c>
      <c r="BT81" s="453" t="str">
        <f t="shared" si="118"/>
        <v/>
      </c>
      <c r="BU81" s="451" t="str">
        <f t="shared" si="118"/>
        <v/>
      </c>
      <c r="BV81" s="452" t="str">
        <f t="shared" si="118"/>
        <v/>
      </c>
      <c r="BW81" s="452" t="str">
        <f t="shared" si="118"/>
        <v/>
      </c>
      <c r="BX81" s="452" t="str">
        <f t="shared" si="118"/>
        <v/>
      </c>
      <c r="BY81" s="453" t="str">
        <f t="shared" si="118"/>
        <v/>
      </c>
      <c r="BZ81" s="451" t="str">
        <f t="shared" si="118"/>
        <v/>
      </c>
      <c r="CA81" s="452" t="str">
        <f t="shared" si="118"/>
        <v/>
      </c>
      <c r="CB81" s="452" t="str">
        <f t="shared" si="118"/>
        <v/>
      </c>
      <c r="CC81" s="452" t="str">
        <f t="shared" si="118"/>
        <v/>
      </c>
      <c r="CD81" s="453" t="str">
        <f t="shared" si="118"/>
        <v/>
      </c>
      <c r="CE81" s="451" t="str">
        <f t="shared" si="118"/>
        <v/>
      </c>
      <c r="CF81" s="452" t="str">
        <f t="shared" si="108"/>
        <v/>
      </c>
      <c r="CG81" s="452" t="str">
        <f t="shared" si="108"/>
        <v/>
      </c>
      <c r="CH81" s="452" t="str">
        <f t="shared" si="108"/>
        <v/>
      </c>
      <c r="CI81" s="453" t="str">
        <f t="shared" si="108"/>
        <v/>
      </c>
      <c r="CJ81" s="451" t="str">
        <f t="shared" si="108"/>
        <v/>
      </c>
      <c r="CK81" s="452" t="str">
        <f t="shared" si="108"/>
        <v/>
      </c>
      <c r="CL81" s="452" t="str">
        <f t="shared" si="108"/>
        <v/>
      </c>
      <c r="CM81" s="452" t="str">
        <f t="shared" si="108"/>
        <v/>
      </c>
      <c r="CN81" s="453" t="str">
        <f t="shared" si="108"/>
        <v/>
      </c>
      <c r="CO81" s="451" t="str">
        <f t="shared" si="114"/>
        <v/>
      </c>
      <c r="CP81" s="452" t="str">
        <f t="shared" si="114"/>
        <v/>
      </c>
      <c r="CQ81" s="452" t="str">
        <f t="shared" si="114"/>
        <v/>
      </c>
      <c r="CR81" s="452" t="str">
        <f t="shared" si="114"/>
        <v/>
      </c>
      <c r="CS81" s="453" t="str">
        <f t="shared" si="114"/>
        <v/>
      </c>
      <c r="CT81" s="451" t="str">
        <f t="shared" si="114"/>
        <v/>
      </c>
      <c r="CU81" s="452" t="str">
        <f t="shared" si="114"/>
        <v/>
      </c>
      <c r="CV81" s="452" t="str">
        <f t="shared" si="114"/>
        <v/>
      </c>
      <c r="CW81" s="452" t="str">
        <f t="shared" si="114"/>
        <v/>
      </c>
      <c r="CX81" s="453" t="str">
        <f t="shared" si="114"/>
        <v/>
      </c>
      <c r="CY81" s="451" t="str">
        <f t="shared" si="114"/>
        <v/>
      </c>
      <c r="CZ81" s="452" t="str">
        <f t="shared" si="114"/>
        <v/>
      </c>
      <c r="DA81" s="452" t="str">
        <f t="shared" si="114"/>
        <v/>
      </c>
      <c r="DB81" s="452" t="str">
        <f t="shared" si="114"/>
        <v/>
      </c>
      <c r="DC81" s="453" t="str">
        <f t="shared" si="114"/>
        <v/>
      </c>
      <c r="DD81" s="451" t="str">
        <f t="shared" si="109"/>
        <v/>
      </c>
      <c r="DE81" s="452" t="str">
        <f t="shared" si="109"/>
        <v/>
      </c>
      <c r="DF81" s="452" t="str">
        <f t="shared" si="109"/>
        <v/>
      </c>
      <c r="DG81" s="452" t="str">
        <f t="shared" si="109"/>
        <v/>
      </c>
      <c r="DH81" s="453" t="str">
        <f t="shared" si="109"/>
        <v/>
      </c>
      <c r="DI81" s="451" t="str">
        <f t="shared" si="109"/>
        <v/>
      </c>
      <c r="DJ81" s="452" t="str">
        <f t="shared" si="109"/>
        <v/>
      </c>
      <c r="DK81" s="452" t="str">
        <f t="shared" si="109"/>
        <v/>
      </c>
      <c r="DL81" s="452" t="str">
        <f t="shared" si="109"/>
        <v/>
      </c>
      <c r="DM81" s="453" t="str">
        <f t="shared" si="84"/>
        <v/>
      </c>
      <c r="DN81" s="451" t="str">
        <f t="shared" si="84"/>
        <v/>
      </c>
      <c r="DO81" s="452" t="str">
        <f t="shared" si="84"/>
        <v/>
      </c>
      <c r="DP81" s="452" t="str">
        <f t="shared" si="84"/>
        <v/>
      </c>
      <c r="DQ81" s="452" t="str">
        <f t="shared" si="84"/>
        <v/>
      </c>
      <c r="DR81" s="453" t="str">
        <f t="shared" si="84"/>
        <v/>
      </c>
      <c r="DS81" s="451" t="str">
        <f t="shared" si="84"/>
        <v/>
      </c>
      <c r="DT81" s="452" t="str">
        <f t="shared" si="84"/>
        <v/>
      </c>
      <c r="DU81" s="452" t="str">
        <f t="shared" si="110"/>
        <v/>
      </c>
      <c r="DV81" s="452" t="str">
        <f t="shared" si="110"/>
        <v/>
      </c>
      <c r="DW81" s="453" t="str">
        <f t="shared" si="110"/>
        <v/>
      </c>
      <c r="DX81" s="451" t="str">
        <f t="shared" si="110"/>
        <v/>
      </c>
      <c r="DY81" s="452" t="str">
        <f t="shared" si="110"/>
        <v/>
      </c>
      <c r="DZ81" s="452" t="str">
        <f t="shared" si="110"/>
        <v/>
      </c>
      <c r="EA81" s="452" t="str">
        <f t="shared" si="110"/>
        <v/>
      </c>
      <c r="EB81" s="453" t="str">
        <f t="shared" si="110"/>
        <v/>
      </c>
      <c r="EC81" s="451" t="str">
        <f t="shared" si="110"/>
        <v/>
      </c>
      <c r="ED81" s="452" t="str">
        <f t="shared" si="110"/>
        <v/>
      </c>
      <c r="EE81" s="452" t="str">
        <f t="shared" si="110"/>
        <v/>
      </c>
      <c r="EF81" s="452" t="str">
        <f t="shared" si="107"/>
        <v/>
      </c>
      <c r="EG81" s="453" t="str">
        <f t="shared" si="107"/>
        <v/>
      </c>
      <c r="EH81" s="451" t="str">
        <f t="shared" si="107"/>
        <v/>
      </c>
      <c r="EI81" s="452" t="str">
        <f t="shared" si="107"/>
        <v/>
      </c>
      <c r="EJ81" s="452" t="str">
        <f t="shared" si="107"/>
        <v/>
      </c>
      <c r="EK81" s="452" t="str">
        <f t="shared" si="107"/>
        <v/>
      </c>
      <c r="EL81" s="453" t="str">
        <f t="shared" si="107"/>
        <v/>
      </c>
      <c r="EM81" s="451" t="str">
        <f t="shared" si="107"/>
        <v/>
      </c>
      <c r="EN81" s="452" t="str">
        <f t="shared" si="107"/>
        <v/>
      </c>
      <c r="EO81" s="452" t="str">
        <f t="shared" si="107"/>
        <v/>
      </c>
      <c r="EP81" s="452" t="str">
        <f t="shared" si="107"/>
        <v/>
      </c>
      <c r="EQ81" s="453" t="str">
        <f t="shared" si="107"/>
        <v/>
      </c>
      <c r="ER81" s="451" t="str">
        <f t="shared" si="107"/>
        <v/>
      </c>
      <c r="ES81" s="452" t="str">
        <f t="shared" si="113"/>
        <v/>
      </c>
      <c r="ET81" s="452" t="str">
        <f t="shared" si="113"/>
        <v/>
      </c>
      <c r="EU81" s="452" t="str">
        <f t="shared" si="113"/>
        <v/>
      </c>
      <c r="EV81" s="453" t="str">
        <f t="shared" si="113"/>
        <v/>
      </c>
      <c r="EW81" s="451" t="str">
        <f t="shared" si="113"/>
        <v/>
      </c>
      <c r="EX81" s="452" t="str">
        <f t="shared" si="113"/>
        <v/>
      </c>
      <c r="EY81" s="452" t="str">
        <f t="shared" si="113"/>
        <v/>
      </c>
      <c r="EZ81" s="452" t="str">
        <f t="shared" si="113"/>
        <v/>
      </c>
      <c r="FA81" s="453" t="str">
        <f t="shared" si="113"/>
        <v/>
      </c>
      <c r="FB81" s="451" t="str">
        <f t="shared" si="113"/>
        <v/>
      </c>
      <c r="FC81" s="452" t="str">
        <f t="shared" si="113"/>
        <v/>
      </c>
      <c r="FD81" s="452" t="str">
        <f t="shared" si="113"/>
        <v/>
      </c>
      <c r="FE81" s="452" t="str">
        <f t="shared" si="113"/>
        <v/>
      </c>
      <c r="FF81" s="453" t="str">
        <f t="shared" si="113"/>
        <v/>
      </c>
      <c r="FG81" s="451" t="str">
        <f t="shared" si="113"/>
        <v/>
      </c>
      <c r="FH81" s="452" t="str">
        <f t="shared" si="113"/>
        <v/>
      </c>
      <c r="FI81" s="452" t="str">
        <f t="shared" si="111"/>
        <v/>
      </c>
      <c r="FJ81" s="452" t="str">
        <f t="shared" si="111"/>
        <v/>
      </c>
      <c r="FK81" s="453" t="str">
        <f t="shared" si="111"/>
        <v/>
      </c>
      <c r="FL81" s="451" t="str">
        <f t="shared" si="111"/>
        <v/>
      </c>
      <c r="FM81" s="452" t="str">
        <f t="shared" si="111"/>
        <v/>
      </c>
      <c r="FN81" s="452" t="str">
        <f t="shared" si="111"/>
        <v/>
      </c>
      <c r="FO81" s="452" t="str">
        <f t="shared" si="111"/>
        <v/>
      </c>
      <c r="FP81" s="453" t="str">
        <f t="shared" si="111"/>
        <v/>
      </c>
      <c r="FQ81" s="451" t="str">
        <f t="shared" si="111"/>
        <v/>
      </c>
      <c r="FR81" s="452" t="str">
        <f t="shared" si="111"/>
        <v/>
      </c>
      <c r="FS81" s="452" t="str">
        <f t="shared" si="111"/>
        <v/>
      </c>
      <c r="FT81" s="452" t="str">
        <f t="shared" si="111"/>
        <v/>
      </c>
      <c r="FU81" s="453" t="str">
        <f t="shared" si="111"/>
        <v/>
      </c>
      <c r="FV81" s="451" t="str">
        <f t="shared" si="111"/>
        <v/>
      </c>
      <c r="FW81" s="452" t="str">
        <f t="shared" si="111"/>
        <v/>
      </c>
      <c r="FX81" s="452" t="str">
        <f t="shared" si="103"/>
        <v/>
      </c>
      <c r="FY81" s="452" t="str">
        <f t="shared" si="103"/>
        <v/>
      </c>
      <c r="FZ81" s="453" t="str">
        <f t="shared" si="103"/>
        <v/>
      </c>
      <c r="GA81" s="451" t="str">
        <f t="shared" si="103"/>
        <v/>
      </c>
      <c r="GB81" s="452" t="str">
        <f t="shared" si="102"/>
        <v/>
      </c>
      <c r="GC81" s="452" t="str">
        <f t="shared" si="102"/>
        <v/>
      </c>
      <c r="GD81" s="452" t="str">
        <f t="shared" si="102"/>
        <v/>
      </c>
      <c r="GE81" s="453" t="str">
        <f t="shared" si="102"/>
        <v/>
      </c>
      <c r="GF81" s="451" t="str">
        <f t="shared" si="102"/>
        <v/>
      </c>
      <c r="GG81" s="452" t="str">
        <f t="shared" si="102"/>
        <v/>
      </c>
      <c r="GH81" s="452" t="str">
        <f t="shared" si="119"/>
        <v/>
      </c>
      <c r="GI81" s="452" t="str">
        <f t="shared" si="119"/>
        <v/>
      </c>
      <c r="GJ81" s="453" t="str">
        <f t="shared" si="119"/>
        <v/>
      </c>
      <c r="GK81" s="451" t="str">
        <f t="shared" si="119"/>
        <v/>
      </c>
      <c r="GL81" s="452" t="str">
        <f t="shared" si="119"/>
        <v/>
      </c>
      <c r="GM81" s="452" t="str">
        <f t="shared" si="119"/>
        <v/>
      </c>
      <c r="GN81" s="452" t="str">
        <f t="shared" si="119"/>
        <v/>
      </c>
      <c r="GO81" s="453" t="str">
        <f t="shared" si="119"/>
        <v/>
      </c>
      <c r="GP81" s="451" t="str">
        <f t="shared" si="119"/>
        <v/>
      </c>
      <c r="GQ81" s="452" t="str">
        <f t="shared" si="119"/>
        <v/>
      </c>
      <c r="GR81" s="452" t="str">
        <f t="shared" si="119"/>
        <v/>
      </c>
      <c r="GS81" s="452" t="str">
        <f t="shared" si="96"/>
        <v/>
      </c>
      <c r="GT81" s="453" t="str">
        <f t="shared" si="96"/>
        <v/>
      </c>
      <c r="GU81" s="451" t="str">
        <f t="shared" si="96"/>
        <v/>
      </c>
      <c r="GV81" s="452" t="str">
        <f t="shared" si="96"/>
        <v/>
      </c>
      <c r="GW81" s="452" t="str">
        <f t="shared" si="96"/>
        <v/>
      </c>
      <c r="GX81" s="452" t="str">
        <f t="shared" si="96"/>
        <v/>
      </c>
      <c r="GY81" s="453" t="str">
        <f t="shared" si="96"/>
        <v/>
      </c>
      <c r="GZ81" s="451" t="str">
        <f t="shared" si="96"/>
        <v/>
      </c>
      <c r="HA81" s="452" t="str">
        <f t="shared" si="86"/>
        <v/>
      </c>
      <c r="HB81" s="452" t="str">
        <f t="shared" si="86"/>
        <v/>
      </c>
      <c r="HC81" s="452" t="str">
        <f t="shared" si="86"/>
        <v/>
      </c>
      <c r="HD81" s="453" t="str">
        <f t="shared" si="86"/>
        <v/>
      </c>
      <c r="HE81" s="451" t="str">
        <f t="shared" si="86"/>
        <v/>
      </c>
      <c r="HF81" s="452" t="str">
        <f t="shared" si="86"/>
        <v/>
      </c>
      <c r="HG81" s="452" t="str">
        <f t="shared" si="116"/>
        <v/>
      </c>
      <c r="HH81" s="452" t="str">
        <f t="shared" si="116"/>
        <v/>
      </c>
      <c r="HI81" s="453" t="str">
        <f t="shared" si="116"/>
        <v/>
      </c>
      <c r="HJ81" s="451" t="str">
        <f t="shared" si="116"/>
        <v/>
      </c>
      <c r="HK81" s="452" t="str">
        <f t="shared" si="116"/>
        <v/>
      </c>
      <c r="HL81" s="452" t="str">
        <f t="shared" si="116"/>
        <v/>
      </c>
      <c r="HM81" s="452" t="str">
        <f t="shared" si="116"/>
        <v/>
      </c>
      <c r="HN81" s="453" t="str">
        <f t="shared" si="116"/>
        <v/>
      </c>
      <c r="HO81" s="451" t="str">
        <f t="shared" si="116"/>
        <v/>
      </c>
      <c r="HP81" s="452" t="str">
        <f t="shared" si="116"/>
        <v/>
      </c>
      <c r="HQ81" s="452" t="str">
        <f t="shared" si="116"/>
        <v/>
      </c>
      <c r="HR81" s="452" t="str">
        <f t="shared" si="116"/>
        <v/>
      </c>
      <c r="HS81" s="453" t="str">
        <f t="shared" si="116"/>
        <v/>
      </c>
      <c r="HT81" s="451" t="str">
        <f t="shared" si="116"/>
        <v/>
      </c>
      <c r="HU81" s="452" t="str">
        <f t="shared" si="116"/>
        <v/>
      </c>
      <c r="HV81" s="452" t="str">
        <f t="shared" si="116"/>
        <v/>
      </c>
      <c r="HW81" s="452" t="str">
        <f t="shared" si="115"/>
        <v/>
      </c>
      <c r="HX81" s="453" t="str">
        <f t="shared" si="115"/>
        <v/>
      </c>
      <c r="HY81" s="451" t="str">
        <f t="shared" si="87"/>
        <v/>
      </c>
      <c r="HZ81" s="452" t="str">
        <f t="shared" si="120"/>
        <v/>
      </c>
      <c r="IA81" s="452" t="str">
        <f t="shared" si="120"/>
        <v/>
      </c>
      <c r="IB81" s="452" t="str">
        <f t="shared" si="120"/>
        <v/>
      </c>
      <c r="IC81" s="453" t="str">
        <f t="shared" si="120"/>
        <v/>
      </c>
      <c r="ID81" s="451" t="str">
        <f t="shared" si="120"/>
        <v/>
      </c>
      <c r="IE81" s="452" t="str">
        <f t="shared" si="120"/>
        <v/>
      </c>
      <c r="IF81" s="452" t="str">
        <f t="shared" si="120"/>
        <v/>
      </c>
      <c r="IG81" s="452" t="str">
        <f t="shared" si="120"/>
        <v/>
      </c>
      <c r="IH81" s="453" t="str">
        <f t="shared" si="120"/>
        <v/>
      </c>
      <c r="II81" s="451" t="str">
        <f t="shared" si="120"/>
        <v/>
      </c>
      <c r="IJ81" s="452" t="str">
        <f t="shared" si="120"/>
        <v/>
      </c>
      <c r="IK81" s="452" t="str">
        <f t="shared" si="120"/>
        <v/>
      </c>
      <c r="IL81" s="452" t="str">
        <f t="shared" si="120"/>
        <v/>
      </c>
      <c r="IM81" s="453" t="str">
        <f t="shared" si="120"/>
        <v/>
      </c>
      <c r="IN81" s="451" t="str">
        <f t="shared" si="120"/>
        <v/>
      </c>
      <c r="IO81" s="452" t="str">
        <f t="shared" si="88"/>
        <v/>
      </c>
      <c r="IP81" s="452" t="str">
        <f t="shared" si="88"/>
        <v/>
      </c>
      <c r="IQ81" s="452" t="str">
        <f t="shared" si="88"/>
        <v/>
      </c>
      <c r="IR81" s="453" t="str">
        <f t="shared" si="88"/>
        <v/>
      </c>
    </row>
    <row r="82" spans="1:252" x14ac:dyDescent="0.2">
      <c r="A82" s="461">
        <v>8.1</v>
      </c>
      <c r="C82" s="447" t="s">
        <v>1351</v>
      </c>
      <c r="D82" s="447"/>
      <c r="E82" s="448"/>
      <c r="F82" s="448"/>
      <c r="G82" s="448"/>
      <c r="H82" s="448"/>
      <c r="I82" s="448"/>
      <c r="J82" s="449" t="str">
        <f t="shared" ref="J82:J91" si="122">IF(E82="","",E82-$M$3+1)</f>
        <v/>
      </c>
      <c r="K82" s="449" t="str">
        <f t="shared" ref="K82:K91" si="123">IF(F82="","",F82-$M$3+1)</f>
        <v/>
      </c>
      <c r="L82" s="450">
        <f t="shared" si="101"/>
        <v>0</v>
      </c>
      <c r="M82" s="451" t="str">
        <f t="shared" si="112"/>
        <v/>
      </c>
      <c r="N82" s="452" t="str">
        <f t="shared" si="112"/>
        <v/>
      </c>
      <c r="O82" s="452" t="str">
        <f t="shared" si="112"/>
        <v/>
      </c>
      <c r="P82" s="452" t="str">
        <f t="shared" si="112"/>
        <v/>
      </c>
      <c r="Q82" s="453" t="str">
        <f t="shared" si="112"/>
        <v/>
      </c>
      <c r="R82" s="451" t="str">
        <f t="shared" si="112"/>
        <v/>
      </c>
      <c r="S82" s="452" t="str">
        <f t="shared" si="112"/>
        <v/>
      </c>
      <c r="T82" s="452" t="str">
        <f t="shared" si="112"/>
        <v/>
      </c>
      <c r="U82" s="452" t="str">
        <f t="shared" si="112"/>
        <v/>
      </c>
      <c r="V82" s="453" t="str">
        <f t="shared" si="112"/>
        <v/>
      </c>
      <c r="W82" s="451" t="str">
        <f t="shared" si="112"/>
        <v/>
      </c>
      <c r="X82" s="452" t="str">
        <f t="shared" si="112"/>
        <v/>
      </c>
      <c r="Y82" s="452" t="str">
        <f t="shared" si="112"/>
        <v/>
      </c>
      <c r="Z82" s="452" t="str">
        <f t="shared" si="112"/>
        <v/>
      </c>
      <c r="AA82" s="453" t="str">
        <f t="shared" si="112"/>
        <v/>
      </c>
      <c r="AB82" s="451" t="str">
        <f t="shared" si="112"/>
        <v/>
      </c>
      <c r="AC82" s="452" t="str">
        <f t="shared" si="121"/>
        <v/>
      </c>
      <c r="AD82" s="452" t="str">
        <f t="shared" si="121"/>
        <v/>
      </c>
      <c r="AE82" s="452" t="str">
        <f t="shared" si="121"/>
        <v/>
      </c>
      <c r="AF82" s="453" t="str">
        <f t="shared" si="121"/>
        <v/>
      </c>
      <c r="AG82" s="451" t="str">
        <f t="shared" si="121"/>
        <v/>
      </c>
      <c r="AH82" s="452" t="str">
        <f t="shared" si="121"/>
        <v/>
      </c>
      <c r="AI82" s="452" t="str">
        <f t="shared" si="121"/>
        <v/>
      </c>
      <c r="AJ82" s="452" t="str">
        <f t="shared" si="121"/>
        <v/>
      </c>
      <c r="AK82" s="453" t="str">
        <f t="shared" si="121"/>
        <v/>
      </c>
      <c r="AL82" s="451" t="str">
        <f t="shared" si="121"/>
        <v/>
      </c>
      <c r="AM82" s="452" t="str">
        <f t="shared" si="121"/>
        <v/>
      </c>
      <c r="AN82" s="452" t="str">
        <f t="shared" si="121"/>
        <v/>
      </c>
      <c r="AO82" s="452" t="str">
        <f t="shared" si="121"/>
        <v/>
      </c>
      <c r="AP82" s="453" t="str">
        <f t="shared" si="121"/>
        <v/>
      </c>
      <c r="AQ82" s="451" t="str">
        <f t="shared" si="121"/>
        <v/>
      </c>
      <c r="AR82" s="452" t="str">
        <f t="shared" si="121"/>
        <v/>
      </c>
      <c r="AS82" s="452" t="str">
        <f t="shared" si="117"/>
        <v/>
      </c>
      <c r="AT82" s="452" t="str">
        <f t="shared" si="117"/>
        <v/>
      </c>
      <c r="AU82" s="453" t="str">
        <f t="shared" si="117"/>
        <v/>
      </c>
      <c r="AV82" s="451" t="str">
        <f t="shared" si="117"/>
        <v/>
      </c>
      <c r="AW82" s="452" t="str">
        <f t="shared" si="117"/>
        <v/>
      </c>
      <c r="AX82" s="452" t="str">
        <f t="shared" si="117"/>
        <v/>
      </c>
      <c r="AY82" s="452" t="str">
        <f t="shared" si="117"/>
        <v/>
      </c>
      <c r="AZ82" s="453" t="str">
        <f t="shared" si="117"/>
        <v/>
      </c>
      <c r="BA82" s="451" t="str">
        <f t="shared" si="117"/>
        <v/>
      </c>
      <c r="BB82" s="452" t="str">
        <f t="shared" si="117"/>
        <v/>
      </c>
      <c r="BC82" s="452" t="str">
        <f t="shared" si="117"/>
        <v/>
      </c>
      <c r="BD82" s="452" t="str">
        <f t="shared" si="117"/>
        <v/>
      </c>
      <c r="BE82" s="453" t="str">
        <f t="shared" si="117"/>
        <v/>
      </c>
      <c r="BF82" s="451" t="str">
        <f t="shared" si="117"/>
        <v/>
      </c>
      <c r="BG82" s="452" t="str">
        <f t="shared" si="117"/>
        <v/>
      </c>
      <c r="BH82" s="452" t="str">
        <f t="shared" si="104"/>
        <v/>
      </c>
      <c r="BI82" s="452" t="str">
        <f t="shared" si="104"/>
        <v/>
      </c>
      <c r="BJ82" s="453" t="str">
        <f t="shared" si="104"/>
        <v/>
      </c>
      <c r="BK82" s="451" t="str">
        <f t="shared" si="104"/>
        <v/>
      </c>
      <c r="BL82" s="452" t="str">
        <f t="shared" si="104"/>
        <v/>
      </c>
      <c r="BM82" s="452" t="str">
        <f t="shared" si="104"/>
        <v/>
      </c>
      <c r="BN82" s="452" t="str">
        <f t="shared" si="104"/>
        <v/>
      </c>
      <c r="BO82" s="453" t="str">
        <f t="shared" si="104"/>
        <v/>
      </c>
      <c r="BP82" s="451" t="str">
        <f t="shared" si="104"/>
        <v/>
      </c>
      <c r="BQ82" s="452" t="str">
        <f t="shared" si="118"/>
        <v/>
      </c>
      <c r="BR82" s="452" t="str">
        <f t="shared" si="118"/>
        <v/>
      </c>
      <c r="BS82" s="452" t="str">
        <f t="shared" si="118"/>
        <v/>
      </c>
      <c r="BT82" s="453" t="str">
        <f t="shared" si="118"/>
        <v/>
      </c>
      <c r="BU82" s="451" t="str">
        <f t="shared" si="118"/>
        <v/>
      </c>
      <c r="BV82" s="452" t="str">
        <f t="shared" si="118"/>
        <v/>
      </c>
      <c r="BW82" s="452" t="str">
        <f t="shared" si="118"/>
        <v/>
      </c>
      <c r="BX82" s="452" t="str">
        <f t="shared" si="118"/>
        <v/>
      </c>
      <c r="BY82" s="453" t="str">
        <f t="shared" si="118"/>
        <v/>
      </c>
      <c r="BZ82" s="451" t="str">
        <f t="shared" si="118"/>
        <v/>
      </c>
      <c r="CA82" s="452" t="str">
        <f t="shared" si="118"/>
        <v/>
      </c>
      <c r="CB82" s="452" t="str">
        <f t="shared" si="118"/>
        <v/>
      </c>
      <c r="CC82" s="452" t="str">
        <f t="shared" si="118"/>
        <v/>
      </c>
      <c r="CD82" s="453" t="str">
        <f t="shared" si="118"/>
        <v/>
      </c>
      <c r="CE82" s="451" t="str">
        <f t="shared" si="118"/>
        <v/>
      </c>
      <c r="CF82" s="452" t="str">
        <f t="shared" si="108"/>
        <v/>
      </c>
      <c r="CG82" s="452" t="str">
        <f t="shared" si="108"/>
        <v/>
      </c>
      <c r="CH82" s="452" t="str">
        <f t="shared" si="108"/>
        <v/>
      </c>
      <c r="CI82" s="453" t="str">
        <f t="shared" si="108"/>
        <v/>
      </c>
      <c r="CJ82" s="451" t="str">
        <f t="shared" si="108"/>
        <v/>
      </c>
      <c r="CK82" s="452" t="str">
        <f t="shared" si="108"/>
        <v/>
      </c>
      <c r="CL82" s="452" t="str">
        <f t="shared" si="108"/>
        <v/>
      </c>
      <c r="CM82" s="452" t="str">
        <f t="shared" si="108"/>
        <v/>
      </c>
      <c r="CN82" s="453" t="str">
        <f t="shared" si="108"/>
        <v/>
      </c>
      <c r="CO82" s="451" t="str">
        <f t="shared" si="114"/>
        <v/>
      </c>
      <c r="CP82" s="452" t="str">
        <f t="shared" si="114"/>
        <v/>
      </c>
      <c r="CQ82" s="452" t="str">
        <f t="shared" si="114"/>
        <v/>
      </c>
      <c r="CR82" s="452" t="str">
        <f t="shared" si="114"/>
        <v/>
      </c>
      <c r="CS82" s="453" t="str">
        <f t="shared" si="114"/>
        <v/>
      </c>
      <c r="CT82" s="451" t="str">
        <f t="shared" si="114"/>
        <v/>
      </c>
      <c r="CU82" s="452" t="str">
        <f t="shared" si="114"/>
        <v/>
      </c>
      <c r="CV82" s="452" t="str">
        <f t="shared" si="114"/>
        <v/>
      </c>
      <c r="CW82" s="452" t="str">
        <f t="shared" si="114"/>
        <v/>
      </c>
      <c r="CX82" s="453" t="str">
        <f t="shared" si="114"/>
        <v/>
      </c>
      <c r="CY82" s="451" t="str">
        <f t="shared" si="114"/>
        <v/>
      </c>
      <c r="CZ82" s="452" t="str">
        <f t="shared" si="114"/>
        <v/>
      </c>
      <c r="DA82" s="452" t="str">
        <f t="shared" si="114"/>
        <v/>
      </c>
      <c r="DB82" s="452" t="str">
        <f t="shared" si="114"/>
        <v/>
      </c>
      <c r="DC82" s="453" t="str">
        <f t="shared" si="114"/>
        <v/>
      </c>
      <c r="DD82" s="451" t="str">
        <f t="shared" si="109"/>
        <v/>
      </c>
      <c r="DE82" s="452" t="str">
        <f t="shared" si="109"/>
        <v/>
      </c>
      <c r="DF82" s="452" t="str">
        <f t="shared" si="109"/>
        <v/>
      </c>
      <c r="DG82" s="452" t="str">
        <f t="shared" si="109"/>
        <v/>
      </c>
      <c r="DH82" s="453" t="str">
        <f t="shared" si="109"/>
        <v/>
      </c>
      <c r="DI82" s="451" t="str">
        <f t="shared" si="109"/>
        <v/>
      </c>
      <c r="DJ82" s="452" t="str">
        <f t="shared" si="109"/>
        <v/>
      </c>
      <c r="DK82" s="452" t="str">
        <f t="shared" si="109"/>
        <v/>
      </c>
      <c r="DL82" s="452" t="str">
        <f t="shared" si="109"/>
        <v/>
      </c>
      <c r="DM82" s="453" t="str">
        <f t="shared" ref="DM82:EB99" si="124">IF(AND(DM$2&gt;=$J82,DM$2&lt;=$K82),1,"")</f>
        <v/>
      </c>
      <c r="DN82" s="451" t="str">
        <f t="shared" si="124"/>
        <v/>
      </c>
      <c r="DO82" s="452" t="str">
        <f t="shared" si="124"/>
        <v/>
      </c>
      <c r="DP82" s="452" t="str">
        <f t="shared" si="124"/>
        <v/>
      </c>
      <c r="DQ82" s="452" t="str">
        <f t="shared" si="124"/>
        <v/>
      </c>
      <c r="DR82" s="453" t="str">
        <f t="shared" si="124"/>
        <v/>
      </c>
      <c r="DS82" s="451" t="str">
        <f t="shared" si="124"/>
        <v/>
      </c>
      <c r="DT82" s="452" t="str">
        <f t="shared" si="124"/>
        <v/>
      </c>
      <c r="DU82" s="452" t="str">
        <f t="shared" si="124"/>
        <v/>
      </c>
      <c r="DV82" s="452" t="str">
        <f t="shared" si="124"/>
        <v/>
      </c>
      <c r="DW82" s="453" t="str">
        <f t="shared" si="124"/>
        <v/>
      </c>
      <c r="DX82" s="451" t="str">
        <f t="shared" si="124"/>
        <v/>
      </c>
      <c r="DY82" s="452" t="str">
        <f t="shared" si="124"/>
        <v/>
      </c>
      <c r="DZ82" s="452" t="str">
        <f t="shared" si="124"/>
        <v/>
      </c>
      <c r="EA82" s="452" t="str">
        <f t="shared" si="124"/>
        <v/>
      </c>
      <c r="EB82" s="453" t="str">
        <f t="shared" si="124"/>
        <v/>
      </c>
      <c r="EC82" s="451" t="str">
        <f t="shared" si="110"/>
        <v/>
      </c>
      <c r="ED82" s="452" t="str">
        <f t="shared" si="110"/>
        <v/>
      </c>
      <c r="EE82" s="452" t="str">
        <f t="shared" si="110"/>
        <v/>
      </c>
      <c r="EF82" s="452" t="str">
        <f t="shared" si="107"/>
        <v/>
      </c>
      <c r="EG82" s="453" t="str">
        <f t="shared" si="107"/>
        <v/>
      </c>
      <c r="EH82" s="451" t="str">
        <f t="shared" si="107"/>
        <v/>
      </c>
      <c r="EI82" s="452" t="str">
        <f t="shared" si="107"/>
        <v/>
      </c>
      <c r="EJ82" s="452" t="str">
        <f t="shared" si="107"/>
        <v/>
      </c>
      <c r="EK82" s="452" t="str">
        <f t="shared" si="107"/>
        <v/>
      </c>
      <c r="EL82" s="453" t="str">
        <f t="shared" si="107"/>
        <v/>
      </c>
      <c r="EM82" s="451" t="str">
        <f t="shared" si="107"/>
        <v/>
      </c>
      <c r="EN82" s="452" t="str">
        <f t="shared" si="107"/>
        <v/>
      </c>
      <c r="EO82" s="452" t="str">
        <f t="shared" si="107"/>
        <v/>
      </c>
      <c r="EP82" s="452" t="str">
        <f t="shared" si="107"/>
        <v/>
      </c>
      <c r="EQ82" s="453" t="str">
        <f t="shared" si="107"/>
        <v/>
      </c>
      <c r="ER82" s="451" t="str">
        <f t="shared" si="107"/>
        <v/>
      </c>
      <c r="ES82" s="452" t="str">
        <f t="shared" si="113"/>
        <v/>
      </c>
      <c r="ET82" s="452" t="str">
        <f t="shared" si="113"/>
        <v/>
      </c>
      <c r="EU82" s="452" t="str">
        <f t="shared" si="113"/>
        <v/>
      </c>
      <c r="EV82" s="453" t="str">
        <f t="shared" si="113"/>
        <v/>
      </c>
      <c r="EW82" s="451" t="str">
        <f t="shared" si="113"/>
        <v/>
      </c>
      <c r="EX82" s="452" t="str">
        <f t="shared" si="113"/>
        <v/>
      </c>
      <c r="EY82" s="452" t="str">
        <f t="shared" si="113"/>
        <v/>
      </c>
      <c r="EZ82" s="452" t="str">
        <f t="shared" si="113"/>
        <v/>
      </c>
      <c r="FA82" s="453" t="str">
        <f t="shared" si="113"/>
        <v/>
      </c>
      <c r="FB82" s="451" t="str">
        <f t="shared" si="113"/>
        <v/>
      </c>
      <c r="FC82" s="452" t="str">
        <f t="shared" si="113"/>
        <v/>
      </c>
      <c r="FD82" s="452" t="str">
        <f t="shared" si="113"/>
        <v/>
      </c>
      <c r="FE82" s="452" t="str">
        <f t="shared" si="113"/>
        <v/>
      </c>
      <c r="FF82" s="453" t="str">
        <f t="shared" si="113"/>
        <v/>
      </c>
      <c r="FG82" s="451" t="str">
        <f t="shared" si="113"/>
        <v/>
      </c>
      <c r="FH82" s="452" t="str">
        <f t="shared" si="113"/>
        <v/>
      </c>
      <c r="FI82" s="452" t="str">
        <f t="shared" si="111"/>
        <v/>
      </c>
      <c r="FJ82" s="452" t="str">
        <f t="shared" si="111"/>
        <v/>
      </c>
      <c r="FK82" s="453" t="str">
        <f t="shared" si="111"/>
        <v/>
      </c>
      <c r="FL82" s="451" t="str">
        <f t="shared" si="111"/>
        <v/>
      </c>
      <c r="FM82" s="452" t="str">
        <f t="shared" si="111"/>
        <v/>
      </c>
      <c r="FN82" s="452" t="str">
        <f t="shared" si="111"/>
        <v/>
      </c>
      <c r="FO82" s="452" t="str">
        <f t="shared" si="111"/>
        <v/>
      </c>
      <c r="FP82" s="453" t="str">
        <f t="shared" si="111"/>
        <v/>
      </c>
      <c r="FQ82" s="451" t="str">
        <f t="shared" si="111"/>
        <v/>
      </c>
      <c r="FR82" s="452" t="str">
        <f t="shared" si="111"/>
        <v/>
      </c>
      <c r="FS82" s="452" t="str">
        <f t="shared" si="111"/>
        <v/>
      </c>
      <c r="FT82" s="452" t="str">
        <f t="shared" si="111"/>
        <v/>
      </c>
      <c r="FU82" s="453" t="str">
        <f t="shared" si="111"/>
        <v/>
      </c>
      <c r="FV82" s="451" t="str">
        <f t="shared" si="111"/>
        <v/>
      </c>
      <c r="FW82" s="452" t="str">
        <f t="shared" si="111"/>
        <v/>
      </c>
      <c r="FX82" s="452" t="str">
        <f t="shared" si="103"/>
        <v/>
      </c>
      <c r="FY82" s="452" t="str">
        <f t="shared" si="103"/>
        <v/>
      </c>
      <c r="FZ82" s="453" t="str">
        <f t="shared" si="103"/>
        <v/>
      </c>
      <c r="GA82" s="451" t="str">
        <f t="shared" si="103"/>
        <v/>
      </c>
      <c r="GB82" s="452" t="str">
        <f t="shared" si="102"/>
        <v/>
      </c>
      <c r="GC82" s="452" t="str">
        <f t="shared" si="102"/>
        <v/>
      </c>
      <c r="GD82" s="452" t="str">
        <f t="shared" si="102"/>
        <v/>
      </c>
      <c r="GE82" s="453" t="str">
        <f t="shared" si="102"/>
        <v/>
      </c>
      <c r="GF82" s="451" t="str">
        <f t="shared" si="102"/>
        <v/>
      </c>
      <c r="GG82" s="452" t="str">
        <f t="shared" si="102"/>
        <v/>
      </c>
      <c r="GH82" s="452" t="str">
        <f t="shared" si="119"/>
        <v/>
      </c>
      <c r="GI82" s="452" t="str">
        <f t="shared" si="119"/>
        <v/>
      </c>
      <c r="GJ82" s="453" t="str">
        <f t="shared" si="119"/>
        <v/>
      </c>
      <c r="GK82" s="451" t="str">
        <f t="shared" si="119"/>
        <v/>
      </c>
      <c r="GL82" s="452" t="str">
        <f t="shared" si="119"/>
        <v/>
      </c>
      <c r="GM82" s="452" t="str">
        <f t="shared" si="119"/>
        <v/>
      </c>
      <c r="GN82" s="452" t="str">
        <f t="shared" si="119"/>
        <v/>
      </c>
      <c r="GO82" s="453" t="str">
        <f t="shared" si="119"/>
        <v/>
      </c>
      <c r="GP82" s="451" t="str">
        <f t="shared" si="119"/>
        <v/>
      </c>
      <c r="GQ82" s="452" t="str">
        <f t="shared" si="119"/>
        <v/>
      </c>
      <c r="GR82" s="452" t="str">
        <f t="shared" si="119"/>
        <v/>
      </c>
      <c r="GS82" s="452" t="str">
        <f t="shared" si="96"/>
        <v/>
      </c>
      <c r="GT82" s="453" t="str">
        <f t="shared" si="96"/>
        <v/>
      </c>
      <c r="GU82" s="451" t="str">
        <f t="shared" si="96"/>
        <v/>
      </c>
      <c r="GV82" s="452" t="str">
        <f t="shared" si="96"/>
        <v/>
      </c>
      <c r="GW82" s="452" t="str">
        <f t="shared" si="96"/>
        <v/>
      </c>
      <c r="GX82" s="452" t="str">
        <f t="shared" si="96"/>
        <v/>
      </c>
      <c r="GY82" s="453" t="str">
        <f t="shared" si="96"/>
        <v/>
      </c>
      <c r="GZ82" s="451" t="str">
        <f t="shared" si="96"/>
        <v/>
      </c>
      <c r="HA82" s="452" t="str">
        <f t="shared" ref="HA82:HH86" si="125">IF(AND(HA$2&gt;=$J82,HA$2&lt;=$K82),1,"")</f>
        <v/>
      </c>
      <c r="HB82" s="452" t="str">
        <f t="shared" si="125"/>
        <v/>
      </c>
      <c r="HC82" s="452" t="str">
        <f t="shared" si="125"/>
        <v/>
      </c>
      <c r="HD82" s="453" t="str">
        <f t="shared" si="125"/>
        <v/>
      </c>
      <c r="HE82" s="451" t="str">
        <f t="shared" si="125"/>
        <v/>
      </c>
      <c r="HF82" s="452" t="str">
        <f t="shared" si="125"/>
        <v/>
      </c>
      <c r="HG82" s="452" t="str">
        <f t="shared" si="125"/>
        <v/>
      </c>
      <c r="HH82" s="452" t="str">
        <f t="shared" si="125"/>
        <v/>
      </c>
      <c r="HI82" s="453" t="str">
        <f t="shared" si="116"/>
        <v/>
      </c>
      <c r="HJ82" s="451" t="str">
        <f t="shared" si="116"/>
        <v/>
      </c>
      <c r="HK82" s="452" t="str">
        <f t="shared" si="116"/>
        <v/>
      </c>
      <c r="HL82" s="452" t="str">
        <f t="shared" si="116"/>
        <v/>
      </c>
      <c r="HM82" s="452" t="str">
        <f t="shared" si="116"/>
        <v/>
      </c>
      <c r="HN82" s="453" t="str">
        <f t="shared" si="116"/>
        <v/>
      </c>
      <c r="HO82" s="451" t="str">
        <f t="shared" si="116"/>
        <v/>
      </c>
      <c r="HP82" s="452" t="str">
        <f t="shared" si="116"/>
        <v/>
      </c>
      <c r="HQ82" s="452" t="str">
        <f t="shared" si="116"/>
        <v/>
      </c>
      <c r="HR82" s="452" t="str">
        <f t="shared" si="116"/>
        <v/>
      </c>
      <c r="HS82" s="453" t="str">
        <f t="shared" si="116"/>
        <v/>
      </c>
      <c r="HT82" s="451" t="str">
        <f t="shared" si="116"/>
        <v/>
      </c>
      <c r="HU82" s="452" t="str">
        <f t="shared" si="116"/>
        <v/>
      </c>
      <c r="HV82" s="452" t="str">
        <f t="shared" si="116"/>
        <v/>
      </c>
      <c r="HW82" s="452" t="str">
        <f t="shared" si="115"/>
        <v/>
      </c>
      <c r="HX82" s="453" t="str">
        <f t="shared" si="115"/>
        <v/>
      </c>
      <c r="HY82" s="451" t="str">
        <f t="shared" si="115"/>
        <v/>
      </c>
      <c r="HZ82" s="452" t="str">
        <f t="shared" si="115"/>
        <v/>
      </c>
      <c r="IA82" s="452" t="str">
        <f t="shared" si="115"/>
        <v/>
      </c>
      <c r="IB82" s="452" t="str">
        <f t="shared" si="115"/>
        <v/>
      </c>
      <c r="IC82" s="453" t="str">
        <f t="shared" si="115"/>
        <v/>
      </c>
      <c r="ID82" s="451" t="str">
        <f t="shared" si="115"/>
        <v/>
      </c>
      <c r="IE82" s="452" t="str">
        <f t="shared" si="115"/>
        <v/>
      </c>
      <c r="IF82" s="452" t="str">
        <f t="shared" si="115"/>
        <v/>
      </c>
      <c r="IG82" s="452" t="str">
        <f t="shared" si="115"/>
        <v/>
      </c>
      <c r="IH82" s="453" t="str">
        <f t="shared" si="115"/>
        <v/>
      </c>
      <c r="II82" s="451" t="str">
        <f t="shared" si="115"/>
        <v/>
      </c>
      <c r="IJ82" s="452" t="str">
        <f t="shared" si="115"/>
        <v/>
      </c>
      <c r="IK82" s="452" t="str">
        <f t="shared" si="115"/>
        <v/>
      </c>
      <c r="IL82" s="452" t="str">
        <f t="shared" si="120"/>
        <v/>
      </c>
      <c r="IM82" s="453" t="str">
        <f t="shared" si="120"/>
        <v/>
      </c>
      <c r="IN82" s="451" t="str">
        <f t="shared" si="120"/>
        <v/>
      </c>
      <c r="IO82" s="452" t="str">
        <f t="shared" si="120"/>
        <v/>
      </c>
      <c r="IP82" s="452" t="str">
        <f t="shared" ref="IO82:IR97" si="126">IF(AND(IP$2&gt;=$J82,IP$2&lt;=$K82),1,"")</f>
        <v/>
      </c>
      <c r="IQ82" s="452" t="str">
        <f t="shared" si="126"/>
        <v/>
      </c>
      <c r="IR82" s="453" t="str">
        <f t="shared" si="126"/>
        <v/>
      </c>
    </row>
    <row r="83" spans="1:252" x14ac:dyDescent="0.2">
      <c r="A83" s="461">
        <v>8.1999999999999993</v>
      </c>
      <c r="C83" s="447" t="s">
        <v>1352</v>
      </c>
      <c r="D83" s="447"/>
      <c r="E83" s="448"/>
      <c r="F83" s="448"/>
      <c r="G83" s="448"/>
      <c r="H83" s="448"/>
      <c r="I83" s="448"/>
      <c r="J83" s="449" t="str">
        <f t="shared" si="122"/>
        <v/>
      </c>
      <c r="K83" s="449" t="str">
        <f t="shared" si="123"/>
        <v/>
      </c>
      <c r="L83" s="450">
        <f t="shared" si="101"/>
        <v>0</v>
      </c>
      <c r="M83" s="451" t="str">
        <f t="shared" si="112"/>
        <v/>
      </c>
      <c r="N83" s="452" t="str">
        <f t="shared" si="112"/>
        <v/>
      </c>
      <c r="O83" s="452" t="str">
        <f t="shared" si="112"/>
        <v/>
      </c>
      <c r="P83" s="452" t="str">
        <f t="shared" si="112"/>
        <v/>
      </c>
      <c r="Q83" s="453" t="str">
        <f t="shared" si="112"/>
        <v/>
      </c>
      <c r="R83" s="451" t="str">
        <f t="shared" si="112"/>
        <v/>
      </c>
      <c r="S83" s="452" t="str">
        <f t="shared" si="112"/>
        <v/>
      </c>
      <c r="T83" s="452" t="str">
        <f t="shared" si="112"/>
        <v/>
      </c>
      <c r="U83" s="452" t="str">
        <f t="shared" si="112"/>
        <v/>
      </c>
      <c r="V83" s="453" t="str">
        <f t="shared" si="112"/>
        <v/>
      </c>
      <c r="W83" s="451" t="str">
        <f t="shared" si="112"/>
        <v/>
      </c>
      <c r="X83" s="452" t="str">
        <f t="shared" si="112"/>
        <v/>
      </c>
      <c r="Y83" s="452" t="str">
        <f t="shared" si="112"/>
        <v/>
      </c>
      <c r="Z83" s="452" t="str">
        <f t="shared" si="112"/>
        <v/>
      </c>
      <c r="AA83" s="453" t="str">
        <f t="shared" si="112"/>
        <v/>
      </c>
      <c r="AB83" s="451" t="str">
        <f t="shared" si="112"/>
        <v/>
      </c>
      <c r="AC83" s="452" t="str">
        <f t="shared" si="121"/>
        <v/>
      </c>
      <c r="AD83" s="452" t="str">
        <f t="shared" si="121"/>
        <v/>
      </c>
      <c r="AE83" s="452" t="str">
        <f t="shared" si="121"/>
        <v/>
      </c>
      <c r="AF83" s="453" t="str">
        <f t="shared" si="121"/>
        <v/>
      </c>
      <c r="AG83" s="451" t="str">
        <f t="shared" si="121"/>
        <v/>
      </c>
      <c r="AH83" s="452" t="str">
        <f t="shared" si="121"/>
        <v/>
      </c>
      <c r="AI83" s="452" t="str">
        <f t="shared" si="121"/>
        <v/>
      </c>
      <c r="AJ83" s="452" t="str">
        <f t="shared" si="121"/>
        <v/>
      </c>
      <c r="AK83" s="453" t="str">
        <f t="shared" si="121"/>
        <v/>
      </c>
      <c r="AL83" s="451" t="str">
        <f t="shared" si="121"/>
        <v/>
      </c>
      <c r="AM83" s="452" t="str">
        <f t="shared" si="121"/>
        <v/>
      </c>
      <c r="AN83" s="452" t="str">
        <f t="shared" si="121"/>
        <v/>
      </c>
      <c r="AO83" s="452" t="str">
        <f t="shared" si="121"/>
        <v/>
      </c>
      <c r="AP83" s="453" t="str">
        <f t="shared" si="121"/>
        <v/>
      </c>
      <c r="AQ83" s="451" t="str">
        <f t="shared" si="121"/>
        <v/>
      </c>
      <c r="AR83" s="452" t="str">
        <f t="shared" si="121"/>
        <v/>
      </c>
      <c r="AS83" s="452" t="str">
        <f t="shared" si="117"/>
        <v/>
      </c>
      <c r="AT83" s="452" t="str">
        <f t="shared" si="117"/>
        <v/>
      </c>
      <c r="AU83" s="453" t="str">
        <f t="shared" si="117"/>
        <v/>
      </c>
      <c r="AV83" s="451" t="str">
        <f t="shared" si="117"/>
        <v/>
      </c>
      <c r="AW83" s="452" t="str">
        <f t="shared" si="117"/>
        <v/>
      </c>
      <c r="AX83" s="452" t="str">
        <f t="shared" si="117"/>
        <v/>
      </c>
      <c r="AY83" s="452" t="str">
        <f t="shared" si="117"/>
        <v/>
      </c>
      <c r="AZ83" s="453" t="str">
        <f t="shared" si="117"/>
        <v/>
      </c>
      <c r="BA83" s="451" t="str">
        <f t="shared" si="117"/>
        <v/>
      </c>
      <c r="BB83" s="452" t="str">
        <f t="shared" si="117"/>
        <v/>
      </c>
      <c r="BC83" s="452" t="str">
        <f t="shared" si="117"/>
        <v/>
      </c>
      <c r="BD83" s="452" t="str">
        <f t="shared" si="117"/>
        <v/>
      </c>
      <c r="BE83" s="453" t="str">
        <f t="shared" si="117"/>
        <v/>
      </c>
      <c r="BF83" s="451" t="str">
        <f t="shared" si="117"/>
        <v/>
      </c>
      <c r="BG83" s="452" t="str">
        <f t="shared" si="117"/>
        <v/>
      </c>
      <c r="BH83" s="452" t="str">
        <f t="shared" si="104"/>
        <v/>
      </c>
      <c r="BI83" s="452" t="str">
        <f t="shared" si="104"/>
        <v/>
      </c>
      <c r="BJ83" s="453" t="str">
        <f t="shared" si="104"/>
        <v/>
      </c>
      <c r="BK83" s="451" t="str">
        <f t="shared" si="104"/>
        <v/>
      </c>
      <c r="BL83" s="452" t="str">
        <f t="shared" si="104"/>
        <v/>
      </c>
      <c r="BM83" s="452" t="str">
        <f t="shared" si="104"/>
        <v/>
      </c>
      <c r="BN83" s="452" t="str">
        <f t="shared" si="104"/>
        <v/>
      </c>
      <c r="BO83" s="453" t="str">
        <f t="shared" si="104"/>
        <v/>
      </c>
      <c r="BP83" s="451" t="str">
        <f t="shared" si="104"/>
        <v/>
      </c>
      <c r="BQ83" s="452" t="str">
        <f t="shared" si="118"/>
        <v/>
      </c>
      <c r="BR83" s="452" t="str">
        <f t="shared" si="118"/>
        <v/>
      </c>
      <c r="BS83" s="452" t="str">
        <f t="shared" si="118"/>
        <v/>
      </c>
      <c r="BT83" s="453" t="str">
        <f t="shared" si="118"/>
        <v/>
      </c>
      <c r="BU83" s="451" t="str">
        <f t="shared" si="118"/>
        <v/>
      </c>
      <c r="BV83" s="452" t="str">
        <f t="shared" si="118"/>
        <v/>
      </c>
      <c r="BW83" s="452" t="str">
        <f t="shared" si="118"/>
        <v/>
      </c>
      <c r="BX83" s="452" t="str">
        <f t="shared" si="118"/>
        <v/>
      </c>
      <c r="BY83" s="453" t="str">
        <f t="shared" si="118"/>
        <v/>
      </c>
      <c r="BZ83" s="451" t="str">
        <f t="shared" si="118"/>
        <v/>
      </c>
      <c r="CA83" s="452" t="str">
        <f t="shared" si="118"/>
        <v/>
      </c>
      <c r="CB83" s="452" t="str">
        <f t="shared" si="118"/>
        <v/>
      </c>
      <c r="CC83" s="452" t="str">
        <f t="shared" si="118"/>
        <v/>
      </c>
      <c r="CD83" s="453" t="str">
        <f t="shared" si="118"/>
        <v/>
      </c>
      <c r="CE83" s="451" t="str">
        <f t="shared" si="118"/>
        <v/>
      </c>
      <c r="CF83" s="452" t="str">
        <f t="shared" si="108"/>
        <v/>
      </c>
      <c r="CG83" s="452" t="str">
        <f t="shared" si="108"/>
        <v/>
      </c>
      <c r="CH83" s="452" t="str">
        <f t="shared" si="108"/>
        <v/>
      </c>
      <c r="CI83" s="453" t="str">
        <f t="shared" si="108"/>
        <v/>
      </c>
      <c r="CJ83" s="451" t="str">
        <f t="shared" si="108"/>
        <v/>
      </c>
      <c r="CK83" s="452" t="str">
        <f t="shared" si="108"/>
        <v/>
      </c>
      <c r="CL83" s="452" t="str">
        <f t="shared" si="108"/>
        <v/>
      </c>
      <c r="CM83" s="452" t="str">
        <f t="shared" si="108"/>
        <v/>
      </c>
      <c r="CN83" s="453" t="str">
        <f t="shared" si="108"/>
        <v/>
      </c>
      <c r="CO83" s="451" t="str">
        <f t="shared" si="114"/>
        <v/>
      </c>
      <c r="CP83" s="452" t="str">
        <f t="shared" si="114"/>
        <v/>
      </c>
      <c r="CQ83" s="452" t="str">
        <f t="shared" si="114"/>
        <v/>
      </c>
      <c r="CR83" s="452" t="str">
        <f t="shared" si="114"/>
        <v/>
      </c>
      <c r="CS83" s="453" t="str">
        <f t="shared" si="114"/>
        <v/>
      </c>
      <c r="CT83" s="451" t="str">
        <f t="shared" si="114"/>
        <v/>
      </c>
      <c r="CU83" s="452" t="str">
        <f t="shared" si="114"/>
        <v/>
      </c>
      <c r="CV83" s="452" t="str">
        <f t="shared" si="114"/>
        <v/>
      </c>
      <c r="CW83" s="452" t="str">
        <f t="shared" si="114"/>
        <v/>
      </c>
      <c r="CX83" s="453" t="str">
        <f t="shared" si="114"/>
        <v/>
      </c>
      <c r="CY83" s="451" t="str">
        <f t="shared" si="114"/>
        <v/>
      </c>
      <c r="CZ83" s="452" t="str">
        <f t="shared" si="114"/>
        <v/>
      </c>
      <c r="DA83" s="452" t="str">
        <f t="shared" si="114"/>
        <v/>
      </c>
      <c r="DB83" s="452" t="str">
        <f t="shared" si="114"/>
        <v/>
      </c>
      <c r="DC83" s="453" t="str">
        <f t="shared" si="114"/>
        <v/>
      </c>
      <c r="DD83" s="451" t="str">
        <f t="shared" si="109"/>
        <v/>
      </c>
      <c r="DE83" s="452" t="str">
        <f t="shared" si="109"/>
        <v/>
      </c>
      <c r="DF83" s="452" t="str">
        <f t="shared" si="109"/>
        <v/>
      </c>
      <c r="DG83" s="452" t="str">
        <f t="shared" si="109"/>
        <v/>
      </c>
      <c r="DH83" s="453" t="str">
        <f t="shared" si="109"/>
        <v/>
      </c>
      <c r="DI83" s="451" t="str">
        <f t="shared" si="109"/>
        <v/>
      </c>
      <c r="DJ83" s="452" t="str">
        <f t="shared" si="109"/>
        <v/>
      </c>
      <c r="DK83" s="452" t="str">
        <f t="shared" si="109"/>
        <v/>
      </c>
      <c r="DL83" s="452" t="str">
        <f t="shared" si="109"/>
        <v/>
      </c>
      <c r="DM83" s="453" t="str">
        <f t="shared" si="124"/>
        <v/>
      </c>
      <c r="DN83" s="451" t="str">
        <f t="shared" si="124"/>
        <v/>
      </c>
      <c r="DO83" s="452" t="str">
        <f t="shared" si="124"/>
        <v/>
      </c>
      <c r="DP83" s="452" t="str">
        <f t="shared" si="124"/>
        <v/>
      </c>
      <c r="DQ83" s="452" t="str">
        <f t="shared" si="124"/>
        <v/>
      </c>
      <c r="DR83" s="453" t="str">
        <f t="shared" si="124"/>
        <v/>
      </c>
      <c r="DS83" s="451" t="str">
        <f t="shared" si="124"/>
        <v/>
      </c>
      <c r="DT83" s="452" t="str">
        <f t="shared" si="124"/>
        <v/>
      </c>
      <c r="DU83" s="452" t="str">
        <f t="shared" si="124"/>
        <v/>
      </c>
      <c r="DV83" s="452" t="str">
        <f t="shared" si="124"/>
        <v/>
      </c>
      <c r="DW83" s="453" t="str">
        <f t="shared" si="124"/>
        <v/>
      </c>
      <c r="DX83" s="451" t="str">
        <f t="shared" si="124"/>
        <v/>
      </c>
      <c r="DY83" s="452" t="str">
        <f t="shared" si="124"/>
        <v/>
      </c>
      <c r="DZ83" s="452" t="str">
        <f t="shared" si="124"/>
        <v/>
      </c>
      <c r="EA83" s="452" t="str">
        <f t="shared" si="124"/>
        <v/>
      </c>
      <c r="EB83" s="453" t="str">
        <f t="shared" si="124"/>
        <v/>
      </c>
      <c r="EC83" s="451" t="str">
        <f t="shared" si="110"/>
        <v/>
      </c>
      <c r="ED83" s="452" t="str">
        <f t="shared" si="110"/>
        <v/>
      </c>
      <c r="EE83" s="452" t="str">
        <f t="shared" si="110"/>
        <v/>
      </c>
      <c r="EF83" s="452" t="str">
        <f t="shared" si="107"/>
        <v/>
      </c>
      <c r="EG83" s="453" t="str">
        <f t="shared" si="107"/>
        <v/>
      </c>
      <c r="EH83" s="451" t="str">
        <f t="shared" si="107"/>
        <v/>
      </c>
      <c r="EI83" s="452" t="str">
        <f t="shared" si="107"/>
        <v/>
      </c>
      <c r="EJ83" s="452" t="str">
        <f t="shared" si="107"/>
        <v/>
      </c>
      <c r="EK83" s="452" t="str">
        <f t="shared" si="107"/>
        <v/>
      </c>
      <c r="EL83" s="453" t="str">
        <f t="shared" si="107"/>
        <v/>
      </c>
      <c r="EM83" s="451" t="str">
        <f t="shared" si="107"/>
        <v/>
      </c>
      <c r="EN83" s="452" t="str">
        <f t="shared" si="107"/>
        <v/>
      </c>
      <c r="EO83" s="452" t="str">
        <f t="shared" si="107"/>
        <v/>
      </c>
      <c r="EP83" s="452" t="str">
        <f t="shared" si="107"/>
        <v/>
      </c>
      <c r="EQ83" s="453" t="str">
        <f t="shared" si="107"/>
        <v/>
      </c>
      <c r="ER83" s="451" t="str">
        <f t="shared" si="107"/>
        <v/>
      </c>
      <c r="ES83" s="452" t="str">
        <f t="shared" si="113"/>
        <v/>
      </c>
      <c r="ET83" s="452" t="str">
        <f t="shared" si="113"/>
        <v/>
      </c>
      <c r="EU83" s="452" t="str">
        <f t="shared" si="113"/>
        <v/>
      </c>
      <c r="EV83" s="453" t="str">
        <f t="shared" si="113"/>
        <v/>
      </c>
      <c r="EW83" s="451" t="str">
        <f t="shared" si="113"/>
        <v/>
      </c>
      <c r="EX83" s="452" t="str">
        <f t="shared" si="113"/>
        <v/>
      </c>
      <c r="EY83" s="452" t="str">
        <f t="shared" si="113"/>
        <v/>
      </c>
      <c r="EZ83" s="452" t="str">
        <f t="shared" si="113"/>
        <v/>
      </c>
      <c r="FA83" s="453" t="str">
        <f t="shared" si="113"/>
        <v/>
      </c>
      <c r="FB83" s="451" t="str">
        <f t="shared" si="113"/>
        <v/>
      </c>
      <c r="FC83" s="452" t="str">
        <f t="shared" si="113"/>
        <v/>
      </c>
      <c r="FD83" s="452" t="str">
        <f t="shared" si="113"/>
        <v/>
      </c>
      <c r="FE83" s="452" t="str">
        <f t="shared" si="113"/>
        <v/>
      </c>
      <c r="FF83" s="453" t="str">
        <f t="shared" si="113"/>
        <v/>
      </c>
      <c r="FG83" s="451" t="str">
        <f t="shared" si="113"/>
        <v/>
      </c>
      <c r="FH83" s="452" t="str">
        <f t="shared" si="113"/>
        <v/>
      </c>
      <c r="FI83" s="452" t="str">
        <f t="shared" si="111"/>
        <v/>
      </c>
      <c r="FJ83" s="452" t="str">
        <f t="shared" si="111"/>
        <v/>
      </c>
      <c r="FK83" s="453" t="str">
        <f t="shared" si="111"/>
        <v/>
      </c>
      <c r="FL83" s="451" t="str">
        <f t="shared" si="111"/>
        <v/>
      </c>
      <c r="FM83" s="452" t="str">
        <f t="shared" si="111"/>
        <v/>
      </c>
      <c r="FN83" s="452" t="str">
        <f t="shared" si="111"/>
        <v/>
      </c>
      <c r="FO83" s="452" t="str">
        <f t="shared" si="111"/>
        <v/>
      </c>
      <c r="FP83" s="453" t="str">
        <f t="shared" si="111"/>
        <v/>
      </c>
      <c r="FQ83" s="451" t="str">
        <f t="shared" si="111"/>
        <v/>
      </c>
      <c r="FR83" s="452" t="str">
        <f t="shared" si="111"/>
        <v/>
      </c>
      <c r="FS83" s="452" t="str">
        <f t="shared" si="111"/>
        <v/>
      </c>
      <c r="FT83" s="452" t="str">
        <f t="shared" si="111"/>
        <v/>
      </c>
      <c r="FU83" s="453" t="str">
        <f t="shared" si="111"/>
        <v/>
      </c>
      <c r="FV83" s="451" t="str">
        <f t="shared" si="111"/>
        <v/>
      </c>
      <c r="FW83" s="452" t="str">
        <f t="shared" si="111"/>
        <v/>
      </c>
      <c r="FX83" s="452" t="str">
        <f t="shared" si="103"/>
        <v/>
      </c>
      <c r="FY83" s="452" t="str">
        <f t="shared" si="103"/>
        <v/>
      </c>
      <c r="FZ83" s="453" t="str">
        <f t="shared" si="103"/>
        <v/>
      </c>
      <c r="GA83" s="451" t="str">
        <f t="shared" si="103"/>
        <v/>
      </c>
      <c r="GB83" s="452" t="str">
        <f t="shared" si="102"/>
        <v/>
      </c>
      <c r="GC83" s="452" t="str">
        <f t="shared" si="102"/>
        <v/>
      </c>
      <c r="GD83" s="452" t="str">
        <f t="shared" si="102"/>
        <v/>
      </c>
      <c r="GE83" s="453" t="str">
        <f t="shared" si="102"/>
        <v/>
      </c>
      <c r="GF83" s="451" t="str">
        <f t="shared" si="102"/>
        <v/>
      </c>
      <c r="GG83" s="452" t="str">
        <f t="shared" si="102"/>
        <v/>
      </c>
      <c r="GH83" s="452" t="str">
        <f t="shared" si="119"/>
        <v/>
      </c>
      <c r="GI83" s="452" t="str">
        <f t="shared" si="119"/>
        <v/>
      </c>
      <c r="GJ83" s="453" t="str">
        <f t="shared" si="119"/>
        <v/>
      </c>
      <c r="GK83" s="451" t="str">
        <f t="shared" si="119"/>
        <v/>
      </c>
      <c r="GL83" s="452" t="str">
        <f t="shared" si="119"/>
        <v/>
      </c>
      <c r="GM83" s="452" t="str">
        <f t="shared" si="119"/>
        <v/>
      </c>
      <c r="GN83" s="452" t="str">
        <f t="shared" si="119"/>
        <v/>
      </c>
      <c r="GO83" s="453" t="str">
        <f t="shared" si="119"/>
        <v/>
      </c>
      <c r="GP83" s="451" t="str">
        <f t="shared" si="119"/>
        <v/>
      </c>
      <c r="GQ83" s="452" t="str">
        <f t="shared" si="119"/>
        <v/>
      </c>
      <c r="GR83" s="452" t="str">
        <f t="shared" si="119"/>
        <v/>
      </c>
      <c r="GS83" s="452" t="str">
        <f t="shared" si="96"/>
        <v/>
      </c>
      <c r="GT83" s="453" t="str">
        <f t="shared" si="96"/>
        <v/>
      </c>
      <c r="GU83" s="451" t="str">
        <f t="shared" si="96"/>
        <v/>
      </c>
      <c r="GV83" s="452" t="str">
        <f t="shared" si="96"/>
        <v/>
      </c>
      <c r="GW83" s="452" t="str">
        <f t="shared" si="96"/>
        <v/>
      </c>
      <c r="GX83" s="452" t="str">
        <f t="shared" si="96"/>
        <v/>
      </c>
      <c r="GY83" s="453" t="str">
        <f t="shared" si="96"/>
        <v/>
      </c>
      <c r="GZ83" s="451" t="str">
        <f t="shared" si="96"/>
        <v/>
      </c>
      <c r="HA83" s="452" t="str">
        <f t="shared" si="125"/>
        <v/>
      </c>
      <c r="HB83" s="452" t="str">
        <f t="shared" si="125"/>
        <v/>
      </c>
      <c r="HC83" s="452" t="str">
        <f t="shared" si="125"/>
        <v/>
      </c>
      <c r="HD83" s="453" t="str">
        <f t="shared" si="125"/>
        <v/>
      </c>
      <c r="HE83" s="451" t="str">
        <f t="shared" si="125"/>
        <v/>
      </c>
      <c r="HF83" s="452" t="str">
        <f t="shared" si="125"/>
        <v/>
      </c>
      <c r="HG83" s="452" t="str">
        <f t="shared" si="125"/>
        <v/>
      </c>
      <c r="HH83" s="452" t="str">
        <f t="shared" si="125"/>
        <v/>
      </c>
      <c r="HI83" s="453" t="str">
        <f t="shared" si="116"/>
        <v/>
      </c>
      <c r="HJ83" s="451" t="str">
        <f t="shared" si="116"/>
        <v/>
      </c>
      <c r="HK83" s="452" t="str">
        <f t="shared" si="116"/>
        <v/>
      </c>
      <c r="HL83" s="452" t="str">
        <f t="shared" si="116"/>
        <v/>
      </c>
      <c r="HM83" s="452" t="str">
        <f t="shared" si="116"/>
        <v/>
      </c>
      <c r="HN83" s="453" t="str">
        <f t="shared" si="116"/>
        <v/>
      </c>
      <c r="HO83" s="451" t="str">
        <f t="shared" si="116"/>
        <v/>
      </c>
      <c r="HP83" s="452" t="str">
        <f t="shared" si="116"/>
        <v/>
      </c>
      <c r="HQ83" s="452" t="str">
        <f t="shared" si="116"/>
        <v/>
      </c>
      <c r="HR83" s="452" t="str">
        <f t="shared" si="116"/>
        <v/>
      </c>
      <c r="HS83" s="453" t="str">
        <f t="shared" si="116"/>
        <v/>
      </c>
      <c r="HT83" s="451" t="str">
        <f t="shared" si="116"/>
        <v/>
      </c>
      <c r="HU83" s="452" t="str">
        <f t="shared" si="116"/>
        <v/>
      </c>
      <c r="HV83" s="452" t="str">
        <f t="shared" si="116"/>
        <v/>
      </c>
      <c r="HW83" s="452" t="str">
        <f t="shared" si="115"/>
        <v/>
      </c>
      <c r="HX83" s="453" t="str">
        <f t="shared" si="115"/>
        <v/>
      </c>
      <c r="HY83" s="451" t="str">
        <f t="shared" si="115"/>
        <v/>
      </c>
      <c r="HZ83" s="452" t="str">
        <f t="shared" si="115"/>
        <v/>
      </c>
      <c r="IA83" s="452" t="str">
        <f t="shared" si="115"/>
        <v/>
      </c>
      <c r="IB83" s="452" t="str">
        <f t="shared" si="115"/>
        <v/>
      </c>
      <c r="IC83" s="453" t="str">
        <f t="shared" si="115"/>
        <v/>
      </c>
      <c r="ID83" s="451" t="str">
        <f t="shared" si="115"/>
        <v/>
      </c>
      <c r="IE83" s="452" t="str">
        <f t="shared" si="115"/>
        <v/>
      </c>
      <c r="IF83" s="452" t="str">
        <f t="shared" si="115"/>
        <v/>
      </c>
      <c r="IG83" s="452" t="str">
        <f t="shared" si="115"/>
        <v/>
      </c>
      <c r="IH83" s="453" t="str">
        <f t="shared" si="115"/>
        <v/>
      </c>
      <c r="II83" s="451" t="str">
        <f t="shared" si="115"/>
        <v/>
      </c>
      <c r="IJ83" s="452" t="str">
        <f t="shared" si="115"/>
        <v/>
      </c>
      <c r="IK83" s="452" t="str">
        <f t="shared" si="115"/>
        <v/>
      </c>
      <c r="IL83" s="452" t="str">
        <f t="shared" si="120"/>
        <v/>
      </c>
      <c r="IM83" s="453" t="str">
        <f t="shared" si="120"/>
        <v/>
      </c>
      <c r="IN83" s="451" t="str">
        <f t="shared" si="120"/>
        <v/>
      </c>
      <c r="IO83" s="452" t="str">
        <f t="shared" si="126"/>
        <v/>
      </c>
      <c r="IP83" s="452" t="str">
        <f t="shared" si="126"/>
        <v/>
      </c>
      <c r="IQ83" s="452" t="str">
        <f t="shared" si="126"/>
        <v/>
      </c>
      <c r="IR83" s="453" t="str">
        <f t="shared" si="126"/>
        <v/>
      </c>
    </row>
    <row r="84" spans="1:252" x14ac:dyDescent="0.2">
      <c r="A84" s="461">
        <v>8.3000000000000007</v>
      </c>
      <c r="C84" s="447" t="s">
        <v>1353</v>
      </c>
      <c r="D84" s="447"/>
      <c r="E84" s="448"/>
      <c r="F84" s="448"/>
      <c r="G84" s="448"/>
      <c r="H84" s="448"/>
      <c r="I84" s="448"/>
      <c r="J84" s="449" t="str">
        <f t="shared" si="122"/>
        <v/>
      </c>
      <c r="K84" s="449" t="str">
        <f t="shared" si="123"/>
        <v/>
      </c>
      <c r="L84" s="450">
        <f t="shared" si="101"/>
        <v>0</v>
      </c>
      <c r="M84" s="451" t="str">
        <f t="shared" si="112"/>
        <v/>
      </c>
      <c r="N84" s="452" t="str">
        <f t="shared" si="112"/>
        <v/>
      </c>
      <c r="O84" s="452" t="str">
        <f t="shared" si="112"/>
        <v/>
      </c>
      <c r="P84" s="452" t="str">
        <f t="shared" si="112"/>
        <v/>
      </c>
      <c r="Q84" s="453" t="str">
        <f t="shared" si="112"/>
        <v/>
      </c>
      <c r="R84" s="451" t="str">
        <f t="shared" si="112"/>
        <v/>
      </c>
      <c r="S84" s="452" t="str">
        <f t="shared" si="112"/>
        <v/>
      </c>
      <c r="T84" s="452" t="str">
        <f t="shared" si="112"/>
        <v/>
      </c>
      <c r="U84" s="452" t="str">
        <f t="shared" si="112"/>
        <v/>
      </c>
      <c r="V84" s="453" t="str">
        <f t="shared" si="112"/>
        <v/>
      </c>
      <c r="W84" s="451" t="str">
        <f t="shared" si="112"/>
        <v/>
      </c>
      <c r="X84" s="452" t="str">
        <f t="shared" si="112"/>
        <v/>
      </c>
      <c r="Y84" s="452" t="str">
        <f t="shared" si="112"/>
        <v/>
      </c>
      <c r="Z84" s="452" t="str">
        <f t="shared" si="112"/>
        <v/>
      </c>
      <c r="AA84" s="453" t="str">
        <f t="shared" si="112"/>
        <v/>
      </c>
      <c r="AB84" s="451" t="str">
        <f t="shared" si="112"/>
        <v/>
      </c>
      <c r="AC84" s="452" t="str">
        <f t="shared" si="121"/>
        <v/>
      </c>
      <c r="AD84" s="452" t="str">
        <f t="shared" si="121"/>
        <v/>
      </c>
      <c r="AE84" s="452" t="str">
        <f t="shared" si="121"/>
        <v/>
      </c>
      <c r="AF84" s="453" t="str">
        <f t="shared" si="121"/>
        <v/>
      </c>
      <c r="AG84" s="451" t="str">
        <f t="shared" si="121"/>
        <v/>
      </c>
      <c r="AH84" s="452" t="str">
        <f t="shared" si="121"/>
        <v/>
      </c>
      <c r="AI84" s="452" t="str">
        <f t="shared" si="121"/>
        <v/>
      </c>
      <c r="AJ84" s="452" t="str">
        <f t="shared" si="121"/>
        <v/>
      </c>
      <c r="AK84" s="453" t="str">
        <f t="shared" si="121"/>
        <v/>
      </c>
      <c r="AL84" s="451" t="str">
        <f t="shared" si="121"/>
        <v/>
      </c>
      <c r="AM84" s="452" t="str">
        <f t="shared" si="121"/>
        <v/>
      </c>
      <c r="AN84" s="452" t="str">
        <f t="shared" si="121"/>
        <v/>
      </c>
      <c r="AO84" s="452" t="str">
        <f t="shared" si="121"/>
        <v/>
      </c>
      <c r="AP84" s="453" t="str">
        <f t="shared" si="121"/>
        <v/>
      </c>
      <c r="AQ84" s="451" t="str">
        <f t="shared" si="121"/>
        <v/>
      </c>
      <c r="AR84" s="452" t="str">
        <f t="shared" si="121"/>
        <v/>
      </c>
      <c r="AS84" s="452" t="str">
        <f t="shared" si="117"/>
        <v/>
      </c>
      <c r="AT84" s="452" t="str">
        <f t="shared" si="117"/>
        <v/>
      </c>
      <c r="AU84" s="453" t="str">
        <f t="shared" si="117"/>
        <v/>
      </c>
      <c r="AV84" s="451" t="str">
        <f t="shared" si="117"/>
        <v/>
      </c>
      <c r="AW84" s="452" t="str">
        <f t="shared" si="117"/>
        <v/>
      </c>
      <c r="AX84" s="452" t="str">
        <f t="shared" si="117"/>
        <v/>
      </c>
      <c r="AY84" s="452" t="str">
        <f t="shared" si="117"/>
        <v/>
      </c>
      <c r="AZ84" s="453" t="str">
        <f t="shared" si="117"/>
        <v/>
      </c>
      <c r="BA84" s="451" t="str">
        <f t="shared" si="117"/>
        <v/>
      </c>
      <c r="BB84" s="452" t="str">
        <f t="shared" si="117"/>
        <v/>
      </c>
      <c r="BC84" s="452" t="str">
        <f t="shared" si="117"/>
        <v/>
      </c>
      <c r="BD84" s="452" t="str">
        <f t="shared" si="117"/>
        <v/>
      </c>
      <c r="BE84" s="453" t="str">
        <f t="shared" si="117"/>
        <v/>
      </c>
      <c r="BF84" s="451" t="str">
        <f t="shared" si="117"/>
        <v/>
      </c>
      <c r="BG84" s="452" t="str">
        <f t="shared" si="117"/>
        <v/>
      </c>
      <c r="BH84" s="452" t="str">
        <f t="shared" si="104"/>
        <v/>
      </c>
      <c r="BI84" s="452" t="str">
        <f t="shared" si="104"/>
        <v/>
      </c>
      <c r="BJ84" s="453" t="str">
        <f t="shared" si="104"/>
        <v/>
      </c>
      <c r="BK84" s="451" t="str">
        <f t="shared" si="104"/>
        <v/>
      </c>
      <c r="BL84" s="452" t="str">
        <f t="shared" si="104"/>
        <v/>
      </c>
      <c r="BM84" s="452" t="str">
        <f t="shared" si="104"/>
        <v/>
      </c>
      <c r="BN84" s="452" t="str">
        <f t="shared" si="104"/>
        <v/>
      </c>
      <c r="BO84" s="453" t="str">
        <f t="shared" si="104"/>
        <v/>
      </c>
      <c r="BP84" s="451" t="str">
        <f t="shared" si="104"/>
        <v/>
      </c>
      <c r="BQ84" s="452" t="str">
        <f t="shared" si="118"/>
        <v/>
      </c>
      <c r="BR84" s="452" t="str">
        <f t="shared" si="118"/>
        <v/>
      </c>
      <c r="BS84" s="452" t="str">
        <f t="shared" si="118"/>
        <v/>
      </c>
      <c r="BT84" s="453" t="str">
        <f t="shared" si="118"/>
        <v/>
      </c>
      <c r="BU84" s="451" t="str">
        <f t="shared" si="118"/>
        <v/>
      </c>
      <c r="BV84" s="452" t="str">
        <f t="shared" si="118"/>
        <v/>
      </c>
      <c r="BW84" s="452" t="str">
        <f t="shared" si="118"/>
        <v/>
      </c>
      <c r="BX84" s="452" t="str">
        <f t="shared" si="118"/>
        <v/>
      </c>
      <c r="BY84" s="453" t="str">
        <f t="shared" si="118"/>
        <v/>
      </c>
      <c r="BZ84" s="451" t="str">
        <f t="shared" si="118"/>
        <v/>
      </c>
      <c r="CA84" s="452" t="str">
        <f t="shared" si="118"/>
        <v/>
      </c>
      <c r="CB84" s="452" t="str">
        <f t="shared" si="118"/>
        <v/>
      </c>
      <c r="CC84" s="452" t="str">
        <f t="shared" si="118"/>
        <v/>
      </c>
      <c r="CD84" s="453" t="str">
        <f t="shared" si="118"/>
        <v/>
      </c>
      <c r="CE84" s="451" t="str">
        <f t="shared" si="118"/>
        <v/>
      </c>
      <c r="CF84" s="452" t="str">
        <f t="shared" si="108"/>
        <v/>
      </c>
      <c r="CG84" s="452" t="str">
        <f t="shared" si="108"/>
        <v/>
      </c>
      <c r="CH84" s="452" t="str">
        <f t="shared" si="108"/>
        <v/>
      </c>
      <c r="CI84" s="453" t="str">
        <f t="shared" si="108"/>
        <v/>
      </c>
      <c r="CJ84" s="451" t="str">
        <f t="shared" si="108"/>
        <v/>
      </c>
      <c r="CK84" s="452" t="str">
        <f t="shared" si="108"/>
        <v/>
      </c>
      <c r="CL84" s="452" t="str">
        <f t="shared" si="108"/>
        <v/>
      </c>
      <c r="CM84" s="452" t="str">
        <f t="shared" si="108"/>
        <v/>
      </c>
      <c r="CN84" s="453" t="str">
        <f t="shared" si="108"/>
        <v/>
      </c>
      <c r="CO84" s="451" t="str">
        <f t="shared" si="114"/>
        <v/>
      </c>
      <c r="CP84" s="452" t="str">
        <f t="shared" si="114"/>
        <v/>
      </c>
      <c r="CQ84" s="452" t="str">
        <f t="shared" si="114"/>
        <v/>
      </c>
      <c r="CR84" s="452" t="str">
        <f t="shared" si="114"/>
        <v/>
      </c>
      <c r="CS84" s="453" t="str">
        <f t="shared" si="114"/>
        <v/>
      </c>
      <c r="CT84" s="451" t="str">
        <f t="shared" si="114"/>
        <v/>
      </c>
      <c r="CU84" s="452" t="str">
        <f t="shared" si="114"/>
        <v/>
      </c>
      <c r="CV84" s="452" t="str">
        <f t="shared" si="114"/>
        <v/>
      </c>
      <c r="CW84" s="452" t="str">
        <f t="shared" si="114"/>
        <v/>
      </c>
      <c r="CX84" s="453" t="str">
        <f t="shared" si="114"/>
        <v/>
      </c>
      <c r="CY84" s="451" t="str">
        <f t="shared" si="114"/>
        <v/>
      </c>
      <c r="CZ84" s="452" t="str">
        <f t="shared" si="114"/>
        <v/>
      </c>
      <c r="DA84" s="452" t="str">
        <f t="shared" si="114"/>
        <v/>
      </c>
      <c r="DB84" s="452" t="str">
        <f t="shared" si="114"/>
        <v/>
      </c>
      <c r="DC84" s="453" t="str">
        <f t="shared" si="114"/>
        <v/>
      </c>
      <c r="DD84" s="451" t="str">
        <f t="shared" si="109"/>
        <v/>
      </c>
      <c r="DE84" s="452" t="str">
        <f t="shared" si="109"/>
        <v/>
      </c>
      <c r="DF84" s="452" t="str">
        <f t="shared" si="109"/>
        <v/>
      </c>
      <c r="DG84" s="452" t="str">
        <f t="shared" si="109"/>
        <v/>
      </c>
      <c r="DH84" s="453" t="str">
        <f t="shared" si="109"/>
        <v/>
      </c>
      <c r="DI84" s="451" t="str">
        <f t="shared" si="109"/>
        <v/>
      </c>
      <c r="DJ84" s="452" t="str">
        <f t="shared" si="109"/>
        <v/>
      </c>
      <c r="DK84" s="452" t="str">
        <f t="shared" si="109"/>
        <v/>
      </c>
      <c r="DL84" s="452" t="str">
        <f t="shared" si="109"/>
        <v/>
      </c>
      <c r="DM84" s="453" t="str">
        <f t="shared" si="124"/>
        <v/>
      </c>
      <c r="DN84" s="451" t="str">
        <f t="shared" si="124"/>
        <v/>
      </c>
      <c r="DO84" s="452" t="str">
        <f t="shared" si="124"/>
        <v/>
      </c>
      <c r="DP84" s="452" t="str">
        <f t="shared" si="124"/>
        <v/>
      </c>
      <c r="DQ84" s="452" t="str">
        <f t="shared" si="124"/>
        <v/>
      </c>
      <c r="DR84" s="453" t="str">
        <f t="shared" si="124"/>
        <v/>
      </c>
      <c r="DS84" s="451" t="str">
        <f t="shared" si="124"/>
        <v/>
      </c>
      <c r="DT84" s="452" t="str">
        <f t="shared" si="124"/>
        <v/>
      </c>
      <c r="DU84" s="452" t="str">
        <f t="shared" si="124"/>
        <v/>
      </c>
      <c r="DV84" s="452" t="str">
        <f t="shared" si="124"/>
        <v/>
      </c>
      <c r="DW84" s="453" t="str">
        <f t="shared" si="124"/>
        <v/>
      </c>
      <c r="DX84" s="451" t="str">
        <f t="shared" si="124"/>
        <v/>
      </c>
      <c r="DY84" s="452" t="str">
        <f t="shared" si="124"/>
        <v/>
      </c>
      <c r="DZ84" s="452" t="str">
        <f t="shared" si="124"/>
        <v/>
      </c>
      <c r="EA84" s="452" t="str">
        <f t="shared" si="124"/>
        <v/>
      </c>
      <c r="EB84" s="453" t="str">
        <f t="shared" si="124"/>
        <v/>
      </c>
      <c r="EC84" s="451" t="str">
        <f t="shared" si="110"/>
        <v/>
      </c>
      <c r="ED84" s="452" t="str">
        <f t="shared" si="110"/>
        <v/>
      </c>
      <c r="EE84" s="452" t="str">
        <f t="shared" si="110"/>
        <v/>
      </c>
      <c r="EF84" s="452" t="str">
        <f t="shared" si="107"/>
        <v/>
      </c>
      <c r="EG84" s="453" t="str">
        <f t="shared" si="107"/>
        <v/>
      </c>
      <c r="EH84" s="451" t="str">
        <f t="shared" si="107"/>
        <v/>
      </c>
      <c r="EI84" s="452" t="str">
        <f t="shared" si="107"/>
        <v/>
      </c>
      <c r="EJ84" s="452" t="str">
        <f t="shared" si="107"/>
        <v/>
      </c>
      <c r="EK84" s="452" t="str">
        <f t="shared" si="107"/>
        <v/>
      </c>
      <c r="EL84" s="453" t="str">
        <f t="shared" si="107"/>
        <v/>
      </c>
      <c r="EM84" s="451" t="str">
        <f t="shared" si="107"/>
        <v/>
      </c>
      <c r="EN84" s="452" t="str">
        <f t="shared" si="107"/>
        <v/>
      </c>
      <c r="EO84" s="452" t="str">
        <f t="shared" si="107"/>
        <v/>
      </c>
      <c r="EP84" s="452" t="str">
        <f t="shared" si="107"/>
        <v/>
      </c>
      <c r="EQ84" s="453" t="str">
        <f t="shared" si="107"/>
        <v/>
      </c>
      <c r="ER84" s="451" t="str">
        <f t="shared" si="107"/>
        <v/>
      </c>
      <c r="ES84" s="452" t="str">
        <f t="shared" si="113"/>
        <v/>
      </c>
      <c r="ET84" s="452" t="str">
        <f t="shared" si="113"/>
        <v/>
      </c>
      <c r="EU84" s="452" t="str">
        <f t="shared" si="113"/>
        <v/>
      </c>
      <c r="EV84" s="453" t="str">
        <f t="shared" si="113"/>
        <v/>
      </c>
      <c r="EW84" s="451" t="str">
        <f t="shared" si="113"/>
        <v/>
      </c>
      <c r="EX84" s="452" t="str">
        <f t="shared" si="113"/>
        <v/>
      </c>
      <c r="EY84" s="452" t="str">
        <f t="shared" si="113"/>
        <v/>
      </c>
      <c r="EZ84" s="452" t="str">
        <f t="shared" si="113"/>
        <v/>
      </c>
      <c r="FA84" s="453" t="str">
        <f t="shared" si="113"/>
        <v/>
      </c>
      <c r="FB84" s="451" t="str">
        <f t="shared" si="113"/>
        <v/>
      </c>
      <c r="FC84" s="452" t="str">
        <f t="shared" si="113"/>
        <v/>
      </c>
      <c r="FD84" s="452" t="str">
        <f t="shared" si="113"/>
        <v/>
      </c>
      <c r="FE84" s="452" t="str">
        <f t="shared" si="113"/>
        <v/>
      </c>
      <c r="FF84" s="453" t="str">
        <f t="shared" si="113"/>
        <v/>
      </c>
      <c r="FG84" s="451" t="str">
        <f t="shared" si="113"/>
        <v/>
      </c>
      <c r="FH84" s="452" t="str">
        <f t="shared" si="113"/>
        <v/>
      </c>
      <c r="FI84" s="452" t="str">
        <f t="shared" si="111"/>
        <v/>
      </c>
      <c r="FJ84" s="452" t="str">
        <f t="shared" si="111"/>
        <v/>
      </c>
      <c r="FK84" s="453" t="str">
        <f t="shared" si="111"/>
        <v/>
      </c>
      <c r="FL84" s="451" t="str">
        <f t="shared" si="111"/>
        <v/>
      </c>
      <c r="FM84" s="452" t="str">
        <f t="shared" si="111"/>
        <v/>
      </c>
      <c r="FN84" s="452" t="str">
        <f t="shared" si="111"/>
        <v/>
      </c>
      <c r="FO84" s="452" t="str">
        <f t="shared" si="111"/>
        <v/>
      </c>
      <c r="FP84" s="453" t="str">
        <f t="shared" si="111"/>
        <v/>
      </c>
      <c r="FQ84" s="451" t="str">
        <f t="shared" si="111"/>
        <v/>
      </c>
      <c r="FR84" s="452" t="str">
        <f t="shared" si="111"/>
        <v/>
      </c>
      <c r="FS84" s="452" t="str">
        <f t="shared" si="111"/>
        <v/>
      </c>
      <c r="FT84" s="452" t="str">
        <f t="shared" si="111"/>
        <v/>
      </c>
      <c r="FU84" s="453" t="str">
        <f t="shared" si="111"/>
        <v/>
      </c>
      <c r="FV84" s="451" t="str">
        <f t="shared" si="111"/>
        <v/>
      </c>
      <c r="FW84" s="452" t="str">
        <f t="shared" si="111"/>
        <v/>
      </c>
      <c r="FX84" s="452" t="str">
        <f t="shared" si="103"/>
        <v/>
      </c>
      <c r="FY84" s="452" t="str">
        <f t="shared" si="103"/>
        <v/>
      </c>
      <c r="FZ84" s="453" t="str">
        <f t="shared" si="103"/>
        <v/>
      </c>
      <c r="GA84" s="451" t="str">
        <f t="shared" si="103"/>
        <v/>
      </c>
      <c r="GB84" s="452" t="str">
        <f t="shared" si="103"/>
        <v/>
      </c>
      <c r="GC84" s="452" t="str">
        <f t="shared" ref="GC84:GS99" si="127">IF(AND(GC$2&gt;=$J84,GC$2&lt;=$K84),1,"")</f>
        <v/>
      </c>
      <c r="GD84" s="452" t="str">
        <f t="shared" si="127"/>
        <v/>
      </c>
      <c r="GE84" s="453" t="str">
        <f t="shared" si="127"/>
        <v/>
      </c>
      <c r="GF84" s="451" t="str">
        <f t="shared" si="127"/>
        <v/>
      </c>
      <c r="GG84" s="452" t="str">
        <f t="shared" si="127"/>
        <v/>
      </c>
      <c r="GH84" s="452" t="str">
        <f t="shared" si="127"/>
        <v/>
      </c>
      <c r="GI84" s="452" t="str">
        <f t="shared" si="127"/>
        <v/>
      </c>
      <c r="GJ84" s="453" t="str">
        <f t="shared" si="127"/>
        <v/>
      </c>
      <c r="GK84" s="451" t="str">
        <f t="shared" si="127"/>
        <v/>
      </c>
      <c r="GL84" s="452" t="str">
        <f t="shared" si="127"/>
        <v/>
      </c>
      <c r="GM84" s="452" t="str">
        <f t="shared" si="127"/>
        <v/>
      </c>
      <c r="GN84" s="452" t="str">
        <f t="shared" si="127"/>
        <v/>
      </c>
      <c r="GO84" s="453" t="str">
        <f t="shared" si="127"/>
        <v/>
      </c>
      <c r="GP84" s="451" t="str">
        <f t="shared" si="127"/>
        <v/>
      </c>
      <c r="GQ84" s="452" t="str">
        <f t="shared" si="127"/>
        <v/>
      </c>
      <c r="GR84" s="452" t="str">
        <f t="shared" si="127"/>
        <v/>
      </c>
      <c r="GS84" s="452" t="str">
        <f t="shared" si="96"/>
        <v/>
      </c>
      <c r="GT84" s="453" t="str">
        <f t="shared" si="96"/>
        <v/>
      </c>
      <c r="GU84" s="451" t="str">
        <f t="shared" si="96"/>
        <v/>
      </c>
      <c r="GV84" s="452" t="str">
        <f t="shared" si="96"/>
        <v/>
      </c>
      <c r="GW84" s="452" t="str">
        <f t="shared" si="96"/>
        <v/>
      </c>
      <c r="GX84" s="452" t="str">
        <f t="shared" si="96"/>
        <v/>
      </c>
      <c r="GY84" s="453" t="str">
        <f t="shared" si="96"/>
        <v/>
      </c>
      <c r="GZ84" s="451" t="str">
        <f t="shared" si="96"/>
        <v/>
      </c>
      <c r="HA84" s="452" t="str">
        <f t="shared" si="125"/>
        <v/>
      </c>
      <c r="HB84" s="452" t="str">
        <f t="shared" si="125"/>
        <v/>
      </c>
      <c r="HC84" s="452" t="str">
        <f t="shared" si="125"/>
        <v/>
      </c>
      <c r="HD84" s="453" t="str">
        <f t="shared" si="125"/>
        <v/>
      </c>
      <c r="HE84" s="451" t="str">
        <f t="shared" si="125"/>
        <v/>
      </c>
      <c r="HF84" s="452" t="str">
        <f t="shared" si="125"/>
        <v/>
      </c>
      <c r="HG84" s="452" t="str">
        <f t="shared" si="125"/>
        <v/>
      </c>
      <c r="HH84" s="452" t="str">
        <f t="shared" si="125"/>
        <v/>
      </c>
      <c r="HI84" s="453" t="str">
        <f t="shared" si="116"/>
        <v/>
      </c>
      <c r="HJ84" s="451" t="str">
        <f t="shared" si="116"/>
        <v/>
      </c>
      <c r="HK84" s="452" t="str">
        <f t="shared" si="116"/>
        <v/>
      </c>
      <c r="HL84" s="452" t="str">
        <f t="shared" si="116"/>
        <v/>
      </c>
      <c r="HM84" s="452" t="str">
        <f t="shared" si="116"/>
        <v/>
      </c>
      <c r="HN84" s="453" t="str">
        <f t="shared" si="116"/>
        <v/>
      </c>
      <c r="HO84" s="451" t="str">
        <f t="shared" si="116"/>
        <v/>
      </c>
      <c r="HP84" s="452" t="str">
        <f t="shared" si="116"/>
        <v/>
      </c>
      <c r="HQ84" s="452" t="str">
        <f t="shared" si="116"/>
        <v/>
      </c>
      <c r="HR84" s="452" t="str">
        <f t="shared" si="116"/>
        <v/>
      </c>
      <c r="HS84" s="453" t="str">
        <f t="shared" si="116"/>
        <v/>
      </c>
      <c r="HT84" s="451" t="str">
        <f t="shared" si="116"/>
        <v/>
      </c>
      <c r="HU84" s="452" t="str">
        <f t="shared" si="116"/>
        <v/>
      </c>
      <c r="HV84" s="452" t="str">
        <f t="shared" si="116"/>
        <v/>
      </c>
      <c r="HW84" s="452" t="str">
        <f t="shared" si="115"/>
        <v/>
      </c>
      <c r="HX84" s="453" t="str">
        <f t="shared" si="115"/>
        <v/>
      </c>
      <c r="HY84" s="451" t="str">
        <f t="shared" si="115"/>
        <v/>
      </c>
      <c r="HZ84" s="452" t="str">
        <f t="shared" si="115"/>
        <v/>
      </c>
      <c r="IA84" s="452" t="str">
        <f t="shared" si="115"/>
        <v/>
      </c>
      <c r="IB84" s="452" t="str">
        <f t="shared" si="115"/>
        <v/>
      </c>
      <c r="IC84" s="453" t="str">
        <f t="shared" si="115"/>
        <v/>
      </c>
      <c r="ID84" s="451" t="str">
        <f t="shared" si="115"/>
        <v/>
      </c>
      <c r="IE84" s="452" t="str">
        <f t="shared" si="115"/>
        <v/>
      </c>
      <c r="IF84" s="452" t="str">
        <f t="shared" si="115"/>
        <v/>
      </c>
      <c r="IG84" s="452" t="str">
        <f t="shared" si="115"/>
        <v/>
      </c>
      <c r="IH84" s="453" t="str">
        <f t="shared" si="115"/>
        <v/>
      </c>
      <c r="II84" s="451" t="str">
        <f t="shared" si="115"/>
        <v/>
      </c>
      <c r="IJ84" s="452" t="str">
        <f t="shared" si="115"/>
        <v/>
      </c>
      <c r="IK84" s="452" t="str">
        <f t="shared" si="115"/>
        <v/>
      </c>
      <c r="IL84" s="452" t="str">
        <f t="shared" si="120"/>
        <v/>
      </c>
      <c r="IM84" s="453" t="str">
        <f t="shared" si="120"/>
        <v/>
      </c>
      <c r="IN84" s="451" t="str">
        <f t="shared" si="120"/>
        <v/>
      </c>
      <c r="IO84" s="452" t="str">
        <f t="shared" si="126"/>
        <v/>
      </c>
      <c r="IP84" s="452" t="str">
        <f t="shared" si="126"/>
        <v/>
      </c>
      <c r="IQ84" s="452" t="str">
        <f t="shared" si="126"/>
        <v/>
      </c>
      <c r="IR84" s="453" t="str">
        <f t="shared" si="126"/>
        <v/>
      </c>
    </row>
    <row r="85" spans="1:252" x14ac:dyDescent="0.2">
      <c r="A85" s="461">
        <v>8.4</v>
      </c>
      <c r="C85" s="447" t="s">
        <v>1354</v>
      </c>
      <c r="D85" s="447"/>
      <c r="E85" s="448"/>
      <c r="F85" s="448"/>
      <c r="G85" s="448"/>
      <c r="H85" s="448"/>
      <c r="I85" s="448"/>
      <c r="J85" s="449" t="str">
        <f t="shared" si="122"/>
        <v/>
      </c>
      <c r="K85" s="449" t="str">
        <f t="shared" si="123"/>
        <v/>
      </c>
      <c r="L85" s="450">
        <f t="shared" si="101"/>
        <v>0</v>
      </c>
      <c r="M85" s="451" t="str">
        <f t="shared" si="112"/>
        <v/>
      </c>
      <c r="N85" s="452" t="str">
        <f t="shared" si="112"/>
        <v/>
      </c>
      <c r="O85" s="452" t="str">
        <f t="shared" si="112"/>
        <v/>
      </c>
      <c r="P85" s="452" t="str">
        <f t="shared" si="112"/>
        <v/>
      </c>
      <c r="Q85" s="453" t="str">
        <f t="shared" si="112"/>
        <v/>
      </c>
      <c r="R85" s="451" t="str">
        <f t="shared" si="112"/>
        <v/>
      </c>
      <c r="S85" s="452" t="str">
        <f t="shared" si="112"/>
        <v/>
      </c>
      <c r="T85" s="452" t="str">
        <f t="shared" si="112"/>
        <v/>
      </c>
      <c r="U85" s="452" t="str">
        <f t="shared" si="112"/>
        <v/>
      </c>
      <c r="V85" s="453" t="str">
        <f t="shared" si="112"/>
        <v/>
      </c>
      <c r="W85" s="451" t="str">
        <f t="shared" si="112"/>
        <v/>
      </c>
      <c r="X85" s="452" t="str">
        <f t="shared" si="112"/>
        <v/>
      </c>
      <c r="Y85" s="452" t="str">
        <f t="shared" si="112"/>
        <v/>
      </c>
      <c r="Z85" s="452" t="str">
        <f t="shared" si="112"/>
        <v/>
      </c>
      <c r="AA85" s="453" t="str">
        <f t="shared" si="112"/>
        <v/>
      </c>
      <c r="AB85" s="451" t="str">
        <f t="shared" si="112"/>
        <v/>
      </c>
      <c r="AC85" s="452" t="str">
        <f t="shared" si="121"/>
        <v/>
      </c>
      <c r="AD85" s="452" t="str">
        <f t="shared" si="121"/>
        <v/>
      </c>
      <c r="AE85" s="452" t="str">
        <f t="shared" si="121"/>
        <v/>
      </c>
      <c r="AF85" s="453" t="str">
        <f t="shared" si="121"/>
        <v/>
      </c>
      <c r="AG85" s="451" t="str">
        <f t="shared" si="121"/>
        <v/>
      </c>
      <c r="AH85" s="452" t="str">
        <f t="shared" si="121"/>
        <v/>
      </c>
      <c r="AI85" s="452" t="str">
        <f t="shared" si="121"/>
        <v/>
      </c>
      <c r="AJ85" s="452" t="str">
        <f t="shared" si="121"/>
        <v/>
      </c>
      <c r="AK85" s="453" t="str">
        <f t="shared" si="121"/>
        <v/>
      </c>
      <c r="AL85" s="451" t="str">
        <f t="shared" si="121"/>
        <v/>
      </c>
      <c r="AM85" s="452" t="str">
        <f t="shared" si="121"/>
        <v/>
      </c>
      <c r="AN85" s="452" t="str">
        <f t="shared" si="121"/>
        <v/>
      </c>
      <c r="AO85" s="452" t="str">
        <f t="shared" si="121"/>
        <v/>
      </c>
      <c r="AP85" s="453" t="str">
        <f t="shared" si="121"/>
        <v/>
      </c>
      <c r="AQ85" s="451" t="str">
        <f t="shared" si="121"/>
        <v/>
      </c>
      <c r="AR85" s="452" t="str">
        <f t="shared" si="121"/>
        <v/>
      </c>
      <c r="AS85" s="452" t="str">
        <f t="shared" si="117"/>
        <v/>
      </c>
      <c r="AT85" s="452" t="str">
        <f t="shared" si="117"/>
        <v/>
      </c>
      <c r="AU85" s="453" t="str">
        <f t="shared" si="117"/>
        <v/>
      </c>
      <c r="AV85" s="451" t="str">
        <f t="shared" si="117"/>
        <v/>
      </c>
      <c r="AW85" s="452" t="str">
        <f t="shared" si="117"/>
        <v/>
      </c>
      <c r="AX85" s="452" t="str">
        <f t="shared" si="117"/>
        <v/>
      </c>
      <c r="AY85" s="452" t="str">
        <f t="shared" si="117"/>
        <v/>
      </c>
      <c r="AZ85" s="453" t="str">
        <f t="shared" si="117"/>
        <v/>
      </c>
      <c r="BA85" s="451" t="str">
        <f t="shared" si="117"/>
        <v/>
      </c>
      <c r="BB85" s="452" t="str">
        <f t="shared" si="117"/>
        <v/>
      </c>
      <c r="BC85" s="452" t="str">
        <f t="shared" si="117"/>
        <v/>
      </c>
      <c r="BD85" s="452" t="str">
        <f t="shared" si="117"/>
        <v/>
      </c>
      <c r="BE85" s="453" t="str">
        <f t="shared" si="117"/>
        <v/>
      </c>
      <c r="BF85" s="451" t="str">
        <f t="shared" si="117"/>
        <v/>
      </c>
      <c r="BG85" s="452" t="str">
        <f t="shared" si="117"/>
        <v/>
      </c>
      <c r="BH85" s="452" t="str">
        <f t="shared" si="104"/>
        <v/>
      </c>
      <c r="BI85" s="452" t="str">
        <f t="shared" si="104"/>
        <v/>
      </c>
      <c r="BJ85" s="453" t="str">
        <f t="shared" si="104"/>
        <v/>
      </c>
      <c r="BK85" s="451" t="str">
        <f t="shared" si="104"/>
        <v/>
      </c>
      <c r="BL85" s="452" t="str">
        <f t="shared" si="104"/>
        <v/>
      </c>
      <c r="BM85" s="452" t="str">
        <f t="shared" si="104"/>
        <v/>
      </c>
      <c r="BN85" s="452" t="str">
        <f t="shared" si="104"/>
        <v/>
      </c>
      <c r="BO85" s="453" t="str">
        <f t="shared" si="104"/>
        <v/>
      </c>
      <c r="BP85" s="451" t="str">
        <f t="shared" si="104"/>
        <v/>
      </c>
      <c r="BQ85" s="452" t="str">
        <f t="shared" si="118"/>
        <v/>
      </c>
      <c r="BR85" s="452" t="str">
        <f t="shared" si="118"/>
        <v/>
      </c>
      <c r="BS85" s="452" t="str">
        <f t="shared" si="118"/>
        <v/>
      </c>
      <c r="BT85" s="453" t="str">
        <f t="shared" si="118"/>
        <v/>
      </c>
      <c r="BU85" s="451" t="str">
        <f t="shared" si="118"/>
        <v/>
      </c>
      <c r="BV85" s="452" t="str">
        <f t="shared" si="118"/>
        <v/>
      </c>
      <c r="BW85" s="452" t="str">
        <f t="shared" si="118"/>
        <v/>
      </c>
      <c r="BX85" s="452" t="str">
        <f t="shared" si="118"/>
        <v/>
      </c>
      <c r="BY85" s="453" t="str">
        <f t="shared" si="118"/>
        <v/>
      </c>
      <c r="BZ85" s="451" t="str">
        <f t="shared" si="118"/>
        <v/>
      </c>
      <c r="CA85" s="452" t="str">
        <f t="shared" si="118"/>
        <v/>
      </c>
      <c r="CB85" s="452" t="str">
        <f t="shared" si="118"/>
        <v/>
      </c>
      <c r="CC85" s="452" t="str">
        <f t="shared" si="118"/>
        <v/>
      </c>
      <c r="CD85" s="453" t="str">
        <f t="shared" si="118"/>
        <v/>
      </c>
      <c r="CE85" s="451" t="str">
        <f t="shared" si="118"/>
        <v/>
      </c>
      <c r="CF85" s="452" t="str">
        <f t="shared" si="108"/>
        <v/>
      </c>
      <c r="CG85" s="452" t="str">
        <f t="shared" si="108"/>
        <v/>
      </c>
      <c r="CH85" s="452" t="str">
        <f t="shared" si="108"/>
        <v/>
      </c>
      <c r="CI85" s="453" t="str">
        <f t="shared" si="108"/>
        <v/>
      </c>
      <c r="CJ85" s="451" t="str">
        <f t="shared" si="108"/>
        <v/>
      </c>
      <c r="CK85" s="452" t="str">
        <f t="shared" si="108"/>
        <v/>
      </c>
      <c r="CL85" s="452" t="str">
        <f t="shared" si="108"/>
        <v/>
      </c>
      <c r="CM85" s="452" t="str">
        <f t="shared" si="108"/>
        <v/>
      </c>
      <c r="CN85" s="453" t="str">
        <f t="shared" si="108"/>
        <v/>
      </c>
      <c r="CO85" s="451" t="str">
        <f t="shared" si="114"/>
        <v/>
      </c>
      <c r="CP85" s="452" t="str">
        <f t="shared" si="114"/>
        <v/>
      </c>
      <c r="CQ85" s="452" t="str">
        <f t="shared" si="114"/>
        <v/>
      </c>
      <c r="CR85" s="452" t="str">
        <f t="shared" si="114"/>
        <v/>
      </c>
      <c r="CS85" s="453" t="str">
        <f t="shared" si="114"/>
        <v/>
      </c>
      <c r="CT85" s="451" t="str">
        <f t="shared" si="114"/>
        <v/>
      </c>
      <c r="CU85" s="452" t="str">
        <f t="shared" si="114"/>
        <v/>
      </c>
      <c r="CV85" s="452" t="str">
        <f t="shared" si="114"/>
        <v/>
      </c>
      <c r="CW85" s="452" t="str">
        <f t="shared" si="114"/>
        <v/>
      </c>
      <c r="CX85" s="453" t="str">
        <f t="shared" si="114"/>
        <v/>
      </c>
      <c r="CY85" s="451" t="str">
        <f t="shared" si="114"/>
        <v/>
      </c>
      <c r="CZ85" s="452" t="str">
        <f t="shared" si="114"/>
        <v/>
      </c>
      <c r="DA85" s="452" t="str">
        <f t="shared" si="114"/>
        <v/>
      </c>
      <c r="DB85" s="452" t="str">
        <f t="shared" si="114"/>
        <v/>
      </c>
      <c r="DC85" s="453" t="str">
        <f t="shared" si="114"/>
        <v/>
      </c>
      <c r="DD85" s="451" t="str">
        <f t="shared" si="109"/>
        <v/>
      </c>
      <c r="DE85" s="452" t="str">
        <f t="shared" si="109"/>
        <v/>
      </c>
      <c r="DF85" s="452" t="str">
        <f t="shared" si="109"/>
        <v/>
      </c>
      <c r="DG85" s="452" t="str">
        <f t="shared" si="109"/>
        <v/>
      </c>
      <c r="DH85" s="453" t="str">
        <f t="shared" si="109"/>
        <v/>
      </c>
      <c r="DI85" s="451" t="str">
        <f t="shared" si="109"/>
        <v/>
      </c>
      <c r="DJ85" s="452" t="str">
        <f t="shared" si="109"/>
        <v/>
      </c>
      <c r="DK85" s="452" t="str">
        <f t="shared" si="109"/>
        <v/>
      </c>
      <c r="DL85" s="452" t="str">
        <f t="shared" si="109"/>
        <v/>
      </c>
      <c r="DM85" s="453" t="str">
        <f t="shared" si="124"/>
        <v/>
      </c>
      <c r="DN85" s="451" t="str">
        <f t="shared" si="124"/>
        <v/>
      </c>
      <c r="DO85" s="452" t="str">
        <f t="shared" si="124"/>
        <v/>
      </c>
      <c r="DP85" s="452" t="str">
        <f t="shared" si="124"/>
        <v/>
      </c>
      <c r="DQ85" s="452" t="str">
        <f t="shared" si="124"/>
        <v/>
      </c>
      <c r="DR85" s="453" t="str">
        <f t="shared" si="124"/>
        <v/>
      </c>
      <c r="DS85" s="451" t="str">
        <f t="shared" si="124"/>
        <v/>
      </c>
      <c r="DT85" s="452" t="str">
        <f t="shared" si="124"/>
        <v/>
      </c>
      <c r="DU85" s="452" t="str">
        <f t="shared" si="124"/>
        <v/>
      </c>
      <c r="DV85" s="452" t="str">
        <f t="shared" si="124"/>
        <v/>
      </c>
      <c r="DW85" s="453" t="str">
        <f t="shared" si="124"/>
        <v/>
      </c>
      <c r="DX85" s="451" t="str">
        <f t="shared" si="124"/>
        <v/>
      </c>
      <c r="DY85" s="452" t="str">
        <f t="shared" si="124"/>
        <v/>
      </c>
      <c r="DZ85" s="452" t="str">
        <f t="shared" si="124"/>
        <v/>
      </c>
      <c r="EA85" s="452" t="str">
        <f t="shared" si="124"/>
        <v/>
      </c>
      <c r="EB85" s="453" t="str">
        <f t="shared" si="124"/>
        <v/>
      </c>
      <c r="EC85" s="451" t="str">
        <f t="shared" si="110"/>
        <v/>
      </c>
      <c r="ED85" s="452" t="str">
        <f t="shared" si="110"/>
        <v/>
      </c>
      <c r="EE85" s="452" t="str">
        <f t="shared" si="110"/>
        <v/>
      </c>
      <c r="EF85" s="452" t="str">
        <f t="shared" si="107"/>
        <v/>
      </c>
      <c r="EG85" s="453" t="str">
        <f t="shared" si="107"/>
        <v/>
      </c>
      <c r="EH85" s="451" t="str">
        <f t="shared" si="107"/>
        <v/>
      </c>
      <c r="EI85" s="452" t="str">
        <f t="shared" si="107"/>
        <v/>
      </c>
      <c r="EJ85" s="452" t="str">
        <f t="shared" si="107"/>
        <v/>
      </c>
      <c r="EK85" s="452" t="str">
        <f t="shared" si="107"/>
        <v/>
      </c>
      <c r="EL85" s="453" t="str">
        <f t="shared" si="107"/>
        <v/>
      </c>
      <c r="EM85" s="451" t="str">
        <f t="shared" si="107"/>
        <v/>
      </c>
      <c r="EN85" s="452" t="str">
        <f t="shared" si="107"/>
        <v/>
      </c>
      <c r="EO85" s="452" t="str">
        <f t="shared" si="107"/>
        <v/>
      </c>
      <c r="EP85" s="452" t="str">
        <f t="shared" si="107"/>
        <v/>
      </c>
      <c r="EQ85" s="453" t="str">
        <f t="shared" si="107"/>
        <v/>
      </c>
      <c r="ER85" s="451" t="str">
        <f t="shared" si="107"/>
        <v/>
      </c>
      <c r="ES85" s="452" t="str">
        <f t="shared" si="113"/>
        <v/>
      </c>
      <c r="ET85" s="452" t="str">
        <f t="shared" si="113"/>
        <v/>
      </c>
      <c r="EU85" s="452" t="str">
        <f t="shared" si="113"/>
        <v/>
      </c>
      <c r="EV85" s="453" t="str">
        <f t="shared" si="113"/>
        <v/>
      </c>
      <c r="EW85" s="451" t="str">
        <f t="shared" si="113"/>
        <v/>
      </c>
      <c r="EX85" s="452" t="str">
        <f t="shared" si="113"/>
        <v/>
      </c>
      <c r="EY85" s="452" t="str">
        <f t="shared" si="113"/>
        <v/>
      </c>
      <c r="EZ85" s="452" t="str">
        <f t="shared" si="113"/>
        <v/>
      </c>
      <c r="FA85" s="453" t="str">
        <f t="shared" si="113"/>
        <v/>
      </c>
      <c r="FB85" s="451" t="str">
        <f t="shared" si="113"/>
        <v/>
      </c>
      <c r="FC85" s="452" t="str">
        <f t="shared" si="113"/>
        <v/>
      </c>
      <c r="FD85" s="452" t="str">
        <f t="shared" si="113"/>
        <v/>
      </c>
      <c r="FE85" s="452" t="str">
        <f t="shared" si="113"/>
        <v/>
      </c>
      <c r="FF85" s="453" t="str">
        <f t="shared" si="113"/>
        <v/>
      </c>
      <c r="FG85" s="451" t="str">
        <f t="shared" si="113"/>
        <v/>
      </c>
      <c r="FH85" s="452" t="str">
        <f t="shared" si="113"/>
        <v/>
      </c>
      <c r="FI85" s="452" t="str">
        <f t="shared" si="111"/>
        <v/>
      </c>
      <c r="FJ85" s="452" t="str">
        <f t="shared" si="111"/>
        <v/>
      </c>
      <c r="FK85" s="453" t="str">
        <f t="shared" si="111"/>
        <v/>
      </c>
      <c r="FL85" s="451" t="str">
        <f t="shared" si="111"/>
        <v/>
      </c>
      <c r="FM85" s="452" t="str">
        <f t="shared" si="111"/>
        <v/>
      </c>
      <c r="FN85" s="452" t="str">
        <f t="shared" si="111"/>
        <v/>
      </c>
      <c r="FO85" s="452" t="str">
        <f t="shared" si="111"/>
        <v/>
      </c>
      <c r="FP85" s="453" t="str">
        <f t="shared" si="111"/>
        <v/>
      </c>
      <c r="FQ85" s="451" t="str">
        <f t="shared" si="111"/>
        <v/>
      </c>
      <c r="FR85" s="452" t="str">
        <f t="shared" si="111"/>
        <v/>
      </c>
      <c r="FS85" s="452" t="str">
        <f t="shared" si="111"/>
        <v/>
      </c>
      <c r="FT85" s="452" t="str">
        <f t="shared" si="111"/>
        <v/>
      </c>
      <c r="FU85" s="453" t="str">
        <f t="shared" si="111"/>
        <v/>
      </c>
      <c r="FV85" s="451" t="str">
        <f t="shared" si="111"/>
        <v/>
      </c>
      <c r="FW85" s="452" t="str">
        <f t="shared" si="111"/>
        <v/>
      </c>
      <c r="FX85" s="452" t="str">
        <f t="shared" ref="FX85:GM100" si="128">IF(AND(FX$2&gt;=$J85,FX$2&lt;=$K85),1,"")</f>
        <v/>
      </c>
      <c r="FY85" s="452" t="str">
        <f t="shared" si="128"/>
        <v/>
      </c>
      <c r="FZ85" s="453" t="str">
        <f t="shared" si="128"/>
        <v/>
      </c>
      <c r="GA85" s="451" t="str">
        <f t="shared" si="128"/>
        <v/>
      </c>
      <c r="GB85" s="452" t="str">
        <f t="shared" si="128"/>
        <v/>
      </c>
      <c r="GC85" s="452" t="str">
        <f t="shared" si="128"/>
        <v/>
      </c>
      <c r="GD85" s="452" t="str">
        <f t="shared" si="128"/>
        <v/>
      </c>
      <c r="GE85" s="453" t="str">
        <f t="shared" si="128"/>
        <v/>
      </c>
      <c r="GF85" s="451" t="str">
        <f t="shared" si="128"/>
        <v/>
      </c>
      <c r="GG85" s="452" t="str">
        <f t="shared" si="128"/>
        <v/>
      </c>
      <c r="GH85" s="452" t="str">
        <f t="shared" si="128"/>
        <v/>
      </c>
      <c r="GI85" s="452" t="str">
        <f t="shared" si="128"/>
        <v/>
      </c>
      <c r="GJ85" s="453" t="str">
        <f t="shared" si="128"/>
        <v/>
      </c>
      <c r="GK85" s="451" t="str">
        <f t="shared" si="128"/>
        <v/>
      </c>
      <c r="GL85" s="452" t="str">
        <f t="shared" si="128"/>
        <v/>
      </c>
      <c r="GM85" s="452" t="str">
        <f t="shared" si="128"/>
        <v/>
      </c>
      <c r="GN85" s="452" t="str">
        <f t="shared" si="127"/>
        <v/>
      </c>
      <c r="GO85" s="453" t="str">
        <f t="shared" si="127"/>
        <v/>
      </c>
      <c r="GP85" s="451" t="str">
        <f t="shared" si="127"/>
        <v/>
      </c>
      <c r="GQ85" s="452" t="str">
        <f t="shared" si="127"/>
        <v/>
      </c>
      <c r="GR85" s="452" t="str">
        <f t="shared" si="127"/>
        <v/>
      </c>
      <c r="GS85" s="452" t="str">
        <f t="shared" si="96"/>
        <v/>
      </c>
      <c r="GT85" s="453" t="str">
        <f t="shared" si="96"/>
        <v/>
      </c>
      <c r="GU85" s="451" t="str">
        <f t="shared" si="96"/>
        <v/>
      </c>
      <c r="GV85" s="452" t="str">
        <f t="shared" si="96"/>
        <v/>
      </c>
      <c r="GW85" s="452" t="str">
        <f t="shared" si="96"/>
        <v/>
      </c>
      <c r="GX85" s="452" t="str">
        <f t="shared" si="96"/>
        <v/>
      </c>
      <c r="GY85" s="453" t="str">
        <f t="shared" si="96"/>
        <v/>
      </c>
      <c r="GZ85" s="451" t="str">
        <f t="shared" si="96"/>
        <v/>
      </c>
      <c r="HA85" s="452" t="str">
        <f t="shared" si="125"/>
        <v/>
      </c>
      <c r="HB85" s="452" t="str">
        <f t="shared" si="125"/>
        <v/>
      </c>
      <c r="HC85" s="452" t="str">
        <f t="shared" si="125"/>
        <v/>
      </c>
      <c r="HD85" s="453" t="str">
        <f t="shared" si="125"/>
        <v/>
      </c>
      <c r="HE85" s="451" t="str">
        <f t="shared" si="125"/>
        <v/>
      </c>
      <c r="HF85" s="452" t="str">
        <f t="shared" si="125"/>
        <v/>
      </c>
      <c r="HG85" s="452" t="str">
        <f t="shared" si="125"/>
        <v/>
      </c>
      <c r="HH85" s="452" t="str">
        <f t="shared" si="125"/>
        <v/>
      </c>
      <c r="HI85" s="453" t="str">
        <f t="shared" si="116"/>
        <v/>
      </c>
      <c r="HJ85" s="451" t="str">
        <f t="shared" si="116"/>
        <v/>
      </c>
      <c r="HK85" s="452" t="str">
        <f t="shared" si="116"/>
        <v/>
      </c>
      <c r="HL85" s="452" t="str">
        <f t="shared" si="116"/>
        <v/>
      </c>
      <c r="HM85" s="452" t="str">
        <f t="shared" si="116"/>
        <v/>
      </c>
      <c r="HN85" s="453" t="str">
        <f t="shared" si="116"/>
        <v/>
      </c>
      <c r="HO85" s="451" t="str">
        <f t="shared" si="116"/>
        <v/>
      </c>
      <c r="HP85" s="452" t="str">
        <f t="shared" si="116"/>
        <v/>
      </c>
      <c r="HQ85" s="452" t="str">
        <f t="shared" si="116"/>
        <v/>
      </c>
      <c r="HR85" s="452" t="str">
        <f t="shared" si="116"/>
        <v/>
      </c>
      <c r="HS85" s="453" t="str">
        <f t="shared" si="116"/>
        <v/>
      </c>
      <c r="HT85" s="451" t="str">
        <f t="shared" si="116"/>
        <v/>
      </c>
      <c r="HU85" s="452" t="str">
        <f t="shared" si="116"/>
        <v/>
      </c>
      <c r="HV85" s="452" t="str">
        <f t="shared" si="116"/>
        <v/>
      </c>
      <c r="HW85" s="452" t="str">
        <f t="shared" si="115"/>
        <v/>
      </c>
      <c r="HX85" s="453" t="str">
        <f t="shared" si="115"/>
        <v/>
      </c>
      <c r="HY85" s="451" t="str">
        <f t="shared" si="115"/>
        <v/>
      </c>
      <c r="HZ85" s="452" t="str">
        <f t="shared" si="115"/>
        <v/>
      </c>
      <c r="IA85" s="452" t="str">
        <f t="shared" si="115"/>
        <v/>
      </c>
      <c r="IB85" s="452" t="str">
        <f t="shared" si="115"/>
        <v/>
      </c>
      <c r="IC85" s="453" t="str">
        <f t="shared" si="115"/>
        <v/>
      </c>
      <c r="ID85" s="451" t="str">
        <f t="shared" si="115"/>
        <v/>
      </c>
      <c r="IE85" s="452" t="str">
        <f t="shared" si="115"/>
        <v/>
      </c>
      <c r="IF85" s="452" t="str">
        <f t="shared" si="115"/>
        <v/>
      </c>
      <c r="IG85" s="452" t="str">
        <f t="shared" si="115"/>
        <v/>
      </c>
      <c r="IH85" s="453" t="str">
        <f t="shared" si="115"/>
        <v/>
      </c>
      <c r="II85" s="451" t="str">
        <f t="shared" si="115"/>
        <v/>
      </c>
      <c r="IJ85" s="452" t="str">
        <f t="shared" si="115"/>
        <v/>
      </c>
      <c r="IK85" s="452" t="str">
        <f t="shared" si="115"/>
        <v/>
      </c>
      <c r="IL85" s="452" t="str">
        <f t="shared" si="120"/>
        <v/>
      </c>
      <c r="IM85" s="453" t="str">
        <f t="shared" si="120"/>
        <v/>
      </c>
      <c r="IN85" s="451" t="str">
        <f t="shared" si="120"/>
        <v/>
      </c>
      <c r="IO85" s="452" t="str">
        <f t="shared" si="126"/>
        <v/>
      </c>
      <c r="IP85" s="452" t="str">
        <f t="shared" si="126"/>
        <v/>
      </c>
      <c r="IQ85" s="452" t="str">
        <f t="shared" si="126"/>
        <v/>
      </c>
      <c r="IR85" s="453" t="str">
        <f t="shared" si="126"/>
        <v/>
      </c>
    </row>
    <row r="86" spans="1:252" x14ac:dyDescent="0.2">
      <c r="A86" s="461">
        <v>8.5</v>
      </c>
      <c r="C86" s="447" t="s">
        <v>1355</v>
      </c>
      <c r="D86" s="447"/>
      <c r="E86" s="448"/>
      <c r="F86" s="448"/>
      <c r="G86" s="448"/>
      <c r="H86" s="448"/>
      <c r="I86" s="448"/>
      <c r="J86" s="449" t="str">
        <f t="shared" si="122"/>
        <v/>
      </c>
      <c r="K86" s="449" t="str">
        <f t="shared" si="123"/>
        <v/>
      </c>
      <c r="L86" s="450">
        <f t="shared" si="101"/>
        <v>0</v>
      </c>
      <c r="M86" s="451" t="str">
        <f t="shared" si="112"/>
        <v/>
      </c>
      <c r="N86" s="452" t="str">
        <f t="shared" si="112"/>
        <v/>
      </c>
      <c r="O86" s="452" t="str">
        <f t="shared" si="112"/>
        <v/>
      </c>
      <c r="P86" s="452" t="str">
        <f t="shared" si="112"/>
        <v/>
      </c>
      <c r="Q86" s="453" t="str">
        <f t="shared" si="112"/>
        <v/>
      </c>
      <c r="R86" s="451" t="str">
        <f t="shared" si="112"/>
        <v/>
      </c>
      <c r="S86" s="452" t="str">
        <f t="shared" si="112"/>
        <v/>
      </c>
      <c r="T86" s="452" t="str">
        <f t="shared" si="112"/>
        <v/>
      </c>
      <c r="U86" s="452" t="str">
        <f t="shared" si="112"/>
        <v/>
      </c>
      <c r="V86" s="453" t="str">
        <f t="shared" si="112"/>
        <v/>
      </c>
      <c r="W86" s="451" t="str">
        <f t="shared" si="112"/>
        <v/>
      </c>
      <c r="X86" s="452" t="str">
        <f t="shared" si="112"/>
        <v/>
      </c>
      <c r="Y86" s="452" t="str">
        <f t="shared" si="112"/>
        <v/>
      </c>
      <c r="Z86" s="452" t="str">
        <f t="shared" si="112"/>
        <v/>
      </c>
      <c r="AA86" s="453" t="str">
        <f t="shared" si="112"/>
        <v/>
      </c>
      <c r="AB86" s="451" t="str">
        <f t="shared" si="112"/>
        <v/>
      </c>
      <c r="AC86" s="452" t="str">
        <f t="shared" si="121"/>
        <v/>
      </c>
      <c r="AD86" s="452" t="str">
        <f t="shared" si="121"/>
        <v/>
      </c>
      <c r="AE86" s="452" t="str">
        <f t="shared" si="121"/>
        <v/>
      </c>
      <c r="AF86" s="453" t="str">
        <f t="shared" si="121"/>
        <v/>
      </c>
      <c r="AG86" s="451" t="str">
        <f t="shared" si="121"/>
        <v/>
      </c>
      <c r="AH86" s="452" t="str">
        <f t="shared" si="121"/>
        <v/>
      </c>
      <c r="AI86" s="452" t="str">
        <f t="shared" si="121"/>
        <v/>
      </c>
      <c r="AJ86" s="452" t="str">
        <f t="shared" si="121"/>
        <v/>
      </c>
      <c r="AK86" s="453" t="str">
        <f t="shared" si="121"/>
        <v/>
      </c>
      <c r="AL86" s="451" t="str">
        <f t="shared" si="121"/>
        <v/>
      </c>
      <c r="AM86" s="452" t="str">
        <f t="shared" si="121"/>
        <v/>
      </c>
      <c r="AN86" s="452" t="str">
        <f t="shared" si="121"/>
        <v/>
      </c>
      <c r="AO86" s="452" t="str">
        <f t="shared" si="121"/>
        <v/>
      </c>
      <c r="AP86" s="453" t="str">
        <f t="shared" si="121"/>
        <v/>
      </c>
      <c r="AQ86" s="451" t="str">
        <f t="shared" si="121"/>
        <v/>
      </c>
      <c r="AR86" s="452" t="str">
        <f t="shared" si="121"/>
        <v/>
      </c>
      <c r="AS86" s="452" t="str">
        <f t="shared" si="117"/>
        <v/>
      </c>
      <c r="AT86" s="452" t="str">
        <f t="shared" si="117"/>
        <v/>
      </c>
      <c r="AU86" s="453" t="str">
        <f t="shared" si="117"/>
        <v/>
      </c>
      <c r="AV86" s="451" t="str">
        <f t="shared" si="117"/>
        <v/>
      </c>
      <c r="AW86" s="452" t="str">
        <f t="shared" si="117"/>
        <v/>
      </c>
      <c r="AX86" s="452" t="str">
        <f t="shared" si="117"/>
        <v/>
      </c>
      <c r="AY86" s="452" t="str">
        <f t="shared" si="117"/>
        <v/>
      </c>
      <c r="AZ86" s="453" t="str">
        <f t="shared" si="117"/>
        <v/>
      </c>
      <c r="BA86" s="451" t="str">
        <f t="shared" si="117"/>
        <v/>
      </c>
      <c r="BB86" s="452" t="str">
        <f t="shared" si="117"/>
        <v/>
      </c>
      <c r="BC86" s="452" t="str">
        <f t="shared" si="117"/>
        <v/>
      </c>
      <c r="BD86" s="452" t="str">
        <f t="shared" si="117"/>
        <v/>
      </c>
      <c r="BE86" s="453" t="str">
        <f t="shared" si="117"/>
        <v/>
      </c>
      <c r="BF86" s="451" t="str">
        <f t="shared" si="117"/>
        <v/>
      </c>
      <c r="BG86" s="452" t="str">
        <f t="shared" si="117"/>
        <v/>
      </c>
      <c r="BH86" s="452" t="str">
        <f t="shared" ref="BH86:BW102" si="129">IF(AND(BH$2&gt;=$J86,BH$2&lt;=$K86),1,"")</f>
        <v/>
      </c>
      <c r="BI86" s="452" t="str">
        <f t="shared" si="129"/>
        <v/>
      </c>
      <c r="BJ86" s="453" t="str">
        <f t="shared" si="129"/>
        <v/>
      </c>
      <c r="BK86" s="451" t="str">
        <f t="shared" si="129"/>
        <v/>
      </c>
      <c r="BL86" s="452" t="str">
        <f t="shared" si="129"/>
        <v/>
      </c>
      <c r="BM86" s="452" t="str">
        <f t="shared" si="129"/>
        <v/>
      </c>
      <c r="BN86" s="452" t="str">
        <f t="shared" si="129"/>
        <v/>
      </c>
      <c r="BO86" s="453" t="str">
        <f t="shared" si="129"/>
        <v/>
      </c>
      <c r="BP86" s="451" t="str">
        <f t="shared" si="129"/>
        <v/>
      </c>
      <c r="BQ86" s="452" t="str">
        <f t="shared" si="129"/>
        <v/>
      </c>
      <c r="BR86" s="452" t="str">
        <f t="shared" si="129"/>
        <v/>
      </c>
      <c r="BS86" s="452" t="str">
        <f t="shared" si="129"/>
        <v/>
      </c>
      <c r="BT86" s="453" t="str">
        <f t="shared" si="129"/>
        <v/>
      </c>
      <c r="BU86" s="451" t="str">
        <f t="shared" si="129"/>
        <v/>
      </c>
      <c r="BV86" s="452" t="str">
        <f t="shared" si="129"/>
        <v/>
      </c>
      <c r="BW86" s="452" t="str">
        <f t="shared" si="129"/>
        <v/>
      </c>
      <c r="BX86" s="452" t="str">
        <f t="shared" si="118"/>
        <v/>
      </c>
      <c r="BY86" s="453" t="str">
        <f t="shared" si="118"/>
        <v/>
      </c>
      <c r="BZ86" s="451" t="str">
        <f t="shared" si="118"/>
        <v/>
      </c>
      <c r="CA86" s="452" t="str">
        <f t="shared" si="118"/>
        <v/>
      </c>
      <c r="CB86" s="452" t="str">
        <f t="shared" si="118"/>
        <v/>
      </c>
      <c r="CC86" s="452" t="str">
        <f t="shared" si="118"/>
        <v/>
      </c>
      <c r="CD86" s="453" t="str">
        <f t="shared" si="118"/>
        <v/>
      </c>
      <c r="CE86" s="451" t="str">
        <f t="shared" si="118"/>
        <v/>
      </c>
      <c r="CF86" s="452" t="str">
        <f t="shared" si="108"/>
        <v/>
      </c>
      <c r="CG86" s="452" t="str">
        <f t="shared" si="108"/>
        <v/>
      </c>
      <c r="CH86" s="452" t="str">
        <f t="shared" si="108"/>
        <v/>
      </c>
      <c r="CI86" s="453" t="str">
        <f t="shared" si="108"/>
        <v/>
      </c>
      <c r="CJ86" s="451" t="str">
        <f t="shared" si="108"/>
        <v/>
      </c>
      <c r="CK86" s="452" t="str">
        <f t="shared" si="108"/>
        <v/>
      </c>
      <c r="CL86" s="452" t="str">
        <f t="shared" si="108"/>
        <v/>
      </c>
      <c r="CM86" s="452" t="str">
        <f t="shared" si="108"/>
        <v/>
      </c>
      <c r="CN86" s="453" t="str">
        <f t="shared" si="108"/>
        <v/>
      </c>
      <c r="CO86" s="451" t="str">
        <f t="shared" si="114"/>
        <v/>
      </c>
      <c r="CP86" s="452" t="str">
        <f t="shared" si="114"/>
        <v/>
      </c>
      <c r="CQ86" s="452" t="str">
        <f t="shared" si="114"/>
        <v/>
      </c>
      <c r="CR86" s="452" t="str">
        <f t="shared" si="114"/>
        <v/>
      </c>
      <c r="CS86" s="453" t="str">
        <f t="shared" si="114"/>
        <v/>
      </c>
      <c r="CT86" s="451" t="str">
        <f t="shared" si="114"/>
        <v/>
      </c>
      <c r="CU86" s="452" t="str">
        <f t="shared" si="114"/>
        <v/>
      </c>
      <c r="CV86" s="452" t="str">
        <f t="shared" si="114"/>
        <v/>
      </c>
      <c r="CW86" s="452" t="str">
        <f t="shared" si="114"/>
        <v/>
      </c>
      <c r="CX86" s="453" t="str">
        <f t="shared" si="114"/>
        <v/>
      </c>
      <c r="CY86" s="451" t="str">
        <f t="shared" si="114"/>
        <v/>
      </c>
      <c r="CZ86" s="452" t="str">
        <f t="shared" si="114"/>
        <v/>
      </c>
      <c r="DA86" s="452" t="str">
        <f t="shared" si="114"/>
        <v/>
      </c>
      <c r="DB86" s="452" t="str">
        <f t="shared" si="114"/>
        <v/>
      </c>
      <c r="DC86" s="453" t="str">
        <f t="shared" si="114"/>
        <v/>
      </c>
      <c r="DD86" s="451" t="str">
        <f t="shared" si="109"/>
        <v/>
      </c>
      <c r="DE86" s="452" t="str">
        <f t="shared" si="109"/>
        <v/>
      </c>
      <c r="DF86" s="452" t="str">
        <f t="shared" si="109"/>
        <v/>
      </c>
      <c r="DG86" s="452" t="str">
        <f t="shared" si="109"/>
        <v/>
      </c>
      <c r="DH86" s="453" t="str">
        <f t="shared" si="109"/>
        <v/>
      </c>
      <c r="DI86" s="451" t="str">
        <f t="shared" si="109"/>
        <v/>
      </c>
      <c r="DJ86" s="452" t="str">
        <f t="shared" si="109"/>
        <v/>
      </c>
      <c r="DK86" s="452" t="str">
        <f t="shared" si="109"/>
        <v/>
      </c>
      <c r="DL86" s="452" t="str">
        <f t="shared" si="109"/>
        <v/>
      </c>
      <c r="DM86" s="453" t="str">
        <f t="shared" si="124"/>
        <v/>
      </c>
      <c r="DN86" s="451" t="str">
        <f t="shared" si="124"/>
        <v/>
      </c>
      <c r="DO86" s="452" t="str">
        <f t="shared" si="124"/>
        <v/>
      </c>
      <c r="DP86" s="452" t="str">
        <f t="shared" si="124"/>
        <v/>
      </c>
      <c r="DQ86" s="452" t="str">
        <f t="shared" si="124"/>
        <v/>
      </c>
      <c r="DR86" s="453" t="str">
        <f t="shared" si="124"/>
        <v/>
      </c>
      <c r="DS86" s="451" t="str">
        <f t="shared" si="124"/>
        <v/>
      </c>
      <c r="DT86" s="452" t="str">
        <f t="shared" si="124"/>
        <v/>
      </c>
      <c r="DU86" s="452" t="str">
        <f t="shared" si="124"/>
        <v/>
      </c>
      <c r="DV86" s="452" t="str">
        <f t="shared" si="124"/>
        <v/>
      </c>
      <c r="DW86" s="453" t="str">
        <f t="shared" si="124"/>
        <v/>
      </c>
      <c r="DX86" s="451" t="str">
        <f t="shared" si="124"/>
        <v/>
      </c>
      <c r="DY86" s="452" t="str">
        <f t="shared" si="124"/>
        <v/>
      </c>
      <c r="DZ86" s="452" t="str">
        <f t="shared" si="124"/>
        <v/>
      </c>
      <c r="EA86" s="452" t="str">
        <f t="shared" si="124"/>
        <v/>
      </c>
      <c r="EB86" s="453" t="str">
        <f t="shared" si="124"/>
        <v/>
      </c>
      <c r="EC86" s="451" t="str">
        <f t="shared" si="110"/>
        <v/>
      </c>
      <c r="ED86" s="452" t="str">
        <f t="shared" si="110"/>
        <v/>
      </c>
      <c r="EE86" s="452" t="str">
        <f t="shared" si="110"/>
        <v/>
      </c>
      <c r="EF86" s="452" t="str">
        <f t="shared" si="107"/>
        <v/>
      </c>
      <c r="EG86" s="453" t="str">
        <f t="shared" si="107"/>
        <v/>
      </c>
      <c r="EH86" s="451" t="str">
        <f t="shared" si="107"/>
        <v/>
      </c>
      <c r="EI86" s="452" t="str">
        <f t="shared" si="107"/>
        <v/>
      </c>
      <c r="EJ86" s="452" t="str">
        <f t="shared" si="107"/>
        <v/>
      </c>
      <c r="EK86" s="452" t="str">
        <f t="shared" si="107"/>
        <v/>
      </c>
      <c r="EL86" s="453" t="str">
        <f t="shared" si="107"/>
        <v/>
      </c>
      <c r="EM86" s="451" t="str">
        <f t="shared" si="107"/>
        <v/>
      </c>
      <c r="EN86" s="452" t="str">
        <f t="shared" si="107"/>
        <v/>
      </c>
      <c r="EO86" s="452" t="str">
        <f t="shared" si="107"/>
        <v/>
      </c>
      <c r="EP86" s="452" t="str">
        <f t="shared" si="107"/>
        <v/>
      </c>
      <c r="EQ86" s="453" t="str">
        <f t="shared" si="107"/>
        <v/>
      </c>
      <c r="ER86" s="451" t="str">
        <f t="shared" si="107"/>
        <v/>
      </c>
      <c r="ES86" s="452" t="str">
        <f t="shared" si="113"/>
        <v/>
      </c>
      <c r="ET86" s="452" t="str">
        <f t="shared" si="113"/>
        <v/>
      </c>
      <c r="EU86" s="452" t="str">
        <f t="shared" si="113"/>
        <v/>
      </c>
      <c r="EV86" s="453" t="str">
        <f t="shared" si="113"/>
        <v/>
      </c>
      <c r="EW86" s="451" t="str">
        <f t="shared" si="113"/>
        <v/>
      </c>
      <c r="EX86" s="452" t="str">
        <f t="shared" si="113"/>
        <v/>
      </c>
      <c r="EY86" s="452" t="str">
        <f t="shared" si="113"/>
        <v/>
      </c>
      <c r="EZ86" s="452" t="str">
        <f t="shared" si="113"/>
        <v/>
      </c>
      <c r="FA86" s="453" t="str">
        <f t="shared" si="113"/>
        <v/>
      </c>
      <c r="FB86" s="451" t="str">
        <f t="shared" si="113"/>
        <v/>
      </c>
      <c r="FC86" s="452" t="str">
        <f t="shared" si="113"/>
        <v/>
      </c>
      <c r="FD86" s="452" t="str">
        <f t="shared" si="113"/>
        <v/>
      </c>
      <c r="FE86" s="452" t="str">
        <f t="shared" si="113"/>
        <v/>
      </c>
      <c r="FF86" s="453" t="str">
        <f t="shared" si="113"/>
        <v/>
      </c>
      <c r="FG86" s="451" t="str">
        <f t="shared" si="113"/>
        <v/>
      </c>
      <c r="FH86" s="452" t="str">
        <f t="shared" si="113"/>
        <v/>
      </c>
      <c r="FI86" s="452" t="str">
        <f t="shared" si="111"/>
        <v/>
      </c>
      <c r="FJ86" s="452" t="str">
        <f t="shared" si="111"/>
        <v/>
      </c>
      <c r="FK86" s="453" t="str">
        <f t="shared" si="111"/>
        <v/>
      </c>
      <c r="FL86" s="451" t="str">
        <f t="shared" si="111"/>
        <v/>
      </c>
      <c r="FM86" s="452" t="str">
        <f t="shared" si="111"/>
        <v/>
      </c>
      <c r="FN86" s="452" t="str">
        <f t="shared" si="111"/>
        <v/>
      </c>
      <c r="FO86" s="452" t="str">
        <f t="shared" si="111"/>
        <v/>
      </c>
      <c r="FP86" s="453" t="str">
        <f t="shared" si="111"/>
        <v/>
      </c>
      <c r="FQ86" s="451" t="str">
        <f t="shared" si="111"/>
        <v/>
      </c>
      <c r="FR86" s="452" t="str">
        <f t="shared" si="111"/>
        <v/>
      </c>
      <c r="FS86" s="452" t="str">
        <f t="shared" si="111"/>
        <v/>
      </c>
      <c r="FT86" s="452" t="str">
        <f t="shared" si="111"/>
        <v/>
      </c>
      <c r="FU86" s="453" t="str">
        <f t="shared" si="111"/>
        <v/>
      </c>
      <c r="FV86" s="451" t="str">
        <f t="shared" si="111"/>
        <v/>
      </c>
      <c r="FW86" s="452" t="str">
        <f t="shared" si="111"/>
        <v/>
      </c>
      <c r="FX86" s="452" t="str">
        <f t="shared" si="128"/>
        <v/>
      </c>
      <c r="FY86" s="452" t="str">
        <f t="shared" si="128"/>
        <v/>
      </c>
      <c r="FZ86" s="453" t="str">
        <f t="shared" si="128"/>
        <v/>
      </c>
      <c r="GA86" s="451" t="str">
        <f t="shared" si="128"/>
        <v/>
      </c>
      <c r="GB86" s="452" t="str">
        <f t="shared" si="128"/>
        <v/>
      </c>
      <c r="GC86" s="452" t="str">
        <f t="shared" si="128"/>
        <v/>
      </c>
      <c r="GD86" s="452" t="str">
        <f t="shared" si="128"/>
        <v/>
      </c>
      <c r="GE86" s="453" t="str">
        <f t="shared" si="128"/>
        <v/>
      </c>
      <c r="GF86" s="451" t="str">
        <f t="shared" si="128"/>
        <v/>
      </c>
      <c r="GG86" s="452" t="str">
        <f t="shared" si="128"/>
        <v/>
      </c>
      <c r="GH86" s="452" t="str">
        <f t="shared" si="128"/>
        <v/>
      </c>
      <c r="GI86" s="452" t="str">
        <f t="shared" si="128"/>
        <v/>
      </c>
      <c r="GJ86" s="453" t="str">
        <f t="shared" si="128"/>
        <v/>
      </c>
      <c r="GK86" s="451" t="str">
        <f t="shared" si="128"/>
        <v/>
      </c>
      <c r="GL86" s="452" t="str">
        <f t="shared" si="128"/>
        <v/>
      </c>
      <c r="GM86" s="452" t="str">
        <f t="shared" si="128"/>
        <v/>
      </c>
      <c r="GN86" s="452" t="str">
        <f t="shared" si="127"/>
        <v/>
      </c>
      <c r="GO86" s="453" t="str">
        <f t="shared" si="127"/>
        <v/>
      </c>
      <c r="GP86" s="451" t="str">
        <f t="shared" si="127"/>
        <v/>
      </c>
      <c r="GQ86" s="452" t="str">
        <f t="shared" si="127"/>
        <v/>
      </c>
      <c r="GR86" s="452" t="str">
        <f t="shared" si="127"/>
        <v/>
      </c>
      <c r="GS86" s="452" t="str">
        <f t="shared" si="96"/>
        <v/>
      </c>
      <c r="GT86" s="453" t="str">
        <f t="shared" si="96"/>
        <v/>
      </c>
      <c r="GU86" s="451" t="str">
        <f t="shared" si="96"/>
        <v/>
      </c>
      <c r="GV86" s="452" t="str">
        <f t="shared" si="96"/>
        <v/>
      </c>
      <c r="GW86" s="452" t="str">
        <f t="shared" si="96"/>
        <v/>
      </c>
      <c r="GX86" s="452" t="str">
        <f t="shared" si="96"/>
        <v/>
      </c>
      <c r="GY86" s="453" t="str">
        <f t="shared" si="96"/>
        <v/>
      </c>
      <c r="GZ86" s="451" t="str">
        <f t="shared" si="96"/>
        <v/>
      </c>
      <c r="HA86" s="452" t="str">
        <f t="shared" si="125"/>
        <v/>
      </c>
      <c r="HB86" s="452" t="str">
        <f t="shared" si="125"/>
        <v/>
      </c>
      <c r="HC86" s="452" t="str">
        <f t="shared" si="125"/>
        <v/>
      </c>
      <c r="HD86" s="453" t="str">
        <f t="shared" si="125"/>
        <v/>
      </c>
      <c r="HE86" s="451" t="str">
        <f t="shared" si="125"/>
        <v/>
      </c>
      <c r="HF86" s="452" t="str">
        <f t="shared" si="125"/>
        <v/>
      </c>
      <c r="HG86" s="452" t="str">
        <f t="shared" si="125"/>
        <v/>
      </c>
      <c r="HH86" s="452" t="str">
        <f t="shared" si="125"/>
        <v/>
      </c>
      <c r="HI86" s="453" t="str">
        <f t="shared" si="116"/>
        <v/>
      </c>
      <c r="HJ86" s="451" t="str">
        <f t="shared" si="116"/>
        <v/>
      </c>
      <c r="HK86" s="452" t="str">
        <f t="shared" si="116"/>
        <v/>
      </c>
      <c r="HL86" s="452" t="str">
        <f t="shared" si="116"/>
        <v/>
      </c>
      <c r="HM86" s="452" t="str">
        <f t="shared" si="116"/>
        <v/>
      </c>
      <c r="HN86" s="453" t="str">
        <f t="shared" si="116"/>
        <v/>
      </c>
      <c r="HO86" s="451" t="str">
        <f t="shared" si="116"/>
        <v/>
      </c>
      <c r="HP86" s="452" t="str">
        <f t="shared" si="116"/>
        <v/>
      </c>
      <c r="HQ86" s="452" t="str">
        <f t="shared" si="116"/>
        <v/>
      </c>
      <c r="HR86" s="452" t="str">
        <f t="shared" si="116"/>
        <v/>
      </c>
      <c r="HS86" s="453" t="str">
        <f t="shared" si="116"/>
        <v/>
      </c>
      <c r="HT86" s="451" t="str">
        <f t="shared" si="116"/>
        <v/>
      </c>
      <c r="HU86" s="452" t="str">
        <f t="shared" si="116"/>
        <v/>
      </c>
      <c r="HV86" s="452" t="str">
        <f t="shared" si="116"/>
        <v/>
      </c>
      <c r="HW86" s="452" t="str">
        <f t="shared" si="115"/>
        <v/>
      </c>
      <c r="HX86" s="453" t="str">
        <f t="shared" si="115"/>
        <v/>
      </c>
      <c r="HY86" s="451" t="str">
        <f t="shared" si="115"/>
        <v/>
      </c>
      <c r="HZ86" s="452" t="str">
        <f t="shared" si="115"/>
        <v/>
      </c>
      <c r="IA86" s="452" t="str">
        <f t="shared" si="115"/>
        <v/>
      </c>
      <c r="IB86" s="452" t="str">
        <f t="shared" si="115"/>
        <v/>
      </c>
      <c r="IC86" s="453" t="str">
        <f t="shared" si="115"/>
        <v/>
      </c>
      <c r="ID86" s="451" t="str">
        <f t="shared" si="115"/>
        <v/>
      </c>
      <c r="IE86" s="452" t="str">
        <f t="shared" si="115"/>
        <v/>
      </c>
      <c r="IF86" s="452" t="str">
        <f t="shared" si="115"/>
        <v/>
      </c>
      <c r="IG86" s="452" t="str">
        <f t="shared" si="115"/>
        <v/>
      </c>
      <c r="IH86" s="453" t="str">
        <f t="shared" si="115"/>
        <v/>
      </c>
      <c r="II86" s="451" t="str">
        <f t="shared" si="115"/>
        <v/>
      </c>
      <c r="IJ86" s="452" t="str">
        <f t="shared" si="115"/>
        <v/>
      </c>
      <c r="IK86" s="452" t="str">
        <f t="shared" si="115"/>
        <v/>
      </c>
      <c r="IL86" s="452" t="str">
        <f t="shared" si="120"/>
        <v/>
      </c>
      <c r="IM86" s="453" t="str">
        <f t="shared" si="120"/>
        <v/>
      </c>
      <c r="IN86" s="451" t="str">
        <f t="shared" si="120"/>
        <v/>
      </c>
      <c r="IO86" s="452" t="str">
        <f t="shared" si="126"/>
        <v/>
      </c>
      <c r="IP86" s="452" t="str">
        <f t="shared" si="126"/>
        <v/>
      </c>
      <c r="IQ86" s="452" t="str">
        <f t="shared" si="126"/>
        <v/>
      </c>
      <c r="IR86" s="453" t="str">
        <f t="shared" si="126"/>
        <v/>
      </c>
    </row>
    <row r="87" spans="1:252" x14ac:dyDescent="0.2">
      <c r="A87" s="461">
        <v>8.6</v>
      </c>
      <c r="C87" s="447" t="s">
        <v>1356</v>
      </c>
      <c r="D87" s="447"/>
      <c r="E87" s="448"/>
      <c r="F87" s="448"/>
      <c r="G87" s="448"/>
      <c r="H87" s="448"/>
      <c r="I87" s="448"/>
      <c r="J87" s="449" t="str">
        <f t="shared" si="122"/>
        <v/>
      </c>
      <c r="K87" s="449" t="str">
        <f t="shared" si="123"/>
        <v/>
      </c>
      <c r="L87" s="450">
        <f t="shared" si="101"/>
        <v>0</v>
      </c>
      <c r="M87" s="451" t="str">
        <f t="shared" si="112"/>
        <v/>
      </c>
      <c r="N87" s="452" t="str">
        <f t="shared" si="112"/>
        <v/>
      </c>
      <c r="O87" s="452" t="str">
        <f t="shared" si="112"/>
        <v/>
      </c>
      <c r="P87" s="452" t="str">
        <f t="shared" si="112"/>
        <v/>
      </c>
      <c r="Q87" s="453" t="str">
        <f t="shared" si="112"/>
        <v/>
      </c>
      <c r="R87" s="451" t="str">
        <f t="shared" si="112"/>
        <v/>
      </c>
      <c r="S87" s="452" t="str">
        <f t="shared" si="112"/>
        <v/>
      </c>
      <c r="T87" s="452" t="str">
        <f t="shared" si="112"/>
        <v/>
      </c>
      <c r="U87" s="452" t="str">
        <f t="shared" si="112"/>
        <v/>
      </c>
      <c r="V87" s="453" t="str">
        <f t="shared" si="112"/>
        <v/>
      </c>
      <c r="W87" s="451" t="str">
        <f t="shared" si="112"/>
        <v/>
      </c>
      <c r="X87" s="452" t="str">
        <f t="shared" si="112"/>
        <v/>
      </c>
      <c r="Y87" s="452" t="str">
        <f t="shared" si="112"/>
        <v/>
      </c>
      <c r="Z87" s="452" t="str">
        <f t="shared" si="112"/>
        <v/>
      </c>
      <c r="AA87" s="453" t="str">
        <f t="shared" si="112"/>
        <v/>
      </c>
      <c r="AB87" s="451" t="str">
        <f t="shared" si="112"/>
        <v/>
      </c>
      <c r="AC87" s="452" t="str">
        <f t="shared" si="121"/>
        <v/>
      </c>
      <c r="AD87" s="452" t="str">
        <f t="shared" si="121"/>
        <v/>
      </c>
      <c r="AE87" s="452" t="str">
        <f t="shared" si="121"/>
        <v/>
      </c>
      <c r="AF87" s="453" t="str">
        <f t="shared" si="121"/>
        <v/>
      </c>
      <c r="AG87" s="451" t="str">
        <f t="shared" si="121"/>
        <v/>
      </c>
      <c r="AH87" s="452" t="str">
        <f t="shared" si="121"/>
        <v/>
      </c>
      <c r="AI87" s="452" t="str">
        <f t="shared" si="121"/>
        <v/>
      </c>
      <c r="AJ87" s="452" t="str">
        <f t="shared" si="121"/>
        <v/>
      </c>
      <c r="AK87" s="453" t="str">
        <f t="shared" si="121"/>
        <v/>
      </c>
      <c r="AL87" s="451" t="str">
        <f t="shared" si="121"/>
        <v/>
      </c>
      <c r="AM87" s="452" t="str">
        <f t="shared" si="121"/>
        <v/>
      </c>
      <c r="AN87" s="452" t="str">
        <f t="shared" si="121"/>
        <v/>
      </c>
      <c r="AO87" s="452" t="str">
        <f t="shared" si="121"/>
        <v/>
      </c>
      <c r="AP87" s="453" t="str">
        <f t="shared" si="121"/>
        <v/>
      </c>
      <c r="AQ87" s="451" t="str">
        <f t="shared" si="121"/>
        <v/>
      </c>
      <c r="AR87" s="452" t="str">
        <f t="shared" si="121"/>
        <v/>
      </c>
      <c r="AS87" s="452" t="str">
        <f t="shared" si="117"/>
        <v/>
      </c>
      <c r="AT87" s="452" t="str">
        <f t="shared" si="117"/>
        <v/>
      </c>
      <c r="AU87" s="453" t="str">
        <f t="shared" si="117"/>
        <v/>
      </c>
      <c r="AV87" s="451" t="str">
        <f t="shared" si="117"/>
        <v/>
      </c>
      <c r="AW87" s="452" t="str">
        <f t="shared" si="117"/>
        <v/>
      </c>
      <c r="AX87" s="452" t="str">
        <f t="shared" si="117"/>
        <v/>
      </c>
      <c r="AY87" s="452" t="str">
        <f t="shared" si="117"/>
        <v/>
      </c>
      <c r="AZ87" s="453" t="str">
        <f t="shared" si="117"/>
        <v/>
      </c>
      <c r="BA87" s="451" t="str">
        <f t="shared" si="117"/>
        <v/>
      </c>
      <c r="BB87" s="452" t="str">
        <f t="shared" si="117"/>
        <v/>
      </c>
      <c r="BC87" s="452" t="str">
        <f t="shared" si="117"/>
        <v/>
      </c>
      <c r="BD87" s="452" t="str">
        <f t="shared" si="117"/>
        <v/>
      </c>
      <c r="BE87" s="453" t="str">
        <f t="shared" si="117"/>
        <v/>
      </c>
      <c r="BF87" s="451" t="str">
        <f t="shared" si="117"/>
        <v/>
      </c>
      <c r="BG87" s="452" t="str">
        <f t="shared" si="117"/>
        <v/>
      </c>
      <c r="BH87" s="452" t="str">
        <f t="shared" si="129"/>
        <v/>
      </c>
      <c r="BI87" s="452" t="str">
        <f t="shared" si="129"/>
        <v/>
      </c>
      <c r="BJ87" s="453" t="str">
        <f t="shared" si="129"/>
        <v/>
      </c>
      <c r="BK87" s="451" t="str">
        <f t="shared" si="129"/>
        <v/>
      </c>
      <c r="BL87" s="452" t="str">
        <f t="shared" si="129"/>
        <v/>
      </c>
      <c r="BM87" s="452" t="str">
        <f t="shared" si="129"/>
        <v/>
      </c>
      <c r="BN87" s="452" t="str">
        <f t="shared" si="129"/>
        <v/>
      </c>
      <c r="BO87" s="453" t="str">
        <f t="shared" si="129"/>
        <v/>
      </c>
      <c r="BP87" s="451" t="str">
        <f t="shared" si="129"/>
        <v/>
      </c>
      <c r="BQ87" s="452" t="str">
        <f t="shared" si="129"/>
        <v/>
      </c>
      <c r="BR87" s="452" t="str">
        <f t="shared" si="129"/>
        <v/>
      </c>
      <c r="BS87" s="452" t="str">
        <f t="shared" si="129"/>
        <v/>
      </c>
      <c r="BT87" s="453" t="str">
        <f t="shared" si="129"/>
        <v/>
      </c>
      <c r="BU87" s="451" t="str">
        <f t="shared" si="129"/>
        <v/>
      </c>
      <c r="BV87" s="452" t="str">
        <f t="shared" si="129"/>
        <v/>
      </c>
      <c r="BW87" s="452" t="str">
        <f t="shared" si="129"/>
        <v/>
      </c>
      <c r="BX87" s="452" t="str">
        <f t="shared" si="118"/>
        <v/>
      </c>
      <c r="BY87" s="453" t="str">
        <f t="shared" si="108"/>
        <v/>
      </c>
      <c r="BZ87" s="451" t="str">
        <f t="shared" si="108"/>
        <v/>
      </c>
      <c r="CA87" s="452" t="str">
        <f t="shared" si="108"/>
        <v/>
      </c>
      <c r="CB87" s="452" t="str">
        <f t="shared" si="108"/>
        <v/>
      </c>
      <c r="CC87" s="452" t="str">
        <f t="shared" si="108"/>
        <v/>
      </c>
      <c r="CD87" s="453" t="str">
        <f t="shared" si="108"/>
        <v/>
      </c>
      <c r="CE87" s="451" t="str">
        <f t="shared" si="108"/>
        <v/>
      </c>
      <c r="CF87" s="452" t="str">
        <f t="shared" si="108"/>
        <v/>
      </c>
      <c r="CG87" s="452" t="str">
        <f t="shared" si="108"/>
        <v/>
      </c>
      <c r="CH87" s="452" t="str">
        <f t="shared" si="108"/>
        <v/>
      </c>
      <c r="CI87" s="453" t="str">
        <f t="shared" si="108"/>
        <v/>
      </c>
      <c r="CJ87" s="451" t="str">
        <f t="shared" si="108"/>
        <v/>
      </c>
      <c r="CK87" s="452" t="str">
        <f t="shared" si="108"/>
        <v/>
      </c>
      <c r="CL87" s="452" t="str">
        <f t="shared" si="108"/>
        <v/>
      </c>
      <c r="CM87" s="452" t="str">
        <f t="shared" si="108"/>
        <v/>
      </c>
      <c r="CN87" s="453" t="str">
        <f t="shared" si="108"/>
        <v/>
      </c>
      <c r="CO87" s="451" t="str">
        <f t="shared" si="114"/>
        <v/>
      </c>
      <c r="CP87" s="452" t="str">
        <f t="shared" si="114"/>
        <v/>
      </c>
      <c r="CQ87" s="452" t="str">
        <f t="shared" si="114"/>
        <v/>
      </c>
      <c r="CR87" s="452" t="str">
        <f t="shared" si="114"/>
        <v/>
      </c>
      <c r="CS87" s="453" t="str">
        <f t="shared" si="114"/>
        <v/>
      </c>
      <c r="CT87" s="451" t="str">
        <f t="shared" si="114"/>
        <v/>
      </c>
      <c r="CU87" s="452" t="str">
        <f t="shared" si="114"/>
        <v/>
      </c>
      <c r="CV87" s="452" t="str">
        <f t="shared" si="114"/>
        <v/>
      </c>
      <c r="CW87" s="452" t="str">
        <f t="shared" si="114"/>
        <v/>
      </c>
      <c r="CX87" s="453" t="str">
        <f t="shared" si="114"/>
        <v/>
      </c>
      <c r="CY87" s="451" t="str">
        <f t="shared" si="114"/>
        <v/>
      </c>
      <c r="CZ87" s="452" t="str">
        <f t="shared" si="114"/>
        <v/>
      </c>
      <c r="DA87" s="452" t="str">
        <f t="shared" si="114"/>
        <v/>
      </c>
      <c r="DB87" s="452" t="str">
        <f t="shared" si="114"/>
        <v/>
      </c>
      <c r="DC87" s="453" t="str">
        <f t="shared" si="114"/>
        <v/>
      </c>
      <c r="DD87" s="451" t="str">
        <f t="shared" si="109"/>
        <v/>
      </c>
      <c r="DE87" s="452" t="str">
        <f t="shared" si="109"/>
        <v/>
      </c>
      <c r="DF87" s="452" t="str">
        <f t="shared" si="109"/>
        <v/>
      </c>
      <c r="DG87" s="452" t="str">
        <f t="shared" si="109"/>
        <v/>
      </c>
      <c r="DH87" s="453" t="str">
        <f t="shared" si="109"/>
        <v/>
      </c>
      <c r="DI87" s="451" t="str">
        <f t="shared" si="109"/>
        <v/>
      </c>
      <c r="DJ87" s="452" t="str">
        <f t="shared" si="109"/>
        <v/>
      </c>
      <c r="DK87" s="452" t="str">
        <f t="shared" si="109"/>
        <v/>
      </c>
      <c r="DL87" s="452" t="str">
        <f t="shared" si="109"/>
        <v/>
      </c>
      <c r="DM87" s="453" t="str">
        <f t="shared" si="124"/>
        <v/>
      </c>
      <c r="DN87" s="451" t="str">
        <f t="shared" si="124"/>
        <v/>
      </c>
      <c r="DO87" s="452" t="str">
        <f t="shared" si="124"/>
        <v/>
      </c>
      <c r="DP87" s="452" t="str">
        <f t="shared" si="124"/>
        <v/>
      </c>
      <c r="DQ87" s="452" t="str">
        <f t="shared" si="124"/>
        <v/>
      </c>
      <c r="DR87" s="453" t="str">
        <f t="shared" si="124"/>
        <v/>
      </c>
      <c r="DS87" s="451" t="str">
        <f t="shared" si="124"/>
        <v/>
      </c>
      <c r="DT87" s="452" t="str">
        <f t="shared" si="124"/>
        <v/>
      </c>
      <c r="DU87" s="452" t="str">
        <f t="shared" si="124"/>
        <v/>
      </c>
      <c r="DV87" s="452" t="str">
        <f t="shared" si="124"/>
        <v/>
      </c>
      <c r="DW87" s="453" t="str">
        <f t="shared" si="124"/>
        <v/>
      </c>
      <c r="DX87" s="451" t="str">
        <f t="shared" si="124"/>
        <v/>
      </c>
      <c r="DY87" s="452" t="str">
        <f t="shared" si="124"/>
        <v/>
      </c>
      <c r="DZ87" s="452" t="str">
        <f t="shared" si="124"/>
        <v/>
      </c>
      <c r="EA87" s="452" t="str">
        <f t="shared" si="124"/>
        <v/>
      </c>
      <c r="EB87" s="453" t="str">
        <f t="shared" si="124"/>
        <v/>
      </c>
      <c r="EC87" s="451" t="str">
        <f t="shared" si="110"/>
        <v/>
      </c>
      <c r="ED87" s="452" t="str">
        <f t="shared" si="110"/>
        <v/>
      </c>
      <c r="EE87" s="452" t="str">
        <f t="shared" si="110"/>
        <v/>
      </c>
      <c r="EF87" s="452" t="str">
        <f t="shared" si="110"/>
        <v/>
      </c>
      <c r="EG87" s="453" t="str">
        <f t="shared" si="110"/>
        <v/>
      </c>
      <c r="EH87" s="451" t="str">
        <f t="shared" si="110"/>
        <v/>
      </c>
      <c r="EI87" s="452" t="str">
        <f t="shared" si="110"/>
        <v/>
      </c>
      <c r="EJ87" s="452" t="str">
        <f t="shared" si="110"/>
        <v/>
      </c>
      <c r="EK87" s="452" t="str">
        <f t="shared" ref="EK87:EY90" si="130">IF(AND(EK$2&gt;=$J87,EK$2&lt;=$K87),1,"")</f>
        <v/>
      </c>
      <c r="EL87" s="453" t="str">
        <f t="shared" si="130"/>
        <v/>
      </c>
      <c r="EM87" s="451" t="str">
        <f t="shared" si="130"/>
        <v/>
      </c>
      <c r="EN87" s="452" t="str">
        <f t="shared" si="130"/>
        <v/>
      </c>
      <c r="EO87" s="452" t="str">
        <f t="shared" si="130"/>
        <v/>
      </c>
      <c r="EP87" s="452" t="str">
        <f t="shared" si="130"/>
        <v/>
      </c>
      <c r="EQ87" s="453" t="str">
        <f t="shared" si="130"/>
        <v/>
      </c>
      <c r="ER87" s="451" t="str">
        <f t="shared" si="130"/>
        <v/>
      </c>
      <c r="ES87" s="452" t="str">
        <f t="shared" si="130"/>
        <v/>
      </c>
      <c r="ET87" s="452" t="str">
        <f t="shared" si="130"/>
        <v/>
      </c>
      <c r="EU87" s="452" t="str">
        <f t="shared" si="130"/>
        <v/>
      </c>
      <c r="EV87" s="453" t="str">
        <f t="shared" si="113"/>
        <v/>
      </c>
      <c r="EW87" s="451" t="str">
        <f t="shared" si="113"/>
        <v/>
      </c>
      <c r="EX87" s="452" t="str">
        <f t="shared" si="113"/>
        <v/>
      </c>
      <c r="EY87" s="452" t="str">
        <f t="shared" si="113"/>
        <v/>
      </c>
      <c r="EZ87" s="452" t="str">
        <f t="shared" si="113"/>
        <v/>
      </c>
      <c r="FA87" s="453" t="str">
        <f t="shared" si="113"/>
        <v/>
      </c>
      <c r="FB87" s="451" t="str">
        <f t="shared" si="113"/>
        <v/>
      </c>
      <c r="FC87" s="452" t="str">
        <f t="shared" si="113"/>
        <v/>
      </c>
      <c r="FD87" s="452" t="str">
        <f t="shared" si="113"/>
        <v/>
      </c>
      <c r="FE87" s="452" t="str">
        <f t="shared" si="113"/>
        <v/>
      </c>
      <c r="FF87" s="453" t="str">
        <f t="shared" si="113"/>
        <v/>
      </c>
      <c r="FG87" s="451" t="str">
        <f t="shared" si="113"/>
        <v/>
      </c>
      <c r="FH87" s="452" t="str">
        <f t="shared" si="113"/>
        <v/>
      </c>
      <c r="FI87" s="452" t="str">
        <f t="shared" si="111"/>
        <v/>
      </c>
      <c r="FJ87" s="452" t="str">
        <f t="shared" si="111"/>
        <v/>
      </c>
      <c r="FK87" s="453" t="str">
        <f t="shared" si="111"/>
        <v/>
      </c>
      <c r="FL87" s="451" t="str">
        <f t="shared" si="111"/>
        <v/>
      </c>
      <c r="FM87" s="452" t="str">
        <f t="shared" si="111"/>
        <v/>
      </c>
      <c r="FN87" s="452" t="str">
        <f t="shared" si="111"/>
        <v/>
      </c>
      <c r="FO87" s="452" t="str">
        <f t="shared" si="111"/>
        <v/>
      </c>
      <c r="FP87" s="453" t="str">
        <f t="shared" si="111"/>
        <v/>
      </c>
      <c r="FQ87" s="451" t="str">
        <f t="shared" si="111"/>
        <v/>
      </c>
      <c r="FR87" s="452" t="str">
        <f t="shared" si="111"/>
        <v/>
      </c>
      <c r="FS87" s="452" t="str">
        <f t="shared" si="111"/>
        <v/>
      </c>
      <c r="FT87" s="452" t="str">
        <f t="shared" si="111"/>
        <v/>
      </c>
      <c r="FU87" s="453" t="str">
        <f t="shared" si="111"/>
        <v/>
      </c>
      <c r="FV87" s="451" t="str">
        <f t="shared" si="111"/>
        <v/>
      </c>
      <c r="FW87" s="452" t="str">
        <f t="shared" si="111"/>
        <v/>
      </c>
      <c r="FX87" s="452" t="str">
        <f t="shared" si="128"/>
        <v/>
      </c>
      <c r="FY87" s="452" t="str">
        <f t="shared" si="128"/>
        <v/>
      </c>
      <c r="FZ87" s="453" t="str">
        <f t="shared" si="128"/>
        <v/>
      </c>
      <c r="GA87" s="451" t="str">
        <f t="shared" si="128"/>
        <v/>
      </c>
      <c r="GB87" s="452" t="str">
        <f t="shared" si="128"/>
        <v/>
      </c>
      <c r="GC87" s="452" t="str">
        <f t="shared" si="128"/>
        <v/>
      </c>
      <c r="GD87" s="452" t="str">
        <f t="shared" si="128"/>
        <v/>
      </c>
      <c r="GE87" s="453" t="str">
        <f t="shared" si="128"/>
        <v/>
      </c>
      <c r="GF87" s="451" t="str">
        <f t="shared" si="128"/>
        <v/>
      </c>
      <c r="GG87" s="452" t="str">
        <f t="shared" si="128"/>
        <v/>
      </c>
      <c r="GH87" s="452" t="str">
        <f t="shared" si="128"/>
        <v/>
      </c>
      <c r="GI87" s="452" t="str">
        <f t="shared" si="128"/>
        <v/>
      </c>
      <c r="GJ87" s="453" t="str">
        <f t="shared" si="128"/>
        <v/>
      </c>
      <c r="GK87" s="451" t="str">
        <f t="shared" si="128"/>
        <v/>
      </c>
      <c r="GL87" s="452" t="str">
        <f t="shared" si="128"/>
        <v/>
      </c>
      <c r="GM87" s="452" t="str">
        <f t="shared" si="128"/>
        <v/>
      </c>
      <c r="GN87" s="452" t="str">
        <f t="shared" si="127"/>
        <v/>
      </c>
      <c r="GO87" s="453" t="str">
        <f t="shared" si="127"/>
        <v/>
      </c>
      <c r="GP87" s="451" t="str">
        <f t="shared" si="127"/>
        <v/>
      </c>
      <c r="GQ87" s="452" t="str">
        <f t="shared" si="127"/>
        <v/>
      </c>
      <c r="GR87" s="452" t="str">
        <f t="shared" si="127"/>
        <v/>
      </c>
      <c r="GS87" s="452" t="str">
        <f t="shared" si="96"/>
        <v/>
      </c>
      <c r="GT87" s="453" t="str">
        <f t="shared" si="96"/>
        <v/>
      </c>
      <c r="GU87" s="451" t="str">
        <f t="shared" ref="GU87:HH88" si="131">IF(AND(GU$2&gt;=$J87,GU$2&lt;=$K87),1,"")</f>
        <v/>
      </c>
      <c r="GV87" s="452" t="str">
        <f t="shared" si="131"/>
        <v/>
      </c>
      <c r="GW87" s="452" t="str">
        <f t="shared" si="131"/>
        <v/>
      </c>
      <c r="GX87" s="452" t="str">
        <f t="shared" si="131"/>
        <v/>
      </c>
      <c r="GY87" s="453" t="str">
        <f t="shared" si="131"/>
        <v/>
      </c>
      <c r="GZ87" s="451" t="str">
        <f t="shared" si="131"/>
        <v/>
      </c>
      <c r="HA87" s="452" t="str">
        <f t="shared" si="131"/>
        <v/>
      </c>
      <c r="HB87" s="452" t="str">
        <f t="shared" si="131"/>
        <v/>
      </c>
      <c r="HC87" s="452" t="str">
        <f t="shared" si="131"/>
        <v/>
      </c>
      <c r="HD87" s="453" t="str">
        <f t="shared" si="131"/>
        <v/>
      </c>
      <c r="HE87" s="451" t="str">
        <f t="shared" si="131"/>
        <v/>
      </c>
      <c r="HF87" s="452" t="str">
        <f t="shared" si="131"/>
        <v/>
      </c>
      <c r="HG87" s="452" t="str">
        <f t="shared" si="131"/>
        <v/>
      </c>
      <c r="HH87" s="452" t="str">
        <f t="shared" si="131"/>
        <v/>
      </c>
      <c r="HI87" s="453" t="str">
        <f t="shared" si="116"/>
        <v/>
      </c>
      <c r="HJ87" s="451" t="str">
        <f t="shared" si="116"/>
        <v/>
      </c>
      <c r="HK87" s="452" t="str">
        <f t="shared" si="116"/>
        <v/>
      </c>
      <c r="HL87" s="452" t="str">
        <f t="shared" si="116"/>
        <v/>
      </c>
      <c r="HM87" s="452" t="str">
        <f t="shared" si="116"/>
        <v/>
      </c>
      <c r="HN87" s="453" t="str">
        <f t="shared" si="116"/>
        <v/>
      </c>
      <c r="HO87" s="451" t="str">
        <f t="shared" si="116"/>
        <v/>
      </c>
      <c r="HP87" s="452" t="str">
        <f t="shared" si="116"/>
        <v/>
      </c>
      <c r="HQ87" s="452" t="str">
        <f t="shared" si="116"/>
        <v/>
      </c>
      <c r="HR87" s="452" t="str">
        <f t="shared" si="116"/>
        <v/>
      </c>
      <c r="HS87" s="453" t="str">
        <f t="shared" si="116"/>
        <v/>
      </c>
      <c r="HT87" s="451" t="str">
        <f t="shared" si="116"/>
        <v/>
      </c>
      <c r="HU87" s="452" t="str">
        <f t="shared" si="116"/>
        <v/>
      </c>
      <c r="HV87" s="452" t="str">
        <f t="shared" si="116"/>
        <v/>
      </c>
      <c r="HW87" s="452" t="str">
        <f t="shared" si="115"/>
        <v/>
      </c>
      <c r="HX87" s="453" t="str">
        <f t="shared" si="115"/>
        <v/>
      </c>
      <c r="HY87" s="451" t="str">
        <f t="shared" si="115"/>
        <v/>
      </c>
      <c r="HZ87" s="452" t="str">
        <f t="shared" si="115"/>
        <v/>
      </c>
      <c r="IA87" s="452" t="str">
        <f t="shared" si="115"/>
        <v/>
      </c>
      <c r="IB87" s="452" t="str">
        <f t="shared" si="115"/>
        <v/>
      </c>
      <c r="IC87" s="453" t="str">
        <f t="shared" si="115"/>
        <v/>
      </c>
      <c r="ID87" s="451" t="str">
        <f t="shared" si="115"/>
        <v/>
      </c>
      <c r="IE87" s="452" t="str">
        <f t="shared" si="115"/>
        <v/>
      </c>
      <c r="IF87" s="452" t="str">
        <f t="shared" si="115"/>
        <v/>
      </c>
      <c r="IG87" s="452" t="str">
        <f t="shared" si="115"/>
        <v/>
      </c>
      <c r="IH87" s="453" t="str">
        <f t="shared" si="115"/>
        <v/>
      </c>
      <c r="II87" s="451" t="str">
        <f t="shared" si="115"/>
        <v/>
      </c>
      <c r="IJ87" s="452" t="str">
        <f t="shared" si="115"/>
        <v/>
      </c>
      <c r="IK87" s="452" t="str">
        <f t="shared" si="115"/>
        <v/>
      </c>
      <c r="IL87" s="452" t="str">
        <f t="shared" si="120"/>
        <v/>
      </c>
      <c r="IM87" s="453" t="str">
        <f t="shared" si="120"/>
        <v/>
      </c>
      <c r="IN87" s="451" t="str">
        <f t="shared" si="120"/>
        <v/>
      </c>
      <c r="IO87" s="452" t="str">
        <f t="shared" si="126"/>
        <v/>
      </c>
      <c r="IP87" s="452" t="str">
        <f t="shared" si="126"/>
        <v/>
      </c>
      <c r="IQ87" s="452" t="str">
        <f t="shared" si="126"/>
        <v/>
      </c>
      <c r="IR87" s="453" t="str">
        <f t="shared" si="126"/>
        <v/>
      </c>
    </row>
    <row r="88" spans="1:252" x14ac:dyDescent="0.2">
      <c r="A88" s="461">
        <v>8.6999999999999993</v>
      </c>
      <c r="C88" s="447" t="s">
        <v>1357</v>
      </c>
      <c r="D88" s="447"/>
      <c r="E88" s="448"/>
      <c r="F88" s="448"/>
      <c r="G88" s="448"/>
      <c r="H88" s="448"/>
      <c r="I88" s="448"/>
      <c r="J88" s="449" t="str">
        <f t="shared" si="122"/>
        <v/>
      </c>
      <c r="K88" s="449" t="str">
        <f t="shared" si="123"/>
        <v/>
      </c>
      <c r="L88" s="450">
        <f t="shared" si="101"/>
        <v>0</v>
      </c>
      <c r="M88" s="451" t="str">
        <f t="shared" si="112"/>
        <v/>
      </c>
      <c r="N88" s="452" t="str">
        <f t="shared" si="112"/>
        <v/>
      </c>
      <c r="O88" s="452" t="str">
        <f t="shared" si="112"/>
        <v/>
      </c>
      <c r="P88" s="452" t="str">
        <f t="shared" si="112"/>
        <v/>
      </c>
      <c r="Q88" s="453" t="str">
        <f t="shared" si="112"/>
        <v/>
      </c>
      <c r="R88" s="451" t="str">
        <f t="shared" si="112"/>
        <v/>
      </c>
      <c r="S88" s="452" t="str">
        <f t="shared" si="112"/>
        <v/>
      </c>
      <c r="T88" s="452" t="str">
        <f t="shared" si="112"/>
        <v/>
      </c>
      <c r="U88" s="452" t="str">
        <f t="shared" si="112"/>
        <v/>
      </c>
      <c r="V88" s="453" t="str">
        <f t="shared" si="112"/>
        <v/>
      </c>
      <c r="W88" s="451" t="str">
        <f t="shared" si="112"/>
        <v/>
      </c>
      <c r="X88" s="452" t="str">
        <f t="shared" si="112"/>
        <v/>
      </c>
      <c r="Y88" s="452" t="str">
        <f t="shared" si="112"/>
        <v/>
      </c>
      <c r="Z88" s="452" t="str">
        <f t="shared" si="112"/>
        <v/>
      </c>
      <c r="AA88" s="453" t="str">
        <f t="shared" si="112"/>
        <v/>
      </c>
      <c r="AB88" s="451" t="str">
        <f t="shared" si="112"/>
        <v/>
      </c>
      <c r="AC88" s="452" t="str">
        <f t="shared" si="121"/>
        <v/>
      </c>
      <c r="AD88" s="452" t="str">
        <f t="shared" si="121"/>
        <v/>
      </c>
      <c r="AE88" s="452" t="str">
        <f t="shared" si="121"/>
        <v/>
      </c>
      <c r="AF88" s="453" t="str">
        <f t="shared" si="121"/>
        <v/>
      </c>
      <c r="AG88" s="451" t="str">
        <f t="shared" si="121"/>
        <v/>
      </c>
      <c r="AH88" s="452" t="str">
        <f t="shared" si="121"/>
        <v/>
      </c>
      <c r="AI88" s="452" t="str">
        <f t="shared" si="121"/>
        <v/>
      </c>
      <c r="AJ88" s="452" t="str">
        <f t="shared" si="121"/>
        <v/>
      </c>
      <c r="AK88" s="453" t="str">
        <f t="shared" si="121"/>
        <v/>
      </c>
      <c r="AL88" s="451" t="str">
        <f t="shared" si="121"/>
        <v/>
      </c>
      <c r="AM88" s="452" t="str">
        <f t="shared" si="121"/>
        <v/>
      </c>
      <c r="AN88" s="452" t="str">
        <f t="shared" si="121"/>
        <v/>
      </c>
      <c r="AO88" s="452" t="str">
        <f t="shared" si="121"/>
        <v/>
      </c>
      <c r="AP88" s="453" t="str">
        <f t="shared" si="121"/>
        <v/>
      </c>
      <c r="AQ88" s="451" t="str">
        <f t="shared" si="121"/>
        <v/>
      </c>
      <c r="AR88" s="452" t="str">
        <f t="shared" si="121"/>
        <v/>
      </c>
      <c r="AS88" s="452" t="str">
        <f t="shared" si="117"/>
        <v/>
      </c>
      <c r="AT88" s="452" t="str">
        <f t="shared" si="117"/>
        <v/>
      </c>
      <c r="AU88" s="453" t="str">
        <f t="shared" si="117"/>
        <v/>
      </c>
      <c r="AV88" s="451" t="str">
        <f t="shared" si="117"/>
        <v/>
      </c>
      <c r="AW88" s="452" t="str">
        <f t="shared" si="117"/>
        <v/>
      </c>
      <c r="AX88" s="452" t="str">
        <f t="shared" si="117"/>
        <v/>
      </c>
      <c r="AY88" s="452" t="str">
        <f t="shared" si="117"/>
        <v/>
      </c>
      <c r="AZ88" s="453" t="str">
        <f t="shared" si="117"/>
        <v/>
      </c>
      <c r="BA88" s="451" t="str">
        <f t="shared" si="117"/>
        <v/>
      </c>
      <c r="BB88" s="452" t="str">
        <f t="shared" si="117"/>
        <v/>
      </c>
      <c r="BC88" s="452" t="str">
        <f t="shared" si="117"/>
        <v/>
      </c>
      <c r="BD88" s="452" t="str">
        <f t="shared" si="117"/>
        <v/>
      </c>
      <c r="BE88" s="453" t="str">
        <f t="shared" si="117"/>
        <v/>
      </c>
      <c r="BF88" s="451" t="str">
        <f t="shared" si="117"/>
        <v/>
      </c>
      <c r="BG88" s="452" t="str">
        <f t="shared" si="117"/>
        <v/>
      </c>
      <c r="BH88" s="452" t="str">
        <f t="shared" si="129"/>
        <v/>
      </c>
      <c r="BI88" s="452" t="str">
        <f t="shared" si="129"/>
        <v/>
      </c>
      <c r="BJ88" s="453" t="str">
        <f t="shared" si="129"/>
        <v/>
      </c>
      <c r="BK88" s="451" t="str">
        <f t="shared" si="129"/>
        <v/>
      </c>
      <c r="BL88" s="452" t="str">
        <f t="shared" si="129"/>
        <v/>
      </c>
      <c r="BM88" s="452" t="str">
        <f t="shared" si="129"/>
        <v/>
      </c>
      <c r="BN88" s="452" t="str">
        <f t="shared" si="129"/>
        <v/>
      </c>
      <c r="BO88" s="453" t="str">
        <f t="shared" si="129"/>
        <v/>
      </c>
      <c r="BP88" s="451" t="str">
        <f t="shared" si="129"/>
        <v/>
      </c>
      <c r="BQ88" s="452" t="str">
        <f t="shared" si="129"/>
        <v/>
      </c>
      <c r="BR88" s="452" t="str">
        <f t="shared" si="129"/>
        <v/>
      </c>
      <c r="BS88" s="452" t="str">
        <f t="shared" si="129"/>
        <v/>
      </c>
      <c r="BT88" s="453" t="str">
        <f t="shared" si="129"/>
        <v/>
      </c>
      <c r="BU88" s="451" t="str">
        <f t="shared" si="129"/>
        <v/>
      </c>
      <c r="BV88" s="452" t="str">
        <f t="shared" si="129"/>
        <v/>
      </c>
      <c r="BW88" s="452" t="str">
        <f t="shared" si="129"/>
        <v/>
      </c>
      <c r="BX88" s="452" t="str">
        <f t="shared" si="118"/>
        <v/>
      </c>
      <c r="BY88" s="453" t="str">
        <f t="shared" si="108"/>
        <v/>
      </c>
      <c r="BZ88" s="451" t="str">
        <f t="shared" si="108"/>
        <v/>
      </c>
      <c r="CA88" s="452" t="str">
        <f t="shared" si="108"/>
        <v/>
      </c>
      <c r="CB88" s="452" t="str">
        <f t="shared" si="108"/>
        <v/>
      </c>
      <c r="CC88" s="452" t="str">
        <f t="shared" si="108"/>
        <v/>
      </c>
      <c r="CD88" s="453" t="str">
        <f t="shared" si="108"/>
        <v/>
      </c>
      <c r="CE88" s="451" t="str">
        <f t="shared" si="108"/>
        <v/>
      </c>
      <c r="CF88" s="452" t="str">
        <f t="shared" si="108"/>
        <v/>
      </c>
      <c r="CG88" s="452" t="str">
        <f t="shared" si="108"/>
        <v/>
      </c>
      <c r="CH88" s="452" t="str">
        <f t="shared" si="108"/>
        <v/>
      </c>
      <c r="CI88" s="453" t="str">
        <f t="shared" si="108"/>
        <v/>
      </c>
      <c r="CJ88" s="451" t="str">
        <f t="shared" si="108"/>
        <v/>
      </c>
      <c r="CK88" s="452" t="str">
        <f t="shared" si="108"/>
        <v/>
      </c>
      <c r="CL88" s="452" t="str">
        <f t="shared" si="108"/>
        <v/>
      </c>
      <c r="CM88" s="452" t="str">
        <f t="shared" si="108"/>
        <v/>
      </c>
      <c r="CN88" s="453" t="str">
        <f t="shared" si="108"/>
        <v/>
      </c>
      <c r="CO88" s="451" t="str">
        <f t="shared" si="114"/>
        <v/>
      </c>
      <c r="CP88" s="452" t="str">
        <f t="shared" si="114"/>
        <v/>
      </c>
      <c r="CQ88" s="452" t="str">
        <f t="shared" si="114"/>
        <v/>
      </c>
      <c r="CR88" s="452" t="str">
        <f t="shared" si="114"/>
        <v/>
      </c>
      <c r="CS88" s="453" t="str">
        <f t="shared" si="114"/>
        <v/>
      </c>
      <c r="CT88" s="451" t="str">
        <f t="shared" si="114"/>
        <v/>
      </c>
      <c r="CU88" s="452" t="str">
        <f t="shared" si="114"/>
        <v/>
      </c>
      <c r="CV88" s="452" t="str">
        <f t="shared" si="114"/>
        <v/>
      </c>
      <c r="CW88" s="452" t="str">
        <f t="shared" si="114"/>
        <v/>
      </c>
      <c r="CX88" s="453" t="str">
        <f t="shared" si="114"/>
        <v/>
      </c>
      <c r="CY88" s="451" t="str">
        <f t="shared" si="114"/>
        <v/>
      </c>
      <c r="CZ88" s="452" t="str">
        <f t="shared" si="114"/>
        <v/>
      </c>
      <c r="DA88" s="452" t="str">
        <f t="shared" si="114"/>
        <v/>
      </c>
      <c r="DB88" s="452" t="str">
        <f t="shared" si="114"/>
        <v/>
      </c>
      <c r="DC88" s="453" t="str">
        <f t="shared" si="114"/>
        <v/>
      </c>
      <c r="DD88" s="451" t="str">
        <f t="shared" si="109"/>
        <v/>
      </c>
      <c r="DE88" s="452" t="str">
        <f t="shared" si="109"/>
        <v/>
      </c>
      <c r="DF88" s="452" t="str">
        <f t="shared" si="109"/>
        <v/>
      </c>
      <c r="DG88" s="452" t="str">
        <f t="shared" si="109"/>
        <v/>
      </c>
      <c r="DH88" s="453" t="str">
        <f t="shared" si="109"/>
        <v/>
      </c>
      <c r="DI88" s="451" t="str">
        <f t="shared" si="109"/>
        <v/>
      </c>
      <c r="DJ88" s="452" t="str">
        <f t="shared" si="109"/>
        <v/>
      </c>
      <c r="DK88" s="452" t="str">
        <f t="shared" si="109"/>
        <v/>
      </c>
      <c r="DL88" s="452" t="str">
        <f t="shared" si="109"/>
        <v/>
      </c>
      <c r="DM88" s="453" t="str">
        <f t="shared" si="124"/>
        <v/>
      </c>
      <c r="DN88" s="451" t="str">
        <f t="shared" si="124"/>
        <v/>
      </c>
      <c r="DO88" s="452" t="str">
        <f t="shared" si="124"/>
        <v/>
      </c>
      <c r="DP88" s="452" t="str">
        <f t="shared" si="124"/>
        <v/>
      </c>
      <c r="DQ88" s="452" t="str">
        <f t="shared" si="124"/>
        <v/>
      </c>
      <c r="DR88" s="453" t="str">
        <f t="shared" si="124"/>
        <v/>
      </c>
      <c r="DS88" s="451" t="str">
        <f t="shared" si="124"/>
        <v/>
      </c>
      <c r="DT88" s="452" t="str">
        <f t="shared" si="124"/>
        <v/>
      </c>
      <c r="DU88" s="452" t="str">
        <f t="shared" si="124"/>
        <v/>
      </c>
      <c r="DV88" s="452" t="str">
        <f t="shared" si="124"/>
        <v/>
      </c>
      <c r="DW88" s="453" t="str">
        <f t="shared" si="124"/>
        <v/>
      </c>
      <c r="DX88" s="451" t="str">
        <f t="shared" si="124"/>
        <v/>
      </c>
      <c r="DY88" s="452" t="str">
        <f t="shared" si="124"/>
        <v/>
      </c>
      <c r="DZ88" s="452" t="str">
        <f t="shared" si="124"/>
        <v/>
      </c>
      <c r="EA88" s="452" t="str">
        <f t="shared" si="124"/>
        <v/>
      </c>
      <c r="EB88" s="453" t="str">
        <f t="shared" si="124"/>
        <v/>
      </c>
      <c r="EC88" s="451" t="str">
        <f t="shared" si="110"/>
        <v/>
      </c>
      <c r="ED88" s="452" t="str">
        <f t="shared" si="110"/>
        <v/>
      </c>
      <c r="EE88" s="452" t="str">
        <f t="shared" si="110"/>
        <v/>
      </c>
      <c r="EF88" s="452" t="str">
        <f t="shared" si="110"/>
        <v/>
      </c>
      <c r="EG88" s="453" t="str">
        <f t="shared" si="110"/>
        <v/>
      </c>
      <c r="EH88" s="451" t="str">
        <f t="shared" si="110"/>
        <v/>
      </c>
      <c r="EI88" s="452" t="str">
        <f t="shared" si="110"/>
        <v/>
      </c>
      <c r="EJ88" s="452" t="str">
        <f t="shared" si="110"/>
        <v/>
      </c>
      <c r="EK88" s="452" t="str">
        <f t="shared" si="130"/>
        <v/>
      </c>
      <c r="EL88" s="453" t="str">
        <f t="shared" si="130"/>
        <v/>
      </c>
      <c r="EM88" s="451" t="str">
        <f t="shared" si="130"/>
        <v/>
      </c>
      <c r="EN88" s="452" t="str">
        <f t="shared" si="130"/>
        <v/>
      </c>
      <c r="EO88" s="452" t="str">
        <f t="shared" si="130"/>
        <v/>
      </c>
      <c r="EP88" s="452" t="str">
        <f t="shared" si="130"/>
        <v/>
      </c>
      <c r="EQ88" s="453" t="str">
        <f t="shared" si="130"/>
        <v/>
      </c>
      <c r="ER88" s="451" t="str">
        <f t="shared" si="130"/>
        <v/>
      </c>
      <c r="ES88" s="452" t="str">
        <f t="shared" si="130"/>
        <v/>
      </c>
      <c r="ET88" s="452" t="str">
        <f t="shared" si="130"/>
        <v/>
      </c>
      <c r="EU88" s="452" t="str">
        <f t="shared" si="130"/>
        <v/>
      </c>
      <c r="EV88" s="453" t="str">
        <f t="shared" si="113"/>
        <v/>
      </c>
      <c r="EW88" s="451" t="str">
        <f t="shared" si="113"/>
        <v/>
      </c>
      <c r="EX88" s="452" t="str">
        <f t="shared" si="113"/>
        <v/>
      </c>
      <c r="EY88" s="452" t="str">
        <f t="shared" si="113"/>
        <v/>
      </c>
      <c r="EZ88" s="452" t="str">
        <f t="shared" si="113"/>
        <v/>
      </c>
      <c r="FA88" s="453" t="str">
        <f t="shared" si="113"/>
        <v/>
      </c>
      <c r="FB88" s="451" t="str">
        <f t="shared" si="113"/>
        <v/>
      </c>
      <c r="FC88" s="452" t="str">
        <f t="shared" si="113"/>
        <v/>
      </c>
      <c r="FD88" s="452" t="str">
        <f t="shared" si="113"/>
        <v/>
      </c>
      <c r="FE88" s="452" t="str">
        <f t="shared" si="113"/>
        <v/>
      </c>
      <c r="FF88" s="453" t="str">
        <f t="shared" si="113"/>
        <v/>
      </c>
      <c r="FG88" s="451" t="str">
        <f t="shared" si="113"/>
        <v/>
      </c>
      <c r="FH88" s="452" t="str">
        <f t="shared" si="113"/>
        <v/>
      </c>
      <c r="FI88" s="452" t="str">
        <f t="shared" si="111"/>
        <v/>
      </c>
      <c r="FJ88" s="452" t="str">
        <f t="shared" si="111"/>
        <v/>
      </c>
      <c r="FK88" s="453" t="str">
        <f t="shared" si="111"/>
        <v/>
      </c>
      <c r="FL88" s="451" t="str">
        <f t="shared" si="111"/>
        <v/>
      </c>
      <c r="FM88" s="452" t="str">
        <f t="shared" si="111"/>
        <v/>
      </c>
      <c r="FN88" s="452" t="str">
        <f t="shared" si="111"/>
        <v/>
      </c>
      <c r="FO88" s="452" t="str">
        <f t="shared" si="111"/>
        <v/>
      </c>
      <c r="FP88" s="453" t="str">
        <f t="shared" si="111"/>
        <v/>
      </c>
      <c r="FQ88" s="451" t="str">
        <f t="shared" si="111"/>
        <v/>
      </c>
      <c r="FR88" s="452" t="str">
        <f t="shared" si="111"/>
        <v/>
      </c>
      <c r="FS88" s="452" t="str">
        <f t="shared" si="111"/>
        <v/>
      </c>
      <c r="FT88" s="452" t="str">
        <f t="shared" si="111"/>
        <v/>
      </c>
      <c r="FU88" s="453" t="str">
        <f t="shared" si="111"/>
        <v/>
      </c>
      <c r="FV88" s="451" t="str">
        <f t="shared" si="111"/>
        <v/>
      </c>
      <c r="FW88" s="452" t="str">
        <f t="shared" si="111"/>
        <v/>
      </c>
      <c r="FX88" s="452" t="str">
        <f t="shared" si="128"/>
        <v/>
      </c>
      <c r="FY88" s="452" t="str">
        <f t="shared" si="128"/>
        <v/>
      </c>
      <c r="FZ88" s="453" t="str">
        <f t="shared" si="128"/>
        <v/>
      </c>
      <c r="GA88" s="451" t="str">
        <f t="shared" si="128"/>
        <v/>
      </c>
      <c r="GB88" s="452" t="str">
        <f t="shared" si="128"/>
        <v/>
      </c>
      <c r="GC88" s="452" t="str">
        <f t="shared" si="128"/>
        <v/>
      </c>
      <c r="GD88" s="452" t="str">
        <f t="shared" si="128"/>
        <v/>
      </c>
      <c r="GE88" s="453" t="str">
        <f t="shared" si="128"/>
        <v/>
      </c>
      <c r="GF88" s="451" t="str">
        <f t="shared" si="128"/>
        <v/>
      </c>
      <c r="GG88" s="452" t="str">
        <f t="shared" si="128"/>
        <v/>
      </c>
      <c r="GH88" s="452" t="str">
        <f t="shared" si="128"/>
        <v/>
      </c>
      <c r="GI88" s="452" t="str">
        <f t="shared" si="128"/>
        <v/>
      </c>
      <c r="GJ88" s="453" t="str">
        <f t="shared" si="128"/>
        <v/>
      </c>
      <c r="GK88" s="451" t="str">
        <f t="shared" si="128"/>
        <v/>
      </c>
      <c r="GL88" s="452" t="str">
        <f t="shared" si="128"/>
        <v/>
      </c>
      <c r="GM88" s="452" t="str">
        <f t="shared" si="128"/>
        <v/>
      </c>
      <c r="GN88" s="452" t="str">
        <f t="shared" si="127"/>
        <v/>
      </c>
      <c r="GO88" s="453" t="str">
        <f t="shared" si="127"/>
        <v/>
      </c>
      <c r="GP88" s="451" t="str">
        <f t="shared" si="127"/>
        <v/>
      </c>
      <c r="GQ88" s="452" t="str">
        <f t="shared" si="127"/>
        <v/>
      </c>
      <c r="GR88" s="452" t="str">
        <f t="shared" si="127"/>
        <v/>
      </c>
      <c r="GS88" s="452" t="str">
        <f t="shared" si="127"/>
        <v/>
      </c>
      <c r="GT88" s="453" t="str">
        <f t="shared" ref="GT88:HI103" si="132">IF(AND(GT$2&gt;=$J88,GT$2&lt;=$K88),1,"")</f>
        <v/>
      </c>
      <c r="GU88" s="451" t="str">
        <f t="shared" si="132"/>
        <v/>
      </c>
      <c r="GV88" s="452" t="str">
        <f t="shared" si="132"/>
        <v/>
      </c>
      <c r="GW88" s="452" t="str">
        <f t="shared" si="132"/>
        <v/>
      </c>
      <c r="GX88" s="452" t="str">
        <f t="shared" si="132"/>
        <v/>
      </c>
      <c r="GY88" s="453" t="str">
        <f t="shared" si="132"/>
        <v/>
      </c>
      <c r="GZ88" s="451" t="str">
        <f t="shared" si="132"/>
        <v/>
      </c>
      <c r="HA88" s="452" t="str">
        <f t="shared" si="132"/>
        <v/>
      </c>
      <c r="HB88" s="452" t="str">
        <f t="shared" si="132"/>
        <v/>
      </c>
      <c r="HC88" s="452" t="str">
        <f t="shared" si="132"/>
        <v/>
      </c>
      <c r="HD88" s="453" t="str">
        <f t="shared" si="132"/>
        <v/>
      </c>
      <c r="HE88" s="451" t="str">
        <f t="shared" si="132"/>
        <v/>
      </c>
      <c r="HF88" s="452" t="str">
        <f t="shared" si="132"/>
        <v/>
      </c>
      <c r="HG88" s="452" t="str">
        <f t="shared" si="132"/>
        <v/>
      </c>
      <c r="HH88" s="452" t="str">
        <f t="shared" si="131"/>
        <v/>
      </c>
      <c r="HI88" s="453" t="str">
        <f t="shared" si="116"/>
        <v/>
      </c>
      <c r="HJ88" s="451" t="str">
        <f t="shared" si="116"/>
        <v/>
      </c>
      <c r="HK88" s="452" t="str">
        <f t="shared" si="116"/>
        <v/>
      </c>
      <c r="HL88" s="452" t="str">
        <f t="shared" si="116"/>
        <v/>
      </c>
      <c r="HM88" s="452" t="str">
        <f t="shared" si="116"/>
        <v/>
      </c>
      <c r="HN88" s="453" t="str">
        <f t="shared" si="116"/>
        <v/>
      </c>
      <c r="HO88" s="451" t="str">
        <f t="shared" si="116"/>
        <v/>
      </c>
      <c r="HP88" s="452" t="str">
        <f t="shared" si="116"/>
        <v/>
      </c>
      <c r="HQ88" s="452" t="str">
        <f t="shared" si="116"/>
        <v/>
      </c>
      <c r="HR88" s="452" t="str">
        <f t="shared" si="116"/>
        <v/>
      </c>
      <c r="HS88" s="453" t="str">
        <f t="shared" si="116"/>
        <v/>
      </c>
      <c r="HT88" s="451" t="str">
        <f t="shared" si="116"/>
        <v/>
      </c>
      <c r="HU88" s="452" t="str">
        <f t="shared" si="116"/>
        <v/>
      </c>
      <c r="HV88" s="452" t="str">
        <f t="shared" si="116"/>
        <v/>
      </c>
      <c r="HW88" s="452" t="str">
        <f t="shared" si="115"/>
        <v/>
      </c>
      <c r="HX88" s="453" t="str">
        <f t="shared" si="115"/>
        <v/>
      </c>
      <c r="HY88" s="451" t="str">
        <f t="shared" si="115"/>
        <v/>
      </c>
      <c r="HZ88" s="452" t="str">
        <f t="shared" si="115"/>
        <v/>
      </c>
      <c r="IA88" s="452" t="str">
        <f t="shared" si="115"/>
        <v/>
      </c>
      <c r="IB88" s="452" t="str">
        <f t="shared" si="115"/>
        <v/>
      </c>
      <c r="IC88" s="453" t="str">
        <f t="shared" si="115"/>
        <v/>
      </c>
      <c r="ID88" s="451" t="str">
        <f t="shared" si="115"/>
        <v/>
      </c>
      <c r="IE88" s="452" t="str">
        <f t="shared" si="115"/>
        <v/>
      </c>
      <c r="IF88" s="452" t="str">
        <f t="shared" si="115"/>
        <v/>
      </c>
      <c r="IG88" s="452" t="str">
        <f t="shared" si="115"/>
        <v/>
      </c>
      <c r="IH88" s="453" t="str">
        <f t="shared" si="115"/>
        <v/>
      </c>
      <c r="II88" s="451" t="str">
        <f t="shared" si="115"/>
        <v/>
      </c>
      <c r="IJ88" s="452" t="str">
        <f t="shared" si="115"/>
        <v/>
      </c>
      <c r="IK88" s="452" t="str">
        <f t="shared" si="115"/>
        <v/>
      </c>
      <c r="IL88" s="452" t="str">
        <f t="shared" si="120"/>
        <v/>
      </c>
      <c r="IM88" s="453" t="str">
        <f t="shared" si="120"/>
        <v/>
      </c>
      <c r="IN88" s="451" t="str">
        <f t="shared" si="120"/>
        <v/>
      </c>
      <c r="IO88" s="452" t="str">
        <f t="shared" si="126"/>
        <v/>
      </c>
      <c r="IP88" s="452" t="str">
        <f t="shared" si="126"/>
        <v/>
      </c>
      <c r="IQ88" s="452" t="str">
        <f t="shared" si="126"/>
        <v/>
      </c>
      <c r="IR88" s="453" t="str">
        <f t="shared" si="126"/>
        <v/>
      </c>
    </row>
    <row r="89" spans="1:252" x14ac:dyDescent="0.2">
      <c r="A89" s="461">
        <v>8.8000000000000007</v>
      </c>
      <c r="C89" s="447" t="s">
        <v>1358</v>
      </c>
      <c r="D89" s="447"/>
      <c r="E89" s="448"/>
      <c r="F89" s="448"/>
      <c r="G89" s="448"/>
      <c r="H89" s="448"/>
      <c r="I89" s="448"/>
      <c r="J89" s="449" t="str">
        <f t="shared" si="122"/>
        <v/>
      </c>
      <c r="K89" s="449" t="str">
        <f t="shared" si="123"/>
        <v/>
      </c>
      <c r="L89" s="450">
        <f t="shared" si="101"/>
        <v>0</v>
      </c>
      <c r="M89" s="451" t="str">
        <f t="shared" si="112"/>
        <v/>
      </c>
      <c r="N89" s="452" t="str">
        <f t="shared" si="112"/>
        <v/>
      </c>
      <c r="O89" s="452" t="str">
        <f t="shared" si="112"/>
        <v/>
      </c>
      <c r="P89" s="452" t="str">
        <f t="shared" si="112"/>
        <v/>
      </c>
      <c r="Q89" s="453" t="str">
        <f t="shared" si="112"/>
        <v/>
      </c>
      <c r="R89" s="451" t="str">
        <f t="shared" si="112"/>
        <v/>
      </c>
      <c r="S89" s="452" t="str">
        <f t="shared" si="112"/>
        <v/>
      </c>
      <c r="T89" s="452" t="str">
        <f t="shared" si="112"/>
        <v/>
      </c>
      <c r="U89" s="452" t="str">
        <f t="shared" si="112"/>
        <v/>
      </c>
      <c r="V89" s="453" t="str">
        <f t="shared" si="112"/>
        <v/>
      </c>
      <c r="W89" s="451" t="str">
        <f t="shared" si="112"/>
        <v/>
      </c>
      <c r="X89" s="452" t="str">
        <f t="shared" si="112"/>
        <v/>
      </c>
      <c r="Y89" s="452" t="str">
        <f t="shared" si="112"/>
        <v/>
      </c>
      <c r="Z89" s="452" t="str">
        <f t="shared" si="112"/>
        <v/>
      </c>
      <c r="AA89" s="453" t="str">
        <f t="shared" si="112"/>
        <v/>
      </c>
      <c r="AB89" s="451" t="str">
        <f t="shared" si="112"/>
        <v/>
      </c>
      <c r="AC89" s="452" t="str">
        <f t="shared" si="121"/>
        <v/>
      </c>
      <c r="AD89" s="452" t="str">
        <f t="shared" si="121"/>
        <v/>
      </c>
      <c r="AE89" s="452" t="str">
        <f t="shared" si="121"/>
        <v/>
      </c>
      <c r="AF89" s="453" t="str">
        <f t="shared" si="121"/>
        <v/>
      </c>
      <c r="AG89" s="451" t="str">
        <f t="shared" si="121"/>
        <v/>
      </c>
      <c r="AH89" s="452" t="str">
        <f t="shared" si="121"/>
        <v/>
      </c>
      <c r="AI89" s="452" t="str">
        <f t="shared" si="121"/>
        <v/>
      </c>
      <c r="AJ89" s="452" t="str">
        <f t="shared" si="121"/>
        <v/>
      </c>
      <c r="AK89" s="453" t="str">
        <f t="shared" si="121"/>
        <v/>
      </c>
      <c r="AL89" s="451" t="str">
        <f t="shared" si="121"/>
        <v/>
      </c>
      <c r="AM89" s="452" t="str">
        <f t="shared" si="121"/>
        <v/>
      </c>
      <c r="AN89" s="452" t="str">
        <f t="shared" si="121"/>
        <v/>
      </c>
      <c r="AO89" s="452" t="str">
        <f t="shared" si="121"/>
        <v/>
      </c>
      <c r="AP89" s="453" t="str">
        <f t="shared" si="121"/>
        <v/>
      </c>
      <c r="AQ89" s="451" t="str">
        <f t="shared" si="121"/>
        <v/>
      </c>
      <c r="AR89" s="452" t="str">
        <f t="shared" si="121"/>
        <v/>
      </c>
      <c r="AS89" s="452" t="str">
        <f t="shared" si="117"/>
        <v/>
      </c>
      <c r="AT89" s="452" t="str">
        <f t="shared" si="117"/>
        <v/>
      </c>
      <c r="AU89" s="453" t="str">
        <f t="shared" si="117"/>
        <v/>
      </c>
      <c r="AV89" s="451" t="str">
        <f t="shared" si="117"/>
        <v/>
      </c>
      <c r="AW89" s="452" t="str">
        <f t="shared" si="117"/>
        <v/>
      </c>
      <c r="AX89" s="452" t="str">
        <f t="shared" si="117"/>
        <v/>
      </c>
      <c r="AY89" s="452" t="str">
        <f t="shared" si="117"/>
        <v/>
      </c>
      <c r="AZ89" s="453" t="str">
        <f t="shared" si="117"/>
        <v/>
      </c>
      <c r="BA89" s="451" t="str">
        <f t="shared" si="117"/>
        <v/>
      </c>
      <c r="BB89" s="452" t="str">
        <f t="shared" si="117"/>
        <v/>
      </c>
      <c r="BC89" s="452" t="str">
        <f t="shared" si="117"/>
        <v/>
      </c>
      <c r="BD89" s="452" t="str">
        <f t="shared" si="117"/>
        <v/>
      </c>
      <c r="BE89" s="453" t="str">
        <f t="shared" si="117"/>
        <v/>
      </c>
      <c r="BF89" s="451" t="str">
        <f t="shared" si="117"/>
        <v/>
      </c>
      <c r="BG89" s="452" t="str">
        <f t="shared" si="117"/>
        <v/>
      </c>
      <c r="BH89" s="452" t="str">
        <f t="shared" si="129"/>
        <v/>
      </c>
      <c r="BI89" s="452" t="str">
        <f t="shared" si="129"/>
        <v/>
      </c>
      <c r="BJ89" s="453" t="str">
        <f t="shared" si="129"/>
        <v/>
      </c>
      <c r="BK89" s="451" t="str">
        <f t="shared" si="129"/>
        <v/>
      </c>
      <c r="BL89" s="452" t="str">
        <f t="shared" si="129"/>
        <v/>
      </c>
      <c r="BM89" s="452" t="str">
        <f t="shared" si="129"/>
        <v/>
      </c>
      <c r="BN89" s="452" t="str">
        <f t="shared" si="129"/>
        <v/>
      </c>
      <c r="BO89" s="453" t="str">
        <f t="shared" si="129"/>
        <v/>
      </c>
      <c r="BP89" s="451" t="str">
        <f t="shared" si="129"/>
        <v/>
      </c>
      <c r="BQ89" s="452" t="str">
        <f t="shared" si="129"/>
        <v/>
      </c>
      <c r="BR89" s="452" t="str">
        <f t="shared" si="129"/>
        <v/>
      </c>
      <c r="BS89" s="452" t="str">
        <f t="shared" si="129"/>
        <v/>
      </c>
      <c r="BT89" s="453" t="str">
        <f t="shared" si="129"/>
        <v/>
      </c>
      <c r="BU89" s="451" t="str">
        <f t="shared" si="129"/>
        <v/>
      </c>
      <c r="BV89" s="452" t="str">
        <f t="shared" si="129"/>
        <v/>
      </c>
      <c r="BW89" s="452" t="str">
        <f t="shared" si="129"/>
        <v/>
      </c>
      <c r="BX89" s="452" t="str">
        <f t="shared" si="118"/>
        <v/>
      </c>
      <c r="BY89" s="453" t="str">
        <f t="shared" si="118"/>
        <v/>
      </c>
      <c r="BZ89" s="451" t="str">
        <f t="shared" si="118"/>
        <v/>
      </c>
      <c r="CA89" s="452" t="str">
        <f t="shared" si="118"/>
        <v/>
      </c>
      <c r="CB89" s="452" t="str">
        <f t="shared" si="118"/>
        <v/>
      </c>
      <c r="CC89" s="452" t="str">
        <f t="shared" si="118"/>
        <v/>
      </c>
      <c r="CD89" s="453" t="str">
        <f t="shared" si="118"/>
        <v/>
      </c>
      <c r="CE89" s="451" t="str">
        <f t="shared" si="118"/>
        <v/>
      </c>
      <c r="CF89" s="452" t="str">
        <f t="shared" ref="CF89:CU104" si="133">IF(AND(CF$2&gt;=$J89,CF$2&lt;=$K89),1,"")</f>
        <v/>
      </c>
      <c r="CG89" s="452" t="str">
        <f t="shared" si="133"/>
        <v/>
      </c>
      <c r="CH89" s="452" t="str">
        <f t="shared" si="133"/>
        <v/>
      </c>
      <c r="CI89" s="453" t="str">
        <f t="shared" si="133"/>
        <v/>
      </c>
      <c r="CJ89" s="451" t="str">
        <f t="shared" si="133"/>
        <v/>
      </c>
      <c r="CK89" s="452" t="str">
        <f t="shared" si="133"/>
        <v/>
      </c>
      <c r="CL89" s="452" t="str">
        <f t="shared" si="133"/>
        <v/>
      </c>
      <c r="CM89" s="452" t="str">
        <f t="shared" si="133"/>
        <v/>
      </c>
      <c r="CN89" s="453" t="str">
        <f t="shared" si="133"/>
        <v/>
      </c>
      <c r="CO89" s="451" t="str">
        <f t="shared" si="114"/>
        <v/>
      </c>
      <c r="CP89" s="452" t="str">
        <f t="shared" si="114"/>
        <v/>
      </c>
      <c r="CQ89" s="452" t="str">
        <f t="shared" si="114"/>
        <v/>
      </c>
      <c r="CR89" s="452" t="str">
        <f t="shared" si="114"/>
        <v/>
      </c>
      <c r="CS89" s="453" t="str">
        <f t="shared" si="114"/>
        <v/>
      </c>
      <c r="CT89" s="451" t="str">
        <f t="shared" si="114"/>
        <v/>
      </c>
      <c r="CU89" s="452" t="str">
        <f t="shared" si="114"/>
        <v/>
      </c>
      <c r="CV89" s="452" t="str">
        <f t="shared" si="114"/>
        <v/>
      </c>
      <c r="CW89" s="452" t="str">
        <f t="shared" si="114"/>
        <v/>
      </c>
      <c r="CX89" s="453" t="str">
        <f t="shared" si="114"/>
        <v/>
      </c>
      <c r="CY89" s="451" t="str">
        <f t="shared" si="114"/>
        <v/>
      </c>
      <c r="CZ89" s="452" t="str">
        <f t="shared" si="114"/>
        <v/>
      </c>
      <c r="DA89" s="452" t="str">
        <f t="shared" si="114"/>
        <v/>
      </c>
      <c r="DB89" s="452" t="str">
        <f t="shared" si="114"/>
        <v/>
      </c>
      <c r="DC89" s="453" t="str">
        <f t="shared" si="114"/>
        <v/>
      </c>
      <c r="DD89" s="451" t="str">
        <f t="shared" si="109"/>
        <v/>
      </c>
      <c r="DE89" s="452" t="str">
        <f t="shared" si="109"/>
        <v/>
      </c>
      <c r="DF89" s="452" t="str">
        <f t="shared" si="109"/>
        <v/>
      </c>
      <c r="DG89" s="452" t="str">
        <f t="shared" si="109"/>
        <v/>
      </c>
      <c r="DH89" s="453" t="str">
        <f t="shared" si="109"/>
        <v/>
      </c>
      <c r="DI89" s="451" t="str">
        <f t="shared" si="109"/>
        <v/>
      </c>
      <c r="DJ89" s="452" t="str">
        <f t="shared" si="109"/>
        <v/>
      </c>
      <c r="DK89" s="452" t="str">
        <f t="shared" si="109"/>
        <v/>
      </c>
      <c r="DL89" s="452" t="str">
        <f t="shared" si="109"/>
        <v/>
      </c>
      <c r="DM89" s="453" t="str">
        <f t="shared" si="124"/>
        <v/>
      </c>
      <c r="DN89" s="451" t="str">
        <f t="shared" si="124"/>
        <v/>
      </c>
      <c r="DO89" s="452" t="str">
        <f t="shared" si="124"/>
        <v/>
      </c>
      <c r="DP89" s="452" t="str">
        <f t="shared" si="124"/>
        <v/>
      </c>
      <c r="DQ89" s="452" t="str">
        <f t="shared" si="124"/>
        <v/>
      </c>
      <c r="DR89" s="453" t="str">
        <f t="shared" si="124"/>
        <v/>
      </c>
      <c r="DS89" s="451" t="str">
        <f t="shared" si="124"/>
        <v/>
      </c>
      <c r="DT89" s="452" t="str">
        <f t="shared" si="124"/>
        <v/>
      </c>
      <c r="DU89" s="452" t="str">
        <f t="shared" si="124"/>
        <v/>
      </c>
      <c r="DV89" s="452" t="str">
        <f t="shared" si="124"/>
        <v/>
      </c>
      <c r="DW89" s="453" t="str">
        <f t="shared" si="124"/>
        <v/>
      </c>
      <c r="DX89" s="451" t="str">
        <f t="shared" si="124"/>
        <v/>
      </c>
      <c r="DY89" s="452" t="str">
        <f t="shared" si="124"/>
        <v/>
      </c>
      <c r="DZ89" s="452" t="str">
        <f t="shared" si="124"/>
        <v/>
      </c>
      <c r="EA89" s="452" t="str">
        <f t="shared" si="124"/>
        <v/>
      </c>
      <c r="EB89" s="453" t="str">
        <f t="shared" si="124"/>
        <v/>
      </c>
      <c r="EC89" s="451" t="str">
        <f t="shared" si="110"/>
        <v/>
      </c>
      <c r="ED89" s="452" t="str">
        <f t="shared" si="110"/>
        <v/>
      </c>
      <c r="EE89" s="452" t="str">
        <f t="shared" si="110"/>
        <v/>
      </c>
      <c r="EF89" s="452" t="str">
        <f t="shared" si="110"/>
        <v/>
      </c>
      <c r="EG89" s="453" t="str">
        <f t="shared" si="110"/>
        <v/>
      </c>
      <c r="EH89" s="451" t="str">
        <f t="shared" si="110"/>
        <v/>
      </c>
      <c r="EI89" s="452" t="str">
        <f t="shared" si="110"/>
        <v/>
      </c>
      <c r="EJ89" s="452" t="str">
        <f t="shared" si="110"/>
        <v/>
      </c>
      <c r="EK89" s="452" t="str">
        <f t="shared" si="130"/>
        <v/>
      </c>
      <c r="EL89" s="453" t="str">
        <f t="shared" si="130"/>
        <v/>
      </c>
      <c r="EM89" s="451" t="str">
        <f t="shared" si="130"/>
        <v/>
      </c>
      <c r="EN89" s="452" t="str">
        <f t="shared" si="130"/>
        <v/>
      </c>
      <c r="EO89" s="452" t="str">
        <f t="shared" si="130"/>
        <v/>
      </c>
      <c r="EP89" s="452" t="str">
        <f t="shared" si="130"/>
        <v/>
      </c>
      <c r="EQ89" s="453" t="str">
        <f t="shared" si="130"/>
        <v/>
      </c>
      <c r="ER89" s="451" t="str">
        <f t="shared" si="130"/>
        <v/>
      </c>
      <c r="ES89" s="452" t="str">
        <f t="shared" si="130"/>
        <v/>
      </c>
      <c r="ET89" s="452" t="str">
        <f t="shared" si="130"/>
        <v/>
      </c>
      <c r="EU89" s="452" t="str">
        <f t="shared" si="130"/>
        <v/>
      </c>
      <c r="EV89" s="453" t="str">
        <f t="shared" si="113"/>
        <v/>
      </c>
      <c r="EW89" s="451" t="str">
        <f t="shared" si="113"/>
        <v/>
      </c>
      <c r="EX89" s="452" t="str">
        <f t="shared" si="113"/>
        <v/>
      </c>
      <c r="EY89" s="452" t="str">
        <f t="shared" si="113"/>
        <v/>
      </c>
      <c r="EZ89" s="452" t="str">
        <f t="shared" si="113"/>
        <v/>
      </c>
      <c r="FA89" s="453" t="str">
        <f t="shared" si="113"/>
        <v/>
      </c>
      <c r="FB89" s="451" t="str">
        <f t="shared" si="113"/>
        <v/>
      </c>
      <c r="FC89" s="452" t="str">
        <f t="shared" si="113"/>
        <v/>
      </c>
      <c r="FD89" s="452" t="str">
        <f t="shared" si="113"/>
        <v/>
      </c>
      <c r="FE89" s="452" t="str">
        <f t="shared" si="113"/>
        <v/>
      </c>
      <c r="FF89" s="453" t="str">
        <f t="shared" si="113"/>
        <v/>
      </c>
      <c r="FG89" s="451" t="str">
        <f t="shared" si="113"/>
        <v/>
      </c>
      <c r="FH89" s="452" t="str">
        <f t="shared" si="113"/>
        <v/>
      </c>
      <c r="FI89" s="452" t="str">
        <f t="shared" si="111"/>
        <v/>
      </c>
      <c r="FJ89" s="452" t="str">
        <f t="shared" si="111"/>
        <v/>
      </c>
      <c r="FK89" s="453" t="str">
        <f t="shared" si="111"/>
        <v/>
      </c>
      <c r="FL89" s="451" t="str">
        <f t="shared" si="111"/>
        <v/>
      </c>
      <c r="FM89" s="452" t="str">
        <f t="shared" si="111"/>
        <v/>
      </c>
      <c r="FN89" s="452" t="str">
        <f t="shared" si="111"/>
        <v/>
      </c>
      <c r="FO89" s="452" t="str">
        <f t="shared" si="111"/>
        <v/>
      </c>
      <c r="FP89" s="453" t="str">
        <f t="shared" si="111"/>
        <v/>
      </c>
      <c r="FQ89" s="451" t="str">
        <f t="shared" si="111"/>
        <v/>
      </c>
      <c r="FR89" s="452" t="str">
        <f t="shared" si="111"/>
        <v/>
      </c>
      <c r="FS89" s="452" t="str">
        <f t="shared" si="111"/>
        <v/>
      </c>
      <c r="FT89" s="452" t="str">
        <f t="shared" si="111"/>
        <v/>
      </c>
      <c r="FU89" s="453" t="str">
        <f t="shared" si="111"/>
        <v/>
      </c>
      <c r="FV89" s="451" t="str">
        <f t="shared" si="111"/>
        <v/>
      </c>
      <c r="FW89" s="452" t="str">
        <f t="shared" si="111"/>
        <v/>
      </c>
      <c r="FX89" s="452" t="str">
        <f t="shared" si="128"/>
        <v/>
      </c>
      <c r="FY89" s="452" t="str">
        <f t="shared" si="128"/>
        <v/>
      </c>
      <c r="FZ89" s="453" t="str">
        <f t="shared" si="128"/>
        <v/>
      </c>
      <c r="GA89" s="451" t="str">
        <f t="shared" si="128"/>
        <v/>
      </c>
      <c r="GB89" s="452" t="str">
        <f t="shared" si="128"/>
        <v/>
      </c>
      <c r="GC89" s="452" t="str">
        <f t="shared" si="128"/>
        <v/>
      </c>
      <c r="GD89" s="452" t="str">
        <f t="shared" si="128"/>
        <v/>
      </c>
      <c r="GE89" s="453" t="str">
        <f t="shared" si="128"/>
        <v/>
      </c>
      <c r="GF89" s="451" t="str">
        <f t="shared" si="128"/>
        <v/>
      </c>
      <c r="GG89" s="452" t="str">
        <f t="shared" si="128"/>
        <v/>
      </c>
      <c r="GH89" s="452" t="str">
        <f t="shared" si="128"/>
        <v/>
      </c>
      <c r="GI89" s="452" t="str">
        <f t="shared" si="128"/>
        <v/>
      </c>
      <c r="GJ89" s="453" t="str">
        <f t="shared" si="128"/>
        <v/>
      </c>
      <c r="GK89" s="451" t="str">
        <f t="shared" si="128"/>
        <v/>
      </c>
      <c r="GL89" s="452" t="str">
        <f t="shared" si="128"/>
        <v/>
      </c>
      <c r="GM89" s="452" t="str">
        <f t="shared" si="128"/>
        <v/>
      </c>
      <c r="GN89" s="452" t="str">
        <f t="shared" si="127"/>
        <v/>
      </c>
      <c r="GO89" s="453" t="str">
        <f t="shared" si="127"/>
        <v/>
      </c>
      <c r="GP89" s="451" t="str">
        <f t="shared" si="127"/>
        <v/>
      </c>
      <c r="GQ89" s="452" t="str">
        <f t="shared" si="127"/>
        <v/>
      </c>
      <c r="GR89" s="452" t="str">
        <f t="shared" si="127"/>
        <v/>
      </c>
      <c r="GS89" s="452" t="str">
        <f t="shared" si="127"/>
        <v/>
      </c>
      <c r="GT89" s="453" t="str">
        <f t="shared" si="132"/>
        <v/>
      </c>
      <c r="GU89" s="451" t="str">
        <f t="shared" si="132"/>
        <v/>
      </c>
      <c r="GV89" s="452" t="str">
        <f t="shared" si="132"/>
        <v/>
      </c>
      <c r="GW89" s="452" t="str">
        <f t="shared" si="132"/>
        <v/>
      </c>
      <c r="GX89" s="452" t="str">
        <f t="shared" si="132"/>
        <v/>
      </c>
      <c r="GY89" s="453" t="str">
        <f t="shared" si="132"/>
        <v/>
      </c>
      <c r="GZ89" s="451" t="str">
        <f t="shared" si="132"/>
        <v/>
      </c>
      <c r="HA89" s="452" t="str">
        <f t="shared" si="132"/>
        <v/>
      </c>
      <c r="HB89" s="452" t="str">
        <f t="shared" si="132"/>
        <v/>
      </c>
      <c r="HC89" s="452" t="str">
        <f t="shared" si="132"/>
        <v/>
      </c>
      <c r="HD89" s="453" t="str">
        <f t="shared" si="132"/>
        <v/>
      </c>
      <c r="HE89" s="451" t="str">
        <f t="shared" si="132"/>
        <v/>
      </c>
      <c r="HF89" s="452" t="str">
        <f t="shared" si="132"/>
        <v/>
      </c>
      <c r="HG89" s="452" t="str">
        <f t="shared" si="132"/>
        <v/>
      </c>
      <c r="HH89" s="452" t="str">
        <f t="shared" si="132"/>
        <v/>
      </c>
      <c r="HI89" s="453" t="str">
        <f t="shared" si="116"/>
        <v/>
      </c>
      <c r="HJ89" s="451" t="str">
        <f t="shared" si="116"/>
        <v/>
      </c>
      <c r="HK89" s="452" t="str">
        <f t="shared" si="116"/>
        <v/>
      </c>
      <c r="HL89" s="452" t="str">
        <f t="shared" si="116"/>
        <v/>
      </c>
      <c r="HM89" s="452" t="str">
        <f t="shared" si="116"/>
        <v/>
      </c>
      <c r="HN89" s="453" t="str">
        <f t="shared" si="116"/>
        <v/>
      </c>
      <c r="HO89" s="451" t="str">
        <f t="shared" si="116"/>
        <v/>
      </c>
      <c r="HP89" s="452" t="str">
        <f t="shared" si="116"/>
        <v/>
      </c>
      <c r="HQ89" s="452" t="str">
        <f t="shared" si="116"/>
        <v/>
      </c>
      <c r="HR89" s="452" t="str">
        <f t="shared" si="116"/>
        <v/>
      </c>
      <c r="HS89" s="453" t="str">
        <f t="shared" si="116"/>
        <v/>
      </c>
      <c r="HT89" s="451" t="str">
        <f t="shared" si="116"/>
        <v/>
      </c>
      <c r="HU89" s="452" t="str">
        <f t="shared" si="116"/>
        <v/>
      </c>
      <c r="HV89" s="452" t="str">
        <f t="shared" si="116"/>
        <v/>
      </c>
      <c r="HW89" s="452" t="str">
        <f t="shared" si="115"/>
        <v/>
      </c>
      <c r="HX89" s="453" t="str">
        <f t="shared" si="115"/>
        <v/>
      </c>
      <c r="HY89" s="451" t="str">
        <f t="shared" si="115"/>
        <v/>
      </c>
      <c r="HZ89" s="452" t="str">
        <f t="shared" si="115"/>
        <v/>
      </c>
      <c r="IA89" s="452" t="str">
        <f t="shared" si="115"/>
        <v/>
      </c>
      <c r="IB89" s="452" t="str">
        <f t="shared" si="115"/>
        <v/>
      </c>
      <c r="IC89" s="453" t="str">
        <f t="shared" si="115"/>
        <v/>
      </c>
      <c r="ID89" s="451" t="str">
        <f t="shared" si="115"/>
        <v/>
      </c>
      <c r="IE89" s="452" t="str">
        <f t="shared" si="115"/>
        <v/>
      </c>
      <c r="IF89" s="452" t="str">
        <f t="shared" si="115"/>
        <v/>
      </c>
      <c r="IG89" s="452" t="str">
        <f t="shared" si="115"/>
        <v/>
      </c>
      <c r="IH89" s="453" t="str">
        <f t="shared" si="115"/>
        <v/>
      </c>
      <c r="II89" s="451" t="str">
        <f t="shared" si="115"/>
        <v/>
      </c>
      <c r="IJ89" s="452" t="str">
        <f t="shared" si="115"/>
        <v/>
      </c>
      <c r="IK89" s="452" t="str">
        <f t="shared" si="115"/>
        <v/>
      </c>
      <c r="IL89" s="452" t="str">
        <f t="shared" si="120"/>
        <v/>
      </c>
      <c r="IM89" s="453" t="str">
        <f t="shared" si="120"/>
        <v/>
      </c>
      <c r="IN89" s="451" t="str">
        <f t="shared" si="120"/>
        <v/>
      </c>
      <c r="IO89" s="452" t="str">
        <f t="shared" si="126"/>
        <v/>
      </c>
      <c r="IP89" s="452" t="str">
        <f t="shared" si="126"/>
        <v/>
      </c>
      <c r="IQ89" s="452" t="str">
        <f t="shared" si="126"/>
        <v/>
      </c>
      <c r="IR89" s="453" t="str">
        <f t="shared" si="126"/>
        <v/>
      </c>
    </row>
    <row r="90" spans="1:252" x14ac:dyDescent="0.2">
      <c r="A90" s="461">
        <v>8.9</v>
      </c>
      <c r="C90" s="447" t="s">
        <v>1359</v>
      </c>
      <c r="D90" s="447"/>
      <c r="E90" s="448"/>
      <c r="F90" s="448"/>
      <c r="G90" s="448"/>
      <c r="H90" s="448"/>
      <c r="I90" s="448"/>
      <c r="J90" s="449" t="str">
        <f t="shared" si="122"/>
        <v/>
      </c>
      <c r="K90" s="449" t="str">
        <f t="shared" si="123"/>
        <v/>
      </c>
      <c r="L90" s="450">
        <f t="shared" si="101"/>
        <v>0</v>
      </c>
      <c r="M90" s="451" t="str">
        <f t="shared" si="112"/>
        <v/>
      </c>
      <c r="N90" s="452" t="str">
        <f t="shared" si="112"/>
        <v/>
      </c>
      <c r="O90" s="452" t="str">
        <f t="shared" si="112"/>
        <v/>
      </c>
      <c r="P90" s="452" t="str">
        <f t="shared" si="112"/>
        <v/>
      </c>
      <c r="Q90" s="453" t="str">
        <f t="shared" si="112"/>
        <v/>
      </c>
      <c r="R90" s="451" t="str">
        <f t="shared" si="112"/>
        <v/>
      </c>
      <c r="S90" s="452" t="str">
        <f t="shared" si="112"/>
        <v/>
      </c>
      <c r="T90" s="452" t="str">
        <f t="shared" si="112"/>
        <v/>
      </c>
      <c r="U90" s="452" t="str">
        <f t="shared" si="112"/>
        <v/>
      </c>
      <c r="V90" s="453" t="str">
        <f t="shared" si="112"/>
        <v/>
      </c>
      <c r="W90" s="451" t="str">
        <f t="shared" si="112"/>
        <v/>
      </c>
      <c r="X90" s="452" t="str">
        <f t="shared" si="112"/>
        <v/>
      </c>
      <c r="Y90" s="452" t="str">
        <f t="shared" si="112"/>
        <v/>
      </c>
      <c r="Z90" s="452" t="str">
        <f t="shared" si="112"/>
        <v/>
      </c>
      <c r="AA90" s="453" t="str">
        <f t="shared" si="112"/>
        <v/>
      </c>
      <c r="AB90" s="451" t="str">
        <f t="shared" si="112"/>
        <v/>
      </c>
      <c r="AC90" s="452" t="str">
        <f t="shared" si="121"/>
        <v/>
      </c>
      <c r="AD90" s="452" t="str">
        <f t="shared" si="121"/>
        <v/>
      </c>
      <c r="AE90" s="452" t="str">
        <f t="shared" si="121"/>
        <v/>
      </c>
      <c r="AF90" s="453" t="str">
        <f t="shared" si="121"/>
        <v/>
      </c>
      <c r="AG90" s="451" t="str">
        <f t="shared" si="121"/>
        <v/>
      </c>
      <c r="AH90" s="452" t="str">
        <f t="shared" si="121"/>
        <v/>
      </c>
      <c r="AI90" s="452" t="str">
        <f t="shared" si="121"/>
        <v/>
      </c>
      <c r="AJ90" s="452" t="str">
        <f t="shared" si="121"/>
        <v/>
      </c>
      <c r="AK90" s="453" t="str">
        <f t="shared" si="121"/>
        <v/>
      </c>
      <c r="AL90" s="451" t="str">
        <f t="shared" si="121"/>
        <v/>
      </c>
      <c r="AM90" s="452" t="str">
        <f t="shared" si="121"/>
        <v/>
      </c>
      <c r="AN90" s="452" t="str">
        <f t="shared" si="121"/>
        <v/>
      </c>
      <c r="AO90" s="452" t="str">
        <f t="shared" si="121"/>
        <v/>
      </c>
      <c r="AP90" s="453" t="str">
        <f t="shared" si="121"/>
        <v/>
      </c>
      <c r="AQ90" s="451" t="str">
        <f t="shared" si="121"/>
        <v/>
      </c>
      <c r="AR90" s="452" t="str">
        <f t="shared" si="121"/>
        <v/>
      </c>
      <c r="AS90" s="452" t="str">
        <f t="shared" si="117"/>
        <v/>
      </c>
      <c r="AT90" s="452" t="str">
        <f t="shared" si="117"/>
        <v/>
      </c>
      <c r="AU90" s="453" t="str">
        <f t="shared" si="117"/>
        <v/>
      </c>
      <c r="AV90" s="451" t="str">
        <f t="shared" si="117"/>
        <v/>
      </c>
      <c r="AW90" s="452" t="str">
        <f t="shared" si="117"/>
        <v/>
      </c>
      <c r="AX90" s="452" t="str">
        <f t="shared" si="117"/>
        <v/>
      </c>
      <c r="AY90" s="452" t="str">
        <f t="shared" si="117"/>
        <v/>
      </c>
      <c r="AZ90" s="453" t="str">
        <f t="shared" si="117"/>
        <v/>
      </c>
      <c r="BA90" s="451" t="str">
        <f t="shared" si="117"/>
        <v/>
      </c>
      <c r="BB90" s="452" t="str">
        <f t="shared" si="117"/>
        <v/>
      </c>
      <c r="BC90" s="452" t="str">
        <f t="shared" si="117"/>
        <v/>
      </c>
      <c r="BD90" s="452" t="str">
        <f t="shared" si="117"/>
        <v/>
      </c>
      <c r="BE90" s="453" t="str">
        <f t="shared" si="117"/>
        <v/>
      </c>
      <c r="BF90" s="451" t="str">
        <f t="shared" si="117"/>
        <v/>
      </c>
      <c r="BG90" s="452" t="str">
        <f t="shared" si="117"/>
        <v/>
      </c>
      <c r="BH90" s="452" t="str">
        <f t="shared" si="129"/>
        <v/>
      </c>
      <c r="BI90" s="452" t="str">
        <f t="shared" si="129"/>
        <v/>
      </c>
      <c r="BJ90" s="453" t="str">
        <f t="shared" si="129"/>
        <v/>
      </c>
      <c r="BK90" s="451" t="str">
        <f t="shared" si="129"/>
        <v/>
      </c>
      <c r="BL90" s="452" t="str">
        <f t="shared" si="129"/>
        <v/>
      </c>
      <c r="BM90" s="452" t="str">
        <f t="shared" si="129"/>
        <v/>
      </c>
      <c r="BN90" s="452" t="str">
        <f t="shared" si="129"/>
        <v/>
      </c>
      <c r="BO90" s="453" t="str">
        <f t="shared" si="129"/>
        <v/>
      </c>
      <c r="BP90" s="451" t="str">
        <f t="shared" si="129"/>
        <v/>
      </c>
      <c r="BQ90" s="452" t="str">
        <f t="shared" si="129"/>
        <v/>
      </c>
      <c r="BR90" s="452" t="str">
        <f t="shared" si="129"/>
        <v/>
      </c>
      <c r="BS90" s="452" t="str">
        <f t="shared" si="129"/>
        <v/>
      </c>
      <c r="BT90" s="453" t="str">
        <f t="shared" si="129"/>
        <v/>
      </c>
      <c r="BU90" s="451" t="str">
        <f t="shared" si="129"/>
        <v/>
      </c>
      <c r="BV90" s="452" t="str">
        <f t="shared" si="129"/>
        <v/>
      </c>
      <c r="BW90" s="452" t="str">
        <f t="shared" si="129"/>
        <v/>
      </c>
      <c r="BX90" s="452" t="str">
        <f t="shared" si="118"/>
        <v/>
      </c>
      <c r="BY90" s="453" t="str">
        <f t="shared" si="118"/>
        <v/>
      </c>
      <c r="BZ90" s="451" t="str">
        <f t="shared" si="118"/>
        <v/>
      </c>
      <c r="CA90" s="452" t="str">
        <f t="shared" si="118"/>
        <v/>
      </c>
      <c r="CB90" s="452" t="str">
        <f t="shared" si="118"/>
        <v/>
      </c>
      <c r="CC90" s="452" t="str">
        <f t="shared" si="118"/>
        <v/>
      </c>
      <c r="CD90" s="453" t="str">
        <f t="shared" si="118"/>
        <v/>
      </c>
      <c r="CE90" s="451" t="str">
        <f t="shared" si="118"/>
        <v/>
      </c>
      <c r="CF90" s="452" t="str">
        <f t="shared" si="133"/>
        <v/>
      </c>
      <c r="CG90" s="452" t="str">
        <f t="shared" si="133"/>
        <v/>
      </c>
      <c r="CH90" s="452" t="str">
        <f t="shared" si="133"/>
        <v/>
      </c>
      <c r="CI90" s="453" t="str">
        <f t="shared" si="133"/>
        <v/>
      </c>
      <c r="CJ90" s="451" t="str">
        <f t="shared" si="133"/>
        <v/>
      </c>
      <c r="CK90" s="452" t="str">
        <f t="shared" si="133"/>
        <v/>
      </c>
      <c r="CL90" s="452" t="str">
        <f t="shared" si="133"/>
        <v/>
      </c>
      <c r="CM90" s="452" t="str">
        <f t="shared" si="133"/>
        <v/>
      </c>
      <c r="CN90" s="453" t="str">
        <f t="shared" si="133"/>
        <v/>
      </c>
      <c r="CO90" s="451" t="str">
        <f t="shared" si="114"/>
        <v/>
      </c>
      <c r="CP90" s="452" t="str">
        <f t="shared" si="114"/>
        <v/>
      </c>
      <c r="CQ90" s="452" t="str">
        <f t="shared" si="114"/>
        <v/>
      </c>
      <c r="CR90" s="452" t="str">
        <f t="shared" si="114"/>
        <v/>
      </c>
      <c r="CS90" s="453" t="str">
        <f t="shared" si="114"/>
        <v/>
      </c>
      <c r="CT90" s="451" t="str">
        <f t="shared" si="114"/>
        <v/>
      </c>
      <c r="CU90" s="452" t="str">
        <f t="shared" si="114"/>
        <v/>
      </c>
      <c r="CV90" s="452" t="str">
        <f t="shared" si="114"/>
        <v/>
      </c>
      <c r="CW90" s="452" t="str">
        <f t="shared" si="114"/>
        <v/>
      </c>
      <c r="CX90" s="453" t="str">
        <f t="shared" si="114"/>
        <v/>
      </c>
      <c r="CY90" s="451" t="str">
        <f t="shared" si="114"/>
        <v/>
      </c>
      <c r="CZ90" s="452" t="str">
        <f t="shared" si="114"/>
        <v/>
      </c>
      <c r="DA90" s="452" t="str">
        <f t="shared" si="114"/>
        <v/>
      </c>
      <c r="DB90" s="452" t="str">
        <f t="shared" si="114"/>
        <v/>
      </c>
      <c r="DC90" s="453" t="str">
        <f t="shared" si="114"/>
        <v/>
      </c>
      <c r="DD90" s="451" t="str">
        <f t="shared" si="114"/>
        <v/>
      </c>
      <c r="DE90" s="452" t="str">
        <f t="shared" ref="DE90:DT105" si="134">IF(AND(DE$2&gt;=$J90,DE$2&lt;=$K90),1,"")</f>
        <v/>
      </c>
      <c r="DF90" s="452" t="str">
        <f t="shared" si="134"/>
        <v/>
      </c>
      <c r="DG90" s="452" t="str">
        <f t="shared" si="134"/>
        <v/>
      </c>
      <c r="DH90" s="453" t="str">
        <f t="shared" si="134"/>
        <v/>
      </c>
      <c r="DI90" s="451" t="str">
        <f t="shared" si="134"/>
        <v/>
      </c>
      <c r="DJ90" s="452" t="str">
        <f t="shared" si="134"/>
        <v/>
      </c>
      <c r="DK90" s="452" t="str">
        <f t="shared" si="134"/>
        <v/>
      </c>
      <c r="DL90" s="452" t="str">
        <f t="shared" si="134"/>
        <v/>
      </c>
      <c r="DM90" s="453" t="str">
        <f t="shared" si="134"/>
        <v/>
      </c>
      <c r="DN90" s="451" t="str">
        <f t="shared" si="134"/>
        <v/>
      </c>
      <c r="DO90" s="452" t="str">
        <f t="shared" si="134"/>
        <v/>
      </c>
      <c r="DP90" s="452" t="str">
        <f t="shared" si="134"/>
        <v/>
      </c>
      <c r="DQ90" s="452" t="str">
        <f t="shared" si="134"/>
        <v/>
      </c>
      <c r="DR90" s="453" t="str">
        <f t="shared" si="134"/>
        <v/>
      </c>
      <c r="DS90" s="451" t="str">
        <f t="shared" si="134"/>
        <v/>
      </c>
      <c r="DT90" s="452" t="str">
        <f t="shared" si="124"/>
        <v/>
      </c>
      <c r="DU90" s="452" t="str">
        <f t="shared" si="124"/>
        <v/>
      </c>
      <c r="DV90" s="452" t="str">
        <f t="shared" si="124"/>
        <v/>
      </c>
      <c r="DW90" s="453" t="str">
        <f t="shared" si="124"/>
        <v/>
      </c>
      <c r="DX90" s="451" t="str">
        <f t="shared" si="124"/>
        <v/>
      </c>
      <c r="DY90" s="452" t="str">
        <f t="shared" si="124"/>
        <v/>
      </c>
      <c r="DZ90" s="452" t="str">
        <f t="shared" si="124"/>
        <v/>
      </c>
      <c r="EA90" s="452" t="str">
        <f t="shared" si="124"/>
        <v/>
      </c>
      <c r="EB90" s="453" t="str">
        <f t="shared" si="124"/>
        <v/>
      </c>
      <c r="EC90" s="451" t="str">
        <f t="shared" si="110"/>
        <v/>
      </c>
      <c r="ED90" s="452" t="str">
        <f t="shared" si="110"/>
        <v/>
      </c>
      <c r="EE90" s="452" t="str">
        <f t="shared" si="110"/>
        <v/>
      </c>
      <c r="EF90" s="452" t="str">
        <f t="shared" si="110"/>
        <v/>
      </c>
      <c r="EG90" s="453" t="str">
        <f t="shared" si="110"/>
        <v/>
      </c>
      <c r="EH90" s="451" t="str">
        <f t="shared" si="110"/>
        <v/>
      </c>
      <c r="EI90" s="452" t="str">
        <f t="shared" si="110"/>
        <v/>
      </c>
      <c r="EJ90" s="452" t="str">
        <f t="shared" si="110"/>
        <v/>
      </c>
      <c r="EK90" s="452" t="str">
        <f t="shared" si="130"/>
        <v/>
      </c>
      <c r="EL90" s="453" t="str">
        <f t="shared" si="130"/>
        <v/>
      </c>
      <c r="EM90" s="451" t="str">
        <f t="shared" si="130"/>
        <v/>
      </c>
      <c r="EN90" s="452" t="str">
        <f t="shared" si="130"/>
        <v/>
      </c>
      <c r="EO90" s="452" t="str">
        <f t="shared" si="130"/>
        <v/>
      </c>
      <c r="EP90" s="452" t="str">
        <f t="shared" si="130"/>
        <v/>
      </c>
      <c r="EQ90" s="453" t="str">
        <f t="shared" si="130"/>
        <v/>
      </c>
      <c r="ER90" s="451" t="str">
        <f t="shared" si="130"/>
        <v/>
      </c>
      <c r="ES90" s="452" t="str">
        <f t="shared" si="130"/>
        <v/>
      </c>
      <c r="ET90" s="452" t="str">
        <f t="shared" si="130"/>
        <v/>
      </c>
      <c r="EU90" s="452" t="str">
        <f t="shared" si="130"/>
        <v/>
      </c>
      <c r="EV90" s="453" t="str">
        <f t="shared" si="130"/>
        <v/>
      </c>
      <c r="EW90" s="451" t="str">
        <f t="shared" si="130"/>
        <v/>
      </c>
      <c r="EX90" s="452" t="str">
        <f t="shared" si="130"/>
        <v/>
      </c>
      <c r="EY90" s="452" t="str">
        <f t="shared" si="130"/>
        <v/>
      </c>
      <c r="EZ90" s="452" t="str">
        <f t="shared" si="113"/>
        <v/>
      </c>
      <c r="FA90" s="453" t="str">
        <f t="shared" si="113"/>
        <v/>
      </c>
      <c r="FB90" s="451" t="str">
        <f t="shared" si="113"/>
        <v/>
      </c>
      <c r="FC90" s="452" t="str">
        <f t="shared" si="113"/>
        <v/>
      </c>
      <c r="FD90" s="452" t="str">
        <f t="shared" si="113"/>
        <v/>
      </c>
      <c r="FE90" s="452" t="str">
        <f t="shared" si="113"/>
        <v/>
      </c>
      <c r="FF90" s="453" t="str">
        <f t="shared" si="113"/>
        <v/>
      </c>
      <c r="FG90" s="451" t="str">
        <f t="shared" si="113"/>
        <v/>
      </c>
      <c r="FH90" s="452" t="str">
        <f t="shared" si="113"/>
        <v/>
      </c>
      <c r="FI90" s="452" t="str">
        <f t="shared" si="111"/>
        <v/>
      </c>
      <c r="FJ90" s="452" t="str">
        <f t="shared" si="111"/>
        <v/>
      </c>
      <c r="FK90" s="453" t="str">
        <f t="shared" si="111"/>
        <v/>
      </c>
      <c r="FL90" s="451" t="str">
        <f t="shared" si="111"/>
        <v/>
      </c>
      <c r="FM90" s="452" t="str">
        <f t="shared" si="111"/>
        <v/>
      </c>
      <c r="FN90" s="452" t="str">
        <f t="shared" si="111"/>
        <v/>
      </c>
      <c r="FO90" s="452" t="str">
        <f t="shared" si="111"/>
        <v/>
      </c>
      <c r="FP90" s="453" t="str">
        <f t="shared" si="111"/>
        <v/>
      </c>
      <c r="FQ90" s="451" t="str">
        <f t="shared" si="111"/>
        <v/>
      </c>
      <c r="FR90" s="452" t="str">
        <f t="shared" si="111"/>
        <v/>
      </c>
      <c r="FS90" s="452" t="str">
        <f t="shared" si="111"/>
        <v/>
      </c>
      <c r="FT90" s="452" t="str">
        <f t="shared" si="111"/>
        <v/>
      </c>
      <c r="FU90" s="453" t="str">
        <f t="shared" si="111"/>
        <v/>
      </c>
      <c r="FV90" s="451" t="str">
        <f t="shared" si="111"/>
        <v/>
      </c>
      <c r="FW90" s="452" t="str">
        <f t="shared" si="111"/>
        <v/>
      </c>
      <c r="FX90" s="452" t="str">
        <f t="shared" si="128"/>
        <v/>
      </c>
      <c r="FY90" s="452" t="str">
        <f t="shared" si="128"/>
        <v/>
      </c>
      <c r="FZ90" s="453" t="str">
        <f t="shared" si="128"/>
        <v/>
      </c>
      <c r="GA90" s="451" t="str">
        <f t="shared" si="128"/>
        <v/>
      </c>
      <c r="GB90" s="452" t="str">
        <f t="shared" si="128"/>
        <v/>
      </c>
      <c r="GC90" s="452" t="str">
        <f t="shared" si="128"/>
        <v/>
      </c>
      <c r="GD90" s="452" t="str">
        <f t="shared" si="128"/>
        <v/>
      </c>
      <c r="GE90" s="453" t="str">
        <f t="shared" si="128"/>
        <v/>
      </c>
      <c r="GF90" s="451" t="str">
        <f t="shared" si="128"/>
        <v/>
      </c>
      <c r="GG90" s="452" t="str">
        <f t="shared" si="128"/>
        <v/>
      </c>
      <c r="GH90" s="452" t="str">
        <f t="shared" si="128"/>
        <v/>
      </c>
      <c r="GI90" s="452" t="str">
        <f t="shared" si="128"/>
        <v/>
      </c>
      <c r="GJ90" s="453" t="str">
        <f t="shared" si="128"/>
        <v/>
      </c>
      <c r="GK90" s="451" t="str">
        <f t="shared" si="128"/>
        <v/>
      </c>
      <c r="GL90" s="452" t="str">
        <f t="shared" si="128"/>
        <v/>
      </c>
      <c r="GM90" s="452" t="str">
        <f t="shared" si="128"/>
        <v/>
      </c>
      <c r="GN90" s="452" t="str">
        <f t="shared" si="127"/>
        <v/>
      </c>
      <c r="GO90" s="453" t="str">
        <f t="shared" si="127"/>
        <v/>
      </c>
      <c r="GP90" s="451" t="str">
        <f t="shared" si="127"/>
        <v/>
      </c>
      <c r="GQ90" s="452" t="str">
        <f t="shared" si="127"/>
        <v/>
      </c>
      <c r="GR90" s="452" t="str">
        <f t="shared" si="127"/>
        <v/>
      </c>
      <c r="GS90" s="452" t="str">
        <f t="shared" si="127"/>
        <v/>
      </c>
      <c r="GT90" s="453" t="str">
        <f t="shared" si="132"/>
        <v/>
      </c>
      <c r="GU90" s="451" t="str">
        <f t="shared" si="132"/>
        <v/>
      </c>
      <c r="GV90" s="452" t="str">
        <f t="shared" si="132"/>
        <v/>
      </c>
      <c r="GW90" s="452" t="str">
        <f t="shared" si="132"/>
        <v/>
      </c>
      <c r="GX90" s="452" t="str">
        <f t="shared" si="132"/>
        <v/>
      </c>
      <c r="GY90" s="453" t="str">
        <f t="shared" si="132"/>
        <v/>
      </c>
      <c r="GZ90" s="451" t="str">
        <f t="shared" si="132"/>
        <v/>
      </c>
      <c r="HA90" s="452" t="str">
        <f t="shared" si="132"/>
        <v/>
      </c>
      <c r="HB90" s="452" t="str">
        <f t="shared" si="132"/>
        <v/>
      </c>
      <c r="HC90" s="452" t="str">
        <f t="shared" si="132"/>
        <v/>
      </c>
      <c r="HD90" s="453" t="str">
        <f t="shared" si="132"/>
        <v/>
      </c>
      <c r="HE90" s="451" t="str">
        <f t="shared" si="132"/>
        <v/>
      </c>
      <c r="HF90" s="452" t="str">
        <f t="shared" si="132"/>
        <v/>
      </c>
      <c r="HG90" s="452" t="str">
        <f t="shared" si="132"/>
        <v/>
      </c>
      <c r="HH90" s="452" t="str">
        <f t="shared" si="132"/>
        <v/>
      </c>
      <c r="HI90" s="453" t="str">
        <f t="shared" si="116"/>
        <v/>
      </c>
      <c r="HJ90" s="451" t="str">
        <f t="shared" si="116"/>
        <v/>
      </c>
      <c r="HK90" s="452" t="str">
        <f t="shared" si="116"/>
        <v/>
      </c>
      <c r="HL90" s="452" t="str">
        <f t="shared" si="116"/>
        <v/>
      </c>
      <c r="HM90" s="452" t="str">
        <f t="shared" si="116"/>
        <v/>
      </c>
      <c r="HN90" s="453" t="str">
        <f t="shared" si="116"/>
        <v/>
      </c>
      <c r="HO90" s="451" t="str">
        <f t="shared" si="116"/>
        <v/>
      </c>
      <c r="HP90" s="452" t="str">
        <f t="shared" si="116"/>
        <v/>
      </c>
      <c r="HQ90" s="452" t="str">
        <f t="shared" si="116"/>
        <v/>
      </c>
      <c r="HR90" s="452" t="str">
        <f t="shared" si="116"/>
        <v/>
      </c>
      <c r="HS90" s="453" t="str">
        <f t="shared" si="116"/>
        <v/>
      </c>
      <c r="HT90" s="451" t="str">
        <f t="shared" si="116"/>
        <v/>
      </c>
      <c r="HU90" s="452" t="str">
        <f t="shared" si="116"/>
        <v/>
      </c>
      <c r="HV90" s="452" t="str">
        <f t="shared" si="116"/>
        <v/>
      </c>
      <c r="HW90" s="452" t="str">
        <f t="shared" si="115"/>
        <v/>
      </c>
      <c r="HX90" s="453" t="str">
        <f t="shared" si="115"/>
        <v/>
      </c>
      <c r="HY90" s="451" t="str">
        <f t="shared" si="115"/>
        <v/>
      </c>
      <c r="HZ90" s="452" t="str">
        <f t="shared" si="115"/>
        <v/>
      </c>
      <c r="IA90" s="452" t="str">
        <f t="shared" si="115"/>
        <v/>
      </c>
      <c r="IB90" s="452" t="str">
        <f t="shared" si="115"/>
        <v/>
      </c>
      <c r="IC90" s="453" t="str">
        <f t="shared" si="115"/>
        <v/>
      </c>
      <c r="ID90" s="451" t="str">
        <f t="shared" si="115"/>
        <v/>
      </c>
      <c r="IE90" s="452" t="str">
        <f t="shared" si="115"/>
        <v/>
      </c>
      <c r="IF90" s="452" t="str">
        <f t="shared" si="115"/>
        <v/>
      </c>
      <c r="IG90" s="452" t="str">
        <f t="shared" si="115"/>
        <v/>
      </c>
      <c r="IH90" s="453" t="str">
        <f t="shared" si="115"/>
        <v/>
      </c>
      <c r="II90" s="451" t="str">
        <f t="shared" si="115"/>
        <v/>
      </c>
      <c r="IJ90" s="452" t="str">
        <f t="shared" si="115"/>
        <v/>
      </c>
      <c r="IK90" s="452" t="str">
        <f t="shared" si="115"/>
        <v/>
      </c>
      <c r="IL90" s="452" t="str">
        <f t="shared" si="120"/>
        <v/>
      </c>
      <c r="IM90" s="453" t="str">
        <f t="shared" si="120"/>
        <v/>
      </c>
      <c r="IN90" s="451" t="str">
        <f t="shared" si="120"/>
        <v/>
      </c>
      <c r="IO90" s="452" t="str">
        <f t="shared" si="126"/>
        <v/>
      </c>
      <c r="IP90" s="452" t="str">
        <f t="shared" si="126"/>
        <v/>
      </c>
      <c r="IQ90" s="452" t="str">
        <f t="shared" si="126"/>
        <v/>
      </c>
      <c r="IR90" s="453" t="str">
        <f t="shared" si="126"/>
        <v/>
      </c>
    </row>
    <row r="91" spans="1:252" x14ac:dyDescent="0.2">
      <c r="A91" s="462">
        <v>8.1</v>
      </c>
      <c r="B91" s="463"/>
      <c r="C91" s="464" t="s">
        <v>1360</v>
      </c>
      <c r="D91" s="464"/>
      <c r="E91" s="465"/>
      <c r="F91" s="465"/>
      <c r="G91" s="465"/>
      <c r="H91" s="465"/>
      <c r="I91" s="466"/>
      <c r="J91" s="467" t="str">
        <f t="shared" si="122"/>
        <v/>
      </c>
      <c r="K91" s="467" t="str">
        <f t="shared" si="123"/>
        <v/>
      </c>
      <c r="L91" s="468">
        <f t="shared" si="101"/>
        <v>0</v>
      </c>
      <c r="M91" s="469" t="str">
        <f t="shared" si="112"/>
        <v/>
      </c>
      <c r="N91" s="470" t="str">
        <f t="shared" si="112"/>
        <v/>
      </c>
      <c r="O91" s="470" t="str">
        <f t="shared" si="112"/>
        <v/>
      </c>
      <c r="P91" s="470" t="str">
        <f t="shared" si="112"/>
        <v/>
      </c>
      <c r="Q91" s="471" t="str">
        <f t="shared" si="112"/>
        <v/>
      </c>
      <c r="R91" s="469" t="str">
        <f t="shared" si="112"/>
        <v/>
      </c>
      <c r="S91" s="470" t="str">
        <f t="shared" si="112"/>
        <v/>
      </c>
      <c r="T91" s="470" t="str">
        <f t="shared" si="112"/>
        <v/>
      </c>
      <c r="U91" s="470" t="str">
        <f t="shared" si="112"/>
        <v/>
      </c>
      <c r="V91" s="471" t="str">
        <f t="shared" si="112"/>
        <v/>
      </c>
      <c r="W91" s="469" t="str">
        <f t="shared" si="112"/>
        <v/>
      </c>
      <c r="X91" s="470" t="str">
        <f t="shared" si="112"/>
        <v/>
      </c>
      <c r="Y91" s="470" t="str">
        <f t="shared" si="112"/>
        <v/>
      </c>
      <c r="Z91" s="470" t="str">
        <f t="shared" si="112"/>
        <v/>
      </c>
      <c r="AA91" s="471" t="str">
        <f t="shared" si="112"/>
        <v/>
      </c>
      <c r="AB91" s="469" t="str">
        <f t="shared" ref="AB91" si="135">IF(AND(AB$2&gt;=$J91,AB$2&lt;=$K91),1,"")</f>
        <v/>
      </c>
      <c r="AC91" s="470" t="str">
        <f t="shared" si="121"/>
        <v/>
      </c>
      <c r="AD91" s="470" t="str">
        <f t="shared" si="121"/>
        <v/>
      </c>
      <c r="AE91" s="470" t="str">
        <f t="shared" si="121"/>
        <v/>
      </c>
      <c r="AF91" s="471" t="str">
        <f t="shared" si="121"/>
        <v/>
      </c>
      <c r="AG91" s="469" t="str">
        <f t="shared" si="121"/>
        <v/>
      </c>
      <c r="AH91" s="470" t="str">
        <f t="shared" si="121"/>
        <v/>
      </c>
      <c r="AI91" s="470" t="str">
        <f t="shared" si="121"/>
        <v/>
      </c>
      <c r="AJ91" s="470" t="str">
        <f t="shared" si="121"/>
        <v/>
      </c>
      <c r="AK91" s="471" t="str">
        <f t="shared" si="121"/>
        <v/>
      </c>
      <c r="AL91" s="469" t="str">
        <f t="shared" si="121"/>
        <v/>
      </c>
      <c r="AM91" s="470" t="str">
        <f t="shared" si="121"/>
        <v/>
      </c>
      <c r="AN91" s="470" t="str">
        <f t="shared" si="121"/>
        <v/>
      </c>
      <c r="AO91" s="470" t="str">
        <f t="shared" si="121"/>
        <v/>
      </c>
      <c r="AP91" s="471" t="str">
        <f t="shared" si="121"/>
        <v/>
      </c>
      <c r="AQ91" s="469" t="str">
        <f t="shared" si="121"/>
        <v/>
      </c>
      <c r="AR91" s="470" t="str">
        <f t="shared" si="121"/>
        <v/>
      </c>
      <c r="AS91" s="470" t="str">
        <f t="shared" si="117"/>
        <v/>
      </c>
      <c r="AT91" s="470" t="str">
        <f t="shared" si="117"/>
        <v/>
      </c>
      <c r="AU91" s="471" t="str">
        <f t="shared" si="117"/>
        <v/>
      </c>
      <c r="AV91" s="469" t="str">
        <f t="shared" si="117"/>
        <v/>
      </c>
      <c r="AW91" s="470" t="str">
        <f t="shared" si="117"/>
        <v/>
      </c>
      <c r="AX91" s="470" t="str">
        <f t="shared" si="117"/>
        <v/>
      </c>
      <c r="AY91" s="470" t="str">
        <f t="shared" si="117"/>
        <v/>
      </c>
      <c r="AZ91" s="471" t="str">
        <f t="shared" si="117"/>
        <v/>
      </c>
      <c r="BA91" s="469" t="str">
        <f t="shared" si="117"/>
        <v/>
      </c>
      <c r="BB91" s="470" t="str">
        <f t="shared" si="117"/>
        <v/>
      </c>
      <c r="BC91" s="470" t="str">
        <f t="shared" si="117"/>
        <v/>
      </c>
      <c r="BD91" s="470" t="str">
        <f t="shared" si="117"/>
        <v/>
      </c>
      <c r="BE91" s="471" t="str">
        <f t="shared" si="117"/>
        <v/>
      </c>
      <c r="BF91" s="469" t="str">
        <f t="shared" si="117"/>
        <v/>
      </c>
      <c r="BG91" s="470" t="str">
        <f t="shared" si="117"/>
        <v/>
      </c>
      <c r="BH91" s="470" t="str">
        <f t="shared" si="129"/>
        <v/>
      </c>
      <c r="BI91" s="470" t="str">
        <f t="shared" si="129"/>
        <v/>
      </c>
      <c r="BJ91" s="471" t="str">
        <f t="shared" si="129"/>
        <v/>
      </c>
      <c r="BK91" s="469" t="str">
        <f t="shared" si="129"/>
        <v/>
      </c>
      <c r="BL91" s="470" t="str">
        <f t="shared" si="129"/>
        <v/>
      </c>
      <c r="BM91" s="470" t="str">
        <f t="shared" si="129"/>
        <v/>
      </c>
      <c r="BN91" s="470" t="str">
        <f t="shared" si="129"/>
        <v/>
      </c>
      <c r="BO91" s="471" t="str">
        <f t="shared" si="129"/>
        <v/>
      </c>
      <c r="BP91" s="469" t="str">
        <f t="shared" si="129"/>
        <v/>
      </c>
      <c r="BQ91" s="470" t="str">
        <f t="shared" si="129"/>
        <v/>
      </c>
      <c r="BR91" s="470" t="str">
        <f t="shared" si="129"/>
        <v/>
      </c>
      <c r="BS91" s="470" t="str">
        <f t="shared" si="129"/>
        <v/>
      </c>
      <c r="BT91" s="471" t="str">
        <f t="shared" si="129"/>
        <v/>
      </c>
      <c r="BU91" s="469" t="str">
        <f t="shared" si="129"/>
        <v/>
      </c>
      <c r="BV91" s="470" t="str">
        <f t="shared" si="129"/>
        <v/>
      </c>
      <c r="BW91" s="470" t="str">
        <f t="shared" si="129"/>
        <v/>
      </c>
      <c r="BX91" s="470" t="str">
        <f t="shared" si="118"/>
        <v/>
      </c>
      <c r="BY91" s="471" t="str">
        <f t="shared" si="118"/>
        <v/>
      </c>
      <c r="BZ91" s="469" t="str">
        <f t="shared" si="118"/>
        <v/>
      </c>
      <c r="CA91" s="470" t="str">
        <f t="shared" si="118"/>
        <v/>
      </c>
      <c r="CB91" s="470" t="str">
        <f t="shared" si="118"/>
        <v/>
      </c>
      <c r="CC91" s="470" t="str">
        <f t="shared" si="118"/>
        <v/>
      </c>
      <c r="CD91" s="471" t="str">
        <f t="shared" si="118"/>
        <v/>
      </c>
      <c r="CE91" s="469" t="str">
        <f t="shared" si="118"/>
        <v/>
      </c>
      <c r="CF91" s="470" t="str">
        <f t="shared" si="133"/>
        <v/>
      </c>
      <c r="CG91" s="470" t="str">
        <f t="shared" si="133"/>
        <v/>
      </c>
      <c r="CH91" s="470" t="str">
        <f t="shared" si="133"/>
        <v/>
      </c>
      <c r="CI91" s="471" t="str">
        <f t="shared" si="133"/>
        <v/>
      </c>
      <c r="CJ91" s="469" t="str">
        <f t="shared" si="133"/>
        <v/>
      </c>
      <c r="CK91" s="470" t="str">
        <f t="shared" si="133"/>
        <v/>
      </c>
      <c r="CL91" s="470" t="str">
        <f t="shared" si="133"/>
        <v/>
      </c>
      <c r="CM91" s="470" t="str">
        <f t="shared" si="133"/>
        <v/>
      </c>
      <c r="CN91" s="471" t="str">
        <f t="shared" si="133"/>
        <v/>
      </c>
      <c r="CO91" s="469" t="str">
        <f t="shared" si="114"/>
        <v/>
      </c>
      <c r="CP91" s="470" t="str">
        <f t="shared" si="114"/>
        <v/>
      </c>
      <c r="CQ91" s="470" t="str">
        <f t="shared" si="114"/>
        <v/>
      </c>
      <c r="CR91" s="470" t="str">
        <f t="shared" si="114"/>
        <v/>
      </c>
      <c r="CS91" s="471" t="str">
        <f t="shared" si="114"/>
        <v/>
      </c>
      <c r="CT91" s="469" t="str">
        <f t="shared" si="114"/>
        <v/>
      </c>
      <c r="CU91" s="470" t="str">
        <f t="shared" si="114"/>
        <v/>
      </c>
      <c r="CV91" s="470" t="str">
        <f t="shared" si="114"/>
        <v/>
      </c>
      <c r="CW91" s="470" t="str">
        <f t="shared" si="114"/>
        <v/>
      </c>
      <c r="CX91" s="471" t="str">
        <f t="shared" si="114"/>
        <v/>
      </c>
      <c r="CY91" s="469" t="str">
        <f t="shared" si="114"/>
        <v/>
      </c>
      <c r="CZ91" s="470" t="str">
        <f t="shared" si="114"/>
        <v/>
      </c>
      <c r="DA91" s="470" t="str">
        <f t="shared" si="114"/>
        <v/>
      </c>
      <c r="DB91" s="470" t="str">
        <f t="shared" si="114"/>
        <v/>
      </c>
      <c r="DC91" s="471" t="str">
        <f t="shared" si="114"/>
        <v/>
      </c>
      <c r="DD91" s="469" t="str">
        <f t="shared" si="114"/>
        <v/>
      </c>
      <c r="DE91" s="470" t="str">
        <f t="shared" si="134"/>
        <v/>
      </c>
      <c r="DF91" s="470" t="str">
        <f t="shared" si="134"/>
        <v/>
      </c>
      <c r="DG91" s="470" t="str">
        <f t="shared" si="134"/>
        <v/>
      </c>
      <c r="DH91" s="471" t="str">
        <f t="shared" si="134"/>
        <v/>
      </c>
      <c r="DI91" s="469" t="str">
        <f t="shared" si="134"/>
        <v/>
      </c>
      <c r="DJ91" s="470" t="str">
        <f t="shared" si="134"/>
        <v/>
      </c>
      <c r="DK91" s="470" t="str">
        <f t="shared" si="134"/>
        <v/>
      </c>
      <c r="DL91" s="470" t="str">
        <f t="shared" si="134"/>
        <v/>
      </c>
      <c r="DM91" s="471" t="str">
        <f t="shared" si="134"/>
        <v/>
      </c>
      <c r="DN91" s="469" t="str">
        <f t="shared" si="134"/>
        <v/>
      </c>
      <c r="DO91" s="470" t="str">
        <f t="shared" si="134"/>
        <v/>
      </c>
      <c r="DP91" s="470" t="str">
        <f t="shared" si="134"/>
        <v/>
      </c>
      <c r="DQ91" s="470" t="str">
        <f t="shared" si="134"/>
        <v/>
      </c>
      <c r="DR91" s="471" t="str">
        <f t="shared" si="134"/>
        <v/>
      </c>
      <c r="DS91" s="469" t="str">
        <f t="shared" si="134"/>
        <v/>
      </c>
      <c r="DT91" s="470" t="str">
        <f t="shared" si="134"/>
        <v/>
      </c>
      <c r="DU91" s="470" t="str">
        <f t="shared" si="124"/>
        <v/>
      </c>
      <c r="DV91" s="470" t="str">
        <f t="shared" si="124"/>
        <v/>
      </c>
      <c r="DW91" s="471" t="str">
        <f t="shared" si="124"/>
        <v/>
      </c>
      <c r="DX91" s="469" t="str">
        <f t="shared" si="124"/>
        <v/>
      </c>
      <c r="DY91" s="470" t="str">
        <f t="shared" si="124"/>
        <v/>
      </c>
      <c r="DZ91" s="470" t="str">
        <f t="shared" si="124"/>
        <v/>
      </c>
      <c r="EA91" s="470" t="str">
        <f t="shared" si="124"/>
        <v/>
      </c>
      <c r="EB91" s="471" t="str">
        <f t="shared" si="124"/>
        <v/>
      </c>
      <c r="EC91" s="469" t="str">
        <f t="shared" ref="EC91:FC100" si="136">IF(AND(EC$2&gt;=$J91,EC$2&lt;=$K91),1,"")</f>
        <v/>
      </c>
      <c r="ED91" s="470" t="str">
        <f t="shared" si="136"/>
        <v/>
      </c>
      <c r="EE91" s="470" t="str">
        <f t="shared" si="136"/>
        <v/>
      </c>
      <c r="EF91" s="470" t="str">
        <f t="shared" si="136"/>
        <v/>
      </c>
      <c r="EG91" s="471" t="str">
        <f t="shared" si="136"/>
        <v/>
      </c>
      <c r="EH91" s="469" t="str">
        <f t="shared" si="136"/>
        <v/>
      </c>
      <c r="EI91" s="470" t="str">
        <f t="shared" si="136"/>
        <v/>
      </c>
      <c r="EJ91" s="470" t="str">
        <f t="shared" si="136"/>
        <v/>
      </c>
      <c r="EK91" s="470" t="str">
        <f t="shared" si="136"/>
        <v/>
      </c>
      <c r="EL91" s="471" t="str">
        <f t="shared" si="136"/>
        <v/>
      </c>
      <c r="EM91" s="469" t="str">
        <f t="shared" si="136"/>
        <v/>
      </c>
      <c r="EN91" s="470" t="str">
        <f t="shared" si="136"/>
        <v/>
      </c>
      <c r="EO91" s="470" t="str">
        <f t="shared" si="136"/>
        <v/>
      </c>
      <c r="EP91" s="470" t="str">
        <f t="shared" si="136"/>
        <v/>
      </c>
      <c r="EQ91" s="471" t="str">
        <f t="shared" si="136"/>
        <v/>
      </c>
      <c r="ER91" s="469" t="str">
        <f t="shared" si="136"/>
        <v/>
      </c>
      <c r="ES91" s="470" t="str">
        <f t="shared" si="136"/>
        <v/>
      </c>
      <c r="ET91" s="470" t="str">
        <f t="shared" si="136"/>
        <v/>
      </c>
      <c r="EU91" s="470" t="str">
        <f t="shared" si="136"/>
        <v/>
      </c>
      <c r="EV91" s="471" t="str">
        <f t="shared" si="136"/>
        <v/>
      </c>
      <c r="EW91" s="469" t="str">
        <f t="shared" si="136"/>
        <v/>
      </c>
      <c r="EX91" s="470" t="str">
        <f t="shared" si="136"/>
        <v/>
      </c>
      <c r="EY91" s="470" t="str">
        <f t="shared" si="136"/>
        <v/>
      </c>
      <c r="EZ91" s="470" t="str">
        <f t="shared" si="113"/>
        <v/>
      </c>
      <c r="FA91" s="471" t="str">
        <f t="shared" si="113"/>
        <v/>
      </c>
      <c r="FB91" s="469" t="str">
        <f t="shared" si="113"/>
        <v/>
      </c>
      <c r="FC91" s="470" t="str">
        <f t="shared" si="113"/>
        <v/>
      </c>
      <c r="FD91" s="470" t="str">
        <f t="shared" si="113"/>
        <v/>
      </c>
      <c r="FE91" s="470" t="str">
        <f t="shared" si="113"/>
        <v/>
      </c>
      <c r="FF91" s="471" t="str">
        <f t="shared" si="113"/>
        <v/>
      </c>
      <c r="FG91" s="469" t="str">
        <f t="shared" si="113"/>
        <v/>
      </c>
      <c r="FH91" s="470" t="str">
        <f t="shared" si="113"/>
        <v/>
      </c>
      <c r="FI91" s="470" t="str">
        <f t="shared" ref="FI91:FX106" si="137">IF(AND(FI$2&gt;=$J91,FI$2&lt;=$K91),1,"")</f>
        <v/>
      </c>
      <c r="FJ91" s="470" t="str">
        <f t="shared" si="137"/>
        <v/>
      </c>
      <c r="FK91" s="471" t="str">
        <f t="shared" si="137"/>
        <v/>
      </c>
      <c r="FL91" s="469" t="str">
        <f t="shared" si="137"/>
        <v/>
      </c>
      <c r="FM91" s="470" t="str">
        <f t="shared" si="137"/>
        <v/>
      </c>
      <c r="FN91" s="470" t="str">
        <f t="shared" si="137"/>
        <v/>
      </c>
      <c r="FO91" s="470" t="str">
        <f t="shared" si="137"/>
        <v/>
      </c>
      <c r="FP91" s="471" t="str">
        <f t="shared" si="137"/>
        <v/>
      </c>
      <c r="FQ91" s="469" t="str">
        <f t="shared" si="137"/>
        <v/>
      </c>
      <c r="FR91" s="470" t="str">
        <f t="shared" si="137"/>
        <v/>
      </c>
      <c r="FS91" s="470" t="str">
        <f t="shared" si="137"/>
        <v/>
      </c>
      <c r="FT91" s="470" t="str">
        <f t="shared" si="137"/>
        <v/>
      </c>
      <c r="FU91" s="471" t="str">
        <f t="shared" si="137"/>
        <v/>
      </c>
      <c r="FV91" s="469" t="str">
        <f t="shared" si="137"/>
        <v/>
      </c>
      <c r="FW91" s="470" t="str">
        <f t="shared" si="137"/>
        <v/>
      </c>
      <c r="FX91" s="470" t="str">
        <f t="shared" si="137"/>
        <v/>
      </c>
      <c r="FY91" s="470" t="str">
        <f t="shared" si="128"/>
        <v/>
      </c>
      <c r="FZ91" s="471" t="str">
        <f t="shared" si="128"/>
        <v/>
      </c>
      <c r="GA91" s="469" t="str">
        <f t="shared" si="128"/>
        <v/>
      </c>
      <c r="GB91" s="470" t="str">
        <f t="shared" si="128"/>
        <v/>
      </c>
      <c r="GC91" s="470" t="str">
        <f t="shared" si="128"/>
        <v/>
      </c>
      <c r="GD91" s="470" t="str">
        <f t="shared" si="128"/>
        <v/>
      </c>
      <c r="GE91" s="471" t="str">
        <f t="shared" si="128"/>
        <v/>
      </c>
      <c r="GF91" s="469" t="str">
        <f t="shared" si="128"/>
        <v/>
      </c>
      <c r="GG91" s="470" t="str">
        <f t="shared" si="128"/>
        <v/>
      </c>
      <c r="GH91" s="470" t="str">
        <f t="shared" si="128"/>
        <v/>
      </c>
      <c r="GI91" s="470" t="str">
        <f t="shared" si="128"/>
        <v/>
      </c>
      <c r="GJ91" s="471" t="str">
        <f t="shared" si="128"/>
        <v/>
      </c>
      <c r="GK91" s="469" t="str">
        <f t="shared" si="128"/>
        <v/>
      </c>
      <c r="GL91" s="470" t="str">
        <f t="shared" si="128"/>
        <v/>
      </c>
      <c r="GM91" s="470" t="str">
        <f t="shared" si="128"/>
        <v/>
      </c>
      <c r="GN91" s="470" t="str">
        <f t="shared" si="127"/>
        <v/>
      </c>
      <c r="GO91" s="471" t="str">
        <f t="shared" si="127"/>
        <v/>
      </c>
      <c r="GP91" s="469" t="str">
        <f t="shared" si="127"/>
        <v/>
      </c>
      <c r="GQ91" s="470" t="str">
        <f t="shared" si="127"/>
        <v/>
      </c>
      <c r="GR91" s="470" t="str">
        <f t="shared" si="127"/>
        <v/>
      </c>
      <c r="GS91" s="470" t="str">
        <f t="shared" si="127"/>
        <v/>
      </c>
      <c r="GT91" s="471" t="str">
        <f t="shared" si="132"/>
        <v/>
      </c>
      <c r="GU91" s="469" t="str">
        <f t="shared" si="132"/>
        <v/>
      </c>
      <c r="GV91" s="470" t="str">
        <f t="shared" si="132"/>
        <v/>
      </c>
      <c r="GW91" s="470" t="str">
        <f t="shared" si="132"/>
        <v/>
      </c>
      <c r="GX91" s="470" t="str">
        <f t="shared" si="132"/>
        <v/>
      </c>
      <c r="GY91" s="471" t="str">
        <f t="shared" si="132"/>
        <v/>
      </c>
      <c r="GZ91" s="469" t="str">
        <f t="shared" si="132"/>
        <v/>
      </c>
      <c r="HA91" s="470" t="str">
        <f t="shared" si="132"/>
        <v/>
      </c>
      <c r="HB91" s="470" t="str">
        <f t="shared" si="132"/>
        <v/>
      </c>
      <c r="HC91" s="470" t="str">
        <f t="shared" si="132"/>
        <v/>
      </c>
      <c r="HD91" s="471" t="str">
        <f t="shared" si="132"/>
        <v/>
      </c>
      <c r="HE91" s="469" t="str">
        <f t="shared" si="132"/>
        <v/>
      </c>
      <c r="HF91" s="470" t="str">
        <f t="shared" si="132"/>
        <v/>
      </c>
      <c r="HG91" s="470" t="str">
        <f t="shared" si="132"/>
        <v/>
      </c>
      <c r="HH91" s="470" t="str">
        <f t="shared" si="132"/>
        <v/>
      </c>
      <c r="HI91" s="471" t="str">
        <f t="shared" si="116"/>
        <v/>
      </c>
      <c r="HJ91" s="469" t="str">
        <f t="shared" si="116"/>
        <v/>
      </c>
      <c r="HK91" s="470" t="str">
        <f t="shared" si="116"/>
        <v/>
      </c>
      <c r="HL91" s="470" t="str">
        <f t="shared" si="116"/>
        <v/>
      </c>
      <c r="HM91" s="470" t="str">
        <f t="shared" si="116"/>
        <v/>
      </c>
      <c r="HN91" s="471" t="str">
        <f t="shared" si="116"/>
        <v/>
      </c>
      <c r="HO91" s="469" t="str">
        <f t="shared" si="116"/>
        <v/>
      </c>
      <c r="HP91" s="470" t="str">
        <f t="shared" si="116"/>
        <v/>
      </c>
      <c r="HQ91" s="470" t="str">
        <f t="shared" si="116"/>
        <v/>
      </c>
      <c r="HR91" s="470" t="str">
        <f t="shared" si="116"/>
        <v/>
      </c>
      <c r="HS91" s="471" t="str">
        <f t="shared" si="116"/>
        <v/>
      </c>
      <c r="HT91" s="469" t="str">
        <f t="shared" si="116"/>
        <v/>
      </c>
      <c r="HU91" s="470" t="str">
        <f t="shared" si="116"/>
        <v/>
      </c>
      <c r="HV91" s="470" t="str">
        <f t="shared" si="116"/>
        <v/>
      </c>
      <c r="HW91" s="470" t="str">
        <f t="shared" si="115"/>
        <v/>
      </c>
      <c r="HX91" s="471" t="str">
        <f t="shared" si="115"/>
        <v/>
      </c>
      <c r="HY91" s="469" t="str">
        <f t="shared" si="115"/>
        <v/>
      </c>
      <c r="HZ91" s="470" t="str">
        <f t="shared" si="115"/>
        <v/>
      </c>
      <c r="IA91" s="470" t="str">
        <f t="shared" si="115"/>
        <v/>
      </c>
      <c r="IB91" s="470" t="str">
        <f t="shared" si="115"/>
        <v/>
      </c>
      <c r="IC91" s="471" t="str">
        <f t="shared" si="115"/>
        <v/>
      </c>
      <c r="ID91" s="469" t="str">
        <f t="shared" si="115"/>
        <v/>
      </c>
      <c r="IE91" s="470" t="str">
        <f t="shared" si="115"/>
        <v/>
      </c>
      <c r="IF91" s="470" t="str">
        <f t="shared" si="115"/>
        <v/>
      </c>
      <c r="IG91" s="470" t="str">
        <f t="shared" si="115"/>
        <v/>
      </c>
      <c r="IH91" s="471" t="str">
        <f t="shared" si="115"/>
        <v/>
      </c>
      <c r="II91" s="469" t="str">
        <f t="shared" si="115"/>
        <v/>
      </c>
      <c r="IJ91" s="470" t="str">
        <f t="shared" si="115"/>
        <v/>
      </c>
      <c r="IK91" s="470" t="str">
        <f t="shared" si="115"/>
        <v/>
      </c>
      <c r="IL91" s="470" t="str">
        <f t="shared" si="120"/>
        <v/>
      </c>
      <c r="IM91" s="471" t="str">
        <f t="shared" si="120"/>
        <v/>
      </c>
      <c r="IN91" s="469" t="str">
        <f t="shared" si="120"/>
        <v/>
      </c>
      <c r="IO91" s="470" t="str">
        <f t="shared" si="126"/>
        <v/>
      </c>
      <c r="IP91" s="470" t="str">
        <f t="shared" si="126"/>
        <v/>
      </c>
      <c r="IQ91" s="470" t="str">
        <f t="shared" si="126"/>
        <v/>
      </c>
      <c r="IR91" s="471" t="str">
        <f t="shared" si="126"/>
        <v/>
      </c>
    </row>
    <row r="92" spans="1:252" x14ac:dyDescent="0.2">
      <c r="A92" s="455">
        <v>9</v>
      </c>
      <c r="B92" s="456"/>
      <c r="C92" s="456" t="str">
        <f>Breakdown!$A17</f>
        <v/>
      </c>
      <c r="D92" s="457"/>
      <c r="E92" s="437" t="str">
        <f>IF(E93="","",MIN(E93:E102))</f>
        <v/>
      </c>
      <c r="F92" s="437" t="str">
        <f>IF(F93="","",MAX(F93:F102))</f>
        <v/>
      </c>
      <c r="G92" s="437"/>
      <c r="H92" s="437"/>
      <c r="I92" s="458"/>
      <c r="J92" s="459">
        <f>MIN(J93:J102)</f>
        <v>0</v>
      </c>
      <c r="K92" s="459">
        <f>MAX(K93:K102)</f>
        <v>0</v>
      </c>
      <c r="L92" s="460">
        <f t="shared" si="101"/>
        <v>0</v>
      </c>
      <c r="M92" s="451" t="str">
        <f t="shared" ref="M92:AB107" si="138">IF(AND(M$2&gt;=$J92,M$2&lt;=$K92),1,"")</f>
        <v/>
      </c>
      <c r="N92" s="452" t="str">
        <f t="shared" si="138"/>
        <v/>
      </c>
      <c r="O92" s="452" t="str">
        <f t="shared" si="138"/>
        <v/>
      </c>
      <c r="P92" s="452" t="str">
        <f t="shared" si="138"/>
        <v/>
      </c>
      <c r="Q92" s="453" t="str">
        <f t="shared" si="138"/>
        <v/>
      </c>
      <c r="R92" s="451" t="str">
        <f t="shared" si="138"/>
        <v/>
      </c>
      <c r="S92" s="452" t="str">
        <f t="shared" si="138"/>
        <v/>
      </c>
      <c r="T92" s="452" t="str">
        <f t="shared" si="138"/>
        <v/>
      </c>
      <c r="U92" s="452" t="str">
        <f t="shared" si="138"/>
        <v/>
      </c>
      <c r="V92" s="453" t="str">
        <f t="shared" si="138"/>
        <v/>
      </c>
      <c r="W92" s="451" t="str">
        <f t="shared" si="138"/>
        <v/>
      </c>
      <c r="X92" s="452" t="str">
        <f t="shared" si="138"/>
        <v/>
      </c>
      <c r="Y92" s="452" t="str">
        <f t="shared" si="138"/>
        <v/>
      </c>
      <c r="Z92" s="452" t="str">
        <f t="shared" si="138"/>
        <v/>
      </c>
      <c r="AA92" s="453" t="str">
        <f t="shared" si="138"/>
        <v/>
      </c>
      <c r="AB92" s="451" t="str">
        <f t="shared" si="138"/>
        <v/>
      </c>
      <c r="AC92" s="452" t="str">
        <f t="shared" si="121"/>
        <v/>
      </c>
      <c r="AD92" s="452" t="str">
        <f t="shared" si="121"/>
        <v/>
      </c>
      <c r="AE92" s="452" t="str">
        <f t="shared" si="121"/>
        <v/>
      </c>
      <c r="AF92" s="453" t="str">
        <f t="shared" si="121"/>
        <v/>
      </c>
      <c r="AG92" s="451" t="str">
        <f t="shared" si="121"/>
        <v/>
      </c>
      <c r="AH92" s="452" t="str">
        <f t="shared" si="121"/>
        <v/>
      </c>
      <c r="AI92" s="452" t="str">
        <f t="shared" si="121"/>
        <v/>
      </c>
      <c r="AJ92" s="452" t="str">
        <f t="shared" si="121"/>
        <v/>
      </c>
      <c r="AK92" s="453" t="str">
        <f t="shared" si="121"/>
        <v/>
      </c>
      <c r="AL92" s="451" t="str">
        <f t="shared" si="121"/>
        <v/>
      </c>
      <c r="AM92" s="452" t="str">
        <f t="shared" si="121"/>
        <v/>
      </c>
      <c r="AN92" s="452" t="str">
        <f t="shared" si="121"/>
        <v/>
      </c>
      <c r="AO92" s="452" t="str">
        <f t="shared" si="121"/>
        <v/>
      </c>
      <c r="AP92" s="453" t="str">
        <f t="shared" si="121"/>
        <v/>
      </c>
      <c r="AQ92" s="451" t="str">
        <f t="shared" si="121"/>
        <v/>
      </c>
      <c r="AR92" s="452" t="str">
        <f t="shared" si="121"/>
        <v/>
      </c>
      <c r="AS92" s="452" t="str">
        <f t="shared" si="117"/>
        <v/>
      </c>
      <c r="AT92" s="452" t="str">
        <f t="shared" si="117"/>
        <v/>
      </c>
      <c r="AU92" s="453" t="str">
        <f t="shared" si="117"/>
        <v/>
      </c>
      <c r="AV92" s="451" t="str">
        <f t="shared" si="117"/>
        <v/>
      </c>
      <c r="AW92" s="452" t="str">
        <f t="shared" si="117"/>
        <v/>
      </c>
      <c r="AX92" s="452" t="str">
        <f t="shared" si="117"/>
        <v/>
      </c>
      <c r="AY92" s="452" t="str">
        <f t="shared" si="117"/>
        <v/>
      </c>
      <c r="AZ92" s="453" t="str">
        <f t="shared" si="117"/>
        <v/>
      </c>
      <c r="BA92" s="451" t="str">
        <f t="shared" si="117"/>
        <v/>
      </c>
      <c r="BB92" s="452" t="str">
        <f t="shared" si="117"/>
        <v/>
      </c>
      <c r="BC92" s="452" t="str">
        <f t="shared" si="117"/>
        <v/>
      </c>
      <c r="BD92" s="452" t="str">
        <f t="shared" si="117"/>
        <v/>
      </c>
      <c r="BE92" s="453" t="str">
        <f t="shared" si="117"/>
        <v/>
      </c>
      <c r="BF92" s="451" t="str">
        <f t="shared" si="117"/>
        <v/>
      </c>
      <c r="BG92" s="452" t="str">
        <f t="shared" si="117"/>
        <v/>
      </c>
      <c r="BH92" s="452" t="str">
        <f t="shared" si="129"/>
        <v/>
      </c>
      <c r="BI92" s="452" t="str">
        <f t="shared" si="129"/>
        <v/>
      </c>
      <c r="BJ92" s="453" t="str">
        <f t="shared" si="129"/>
        <v/>
      </c>
      <c r="BK92" s="451" t="str">
        <f t="shared" si="129"/>
        <v/>
      </c>
      <c r="BL92" s="452" t="str">
        <f t="shared" si="129"/>
        <v/>
      </c>
      <c r="BM92" s="452" t="str">
        <f t="shared" si="129"/>
        <v/>
      </c>
      <c r="BN92" s="452" t="str">
        <f t="shared" si="129"/>
        <v/>
      </c>
      <c r="BO92" s="453" t="str">
        <f t="shared" si="129"/>
        <v/>
      </c>
      <c r="BP92" s="451" t="str">
        <f t="shared" si="118"/>
        <v/>
      </c>
      <c r="BQ92" s="452" t="str">
        <f t="shared" si="118"/>
        <v/>
      </c>
      <c r="BR92" s="452" t="str">
        <f t="shared" si="118"/>
        <v/>
      </c>
      <c r="BS92" s="452" t="str">
        <f t="shared" si="118"/>
        <v/>
      </c>
      <c r="BT92" s="453" t="str">
        <f t="shared" si="118"/>
        <v/>
      </c>
      <c r="BU92" s="451" t="str">
        <f t="shared" si="118"/>
        <v/>
      </c>
      <c r="BV92" s="452" t="str">
        <f t="shared" si="118"/>
        <v/>
      </c>
      <c r="BW92" s="452" t="str">
        <f t="shared" si="118"/>
        <v/>
      </c>
      <c r="BX92" s="452" t="str">
        <f t="shared" si="118"/>
        <v/>
      </c>
      <c r="BY92" s="453" t="str">
        <f t="shared" si="118"/>
        <v/>
      </c>
      <c r="BZ92" s="451" t="str">
        <f t="shared" si="118"/>
        <v/>
      </c>
      <c r="CA92" s="452" t="str">
        <f t="shared" si="118"/>
        <v/>
      </c>
      <c r="CB92" s="452" t="str">
        <f t="shared" si="118"/>
        <v/>
      </c>
      <c r="CC92" s="452" t="str">
        <f t="shared" si="118"/>
        <v/>
      </c>
      <c r="CD92" s="453" t="str">
        <f t="shared" si="118"/>
        <v/>
      </c>
      <c r="CE92" s="451" t="str">
        <f t="shared" si="118"/>
        <v/>
      </c>
      <c r="CF92" s="452" t="str">
        <f t="shared" si="133"/>
        <v/>
      </c>
      <c r="CG92" s="452" t="str">
        <f t="shared" si="133"/>
        <v/>
      </c>
      <c r="CH92" s="452" t="str">
        <f t="shared" si="133"/>
        <v/>
      </c>
      <c r="CI92" s="453" t="str">
        <f t="shared" si="133"/>
        <v/>
      </c>
      <c r="CJ92" s="451" t="str">
        <f t="shared" si="133"/>
        <v/>
      </c>
      <c r="CK92" s="452" t="str">
        <f t="shared" si="133"/>
        <v/>
      </c>
      <c r="CL92" s="452" t="str">
        <f t="shared" si="133"/>
        <v/>
      </c>
      <c r="CM92" s="452" t="str">
        <f t="shared" si="133"/>
        <v/>
      </c>
      <c r="CN92" s="453" t="str">
        <f t="shared" si="133"/>
        <v/>
      </c>
      <c r="CO92" s="451" t="str">
        <f t="shared" si="114"/>
        <v/>
      </c>
      <c r="CP92" s="452" t="str">
        <f t="shared" si="114"/>
        <v/>
      </c>
      <c r="CQ92" s="452" t="str">
        <f t="shared" si="114"/>
        <v/>
      </c>
      <c r="CR92" s="452" t="str">
        <f t="shared" si="114"/>
        <v/>
      </c>
      <c r="CS92" s="453" t="str">
        <f t="shared" si="114"/>
        <v/>
      </c>
      <c r="CT92" s="451" t="str">
        <f t="shared" si="114"/>
        <v/>
      </c>
      <c r="CU92" s="452" t="str">
        <f t="shared" si="114"/>
        <v/>
      </c>
      <c r="CV92" s="452" t="str">
        <f t="shared" si="114"/>
        <v/>
      </c>
      <c r="CW92" s="452" t="str">
        <f t="shared" si="114"/>
        <v/>
      </c>
      <c r="CX92" s="453" t="str">
        <f t="shared" si="114"/>
        <v/>
      </c>
      <c r="CY92" s="451" t="str">
        <f t="shared" si="114"/>
        <v/>
      </c>
      <c r="CZ92" s="452" t="str">
        <f t="shared" si="114"/>
        <v/>
      </c>
      <c r="DA92" s="452" t="str">
        <f t="shared" si="114"/>
        <v/>
      </c>
      <c r="DB92" s="452" t="str">
        <f t="shared" si="114"/>
        <v/>
      </c>
      <c r="DC92" s="453" t="str">
        <f t="shared" si="114"/>
        <v/>
      </c>
      <c r="DD92" s="451" t="str">
        <f t="shared" si="114"/>
        <v/>
      </c>
      <c r="DE92" s="452" t="str">
        <f t="shared" si="134"/>
        <v/>
      </c>
      <c r="DF92" s="452" t="str">
        <f t="shared" si="134"/>
        <v/>
      </c>
      <c r="DG92" s="452" t="str">
        <f t="shared" si="134"/>
        <v/>
      </c>
      <c r="DH92" s="453" t="str">
        <f t="shared" si="134"/>
        <v/>
      </c>
      <c r="DI92" s="451" t="str">
        <f t="shared" si="134"/>
        <v/>
      </c>
      <c r="DJ92" s="452" t="str">
        <f t="shared" si="134"/>
        <v/>
      </c>
      <c r="DK92" s="452" t="str">
        <f t="shared" si="134"/>
        <v/>
      </c>
      <c r="DL92" s="452" t="str">
        <f t="shared" si="134"/>
        <v/>
      </c>
      <c r="DM92" s="453" t="str">
        <f t="shared" si="134"/>
        <v/>
      </c>
      <c r="DN92" s="451" t="str">
        <f t="shared" si="134"/>
        <v/>
      </c>
      <c r="DO92" s="452" t="str">
        <f t="shared" si="134"/>
        <v/>
      </c>
      <c r="DP92" s="452" t="str">
        <f t="shared" si="134"/>
        <v/>
      </c>
      <c r="DQ92" s="452" t="str">
        <f t="shared" si="134"/>
        <v/>
      </c>
      <c r="DR92" s="453" t="str">
        <f t="shared" si="134"/>
        <v/>
      </c>
      <c r="DS92" s="451" t="str">
        <f t="shared" si="134"/>
        <v/>
      </c>
      <c r="DT92" s="452" t="str">
        <f t="shared" si="134"/>
        <v/>
      </c>
      <c r="DU92" s="452" t="str">
        <f t="shared" si="124"/>
        <v/>
      </c>
      <c r="DV92" s="452" t="str">
        <f t="shared" si="124"/>
        <v/>
      </c>
      <c r="DW92" s="453" t="str">
        <f t="shared" si="124"/>
        <v/>
      </c>
      <c r="DX92" s="451" t="str">
        <f t="shared" si="124"/>
        <v/>
      </c>
      <c r="DY92" s="452" t="str">
        <f t="shared" si="124"/>
        <v/>
      </c>
      <c r="DZ92" s="452" t="str">
        <f t="shared" si="124"/>
        <v/>
      </c>
      <c r="EA92" s="452" t="str">
        <f t="shared" si="124"/>
        <v/>
      </c>
      <c r="EB92" s="453" t="str">
        <f t="shared" si="124"/>
        <v/>
      </c>
      <c r="EC92" s="451" t="str">
        <f t="shared" si="136"/>
        <v/>
      </c>
      <c r="ED92" s="452" t="str">
        <f t="shared" si="136"/>
        <v/>
      </c>
      <c r="EE92" s="452" t="str">
        <f t="shared" si="136"/>
        <v/>
      </c>
      <c r="EF92" s="452" t="str">
        <f t="shared" si="136"/>
        <v/>
      </c>
      <c r="EG92" s="453" t="str">
        <f t="shared" si="136"/>
        <v/>
      </c>
      <c r="EH92" s="451" t="str">
        <f t="shared" si="136"/>
        <v/>
      </c>
      <c r="EI92" s="452" t="str">
        <f t="shared" si="136"/>
        <v/>
      </c>
      <c r="EJ92" s="452" t="str">
        <f t="shared" si="136"/>
        <v/>
      </c>
      <c r="EK92" s="452" t="str">
        <f t="shared" si="136"/>
        <v/>
      </c>
      <c r="EL92" s="453" t="str">
        <f t="shared" si="136"/>
        <v/>
      </c>
      <c r="EM92" s="451" t="str">
        <f t="shared" si="136"/>
        <v/>
      </c>
      <c r="EN92" s="452" t="str">
        <f t="shared" si="136"/>
        <v/>
      </c>
      <c r="EO92" s="452" t="str">
        <f t="shared" si="136"/>
        <v/>
      </c>
      <c r="EP92" s="452" t="str">
        <f t="shared" si="136"/>
        <v/>
      </c>
      <c r="EQ92" s="453" t="str">
        <f t="shared" si="136"/>
        <v/>
      </c>
      <c r="ER92" s="451" t="str">
        <f t="shared" si="136"/>
        <v/>
      </c>
      <c r="ES92" s="452" t="str">
        <f t="shared" si="136"/>
        <v/>
      </c>
      <c r="ET92" s="452" t="str">
        <f t="shared" si="136"/>
        <v/>
      </c>
      <c r="EU92" s="452" t="str">
        <f t="shared" si="136"/>
        <v/>
      </c>
      <c r="EV92" s="453" t="str">
        <f t="shared" si="136"/>
        <v/>
      </c>
      <c r="EW92" s="451" t="str">
        <f t="shared" si="136"/>
        <v/>
      </c>
      <c r="EX92" s="452" t="str">
        <f t="shared" si="136"/>
        <v/>
      </c>
      <c r="EY92" s="452" t="str">
        <f t="shared" si="136"/>
        <v/>
      </c>
      <c r="EZ92" s="452" t="str">
        <f t="shared" si="136"/>
        <v/>
      </c>
      <c r="FA92" s="453" t="str">
        <f t="shared" si="136"/>
        <v/>
      </c>
      <c r="FB92" s="451" t="str">
        <f t="shared" si="136"/>
        <v/>
      </c>
      <c r="FC92" s="452" t="str">
        <f t="shared" si="136"/>
        <v/>
      </c>
      <c r="FD92" s="452" t="str">
        <f t="shared" ref="FD92:FO99" si="139">IF(AND(FD$2&gt;=$J92,FD$2&lt;=$K92),1,"")</f>
        <v/>
      </c>
      <c r="FE92" s="452" t="str">
        <f t="shared" si="139"/>
        <v/>
      </c>
      <c r="FF92" s="453" t="str">
        <f t="shared" si="139"/>
        <v/>
      </c>
      <c r="FG92" s="451" t="str">
        <f t="shared" si="139"/>
        <v/>
      </c>
      <c r="FH92" s="452" t="str">
        <f t="shared" si="139"/>
        <v/>
      </c>
      <c r="FI92" s="452" t="str">
        <f t="shared" si="139"/>
        <v/>
      </c>
      <c r="FJ92" s="452" t="str">
        <f t="shared" si="139"/>
        <v/>
      </c>
      <c r="FK92" s="453" t="str">
        <f t="shared" si="139"/>
        <v/>
      </c>
      <c r="FL92" s="451" t="str">
        <f t="shared" si="139"/>
        <v/>
      </c>
      <c r="FM92" s="452" t="str">
        <f t="shared" si="139"/>
        <v/>
      </c>
      <c r="FN92" s="452" t="str">
        <f t="shared" si="139"/>
        <v/>
      </c>
      <c r="FO92" s="452" t="str">
        <f t="shared" si="139"/>
        <v/>
      </c>
      <c r="FP92" s="453" t="str">
        <f t="shared" si="137"/>
        <v/>
      </c>
      <c r="FQ92" s="451" t="str">
        <f t="shared" si="137"/>
        <v/>
      </c>
      <c r="FR92" s="452" t="str">
        <f t="shared" si="137"/>
        <v/>
      </c>
      <c r="FS92" s="452" t="str">
        <f t="shared" si="137"/>
        <v/>
      </c>
      <c r="FT92" s="452" t="str">
        <f t="shared" si="137"/>
        <v/>
      </c>
      <c r="FU92" s="453" t="str">
        <f t="shared" si="137"/>
        <v/>
      </c>
      <c r="FV92" s="451" t="str">
        <f t="shared" si="137"/>
        <v/>
      </c>
      <c r="FW92" s="452" t="str">
        <f t="shared" si="137"/>
        <v/>
      </c>
      <c r="FX92" s="452" t="str">
        <f t="shared" si="137"/>
        <v/>
      </c>
      <c r="FY92" s="452" t="str">
        <f t="shared" si="128"/>
        <v/>
      </c>
      <c r="FZ92" s="453" t="str">
        <f t="shared" si="128"/>
        <v/>
      </c>
      <c r="GA92" s="451" t="str">
        <f t="shared" si="128"/>
        <v/>
      </c>
      <c r="GB92" s="452" t="str">
        <f t="shared" si="128"/>
        <v/>
      </c>
      <c r="GC92" s="452" t="str">
        <f t="shared" si="128"/>
        <v/>
      </c>
      <c r="GD92" s="452" t="str">
        <f t="shared" si="128"/>
        <v/>
      </c>
      <c r="GE92" s="453" t="str">
        <f t="shared" si="128"/>
        <v/>
      </c>
      <c r="GF92" s="451" t="str">
        <f t="shared" si="128"/>
        <v/>
      </c>
      <c r="GG92" s="452" t="str">
        <f t="shared" si="128"/>
        <v/>
      </c>
      <c r="GH92" s="452" t="str">
        <f t="shared" si="128"/>
        <v/>
      </c>
      <c r="GI92" s="452" t="str">
        <f t="shared" si="128"/>
        <v/>
      </c>
      <c r="GJ92" s="453" t="str">
        <f t="shared" si="128"/>
        <v/>
      </c>
      <c r="GK92" s="451" t="str">
        <f t="shared" si="128"/>
        <v/>
      </c>
      <c r="GL92" s="452" t="str">
        <f t="shared" si="128"/>
        <v/>
      </c>
      <c r="GM92" s="452" t="str">
        <f t="shared" si="128"/>
        <v/>
      </c>
      <c r="GN92" s="452" t="str">
        <f t="shared" si="127"/>
        <v/>
      </c>
      <c r="GO92" s="453" t="str">
        <f t="shared" si="127"/>
        <v/>
      </c>
      <c r="GP92" s="451" t="str">
        <f t="shared" si="127"/>
        <v/>
      </c>
      <c r="GQ92" s="452" t="str">
        <f t="shared" si="127"/>
        <v/>
      </c>
      <c r="GR92" s="452" t="str">
        <f t="shared" si="127"/>
        <v/>
      </c>
      <c r="GS92" s="452" t="str">
        <f t="shared" si="127"/>
        <v/>
      </c>
      <c r="GT92" s="453" t="str">
        <f t="shared" si="132"/>
        <v/>
      </c>
      <c r="GU92" s="451" t="str">
        <f t="shared" si="132"/>
        <v/>
      </c>
      <c r="GV92" s="452" t="str">
        <f t="shared" si="132"/>
        <v/>
      </c>
      <c r="GW92" s="452" t="str">
        <f t="shared" si="132"/>
        <v/>
      </c>
      <c r="GX92" s="452" t="str">
        <f t="shared" si="132"/>
        <v/>
      </c>
      <c r="GY92" s="453" t="str">
        <f t="shared" si="132"/>
        <v/>
      </c>
      <c r="GZ92" s="451" t="str">
        <f t="shared" si="132"/>
        <v/>
      </c>
      <c r="HA92" s="452" t="str">
        <f t="shared" si="132"/>
        <v/>
      </c>
      <c r="HB92" s="452" t="str">
        <f t="shared" si="132"/>
        <v/>
      </c>
      <c r="HC92" s="452" t="str">
        <f t="shared" si="132"/>
        <v/>
      </c>
      <c r="HD92" s="453" t="str">
        <f t="shared" si="132"/>
        <v/>
      </c>
      <c r="HE92" s="451" t="str">
        <f t="shared" si="132"/>
        <v/>
      </c>
      <c r="HF92" s="452" t="str">
        <f t="shared" si="132"/>
        <v/>
      </c>
      <c r="HG92" s="452" t="str">
        <f t="shared" si="132"/>
        <v/>
      </c>
      <c r="HH92" s="452" t="str">
        <f t="shared" si="132"/>
        <v/>
      </c>
      <c r="HI92" s="453" t="str">
        <f t="shared" si="116"/>
        <v/>
      </c>
      <c r="HJ92" s="451" t="str">
        <f t="shared" si="116"/>
        <v/>
      </c>
      <c r="HK92" s="452" t="str">
        <f t="shared" si="116"/>
        <v/>
      </c>
      <c r="HL92" s="452" t="str">
        <f t="shared" si="116"/>
        <v/>
      </c>
      <c r="HM92" s="452" t="str">
        <f t="shared" si="116"/>
        <v/>
      </c>
      <c r="HN92" s="453" t="str">
        <f t="shared" si="116"/>
        <v/>
      </c>
      <c r="HO92" s="451" t="str">
        <f t="shared" si="116"/>
        <v/>
      </c>
      <c r="HP92" s="452" t="str">
        <f t="shared" si="116"/>
        <v/>
      </c>
      <c r="HQ92" s="452" t="str">
        <f t="shared" si="116"/>
        <v/>
      </c>
      <c r="HR92" s="452" t="str">
        <f t="shared" si="116"/>
        <v/>
      </c>
      <c r="HS92" s="453" t="str">
        <f t="shared" si="116"/>
        <v/>
      </c>
      <c r="HT92" s="451" t="str">
        <f t="shared" si="116"/>
        <v/>
      </c>
      <c r="HU92" s="452" t="str">
        <f t="shared" si="116"/>
        <v/>
      </c>
      <c r="HV92" s="452" t="str">
        <f t="shared" si="116"/>
        <v/>
      </c>
      <c r="HW92" s="452" t="str">
        <f t="shared" si="115"/>
        <v/>
      </c>
      <c r="HX92" s="453" t="str">
        <f t="shared" si="115"/>
        <v/>
      </c>
      <c r="HY92" s="451" t="str">
        <f t="shared" si="115"/>
        <v/>
      </c>
      <c r="HZ92" s="452" t="str">
        <f t="shared" si="115"/>
        <v/>
      </c>
      <c r="IA92" s="452" t="str">
        <f t="shared" si="115"/>
        <v/>
      </c>
      <c r="IB92" s="452" t="str">
        <f t="shared" si="115"/>
        <v/>
      </c>
      <c r="IC92" s="453" t="str">
        <f t="shared" si="115"/>
        <v/>
      </c>
      <c r="ID92" s="451" t="str">
        <f t="shared" si="115"/>
        <v/>
      </c>
      <c r="IE92" s="452" t="str">
        <f t="shared" si="115"/>
        <v/>
      </c>
      <c r="IF92" s="452" t="str">
        <f t="shared" si="115"/>
        <v/>
      </c>
      <c r="IG92" s="452" t="str">
        <f t="shared" si="115"/>
        <v/>
      </c>
      <c r="IH92" s="453" t="str">
        <f t="shared" si="115"/>
        <v/>
      </c>
      <c r="II92" s="451" t="str">
        <f t="shared" si="115"/>
        <v/>
      </c>
      <c r="IJ92" s="452" t="str">
        <f t="shared" si="115"/>
        <v/>
      </c>
      <c r="IK92" s="452" t="str">
        <f t="shared" si="115"/>
        <v/>
      </c>
      <c r="IL92" s="452" t="str">
        <f t="shared" si="120"/>
        <v/>
      </c>
      <c r="IM92" s="453" t="str">
        <f t="shared" si="120"/>
        <v/>
      </c>
      <c r="IN92" s="451" t="str">
        <f t="shared" si="120"/>
        <v/>
      </c>
      <c r="IO92" s="452" t="str">
        <f t="shared" si="126"/>
        <v/>
      </c>
      <c r="IP92" s="452" t="str">
        <f t="shared" si="126"/>
        <v/>
      </c>
      <c r="IQ92" s="452" t="str">
        <f t="shared" si="126"/>
        <v/>
      </c>
      <c r="IR92" s="453" t="str">
        <f t="shared" si="126"/>
        <v/>
      </c>
    </row>
    <row r="93" spans="1:252" x14ac:dyDescent="0.2">
      <c r="A93" s="461">
        <v>9.1</v>
      </c>
      <c r="C93" s="447" t="s">
        <v>1351</v>
      </c>
      <c r="D93" s="447"/>
      <c r="E93" s="448"/>
      <c r="F93" s="448"/>
      <c r="G93" s="448"/>
      <c r="H93" s="448"/>
      <c r="I93" s="448"/>
      <c r="J93" s="449" t="str">
        <f t="shared" ref="J93:J102" si="140">IF(E93="","",E93-$M$3+1)</f>
        <v/>
      </c>
      <c r="K93" s="449" t="str">
        <f t="shared" ref="K93:K102" si="141">IF(F93="","",F93-$M$3+1)</f>
        <v/>
      </c>
      <c r="L93" s="450">
        <f t="shared" si="101"/>
        <v>0</v>
      </c>
      <c r="M93" s="451" t="str">
        <f t="shared" si="138"/>
        <v/>
      </c>
      <c r="N93" s="452" t="str">
        <f t="shared" si="138"/>
        <v/>
      </c>
      <c r="O93" s="452" t="str">
        <f t="shared" si="138"/>
        <v/>
      </c>
      <c r="P93" s="452" t="str">
        <f t="shared" si="138"/>
        <v/>
      </c>
      <c r="Q93" s="453" t="str">
        <f t="shared" si="138"/>
        <v/>
      </c>
      <c r="R93" s="451" t="str">
        <f t="shared" si="138"/>
        <v/>
      </c>
      <c r="S93" s="452" t="str">
        <f t="shared" si="138"/>
        <v/>
      </c>
      <c r="T93" s="452" t="str">
        <f t="shared" si="138"/>
        <v/>
      </c>
      <c r="U93" s="452" t="str">
        <f t="shared" si="138"/>
        <v/>
      </c>
      <c r="V93" s="453" t="str">
        <f t="shared" si="138"/>
        <v/>
      </c>
      <c r="W93" s="451" t="str">
        <f t="shared" si="138"/>
        <v/>
      </c>
      <c r="X93" s="452" t="str">
        <f t="shared" si="138"/>
        <v/>
      </c>
      <c r="Y93" s="452" t="str">
        <f t="shared" si="138"/>
        <v/>
      </c>
      <c r="Z93" s="452" t="str">
        <f t="shared" si="138"/>
        <v/>
      </c>
      <c r="AA93" s="453" t="str">
        <f t="shared" si="138"/>
        <v/>
      </c>
      <c r="AB93" s="451" t="str">
        <f t="shared" si="138"/>
        <v/>
      </c>
      <c r="AC93" s="452" t="str">
        <f t="shared" si="121"/>
        <v/>
      </c>
      <c r="AD93" s="452" t="str">
        <f t="shared" si="121"/>
        <v/>
      </c>
      <c r="AE93" s="452" t="str">
        <f t="shared" si="121"/>
        <v/>
      </c>
      <c r="AF93" s="453" t="str">
        <f t="shared" si="121"/>
        <v/>
      </c>
      <c r="AG93" s="451" t="str">
        <f t="shared" si="121"/>
        <v/>
      </c>
      <c r="AH93" s="452" t="str">
        <f t="shared" si="121"/>
        <v/>
      </c>
      <c r="AI93" s="452" t="str">
        <f t="shared" si="121"/>
        <v/>
      </c>
      <c r="AJ93" s="452" t="str">
        <f t="shared" si="121"/>
        <v/>
      </c>
      <c r="AK93" s="453" t="str">
        <f t="shared" si="121"/>
        <v/>
      </c>
      <c r="AL93" s="451" t="str">
        <f t="shared" si="121"/>
        <v/>
      </c>
      <c r="AM93" s="452" t="str">
        <f t="shared" si="121"/>
        <v/>
      </c>
      <c r="AN93" s="452" t="str">
        <f t="shared" si="121"/>
        <v/>
      </c>
      <c r="AO93" s="452" t="str">
        <f t="shared" si="121"/>
        <v/>
      </c>
      <c r="AP93" s="453" t="str">
        <f t="shared" si="121"/>
        <v/>
      </c>
      <c r="AQ93" s="451" t="str">
        <f t="shared" si="121"/>
        <v/>
      </c>
      <c r="AR93" s="452" t="str">
        <f t="shared" si="121"/>
        <v/>
      </c>
      <c r="AS93" s="452" t="str">
        <f t="shared" si="117"/>
        <v/>
      </c>
      <c r="AT93" s="452" t="str">
        <f t="shared" si="117"/>
        <v/>
      </c>
      <c r="AU93" s="453" t="str">
        <f t="shared" si="117"/>
        <v/>
      </c>
      <c r="AV93" s="451" t="str">
        <f t="shared" si="117"/>
        <v/>
      </c>
      <c r="AW93" s="452" t="str">
        <f t="shared" si="117"/>
        <v/>
      </c>
      <c r="AX93" s="452" t="str">
        <f t="shared" si="117"/>
        <v/>
      </c>
      <c r="AY93" s="452" t="str">
        <f t="shared" si="117"/>
        <v/>
      </c>
      <c r="AZ93" s="453" t="str">
        <f t="shared" si="117"/>
        <v/>
      </c>
      <c r="BA93" s="451" t="str">
        <f t="shared" si="117"/>
        <v/>
      </c>
      <c r="BB93" s="452" t="str">
        <f t="shared" si="117"/>
        <v/>
      </c>
      <c r="BC93" s="452" t="str">
        <f t="shared" si="117"/>
        <v/>
      </c>
      <c r="BD93" s="452" t="str">
        <f t="shared" si="117"/>
        <v/>
      </c>
      <c r="BE93" s="453" t="str">
        <f t="shared" si="117"/>
        <v/>
      </c>
      <c r="BF93" s="451" t="str">
        <f t="shared" si="117"/>
        <v/>
      </c>
      <c r="BG93" s="452" t="str">
        <f t="shared" si="117"/>
        <v/>
      </c>
      <c r="BH93" s="452" t="str">
        <f t="shared" si="129"/>
        <v/>
      </c>
      <c r="BI93" s="452" t="str">
        <f t="shared" si="129"/>
        <v/>
      </c>
      <c r="BJ93" s="453" t="str">
        <f t="shared" si="129"/>
        <v/>
      </c>
      <c r="BK93" s="451" t="str">
        <f t="shared" si="129"/>
        <v/>
      </c>
      <c r="BL93" s="452" t="str">
        <f t="shared" si="129"/>
        <v/>
      </c>
      <c r="BM93" s="452" t="str">
        <f t="shared" si="129"/>
        <v/>
      </c>
      <c r="BN93" s="452" t="str">
        <f t="shared" si="129"/>
        <v/>
      </c>
      <c r="BO93" s="453" t="str">
        <f t="shared" si="129"/>
        <v/>
      </c>
      <c r="BP93" s="451" t="str">
        <f t="shared" si="118"/>
        <v/>
      </c>
      <c r="BQ93" s="452" t="str">
        <f t="shared" si="118"/>
        <v/>
      </c>
      <c r="BR93" s="452" t="str">
        <f t="shared" si="118"/>
        <v/>
      </c>
      <c r="BS93" s="452" t="str">
        <f t="shared" si="118"/>
        <v/>
      </c>
      <c r="BT93" s="453" t="str">
        <f t="shared" si="118"/>
        <v/>
      </c>
      <c r="BU93" s="451" t="str">
        <f t="shared" si="118"/>
        <v/>
      </c>
      <c r="BV93" s="452" t="str">
        <f t="shared" si="118"/>
        <v/>
      </c>
      <c r="BW93" s="452" t="str">
        <f t="shared" si="118"/>
        <v/>
      </c>
      <c r="BX93" s="452" t="str">
        <f t="shared" si="118"/>
        <v/>
      </c>
      <c r="BY93" s="453" t="str">
        <f t="shared" si="118"/>
        <v/>
      </c>
      <c r="BZ93" s="451" t="str">
        <f t="shared" si="118"/>
        <v/>
      </c>
      <c r="CA93" s="452" t="str">
        <f t="shared" si="118"/>
        <v/>
      </c>
      <c r="CB93" s="452" t="str">
        <f t="shared" si="118"/>
        <v/>
      </c>
      <c r="CC93" s="452" t="str">
        <f t="shared" si="118"/>
        <v/>
      </c>
      <c r="CD93" s="453" t="str">
        <f t="shared" si="118"/>
        <v/>
      </c>
      <c r="CE93" s="451" t="str">
        <f t="shared" si="118"/>
        <v/>
      </c>
      <c r="CF93" s="452" t="str">
        <f t="shared" si="133"/>
        <v/>
      </c>
      <c r="CG93" s="452" t="str">
        <f t="shared" si="133"/>
        <v/>
      </c>
      <c r="CH93" s="452" t="str">
        <f t="shared" si="133"/>
        <v/>
      </c>
      <c r="CI93" s="453" t="str">
        <f t="shared" si="133"/>
        <v/>
      </c>
      <c r="CJ93" s="451" t="str">
        <f t="shared" si="133"/>
        <v/>
      </c>
      <c r="CK93" s="452" t="str">
        <f t="shared" si="133"/>
        <v/>
      </c>
      <c r="CL93" s="452" t="str">
        <f t="shared" si="133"/>
        <v/>
      </c>
      <c r="CM93" s="452" t="str">
        <f t="shared" si="133"/>
        <v/>
      </c>
      <c r="CN93" s="453" t="str">
        <f t="shared" si="133"/>
        <v/>
      </c>
      <c r="CO93" s="451" t="str">
        <f t="shared" si="133"/>
        <v/>
      </c>
      <c r="CP93" s="452" t="str">
        <f t="shared" si="133"/>
        <v/>
      </c>
      <c r="CQ93" s="452" t="str">
        <f t="shared" si="133"/>
        <v/>
      </c>
      <c r="CR93" s="452" t="str">
        <f t="shared" si="133"/>
        <v/>
      </c>
      <c r="CS93" s="453" t="str">
        <f t="shared" si="133"/>
        <v/>
      </c>
      <c r="CT93" s="451" t="str">
        <f t="shared" si="133"/>
        <v/>
      </c>
      <c r="CU93" s="452" t="str">
        <f t="shared" si="133"/>
        <v/>
      </c>
      <c r="CV93" s="452" t="str">
        <f t="shared" ref="CV93:DD104" si="142">IF(AND(CV$2&gt;=$J93,CV$2&lt;=$K93),1,"")</f>
        <v/>
      </c>
      <c r="CW93" s="452" t="str">
        <f t="shared" si="142"/>
        <v/>
      </c>
      <c r="CX93" s="453" t="str">
        <f t="shared" si="142"/>
        <v/>
      </c>
      <c r="CY93" s="451" t="str">
        <f t="shared" si="142"/>
        <v/>
      </c>
      <c r="CZ93" s="452" t="str">
        <f t="shared" si="142"/>
        <v/>
      </c>
      <c r="DA93" s="452" t="str">
        <f t="shared" si="142"/>
        <v/>
      </c>
      <c r="DB93" s="452" t="str">
        <f t="shared" si="142"/>
        <v/>
      </c>
      <c r="DC93" s="453" t="str">
        <f t="shared" si="142"/>
        <v/>
      </c>
      <c r="DD93" s="451" t="str">
        <f t="shared" si="142"/>
        <v/>
      </c>
      <c r="DE93" s="452" t="str">
        <f t="shared" si="134"/>
        <v/>
      </c>
      <c r="DF93" s="452" t="str">
        <f t="shared" si="134"/>
        <v/>
      </c>
      <c r="DG93" s="452" t="str">
        <f t="shared" si="134"/>
        <v/>
      </c>
      <c r="DH93" s="453" t="str">
        <f t="shared" si="134"/>
        <v/>
      </c>
      <c r="DI93" s="451" t="str">
        <f t="shared" si="134"/>
        <v/>
      </c>
      <c r="DJ93" s="452" t="str">
        <f t="shared" si="134"/>
        <v/>
      </c>
      <c r="DK93" s="452" t="str">
        <f t="shared" si="134"/>
        <v/>
      </c>
      <c r="DL93" s="452" t="str">
        <f t="shared" si="134"/>
        <v/>
      </c>
      <c r="DM93" s="453" t="str">
        <f t="shared" si="134"/>
        <v/>
      </c>
      <c r="DN93" s="451" t="str">
        <f t="shared" si="134"/>
        <v/>
      </c>
      <c r="DO93" s="452" t="str">
        <f t="shared" si="134"/>
        <v/>
      </c>
      <c r="DP93" s="452" t="str">
        <f t="shared" si="134"/>
        <v/>
      </c>
      <c r="DQ93" s="452" t="str">
        <f t="shared" si="134"/>
        <v/>
      </c>
      <c r="DR93" s="453" t="str">
        <f t="shared" si="134"/>
        <v/>
      </c>
      <c r="DS93" s="451" t="str">
        <f t="shared" si="134"/>
        <v/>
      </c>
      <c r="DT93" s="452" t="str">
        <f t="shared" si="134"/>
        <v/>
      </c>
      <c r="DU93" s="452" t="str">
        <f t="shared" si="124"/>
        <v/>
      </c>
      <c r="DV93" s="452" t="str">
        <f t="shared" si="124"/>
        <v/>
      </c>
      <c r="DW93" s="453" t="str">
        <f t="shared" si="124"/>
        <v/>
      </c>
      <c r="DX93" s="451" t="str">
        <f t="shared" si="124"/>
        <v/>
      </c>
      <c r="DY93" s="452" t="str">
        <f t="shared" si="124"/>
        <v/>
      </c>
      <c r="DZ93" s="452" t="str">
        <f t="shared" si="124"/>
        <v/>
      </c>
      <c r="EA93" s="452" t="str">
        <f t="shared" si="124"/>
        <v/>
      </c>
      <c r="EB93" s="453" t="str">
        <f t="shared" si="124"/>
        <v/>
      </c>
      <c r="EC93" s="451" t="str">
        <f t="shared" si="136"/>
        <v/>
      </c>
      <c r="ED93" s="452" t="str">
        <f t="shared" si="136"/>
        <v/>
      </c>
      <c r="EE93" s="452" t="str">
        <f t="shared" si="136"/>
        <v/>
      </c>
      <c r="EF93" s="452" t="str">
        <f t="shared" si="136"/>
        <v/>
      </c>
      <c r="EG93" s="453" t="str">
        <f t="shared" si="136"/>
        <v/>
      </c>
      <c r="EH93" s="451" t="str">
        <f t="shared" si="136"/>
        <v/>
      </c>
      <c r="EI93" s="452" t="str">
        <f t="shared" si="136"/>
        <v/>
      </c>
      <c r="EJ93" s="452" t="str">
        <f t="shared" si="136"/>
        <v/>
      </c>
      <c r="EK93" s="452" t="str">
        <f t="shared" si="136"/>
        <v/>
      </c>
      <c r="EL93" s="453" t="str">
        <f t="shared" si="136"/>
        <v/>
      </c>
      <c r="EM93" s="451" t="str">
        <f t="shared" si="136"/>
        <v/>
      </c>
      <c r="EN93" s="452" t="str">
        <f t="shared" si="136"/>
        <v/>
      </c>
      <c r="EO93" s="452" t="str">
        <f t="shared" si="136"/>
        <v/>
      </c>
      <c r="EP93" s="452" t="str">
        <f t="shared" si="136"/>
        <v/>
      </c>
      <c r="EQ93" s="453" t="str">
        <f t="shared" si="136"/>
        <v/>
      </c>
      <c r="ER93" s="451" t="str">
        <f t="shared" si="136"/>
        <v/>
      </c>
      <c r="ES93" s="452" t="str">
        <f t="shared" si="136"/>
        <v/>
      </c>
      <c r="ET93" s="452" t="str">
        <f t="shared" si="136"/>
        <v/>
      </c>
      <c r="EU93" s="452" t="str">
        <f t="shared" si="136"/>
        <v/>
      </c>
      <c r="EV93" s="453" t="str">
        <f t="shared" si="136"/>
        <v/>
      </c>
      <c r="EW93" s="451" t="str">
        <f t="shared" si="136"/>
        <v/>
      </c>
      <c r="EX93" s="452" t="str">
        <f t="shared" si="136"/>
        <v/>
      </c>
      <c r="EY93" s="452" t="str">
        <f t="shared" si="136"/>
        <v/>
      </c>
      <c r="EZ93" s="452" t="str">
        <f t="shared" si="136"/>
        <v/>
      </c>
      <c r="FA93" s="453" t="str">
        <f t="shared" si="136"/>
        <v/>
      </c>
      <c r="FB93" s="451" t="str">
        <f t="shared" si="136"/>
        <v/>
      </c>
      <c r="FC93" s="452" t="str">
        <f t="shared" si="136"/>
        <v/>
      </c>
      <c r="FD93" s="452" t="str">
        <f t="shared" si="139"/>
        <v/>
      </c>
      <c r="FE93" s="452" t="str">
        <f t="shared" si="139"/>
        <v/>
      </c>
      <c r="FF93" s="453" t="str">
        <f t="shared" si="139"/>
        <v/>
      </c>
      <c r="FG93" s="451" t="str">
        <f t="shared" si="139"/>
        <v/>
      </c>
      <c r="FH93" s="452" t="str">
        <f t="shared" si="139"/>
        <v/>
      </c>
      <c r="FI93" s="452" t="str">
        <f t="shared" si="139"/>
        <v/>
      </c>
      <c r="FJ93" s="452" t="str">
        <f t="shared" si="139"/>
        <v/>
      </c>
      <c r="FK93" s="453" t="str">
        <f t="shared" si="139"/>
        <v/>
      </c>
      <c r="FL93" s="451" t="str">
        <f t="shared" si="139"/>
        <v/>
      </c>
      <c r="FM93" s="452" t="str">
        <f t="shared" si="139"/>
        <v/>
      </c>
      <c r="FN93" s="452" t="str">
        <f t="shared" si="139"/>
        <v/>
      </c>
      <c r="FO93" s="452" t="str">
        <f t="shared" si="139"/>
        <v/>
      </c>
      <c r="FP93" s="453" t="str">
        <f t="shared" si="137"/>
        <v/>
      </c>
      <c r="FQ93" s="451" t="str">
        <f t="shared" si="137"/>
        <v/>
      </c>
      <c r="FR93" s="452" t="str">
        <f t="shared" si="137"/>
        <v/>
      </c>
      <c r="FS93" s="452" t="str">
        <f t="shared" si="137"/>
        <v/>
      </c>
      <c r="FT93" s="452" t="str">
        <f t="shared" si="137"/>
        <v/>
      </c>
      <c r="FU93" s="453" t="str">
        <f t="shared" si="137"/>
        <v/>
      </c>
      <c r="FV93" s="451" t="str">
        <f t="shared" si="137"/>
        <v/>
      </c>
      <c r="FW93" s="452" t="str">
        <f t="shared" si="137"/>
        <v/>
      </c>
      <c r="FX93" s="452" t="str">
        <f t="shared" si="137"/>
        <v/>
      </c>
      <c r="FY93" s="452" t="str">
        <f t="shared" si="128"/>
        <v/>
      </c>
      <c r="FZ93" s="453" t="str">
        <f t="shared" si="128"/>
        <v/>
      </c>
      <c r="GA93" s="451" t="str">
        <f t="shared" si="128"/>
        <v/>
      </c>
      <c r="GB93" s="452" t="str">
        <f t="shared" si="128"/>
        <v/>
      </c>
      <c r="GC93" s="452" t="str">
        <f t="shared" si="128"/>
        <v/>
      </c>
      <c r="GD93" s="452" t="str">
        <f t="shared" si="128"/>
        <v/>
      </c>
      <c r="GE93" s="453" t="str">
        <f t="shared" si="128"/>
        <v/>
      </c>
      <c r="GF93" s="451" t="str">
        <f t="shared" si="128"/>
        <v/>
      </c>
      <c r="GG93" s="452" t="str">
        <f t="shared" si="128"/>
        <v/>
      </c>
      <c r="GH93" s="452" t="str">
        <f t="shared" si="128"/>
        <v/>
      </c>
      <c r="GI93" s="452" t="str">
        <f t="shared" si="128"/>
        <v/>
      </c>
      <c r="GJ93" s="453" t="str">
        <f t="shared" si="128"/>
        <v/>
      </c>
      <c r="GK93" s="451" t="str">
        <f t="shared" si="128"/>
        <v/>
      </c>
      <c r="GL93" s="452" t="str">
        <f t="shared" si="128"/>
        <v/>
      </c>
      <c r="GM93" s="452" t="str">
        <f t="shared" si="128"/>
        <v/>
      </c>
      <c r="GN93" s="452" t="str">
        <f t="shared" si="127"/>
        <v/>
      </c>
      <c r="GO93" s="453" t="str">
        <f t="shared" si="127"/>
        <v/>
      </c>
      <c r="GP93" s="451" t="str">
        <f t="shared" si="127"/>
        <v/>
      </c>
      <c r="GQ93" s="452" t="str">
        <f t="shared" si="127"/>
        <v/>
      </c>
      <c r="GR93" s="452" t="str">
        <f t="shared" si="127"/>
        <v/>
      </c>
      <c r="GS93" s="452" t="str">
        <f t="shared" si="127"/>
        <v/>
      </c>
      <c r="GT93" s="453" t="str">
        <f t="shared" si="132"/>
        <v/>
      </c>
      <c r="GU93" s="451" t="str">
        <f t="shared" si="132"/>
        <v/>
      </c>
      <c r="GV93" s="452" t="str">
        <f t="shared" si="132"/>
        <v/>
      </c>
      <c r="GW93" s="452" t="str">
        <f t="shared" si="132"/>
        <v/>
      </c>
      <c r="GX93" s="452" t="str">
        <f t="shared" si="132"/>
        <v/>
      </c>
      <c r="GY93" s="453" t="str">
        <f t="shared" si="132"/>
        <v/>
      </c>
      <c r="GZ93" s="451" t="str">
        <f t="shared" si="132"/>
        <v/>
      </c>
      <c r="HA93" s="452" t="str">
        <f t="shared" si="132"/>
        <v/>
      </c>
      <c r="HB93" s="452" t="str">
        <f t="shared" si="132"/>
        <v/>
      </c>
      <c r="HC93" s="452" t="str">
        <f t="shared" si="132"/>
        <v/>
      </c>
      <c r="HD93" s="453" t="str">
        <f t="shared" si="132"/>
        <v/>
      </c>
      <c r="HE93" s="451" t="str">
        <f t="shared" si="132"/>
        <v/>
      </c>
      <c r="HF93" s="452" t="str">
        <f t="shared" si="132"/>
        <v/>
      </c>
      <c r="HG93" s="452" t="str">
        <f t="shared" si="132"/>
        <v/>
      </c>
      <c r="HH93" s="452" t="str">
        <f t="shared" si="132"/>
        <v/>
      </c>
      <c r="HI93" s="453" t="str">
        <f t="shared" si="116"/>
        <v/>
      </c>
      <c r="HJ93" s="451" t="str">
        <f t="shared" si="116"/>
        <v/>
      </c>
      <c r="HK93" s="452" t="str">
        <f t="shared" si="116"/>
        <v/>
      </c>
      <c r="HL93" s="452" t="str">
        <f t="shared" si="116"/>
        <v/>
      </c>
      <c r="HM93" s="452" t="str">
        <f t="shared" si="116"/>
        <v/>
      </c>
      <c r="HN93" s="453" t="str">
        <f t="shared" si="116"/>
        <v/>
      </c>
      <c r="HO93" s="451" t="str">
        <f t="shared" si="116"/>
        <v/>
      </c>
      <c r="HP93" s="452" t="str">
        <f t="shared" si="116"/>
        <v/>
      </c>
      <c r="HQ93" s="452" t="str">
        <f t="shared" si="116"/>
        <v/>
      </c>
      <c r="HR93" s="452" t="str">
        <f t="shared" si="116"/>
        <v/>
      </c>
      <c r="HS93" s="453" t="str">
        <f t="shared" si="116"/>
        <v/>
      </c>
      <c r="HT93" s="451" t="str">
        <f t="shared" si="116"/>
        <v/>
      </c>
      <c r="HU93" s="452" t="str">
        <f t="shared" si="116"/>
        <v/>
      </c>
      <c r="HV93" s="452" t="str">
        <f t="shared" si="116"/>
        <v/>
      </c>
      <c r="HW93" s="452" t="str">
        <f t="shared" ref="HW93:IL108" si="143">IF(AND(HW$2&gt;=$J93,HW$2&lt;=$K93),1,"")</f>
        <v/>
      </c>
      <c r="HX93" s="453" t="str">
        <f t="shared" si="143"/>
        <v/>
      </c>
      <c r="HY93" s="451" t="str">
        <f t="shared" si="143"/>
        <v/>
      </c>
      <c r="HZ93" s="452" t="str">
        <f t="shared" si="143"/>
        <v/>
      </c>
      <c r="IA93" s="452" t="str">
        <f t="shared" si="143"/>
        <v/>
      </c>
      <c r="IB93" s="452" t="str">
        <f t="shared" si="143"/>
        <v/>
      </c>
      <c r="IC93" s="453" t="str">
        <f t="shared" si="143"/>
        <v/>
      </c>
      <c r="ID93" s="451" t="str">
        <f t="shared" si="143"/>
        <v/>
      </c>
      <c r="IE93" s="452" t="str">
        <f t="shared" si="143"/>
        <v/>
      </c>
      <c r="IF93" s="452" t="str">
        <f t="shared" si="143"/>
        <v/>
      </c>
      <c r="IG93" s="452" t="str">
        <f t="shared" si="143"/>
        <v/>
      </c>
      <c r="IH93" s="453" t="str">
        <f t="shared" si="143"/>
        <v/>
      </c>
      <c r="II93" s="451" t="str">
        <f t="shared" si="143"/>
        <v/>
      </c>
      <c r="IJ93" s="452" t="str">
        <f t="shared" si="143"/>
        <v/>
      </c>
      <c r="IK93" s="452" t="str">
        <f t="shared" si="143"/>
        <v/>
      </c>
      <c r="IL93" s="452" t="str">
        <f t="shared" si="143"/>
        <v/>
      </c>
      <c r="IM93" s="453" t="str">
        <f t="shared" si="120"/>
        <v/>
      </c>
      <c r="IN93" s="451" t="str">
        <f t="shared" si="120"/>
        <v/>
      </c>
      <c r="IO93" s="452" t="str">
        <f t="shared" si="126"/>
        <v/>
      </c>
      <c r="IP93" s="452" t="str">
        <f t="shared" si="126"/>
        <v/>
      </c>
      <c r="IQ93" s="452" t="str">
        <f t="shared" si="126"/>
        <v/>
      </c>
      <c r="IR93" s="453" t="str">
        <f t="shared" si="126"/>
        <v/>
      </c>
    </row>
    <row r="94" spans="1:252" x14ac:dyDescent="0.2">
      <c r="A94" s="461">
        <v>9.1999999999999993</v>
      </c>
      <c r="C94" s="447" t="s">
        <v>1352</v>
      </c>
      <c r="D94" s="447"/>
      <c r="E94" s="448"/>
      <c r="F94" s="448"/>
      <c r="G94" s="448"/>
      <c r="H94" s="448"/>
      <c r="I94" s="448"/>
      <c r="J94" s="449" t="str">
        <f t="shared" si="140"/>
        <v/>
      </c>
      <c r="K94" s="449" t="str">
        <f t="shared" si="141"/>
        <v/>
      </c>
      <c r="L94" s="450">
        <f t="shared" si="101"/>
        <v>0</v>
      </c>
      <c r="M94" s="451" t="str">
        <f t="shared" si="138"/>
        <v/>
      </c>
      <c r="N94" s="452" t="str">
        <f t="shared" si="138"/>
        <v/>
      </c>
      <c r="O94" s="452" t="str">
        <f t="shared" si="138"/>
        <v/>
      </c>
      <c r="P94" s="452" t="str">
        <f t="shared" si="138"/>
        <v/>
      </c>
      <c r="Q94" s="453" t="str">
        <f t="shared" si="138"/>
        <v/>
      </c>
      <c r="R94" s="451" t="str">
        <f t="shared" si="138"/>
        <v/>
      </c>
      <c r="S94" s="452" t="str">
        <f t="shared" si="138"/>
        <v/>
      </c>
      <c r="T94" s="452" t="str">
        <f t="shared" si="138"/>
        <v/>
      </c>
      <c r="U94" s="452" t="str">
        <f t="shared" si="138"/>
        <v/>
      </c>
      <c r="V94" s="453" t="str">
        <f t="shared" si="138"/>
        <v/>
      </c>
      <c r="W94" s="451" t="str">
        <f t="shared" si="138"/>
        <v/>
      </c>
      <c r="X94" s="452" t="str">
        <f t="shared" si="138"/>
        <v/>
      </c>
      <c r="Y94" s="452" t="str">
        <f t="shared" si="138"/>
        <v/>
      </c>
      <c r="Z94" s="452" t="str">
        <f t="shared" si="138"/>
        <v/>
      </c>
      <c r="AA94" s="453" t="str">
        <f t="shared" si="138"/>
        <v/>
      </c>
      <c r="AB94" s="451" t="str">
        <f t="shared" si="138"/>
        <v/>
      </c>
      <c r="AC94" s="452" t="str">
        <f t="shared" si="121"/>
        <v/>
      </c>
      <c r="AD94" s="452" t="str">
        <f t="shared" si="121"/>
        <v/>
      </c>
      <c r="AE94" s="452" t="str">
        <f t="shared" si="121"/>
        <v/>
      </c>
      <c r="AF94" s="453" t="str">
        <f t="shared" si="121"/>
        <v/>
      </c>
      <c r="AG94" s="451" t="str">
        <f t="shared" si="121"/>
        <v/>
      </c>
      <c r="AH94" s="452" t="str">
        <f t="shared" si="121"/>
        <v/>
      </c>
      <c r="AI94" s="452" t="str">
        <f t="shared" si="121"/>
        <v/>
      </c>
      <c r="AJ94" s="452" t="str">
        <f t="shared" si="121"/>
        <v/>
      </c>
      <c r="AK94" s="453" t="str">
        <f t="shared" si="121"/>
        <v/>
      </c>
      <c r="AL94" s="451" t="str">
        <f t="shared" si="121"/>
        <v/>
      </c>
      <c r="AM94" s="452" t="str">
        <f t="shared" si="121"/>
        <v/>
      </c>
      <c r="AN94" s="452" t="str">
        <f t="shared" si="121"/>
        <v/>
      </c>
      <c r="AO94" s="452" t="str">
        <f t="shared" si="121"/>
        <v/>
      </c>
      <c r="AP94" s="453" t="str">
        <f t="shared" si="121"/>
        <v/>
      </c>
      <c r="AQ94" s="451" t="str">
        <f t="shared" si="121"/>
        <v/>
      </c>
      <c r="AR94" s="452" t="str">
        <f t="shared" si="121"/>
        <v/>
      </c>
      <c r="AS94" s="452" t="str">
        <f t="shared" si="117"/>
        <v/>
      </c>
      <c r="AT94" s="452" t="str">
        <f t="shared" si="117"/>
        <v/>
      </c>
      <c r="AU94" s="453" t="str">
        <f t="shared" si="117"/>
        <v/>
      </c>
      <c r="AV94" s="451" t="str">
        <f t="shared" si="117"/>
        <v/>
      </c>
      <c r="AW94" s="452" t="str">
        <f t="shared" si="117"/>
        <v/>
      </c>
      <c r="AX94" s="452" t="str">
        <f t="shared" si="117"/>
        <v/>
      </c>
      <c r="AY94" s="452" t="str">
        <f t="shared" si="117"/>
        <v/>
      </c>
      <c r="AZ94" s="453" t="str">
        <f t="shared" si="117"/>
        <v/>
      </c>
      <c r="BA94" s="451" t="str">
        <f t="shared" si="117"/>
        <v/>
      </c>
      <c r="BB94" s="452" t="str">
        <f t="shared" si="117"/>
        <v/>
      </c>
      <c r="BC94" s="452" t="str">
        <f t="shared" si="117"/>
        <v/>
      </c>
      <c r="BD94" s="452" t="str">
        <f t="shared" si="117"/>
        <v/>
      </c>
      <c r="BE94" s="453" t="str">
        <f t="shared" si="117"/>
        <v/>
      </c>
      <c r="BF94" s="451" t="str">
        <f t="shared" si="117"/>
        <v/>
      </c>
      <c r="BG94" s="452" t="str">
        <f t="shared" si="117"/>
        <v/>
      </c>
      <c r="BH94" s="452" t="str">
        <f t="shared" si="129"/>
        <v/>
      </c>
      <c r="BI94" s="452" t="str">
        <f t="shared" si="129"/>
        <v/>
      </c>
      <c r="BJ94" s="453" t="str">
        <f t="shared" si="129"/>
        <v/>
      </c>
      <c r="BK94" s="451" t="str">
        <f t="shared" si="129"/>
        <v/>
      </c>
      <c r="BL94" s="452" t="str">
        <f t="shared" si="129"/>
        <v/>
      </c>
      <c r="BM94" s="452" t="str">
        <f t="shared" si="129"/>
        <v/>
      </c>
      <c r="BN94" s="452" t="str">
        <f t="shared" si="129"/>
        <v/>
      </c>
      <c r="BO94" s="453" t="str">
        <f t="shared" si="129"/>
        <v/>
      </c>
      <c r="BP94" s="451" t="str">
        <f t="shared" si="118"/>
        <v/>
      </c>
      <c r="BQ94" s="452" t="str">
        <f t="shared" si="118"/>
        <v/>
      </c>
      <c r="BR94" s="452" t="str">
        <f t="shared" si="118"/>
        <v/>
      </c>
      <c r="BS94" s="452" t="str">
        <f t="shared" si="118"/>
        <v/>
      </c>
      <c r="BT94" s="453" t="str">
        <f t="shared" si="118"/>
        <v/>
      </c>
      <c r="BU94" s="451" t="str">
        <f t="shared" si="118"/>
        <v/>
      </c>
      <c r="BV94" s="452" t="str">
        <f t="shared" si="118"/>
        <v/>
      </c>
      <c r="BW94" s="452" t="str">
        <f t="shared" si="118"/>
        <v/>
      </c>
      <c r="BX94" s="452" t="str">
        <f t="shared" si="118"/>
        <v/>
      </c>
      <c r="BY94" s="453" t="str">
        <f t="shared" si="118"/>
        <v/>
      </c>
      <c r="BZ94" s="451" t="str">
        <f t="shared" si="118"/>
        <v/>
      </c>
      <c r="CA94" s="452" t="str">
        <f t="shared" si="118"/>
        <v/>
      </c>
      <c r="CB94" s="452" t="str">
        <f t="shared" si="118"/>
        <v/>
      </c>
      <c r="CC94" s="452" t="str">
        <f t="shared" si="118"/>
        <v/>
      </c>
      <c r="CD94" s="453" t="str">
        <f t="shared" si="118"/>
        <v/>
      </c>
      <c r="CE94" s="451" t="str">
        <f t="shared" si="118"/>
        <v/>
      </c>
      <c r="CF94" s="452" t="str">
        <f t="shared" si="133"/>
        <v/>
      </c>
      <c r="CG94" s="452" t="str">
        <f t="shared" si="133"/>
        <v/>
      </c>
      <c r="CH94" s="452" t="str">
        <f t="shared" si="133"/>
        <v/>
      </c>
      <c r="CI94" s="453" t="str">
        <f t="shared" si="133"/>
        <v/>
      </c>
      <c r="CJ94" s="451" t="str">
        <f t="shared" si="133"/>
        <v/>
      </c>
      <c r="CK94" s="452" t="str">
        <f t="shared" si="133"/>
        <v/>
      </c>
      <c r="CL94" s="452" t="str">
        <f t="shared" si="133"/>
        <v/>
      </c>
      <c r="CM94" s="452" t="str">
        <f t="shared" si="133"/>
        <v/>
      </c>
      <c r="CN94" s="453" t="str">
        <f t="shared" si="133"/>
        <v/>
      </c>
      <c r="CO94" s="451" t="str">
        <f t="shared" si="133"/>
        <v/>
      </c>
      <c r="CP94" s="452" t="str">
        <f t="shared" si="133"/>
        <v/>
      </c>
      <c r="CQ94" s="452" t="str">
        <f t="shared" si="133"/>
        <v/>
      </c>
      <c r="CR94" s="452" t="str">
        <f t="shared" si="133"/>
        <v/>
      </c>
      <c r="CS94" s="453" t="str">
        <f t="shared" si="133"/>
        <v/>
      </c>
      <c r="CT94" s="451" t="str">
        <f t="shared" si="133"/>
        <v/>
      </c>
      <c r="CU94" s="452" t="str">
        <f t="shared" si="133"/>
        <v/>
      </c>
      <c r="CV94" s="452" t="str">
        <f t="shared" si="142"/>
        <v/>
      </c>
      <c r="CW94" s="452" t="str">
        <f t="shared" si="142"/>
        <v/>
      </c>
      <c r="CX94" s="453" t="str">
        <f t="shared" si="142"/>
        <v/>
      </c>
      <c r="CY94" s="451" t="str">
        <f t="shared" si="142"/>
        <v/>
      </c>
      <c r="CZ94" s="452" t="str">
        <f t="shared" si="142"/>
        <v/>
      </c>
      <c r="DA94" s="452" t="str">
        <f t="shared" si="142"/>
        <v/>
      </c>
      <c r="DB94" s="452" t="str">
        <f t="shared" si="142"/>
        <v/>
      </c>
      <c r="DC94" s="453" t="str">
        <f t="shared" si="142"/>
        <v/>
      </c>
      <c r="DD94" s="451" t="str">
        <f t="shared" si="142"/>
        <v/>
      </c>
      <c r="DE94" s="452" t="str">
        <f t="shared" si="134"/>
        <v/>
      </c>
      <c r="DF94" s="452" t="str">
        <f t="shared" si="134"/>
        <v/>
      </c>
      <c r="DG94" s="452" t="str">
        <f t="shared" si="134"/>
        <v/>
      </c>
      <c r="DH94" s="453" t="str">
        <f t="shared" si="134"/>
        <v/>
      </c>
      <c r="DI94" s="451" t="str">
        <f t="shared" si="134"/>
        <v/>
      </c>
      <c r="DJ94" s="452" t="str">
        <f t="shared" si="134"/>
        <v/>
      </c>
      <c r="DK94" s="452" t="str">
        <f t="shared" si="134"/>
        <v/>
      </c>
      <c r="DL94" s="452" t="str">
        <f t="shared" si="134"/>
        <v/>
      </c>
      <c r="DM94" s="453" t="str">
        <f t="shared" si="134"/>
        <v/>
      </c>
      <c r="DN94" s="451" t="str">
        <f t="shared" si="134"/>
        <v/>
      </c>
      <c r="DO94" s="452" t="str">
        <f t="shared" si="134"/>
        <v/>
      </c>
      <c r="DP94" s="452" t="str">
        <f t="shared" si="134"/>
        <v/>
      </c>
      <c r="DQ94" s="452" t="str">
        <f t="shared" si="134"/>
        <v/>
      </c>
      <c r="DR94" s="453" t="str">
        <f t="shared" si="134"/>
        <v/>
      </c>
      <c r="DS94" s="451" t="str">
        <f t="shared" si="134"/>
        <v/>
      </c>
      <c r="DT94" s="452" t="str">
        <f t="shared" si="134"/>
        <v/>
      </c>
      <c r="DU94" s="452" t="str">
        <f t="shared" si="124"/>
        <v/>
      </c>
      <c r="DV94" s="452" t="str">
        <f t="shared" si="124"/>
        <v/>
      </c>
      <c r="DW94" s="453" t="str">
        <f t="shared" si="124"/>
        <v/>
      </c>
      <c r="DX94" s="451" t="str">
        <f t="shared" si="124"/>
        <v/>
      </c>
      <c r="DY94" s="452" t="str">
        <f t="shared" si="124"/>
        <v/>
      </c>
      <c r="DZ94" s="452" t="str">
        <f t="shared" si="124"/>
        <v/>
      </c>
      <c r="EA94" s="452" t="str">
        <f t="shared" si="124"/>
        <v/>
      </c>
      <c r="EB94" s="453" t="str">
        <f t="shared" si="124"/>
        <v/>
      </c>
      <c r="EC94" s="451" t="str">
        <f t="shared" si="136"/>
        <v/>
      </c>
      <c r="ED94" s="452" t="str">
        <f t="shared" si="136"/>
        <v/>
      </c>
      <c r="EE94" s="452" t="str">
        <f t="shared" si="136"/>
        <v/>
      </c>
      <c r="EF94" s="452" t="str">
        <f t="shared" si="136"/>
        <v/>
      </c>
      <c r="EG94" s="453" t="str">
        <f t="shared" si="136"/>
        <v/>
      </c>
      <c r="EH94" s="451" t="str">
        <f t="shared" si="136"/>
        <v/>
      </c>
      <c r="EI94" s="452" t="str">
        <f t="shared" si="136"/>
        <v/>
      </c>
      <c r="EJ94" s="452" t="str">
        <f t="shared" si="136"/>
        <v/>
      </c>
      <c r="EK94" s="452" t="str">
        <f t="shared" si="136"/>
        <v/>
      </c>
      <c r="EL94" s="453" t="str">
        <f t="shared" si="136"/>
        <v/>
      </c>
      <c r="EM94" s="451" t="str">
        <f t="shared" si="136"/>
        <v/>
      </c>
      <c r="EN94" s="452" t="str">
        <f t="shared" si="136"/>
        <v/>
      </c>
      <c r="EO94" s="452" t="str">
        <f t="shared" si="136"/>
        <v/>
      </c>
      <c r="EP94" s="452" t="str">
        <f t="shared" si="136"/>
        <v/>
      </c>
      <c r="EQ94" s="453" t="str">
        <f t="shared" si="136"/>
        <v/>
      </c>
      <c r="ER94" s="451" t="str">
        <f t="shared" si="136"/>
        <v/>
      </c>
      <c r="ES94" s="452" t="str">
        <f t="shared" si="136"/>
        <v/>
      </c>
      <c r="ET94" s="452" t="str">
        <f t="shared" si="136"/>
        <v/>
      </c>
      <c r="EU94" s="452" t="str">
        <f t="shared" si="136"/>
        <v/>
      </c>
      <c r="EV94" s="453" t="str">
        <f t="shared" si="136"/>
        <v/>
      </c>
      <c r="EW94" s="451" t="str">
        <f t="shared" si="136"/>
        <v/>
      </c>
      <c r="EX94" s="452" t="str">
        <f t="shared" si="136"/>
        <v/>
      </c>
      <c r="EY94" s="452" t="str">
        <f t="shared" si="136"/>
        <v/>
      </c>
      <c r="EZ94" s="452" t="str">
        <f t="shared" si="136"/>
        <v/>
      </c>
      <c r="FA94" s="453" t="str">
        <f t="shared" si="136"/>
        <v/>
      </c>
      <c r="FB94" s="451" t="str">
        <f t="shared" si="136"/>
        <v/>
      </c>
      <c r="FC94" s="452" t="str">
        <f t="shared" si="136"/>
        <v/>
      </c>
      <c r="FD94" s="452" t="str">
        <f t="shared" si="139"/>
        <v/>
      </c>
      <c r="FE94" s="452" t="str">
        <f t="shared" si="139"/>
        <v/>
      </c>
      <c r="FF94" s="453" t="str">
        <f t="shared" si="139"/>
        <v/>
      </c>
      <c r="FG94" s="451" t="str">
        <f t="shared" si="139"/>
        <v/>
      </c>
      <c r="FH94" s="452" t="str">
        <f t="shared" si="139"/>
        <v/>
      </c>
      <c r="FI94" s="452" t="str">
        <f t="shared" si="139"/>
        <v/>
      </c>
      <c r="FJ94" s="452" t="str">
        <f t="shared" si="139"/>
        <v/>
      </c>
      <c r="FK94" s="453" t="str">
        <f t="shared" si="139"/>
        <v/>
      </c>
      <c r="FL94" s="451" t="str">
        <f t="shared" si="139"/>
        <v/>
      </c>
      <c r="FM94" s="452" t="str">
        <f t="shared" si="139"/>
        <v/>
      </c>
      <c r="FN94" s="452" t="str">
        <f t="shared" si="139"/>
        <v/>
      </c>
      <c r="FO94" s="452" t="str">
        <f t="shared" si="139"/>
        <v/>
      </c>
      <c r="FP94" s="453" t="str">
        <f t="shared" si="137"/>
        <v/>
      </c>
      <c r="FQ94" s="451" t="str">
        <f t="shared" si="137"/>
        <v/>
      </c>
      <c r="FR94" s="452" t="str">
        <f t="shared" si="137"/>
        <v/>
      </c>
      <c r="FS94" s="452" t="str">
        <f t="shared" si="137"/>
        <v/>
      </c>
      <c r="FT94" s="452" t="str">
        <f t="shared" si="137"/>
        <v/>
      </c>
      <c r="FU94" s="453" t="str">
        <f t="shared" si="137"/>
        <v/>
      </c>
      <c r="FV94" s="451" t="str">
        <f t="shared" si="137"/>
        <v/>
      </c>
      <c r="FW94" s="452" t="str">
        <f t="shared" si="137"/>
        <v/>
      </c>
      <c r="FX94" s="452" t="str">
        <f t="shared" si="137"/>
        <v/>
      </c>
      <c r="FY94" s="452" t="str">
        <f t="shared" si="128"/>
        <v/>
      </c>
      <c r="FZ94" s="453" t="str">
        <f t="shared" si="128"/>
        <v/>
      </c>
      <c r="GA94" s="451" t="str">
        <f t="shared" si="128"/>
        <v/>
      </c>
      <c r="GB94" s="452" t="str">
        <f t="shared" si="128"/>
        <v/>
      </c>
      <c r="GC94" s="452" t="str">
        <f t="shared" si="128"/>
        <v/>
      </c>
      <c r="GD94" s="452" t="str">
        <f t="shared" si="128"/>
        <v/>
      </c>
      <c r="GE94" s="453" t="str">
        <f t="shared" si="128"/>
        <v/>
      </c>
      <c r="GF94" s="451" t="str">
        <f t="shared" si="128"/>
        <v/>
      </c>
      <c r="GG94" s="452" t="str">
        <f t="shared" si="128"/>
        <v/>
      </c>
      <c r="GH94" s="452" t="str">
        <f t="shared" si="128"/>
        <v/>
      </c>
      <c r="GI94" s="452" t="str">
        <f t="shared" si="128"/>
        <v/>
      </c>
      <c r="GJ94" s="453" t="str">
        <f t="shared" si="128"/>
        <v/>
      </c>
      <c r="GK94" s="451" t="str">
        <f t="shared" si="128"/>
        <v/>
      </c>
      <c r="GL94" s="452" t="str">
        <f t="shared" si="128"/>
        <v/>
      </c>
      <c r="GM94" s="452" t="str">
        <f t="shared" si="128"/>
        <v/>
      </c>
      <c r="GN94" s="452" t="str">
        <f t="shared" si="127"/>
        <v/>
      </c>
      <c r="GO94" s="453" t="str">
        <f t="shared" si="127"/>
        <v/>
      </c>
      <c r="GP94" s="451" t="str">
        <f t="shared" si="127"/>
        <v/>
      </c>
      <c r="GQ94" s="452" t="str">
        <f t="shared" si="127"/>
        <v/>
      </c>
      <c r="GR94" s="452" t="str">
        <f t="shared" si="127"/>
        <v/>
      </c>
      <c r="GS94" s="452" t="str">
        <f t="shared" si="127"/>
        <v/>
      </c>
      <c r="GT94" s="453" t="str">
        <f t="shared" si="132"/>
        <v/>
      </c>
      <c r="GU94" s="451" t="str">
        <f t="shared" si="132"/>
        <v/>
      </c>
      <c r="GV94" s="452" t="str">
        <f t="shared" si="132"/>
        <v/>
      </c>
      <c r="GW94" s="452" t="str">
        <f t="shared" si="132"/>
        <v/>
      </c>
      <c r="GX94" s="452" t="str">
        <f t="shared" si="132"/>
        <v/>
      </c>
      <c r="GY94" s="453" t="str">
        <f t="shared" si="132"/>
        <v/>
      </c>
      <c r="GZ94" s="451" t="str">
        <f t="shared" si="132"/>
        <v/>
      </c>
      <c r="HA94" s="452" t="str">
        <f t="shared" si="132"/>
        <v/>
      </c>
      <c r="HB94" s="452" t="str">
        <f t="shared" si="132"/>
        <v/>
      </c>
      <c r="HC94" s="452" t="str">
        <f t="shared" si="132"/>
        <v/>
      </c>
      <c r="HD94" s="453" t="str">
        <f t="shared" si="132"/>
        <v/>
      </c>
      <c r="HE94" s="451" t="str">
        <f t="shared" si="132"/>
        <v/>
      </c>
      <c r="HF94" s="452" t="str">
        <f t="shared" si="132"/>
        <v/>
      </c>
      <c r="HG94" s="452" t="str">
        <f t="shared" si="132"/>
        <v/>
      </c>
      <c r="HH94" s="452" t="str">
        <f t="shared" si="132"/>
        <v/>
      </c>
      <c r="HI94" s="453" t="str">
        <f t="shared" si="132"/>
        <v/>
      </c>
      <c r="HJ94" s="451" t="str">
        <f t="shared" ref="HJ94:HY109" si="144">IF(AND(HJ$2&gt;=$J94,HJ$2&lt;=$K94),1,"")</f>
        <v/>
      </c>
      <c r="HK94" s="452" t="str">
        <f t="shared" si="144"/>
        <v/>
      </c>
      <c r="HL94" s="452" t="str">
        <f t="shared" si="144"/>
        <v/>
      </c>
      <c r="HM94" s="452" t="str">
        <f t="shared" si="144"/>
        <v/>
      </c>
      <c r="HN94" s="453" t="str">
        <f t="shared" si="144"/>
        <v/>
      </c>
      <c r="HO94" s="451" t="str">
        <f t="shared" si="144"/>
        <v/>
      </c>
      <c r="HP94" s="452" t="str">
        <f t="shared" si="144"/>
        <v/>
      </c>
      <c r="HQ94" s="452" t="str">
        <f t="shared" si="144"/>
        <v/>
      </c>
      <c r="HR94" s="452" t="str">
        <f t="shared" si="144"/>
        <v/>
      </c>
      <c r="HS94" s="453" t="str">
        <f t="shared" si="144"/>
        <v/>
      </c>
      <c r="HT94" s="451" t="str">
        <f t="shared" si="144"/>
        <v/>
      </c>
      <c r="HU94" s="452" t="str">
        <f t="shared" si="144"/>
        <v/>
      </c>
      <c r="HV94" s="452" t="str">
        <f t="shared" si="144"/>
        <v/>
      </c>
      <c r="HW94" s="452" t="str">
        <f t="shared" si="144"/>
        <v/>
      </c>
      <c r="HX94" s="453" t="str">
        <f t="shared" si="144"/>
        <v/>
      </c>
      <c r="HY94" s="451" t="str">
        <f t="shared" si="143"/>
        <v/>
      </c>
      <c r="HZ94" s="452" t="str">
        <f t="shared" si="143"/>
        <v/>
      </c>
      <c r="IA94" s="452" t="str">
        <f t="shared" si="143"/>
        <v/>
      </c>
      <c r="IB94" s="452" t="str">
        <f t="shared" si="143"/>
        <v/>
      </c>
      <c r="IC94" s="453" t="str">
        <f t="shared" si="143"/>
        <v/>
      </c>
      <c r="ID94" s="451" t="str">
        <f t="shared" si="143"/>
        <v/>
      </c>
      <c r="IE94" s="452" t="str">
        <f t="shared" si="143"/>
        <v/>
      </c>
      <c r="IF94" s="452" t="str">
        <f t="shared" si="143"/>
        <v/>
      </c>
      <c r="IG94" s="452" t="str">
        <f t="shared" si="143"/>
        <v/>
      </c>
      <c r="IH94" s="453" t="str">
        <f t="shared" si="143"/>
        <v/>
      </c>
      <c r="II94" s="451" t="str">
        <f t="shared" si="143"/>
        <v/>
      </c>
      <c r="IJ94" s="452" t="str">
        <f t="shared" si="143"/>
        <v/>
      </c>
      <c r="IK94" s="452" t="str">
        <f t="shared" si="143"/>
        <v/>
      </c>
      <c r="IL94" s="452" t="str">
        <f t="shared" si="143"/>
        <v/>
      </c>
      <c r="IM94" s="453" t="str">
        <f t="shared" si="120"/>
        <v/>
      </c>
      <c r="IN94" s="451" t="str">
        <f t="shared" si="120"/>
        <v/>
      </c>
      <c r="IO94" s="452" t="str">
        <f t="shared" si="126"/>
        <v/>
      </c>
      <c r="IP94" s="452" t="str">
        <f t="shared" si="126"/>
        <v/>
      </c>
      <c r="IQ94" s="452" t="str">
        <f t="shared" si="126"/>
        <v/>
      </c>
      <c r="IR94" s="453" t="str">
        <f t="shared" si="126"/>
        <v/>
      </c>
    </row>
    <row r="95" spans="1:252" x14ac:dyDescent="0.2">
      <c r="A95" s="461">
        <v>9.3000000000000007</v>
      </c>
      <c r="C95" s="447" t="s">
        <v>1353</v>
      </c>
      <c r="D95" s="447"/>
      <c r="E95" s="448"/>
      <c r="F95" s="448"/>
      <c r="G95" s="448"/>
      <c r="H95" s="448"/>
      <c r="I95" s="448"/>
      <c r="J95" s="449" t="str">
        <f t="shared" si="140"/>
        <v/>
      </c>
      <c r="K95" s="449" t="str">
        <f t="shared" si="141"/>
        <v/>
      </c>
      <c r="L95" s="450">
        <f t="shared" si="101"/>
        <v>0</v>
      </c>
      <c r="M95" s="451" t="str">
        <f t="shared" si="138"/>
        <v/>
      </c>
      <c r="N95" s="452" t="str">
        <f t="shared" si="138"/>
        <v/>
      </c>
      <c r="O95" s="452" t="str">
        <f t="shared" si="138"/>
        <v/>
      </c>
      <c r="P95" s="452" t="str">
        <f t="shared" si="138"/>
        <v/>
      </c>
      <c r="Q95" s="453" t="str">
        <f t="shared" si="138"/>
        <v/>
      </c>
      <c r="R95" s="451" t="str">
        <f t="shared" si="138"/>
        <v/>
      </c>
      <c r="S95" s="452" t="str">
        <f t="shared" si="138"/>
        <v/>
      </c>
      <c r="T95" s="452" t="str">
        <f t="shared" si="138"/>
        <v/>
      </c>
      <c r="U95" s="452" t="str">
        <f t="shared" si="138"/>
        <v/>
      </c>
      <c r="V95" s="453" t="str">
        <f t="shared" si="138"/>
        <v/>
      </c>
      <c r="W95" s="451" t="str">
        <f t="shared" si="138"/>
        <v/>
      </c>
      <c r="X95" s="452" t="str">
        <f t="shared" si="138"/>
        <v/>
      </c>
      <c r="Y95" s="452" t="str">
        <f t="shared" si="138"/>
        <v/>
      </c>
      <c r="Z95" s="452" t="str">
        <f t="shared" si="138"/>
        <v/>
      </c>
      <c r="AA95" s="453" t="str">
        <f t="shared" si="138"/>
        <v/>
      </c>
      <c r="AB95" s="451" t="str">
        <f t="shared" si="138"/>
        <v/>
      </c>
      <c r="AC95" s="452" t="str">
        <f t="shared" si="121"/>
        <v/>
      </c>
      <c r="AD95" s="452" t="str">
        <f t="shared" si="121"/>
        <v/>
      </c>
      <c r="AE95" s="452" t="str">
        <f t="shared" si="121"/>
        <v/>
      </c>
      <c r="AF95" s="453" t="str">
        <f t="shared" si="121"/>
        <v/>
      </c>
      <c r="AG95" s="451" t="str">
        <f t="shared" si="121"/>
        <v/>
      </c>
      <c r="AH95" s="452" t="str">
        <f t="shared" si="121"/>
        <v/>
      </c>
      <c r="AI95" s="452" t="str">
        <f t="shared" si="121"/>
        <v/>
      </c>
      <c r="AJ95" s="452" t="str">
        <f t="shared" si="121"/>
        <v/>
      </c>
      <c r="AK95" s="453" t="str">
        <f t="shared" si="121"/>
        <v/>
      </c>
      <c r="AL95" s="451" t="str">
        <f t="shared" si="121"/>
        <v/>
      </c>
      <c r="AM95" s="452" t="str">
        <f t="shared" si="121"/>
        <v/>
      </c>
      <c r="AN95" s="452" t="str">
        <f t="shared" si="121"/>
        <v/>
      </c>
      <c r="AO95" s="452" t="str">
        <f t="shared" si="121"/>
        <v/>
      </c>
      <c r="AP95" s="453" t="str">
        <f t="shared" si="121"/>
        <v/>
      </c>
      <c r="AQ95" s="451" t="str">
        <f t="shared" si="121"/>
        <v/>
      </c>
      <c r="AR95" s="452" t="str">
        <f t="shared" si="121"/>
        <v/>
      </c>
      <c r="AS95" s="452" t="str">
        <f t="shared" si="117"/>
        <v/>
      </c>
      <c r="AT95" s="452" t="str">
        <f t="shared" si="117"/>
        <v/>
      </c>
      <c r="AU95" s="453" t="str">
        <f t="shared" si="117"/>
        <v/>
      </c>
      <c r="AV95" s="451" t="str">
        <f t="shared" si="117"/>
        <v/>
      </c>
      <c r="AW95" s="452" t="str">
        <f t="shared" si="117"/>
        <v/>
      </c>
      <c r="AX95" s="452" t="str">
        <f t="shared" si="117"/>
        <v/>
      </c>
      <c r="AY95" s="452" t="str">
        <f t="shared" si="117"/>
        <v/>
      </c>
      <c r="AZ95" s="453" t="str">
        <f t="shared" si="117"/>
        <v/>
      </c>
      <c r="BA95" s="451" t="str">
        <f t="shared" si="117"/>
        <v/>
      </c>
      <c r="BB95" s="452" t="str">
        <f t="shared" si="117"/>
        <v/>
      </c>
      <c r="BC95" s="452" t="str">
        <f t="shared" si="117"/>
        <v/>
      </c>
      <c r="BD95" s="452" t="str">
        <f t="shared" si="117"/>
        <v/>
      </c>
      <c r="BE95" s="453" t="str">
        <f t="shared" si="117"/>
        <v/>
      </c>
      <c r="BF95" s="451" t="str">
        <f t="shared" si="117"/>
        <v/>
      </c>
      <c r="BG95" s="452" t="str">
        <f t="shared" si="117"/>
        <v/>
      </c>
      <c r="BH95" s="452" t="str">
        <f t="shared" si="129"/>
        <v/>
      </c>
      <c r="BI95" s="452" t="str">
        <f t="shared" si="129"/>
        <v/>
      </c>
      <c r="BJ95" s="453" t="str">
        <f t="shared" si="129"/>
        <v/>
      </c>
      <c r="BK95" s="451" t="str">
        <f t="shared" si="129"/>
        <v/>
      </c>
      <c r="BL95" s="452" t="str">
        <f t="shared" si="129"/>
        <v/>
      </c>
      <c r="BM95" s="452" t="str">
        <f t="shared" si="129"/>
        <v/>
      </c>
      <c r="BN95" s="452" t="str">
        <f t="shared" si="129"/>
        <v/>
      </c>
      <c r="BO95" s="453" t="str">
        <f t="shared" si="129"/>
        <v/>
      </c>
      <c r="BP95" s="451" t="str">
        <f t="shared" si="118"/>
        <v/>
      </c>
      <c r="BQ95" s="452" t="str">
        <f t="shared" si="118"/>
        <v/>
      </c>
      <c r="BR95" s="452" t="str">
        <f t="shared" si="118"/>
        <v/>
      </c>
      <c r="BS95" s="452" t="str">
        <f t="shared" si="118"/>
        <v/>
      </c>
      <c r="BT95" s="453" t="str">
        <f t="shared" si="118"/>
        <v/>
      </c>
      <c r="BU95" s="451" t="str">
        <f t="shared" si="118"/>
        <v/>
      </c>
      <c r="BV95" s="452" t="str">
        <f t="shared" si="118"/>
        <v/>
      </c>
      <c r="BW95" s="452" t="str">
        <f t="shared" si="118"/>
        <v/>
      </c>
      <c r="BX95" s="452" t="str">
        <f t="shared" si="118"/>
        <v/>
      </c>
      <c r="BY95" s="453" t="str">
        <f t="shared" si="118"/>
        <v/>
      </c>
      <c r="BZ95" s="451" t="str">
        <f t="shared" si="118"/>
        <v/>
      </c>
      <c r="CA95" s="452" t="str">
        <f t="shared" si="118"/>
        <v/>
      </c>
      <c r="CB95" s="452" t="str">
        <f t="shared" si="118"/>
        <v/>
      </c>
      <c r="CC95" s="452" t="str">
        <f t="shared" si="118"/>
        <v/>
      </c>
      <c r="CD95" s="453" t="str">
        <f t="shared" si="118"/>
        <v/>
      </c>
      <c r="CE95" s="451" t="str">
        <f t="shared" si="118"/>
        <v/>
      </c>
      <c r="CF95" s="452" t="str">
        <f t="shared" si="133"/>
        <v/>
      </c>
      <c r="CG95" s="452" t="str">
        <f t="shared" si="133"/>
        <v/>
      </c>
      <c r="CH95" s="452" t="str">
        <f t="shared" si="133"/>
        <v/>
      </c>
      <c r="CI95" s="453" t="str">
        <f t="shared" si="133"/>
        <v/>
      </c>
      <c r="CJ95" s="451" t="str">
        <f t="shared" si="133"/>
        <v/>
      </c>
      <c r="CK95" s="452" t="str">
        <f t="shared" si="133"/>
        <v/>
      </c>
      <c r="CL95" s="452" t="str">
        <f t="shared" si="133"/>
        <v/>
      </c>
      <c r="CM95" s="452" t="str">
        <f t="shared" si="133"/>
        <v/>
      </c>
      <c r="CN95" s="453" t="str">
        <f t="shared" si="133"/>
        <v/>
      </c>
      <c r="CO95" s="451" t="str">
        <f t="shared" si="133"/>
        <v/>
      </c>
      <c r="CP95" s="452" t="str">
        <f t="shared" si="133"/>
        <v/>
      </c>
      <c r="CQ95" s="452" t="str">
        <f t="shared" si="133"/>
        <v/>
      </c>
      <c r="CR95" s="452" t="str">
        <f t="shared" si="133"/>
        <v/>
      </c>
      <c r="CS95" s="453" t="str">
        <f t="shared" si="133"/>
        <v/>
      </c>
      <c r="CT95" s="451" t="str">
        <f t="shared" si="133"/>
        <v/>
      </c>
      <c r="CU95" s="452" t="str">
        <f t="shared" si="133"/>
        <v/>
      </c>
      <c r="CV95" s="452" t="str">
        <f t="shared" si="142"/>
        <v/>
      </c>
      <c r="CW95" s="452" t="str">
        <f t="shared" si="142"/>
        <v/>
      </c>
      <c r="CX95" s="453" t="str">
        <f t="shared" si="142"/>
        <v/>
      </c>
      <c r="CY95" s="451" t="str">
        <f t="shared" si="142"/>
        <v/>
      </c>
      <c r="CZ95" s="452" t="str">
        <f t="shared" si="142"/>
        <v/>
      </c>
      <c r="DA95" s="452" t="str">
        <f t="shared" si="142"/>
        <v/>
      </c>
      <c r="DB95" s="452" t="str">
        <f t="shared" si="142"/>
        <v/>
      </c>
      <c r="DC95" s="453" t="str">
        <f t="shared" si="142"/>
        <v/>
      </c>
      <c r="DD95" s="451" t="str">
        <f t="shared" si="142"/>
        <v/>
      </c>
      <c r="DE95" s="452" t="str">
        <f t="shared" si="134"/>
        <v/>
      </c>
      <c r="DF95" s="452" t="str">
        <f t="shared" si="134"/>
        <v/>
      </c>
      <c r="DG95" s="452" t="str">
        <f t="shared" si="134"/>
        <v/>
      </c>
      <c r="DH95" s="453" t="str">
        <f t="shared" si="134"/>
        <v/>
      </c>
      <c r="DI95" s="451" t="str">
        <f t="shared" si="134"/>
        <v/>
      </c>
      <c r="DJ95" s="452" t="str">
        <f t="shared" si="134"/>
        <v/>
      </c>
      <c r="DK95" s="452" t="str">
        <f t="shared" si="134"/>
        <v/>
      </c>
      <c r="DL95" s="452" t="str">
        <f t="shared" si="134"/>
        <v/>
      </c>
      <c r="DM95" s="453" t="str">
        <f t="shared" si="134"/>
        <v/>
      </c>
      <c r="DN95" s="451" t="str">
        <f t="shared" si="134"/>
        <v/>
      </c>
      <c r="DO95" s="452" t="str">
        <f t="shared" si="134"/>
        <v/>
      </c>
      <c r="DP95" s="452" t="str">
        <f t="shared" si="134"/>
        <v/>
      </c>
      <c r="DQ95" s="452" t="str">
        <f t="shared" si="134"/>
        <v/>
      </c>
      <c r="DR95" s="453" t="str">
        <f t="shared" si="134"/>
        <v/>
      </c>
      <c r="DS95" s="451" t="str">
        <f t="shared" si="134"/>
        <v/>
      </c>
      <c r="DT95" s="452" t="str">
        <f t="shared" si="134"/>
        <v/>
      </c>
      <c r="DU95" s="452" t="str">
        <f t="shared" si="124"/>
        <v/>
      </c>
      <c r="DV95" s="452" t="str">
        <f t="shared" si="124"/>
        <v/>
      </c>
      <c r="DW95" s="453" t="str">
        <f t="shared" si="124"/>
        <v/>
      </c>
      <c r="DX95" s="451" t="str">
        <f t="shared" si="124"/>
        <v/>
      </c>
      <c r="DY95" s="452" t="str">
        <f t="shared" si="124"/>
        <v/>
      </c>
      <c r="DZ95" s="452" t="str">
        <f t="shared" si="124"/>
        <v/>
      </c>
      <c r="EA95" s="452" t="str">
        <f t="shared" si="124"/>
        <v/>
      </c>
      <c r="EB95" s="453" t="str">
        <f t="shared" si="124"/>
        <v/>
      </c>
      <c r="EC95" s="451" t="str">
        <f t="shared" si="136"/>
        <v/>
      </c>
      <c r="ED95" s="452" t="str">
        <f t="shared" si="136"/>
        <v/>
      </c>
      <c r="EE95" s="452" t="str">
        <f t="shared" si="136"/>
        <v/>
      </c>
      <c r="EF95" s="452" t="str">
        <f t="shared" si="136"/>
        <v/>
      </c>
      <c r="EG95" s="453" t="str">
        <f t="shared" si="136"/>
        <v/>
      </c>
      <c r="EH95" s="451" t="str">
        <f t="shared" si="136"/>
        <v/>
      </c>
      <c r="EI95" s="452" t="str">
        <f t="shared" si="136"/>
        <v/>
      </c>
      <c r="EJ95" s="452" t="str">
        <f t="shared" si="136"/>
        <v/>
      </c>
      <c r="EK95" s="452" t="str">
        <f t="shared" si="136"/>
        <v/>
      </c>
      <c r="EL95" s="453" t="str">
        <f t="shared" si="136"/>
        <v/>
      </c>
      <c r="EM95" s="451" t="str">
        <f t="shared" si="136"/>
        <v/>
      </c>
      <c r="EN95" s="452" t="str">
        <f t="shared" si="136"/>
        <v/>
      </c>
      <c r="EO95" s="452" t="str">
        <f t="shared" si="136"/>
        <v/>
      </c>
      <c r="EP95" s="452" t="str">
        <f t="shared" si="136"/>
        <v/>
      </c>
      <c r="EQ95" s="453" t="str">
        <f t="shared" si="136"/>
        <v/>
      </c>
      <c r="ER95" s="451" t="str">
        <f t="shared" si="136"/>
        <v/>
      </c>
      <c r="ES95" s="452" t="str">
        <f t="shared" si="136"/>
        <v/>
      </c>
      <c r="ET95" s="452" t="str">
        <f t="shared" si="136"/>
        <v/>
      </c>
      <c r="EU95" s="452" t="str">
        <f t="shared" si="136"/>
        <v/>
      </c>
      <c r="EV95" s="453" t="str">
        <f t="shared" si="136"/>
        <v/>
      </c>
      <c r="EW95" s="451" t="str">
        <f t="shared" si="136"/>
        <v/>
      </c>
      <c r="EX95" s="452" t="str">
        <f t="shared" si="136"/>
        <v/>
      </c>
      <c r="EY95" s="452" t="str">
        <f t="shared" si="136"/>
        <v/>
      </c>
      <c r="EZ95" s="452" t="str">
        <f t="shared" si="136"/>
        <v/>
      </c>
      <c r="FA95" s="453" t="str">
        <f t="shared" si="136"/>
        <v/>
      </c>
      <c r="FB95" s="451" t="str">
        <f t="shared" si="136"/>
        <v/>
      </c>
      <c r="FC95" s="452" t="str">
        <f t="shared" si="136"/>
        <v/>
      </c>
      <c r="FD95" s="452" t="str">
        <f t="shared" si="139"/>
        <v/>
      </c>
      <c r="FE95" s="452" t="str">
        <f t="shared" si="139"/>
        <v/>
      </c>
      <c r="FF95" s="453" t="str">
        <f t="shared" si="139"/>
        <v/>
      </c>
      <c r="FG95" s="451" t="str">
        <f t="shared" si="139"/>
        <v/>
      </c>
      <c r="FH95" s="452" t="str">
        <f t="shared" si="139"/>
        <v/>
      </c>
      <c r="FI95" s="452" t="str">
        <f t="shared" si="139"/>
        <v/>
      </c>
      <c r="FJ95" s="452" t="str">
        <f t="shared" si="139"/>
        <v/>
      </c>
      <c r="FK95" s="453" t="str">
        <f t="shared" si="139"/>
        <v/>
      </c>
      <c r="FL95" s="451" t="str">
        <f t="shared" si="139"/>
        <v/>
      </c>
      <c r="FM95" s="452" t="str">
        <f t="shared" si="139"/>
        <v/>
      </c>
      <c r="FN95" s="452" t="str">
        <f t="shared" si="139"/>
        <v/>
      </c>
      <c r="FO95" s="452" t="str">
        <f t="shared" si="139"/>
        <v/>
      </c>
      <c r="FP95" s="453" t="str">
        <f t="shared" si="137"/>
        <v/>
      </c>
      <c r="FQ95" s="451" t="str">
        <f t="shared" si="137"/>
        <v/>
      </c>
      <c r="FR95" s="452" t="str">
        <f t="shared" si="137"/>
        <v/>
      </c>
      <c r="FS95" s="452" t="str">
        <f t="shared" si="137"/>
        <v/>
      </c>
      <c r="FT95" s="452" t="str">
        <f t="shared" si="137"/>
        <v/>
      </c>
      <c r="FU95" s="453" t="str">
        <f t="shared" si="137"/>
        <v/>
      </c>
      <c r="FV95" s="451" t="str">
        <f t="shared" si="137"/>
        <v/>
      </c>
      <c r="FW95" s="452" t="str">
        <f t="shared" si="137"/>
        <v/>
      </c>
      <c r="FX95" s="452" t="str">
        <f t="shared" si="137"/>
        <v/>
      </c>
      <c r="FY95" s="452" t="str">
        <f t="shared" si="128"/>
        <v/>
      </c>
      <c r="FZ95" s="453" t="str">
        <f t="shared" si="128"/>
        <v/>
      </c>
      <c r="GA95" s="451" t="str">
        <f t="shared" si="128"/>
        <v/>
      </c>
      <c r="GB95" s="452" t="str">
        <f t="shared" si="128"/>
        <v/>
      </c>
      <c r="GC95" s="452" t="str">
        <f t="shared" si="128"/>
        <v/>
      </c>
      <c r="GD95" s="452" t="str">
        <f t="shared" si="128"/>
        <v/>
      </c>
      <c r="GE95" s="453" t="str">
        <f t="shared" si="128"/>
        <v/>
      </c>
      <c r="GF95" s="451" t="str">
        <f t="shared" si="128"/>
        <v/>
      </c>
      <c r="GG95" s="452" t="str">
        <f t="shared" si="128"/>
        <v/>
      </c>
      <c r="GH95" s="452" t="str">
        <f t="shared" si="128"/>
        <v/>
      </c>
      <c r="GI95" s="452" t="str">
        <f t="shared" si="128"/>
        <v/>
      </c>
      <c r="GJ95" s="453" t="str">
        <f t="shared" si="128"/>
        <v/>
      </c>
      <c r="GK95" s="451" t="str">
        <f t="shared" si="128"/>
        <v/>
      </c>
      <c r="GL95" s="452" t="str">
        <f t="shared" si="128"/>
        <v/>
      </c>
      <c r="GM95" s="452" t="str">
        <f t="shared" si="128"/>
        <v/>
      </c>
      <c r="GN95" s="452" t="str">
        <f t="shared" si="127"/>
        <v/>
      </c>
      <c r="GO95" s="453" t="str">
        <f t="shared" si="127"/>
        <v/>
      </c>
      <c r="GP95" s="451" t="str">
        <f t="shared" si="127"/>
        <v/>
      </c>
      <c r="GQ95" s="452" t="str">
        <f t="shared" si="127"/>
        <v/>
      </c>
      <c r="GR95" s="452" t="str">
        <f t="shared" si="127"/>
        <v/>
      </c>
      <c r="GS95" s="452" t="str">
        <f t="shared" si="127"/>
        <v/>
      </c>
      <c r="GT95" s="453" t="str">
        <f t="shared" si="132"/>
        <v/>
      </c>
      <c r="GU95" s="451" t="str">
        <f t="shared" si="132"/>
        <v/>
      </c>
      <c r="GV95" s="452" t="str">
        <f t="shared" si="132"/>
        <v/>
      </c>
      <c r="GW95" s="452" t="str">
        <f t="shared" si="132"/>
        <v/>
      </c>
      <c r="GX95" s="452" t="str">
        <f t="shared" si="132"/>
        <v/>
      </c>
      <c r="GY95" s="453" t="str">
        <f t="shared" si="132"/>
        <v/>
      </c>
      <c r="GZ95" s="451" t="str">
        <f t="shared" si="132"/>
        <v/>
      </c>
      <c r="HA95" s="452" t="str">
        <f t="shared" si="132"/>
        <v/>
      </c>
      <c r="HB95" s="452" t="str">
        <f t="shared" si="132"/>
        <v/>
      </c>
      <c r="HC95" s="452" t="str">
        <f t="shared" si="132"/>
        <v/>
      </c>
      <c r="HD95" s="453" t="str">
        <f t="shared" si="132"/>
        <v/>
      </c>
      <c r="HE95" s="451" t="str">
        <f t="shared" si="132"/>
        <v/>
      </c>
      <c r="HF95" s="452" t="str">
        <f t="shared" si="132"/>
        <v/>
      </c>
      <c r="HG95" s="452" t="str">
        <f t="shared" si="132"/>
        <v/>
      </c>
      <c r="HH95" s="452" t="str">
        <f t="shared" si="132"/>
        <v/>
      </c>
      <c r="HI95" s="453" t="str">
        <f t="shared" si="132"/>
        <v/>
      </c>
      <c r="HJ95" s="451" t="str">
        <f t="shared" si="144"/>
        <v/>
      </c>
      <c r="HK95" s="452" t="str">
        <f t="shared" si="144"/>
        <v/>
      </c>
      <c r="HL95" s="452" t="str">
        <f t="shared" si="144"/>
        <v/>
      </c>
      <c r="HM95" s="452" t="str">
        <f t="shared" si="144"/>
        <v/>
      </c>
      <c r="HN95" s="453" t="str">
        <f t="shared" si="144"/>
        <v/>
      </c>
      <c r="HO95" s="451" t="str">
        <f t="shared" si="144"/>
        <v/>
      </c>
      <c r="HP95" s="452" t="str">
        <f t="shared" si="144"/>
        <v/>
      </c>
      <c r="HQ95" s="452" t="str">
        <f t="shared" si="144"/>
        <v/>
      </c>
      <c r="HR95" s="452" t="str">
        <f t="shared" si="144"/>
        <v/>
      </c>
      <c r="HS95" s="453" t="str">
        <f t="shared" si="144"/>
        <v/>
      </c>
      <c r="HT95" s="451" t="str">
        <f t="shared" si="144"/>
        <v/>
      </c>
      <c r="HU95" s="452" t="str">
        <f t="shared" si="144"/>
        <v/>
      </c>
      <c r="HV95" s="452" t="str">
        <f t="shared" si="144"/>
        <v/>
      </c>
      <c r="HW95" s="452" t="str">
        <f t="shared" si="144"/>
        <v/>
      </c>
      <c r="HX95" s="453" t="str">
        <f t="shared" si="144"/>
        <v/>
      </c>
      <c r="HY95" s="451" t="str">
        <f t="shared" si="143"/>
        <v/>
      </c>
      <c r="HZ95" s="452" t="str">
        <f t="shared" si="143"/>
        <v/>
      </c>
      <c r="IA95" s="452" t="str">
        <f t="shared" si="143"/>
        <v/>
      </c>
      <c r="IB95" s="452" t="str">
        <f t="shared" si="143"/>
        <v/>
      </c>
      <c r="IC95" s="453" t="str">
        <f t="shared" si="143"/>
        <v/>
      </c>
      <c r="ID95" s="451" t="str">
        <f t="shared" si="143"/>
        <v/>
      </c>
      <c r="IE95" s="452" t="str">
        <f t="shared" si="143"/>
        <v/>
      </c>
      <c r="IF95" s="452" t="str">
        <f t="shared" si="143"/>
        <v/>
      </c>
      <c r="IG95" s="452" t="str">
        <f t="shared" si="143"/>
        <v/>
      </c>
      <c r="IH95" s="453" t="str">
        <f t="shared" si="143"/>
        <v/>
      </c>
      <c r="II95" s="451" t="str">
        <f t="shared" si="143"/>
        <v/>
      </c>
      <c r="IJ95" s="452" t="str">
        <f t="shared" si="143"/>
        <v/>
      </c>
      <c r="IK95" s="452" t="str">
        <f t="shared" si="143"/>
        <v/>
      </c>
      <c r="IL95" s="452" t="str">
        <f t="shared" si="143"/>
        <v/>
      </c>
      <c r="IM95" s="453" t="str">
        <f t="shared" si="120"/>
        <v/>
      </c>
      <c r="IN95" s="451" t="str">
        <f t="shared" si="120"/>
        <v/>
      </c>
      <c r="IO95" s="452" t="str">
        <f t="shared" si="126"/>
        <v/>
      </c>
      <c r="IP95" s="452" t="str">
        <f t="shared" si="126"/>
        <v/>
      </c>
      <c r="IQ95" s="452" t="str">
        <f t="shared" si="126"/>
        <v/>
      </c>
      <c r="IR95" s="453" t="str">
        <f t="shared" si="126"/>
        <v/>
      </c>
    </row>
    <row r="96" spans="1:252" x14ac:dyDescent="0.2">
      <c r="A96" s="461">
        <v>9.4</v>
      </c>
      <c r="C96" s="447" t="s">
        <v>1354</v>
      </c>
      <c r="D96" s="447"/>
      <c r="E96" s="448"/>
      <c r="F96" s="448"/>
      <c r="G96" s="448"/>
      <c r="H96" s="448"/>
      <c r="I96" s="448"/>
      <c r="J96" s="449" t="str">
        <f t="shared" si="140"/>
        <v/>
      </c>
      <c r="K96" s="449" t="str">
        <f t="shared" si="141"/>
        <v/>
      </c>
      <c r="L96" s="450">
        <f t="shared" si="101"/>
        <v>0</v>
      </c>
      <c r="M96" s="451" t="str">
        <f t="shared" si="138"/>
        <v/>
      </c>
      <c r="N96" s="452" t="str">
        <f t="shared" si="138"/>
        <v/>
      </c>
      <c r="O96" s="452" t="str">
        <f t="shared" si="138"/>
        <v/>
      </c>
      <c r="P96" s="452" t="str">
        <f t="shared" si="138"/>
        <v/>
      </c>
      <c r="Q96" s="453" t="str">
        <f t="shared" si="138"/>
        <v/>
      </c>
      <c r="R96" s="451" t="str">
        <f t="shared" si="138"/>
        <v/>
      </c>
      <c r="S96" s="452" t="str">
        <f t="shared" si="138"/>
        <v/>
      </c>
      <c r="T96" s="452" t="str">
        <f t="shared" si="138"/>
        <v/>
      </c>
      <c r="U96" s="452" t="str">
        <f t="shared" si="138"/>
        <v/>
      </c>
      <c r="V96" s="453" t="str">
        <f t="shared" si="138"/>
        <v/>
      </c>
      <c r="W96" s="451" t="str">
        <f t="shared" si="138"/>
        <v/>
      </c>
      <c r="X96" s="452" t="str">
        <f t="shared" si="138"/>
        <v/>
      </c>
      <c r="Y96" s="452" t="str">
        <f t="shared" si="138"/>
        <v/>
      </c>
      <c r="Z96" s="452" t="str">
        <f t="shared" si="138"/>
        <v/>
      </c>
      <c r="AA96" s="453" t="str">
        <f t="shared" si="138"/>
        <v/>
      </c>
      <c r="AB96" s="451" t="str">
        <f t="shared" si="138"/>
        <v/>
      </c>
      <c r="AC96" s="452" t="str">
        <f t="shared" si="121"/>
        <v/>
      </c>
      <c r="AD96" s="452" t="str">
        <f t="shared" si="121"/>
        <v/>
      </c>
      <c r="AE96" s="452" t="str">
        <f t="shared" si="121"/>
        <v/>
      </c>
      <c r="AF96" s="453" t="str">
        <f t="shared" si="121"/>
        <v/>
      </c>
      <c r="AG96" s="451" t="str">
        <f t="shared" si="121"/>
        <v/>
      </c>
      <c r="AH96" s="452" t="str">
        <f t="shared" si="121"/>
        <v/>
      </c>
      <c r="AI96" s="452" t="str">
        <f t="shared" si="121"/>
        <v/>
      </c>
      <c r="AJ96" s="452" t="str">
        <f t="shared" si="121"/>
        <v/>
      </c>
      <c r="AK96" s="453" t="str">
        <f t="shared" si="121"/>
        <v/>
      </c>
      <c r="AL96" s="451" t="str">
        <f t="shared" si="121"/>
        <v/>
      </c>
      <c r="AM96" s="452" t="str">
        <f t="shared" si="121"/>
        <v/>
      </c>
      <c r="AN96" s="452" t="str">
        <f t="shared" si="121"/>
        <v/>
      </c>
      <c r="AO96" s="452" t="str">
        <f t="shared" si="121"/>
        <v/>
      </c>
      <c r="AP96" s="453" t="str">
        <f t="shared" si="121"/>
        <v/>
      </c>
      <c r="AQ96" s="451" t="str">
        <f t="shared" si="121"/>
        <v/>
      </c>
      <c r="AR96" s="452" t="str">
        <f t="shared" ref="AR96:BG111" si="145">IF(AND(AR$2&gt;=$J96,AR$2&lt;=$K96),1,"")</f>
        <v/>
      </c>
      <c r="AS96" s="452" t="str">
        <f t="shared" si="145"/>
        <v/>
      </c>
      <c r="AT96" s="452" t="str">
        <f t="shared" si="145"/>
        <v/>
      </c>
      <c r="AU96" s="453" t="str">
        <f t="shared" si="145"/>
        <v/>
      </c>
      <c r="AV96" s="451" t="str">
        <f t="shared" si="145"/>
        <v/>
      </c>
      <c r="AW96" s="452" t="str">
        <f t="shared" si="145"/>
        <v/>
      </c>
      <c r="AX96" s="452" t="str">
        <f t="shared" si="145"/>
        <v/>
      </c>
      <c r="AY96" s="452" t="str">
        <f t="shared" si="145"/>
        <v/>
      </c>
      <c r="AZ96" s="453" t="str">
        <f t="shared" si="145"/>
        <v/>
      </c>
      <c r="BA96" s="451" t="str">
        <f t="shared" si="145"/>
        <v/>
      </c>
      <c r="BB96" s="452" t="str">
        <f t="shared" si="145"/>
        <v/>
      </c>
      <c r="BC96" s="452" t="str">
        <f t="shared" si="145"/>
        <v/>
      </c>
      <c r="BD96" s="452" t="str">
        <f t="shared" si="145"/>
        <v/>
      </c>
      <c r="BE96" s="453" t="str">
        <f t="shared" si="145"/>
        <v/>
      </c>
      <c r="BF96" s="451" t="str">
        <f t="shared" si="145"/>
        <v/>
      </c>
      <c r="BG96" s="452" t="str">
        <f t="shared" si="145"/>
        <v/>
      </c>
      <c r="BH96" s="452" t="str">
        <f t="shared" si="129"/>
        <v/>
      </c>
      <c r="BI96" s="452" t="str">
        <f t="shared" si="129"/>
        <v/>
      </c>
      <c r="BJ96" s="453" t="str">
        <f t="shared" si="129"/>
        <v/>
      </c>
      <c r="BK96" s="451" t="str">
        <f t="shared" si="129"/>
        <v/>
      </c>
      <c r="BL96" s="452" t="str">
        <f t="shared" si="129"/>
        <v/>
      </c>
      <c r="BM96" s="452" t="str">
        <f t="shared" si="129"/>
        <v/>
      </c>
      <c r="BN96" s="452" t="str">
        <f t="shared" si="129"/>
        <v/>
      </c>
      <c r="BO96" s="453" t="str">
        <f t="shared" si="129"/>
        <v/>
      </c>
      <c r="BP96" s="451" t="str">
        <f t="shared" si="129"/>
        <v/>
      </c>
      <c r="BQ96" s="452" t="str">
        <f t="shared" si="129"/>
        <v/>
      </c>
      <c r="BR96" s="452" t="str">
        <f t="shared" si="129"/>
        <v/>
      </c>
      <c r="BS96" s="452" t="str">
        <f t="shared" si="129"/>
        <v/>
      </c>
      <c r="BT96" s="453" t="str">
        <f t="shared" si="129"/>
        <v/>
      </c>
      <c r="BU96" s="451" t="str">
        <f t="shared" si="129"/>
        <v/>
      </c>
      <c r="BV96" s="452" t="str">
        <f t="shared" si="129"/>
        <v/>
      </c>
      <c r="BW96" s="452" t="str">
        <f t="shared" si="129"/>
        <v/>
      </c>
      <c r="BX96" s="452" t="str">
        <f t="shared" ref="BX96:CM111" si="146">IF(AND(BX$2&gt;=$J96,BX$2&lt;=$K96),1,"")</f>
        <v/>
      </c>
      <c r="BY96" s="453" t="str">
        <f t="shared" si="146"/>
        <v/>
      </c>
      <c r="BZ96" s="451" t="str">
        <f t="shared" si="146"/>
        <v/>
      </c>
      <c r="CA96" s="452" t="str">
        <f t="shared" si="146"/>
        <v/>
      </c>
      <c r="CB96" s="452" t="str">
        <f t="shared" si="146"/>
        <v/>
      </c>
      <c r="CC96" s="452" t="str">
        <f t="shared" si="146"/>
        <v/>
      </c>
      <c r="CD96" s="453" t="str">
        <f t="shared" si="146"/>
        <v/>
      </c>
      <c r="CE96" s="451" t="str">
        <f t="shared" si="146"/>
        <v/>
      </c>
      <c r="CF96" s="452" t="str">
        <f t="shared" si="146"/>
        <v/>
      </c>
      <c r="CG96" s="452" t="str">
        <f t="shared" si="146"/>
        <v/>
      </c>
      <c r="CH96" s="452" t="str">
        <f t="shared" si="146"/>
        <v/>
      </c>
      <c r="CI96" s="453" t="str">
        <f t="shared" si="146"/>
        <v/>
      </c>
      <c r="CJ96" s="451" t="str">
        <f t="shared" si="146"/>
        <v/>
      </c>
      <c r="CK96" s="452" t="str">
        <f t="shared" si="146"/>
        <v/>
      </c>
      <c r="CL96" s="452" t="str">
        <f t="shared" si="146"/>
        <v/>
      </c>
      <c r="CM96" s="452" t="str">
        <f t="shared" si="146"/>
        <v/>
      </c>
      <c r="CN96" s="453" t="str">
        <f t="shared" si="133"/>
        <v/>
      </c>
      <c r="CO96" s="451" t="str">
        <f t="shared" si="133"/>
        <v/>
      </c>
      <c r="CP96" s="452" t="str">
        <f t="shared" si="133"/>
        <v/>
      </c>
      <c r="CQ96" s="452" t="str">
        <f t="shared" si="133"/>
        <v/>
      </c>
      <c r="CR96" s="452" t="str">
        <f t="shared" si="133"/>
        <v/>
      </c>
      <c r="CS96" s="453" t="str">
        <f t="shared" si="133"/>
        <v/>
      </c>
      <c r="CT96" s="451" t="str">
        <f t="shared" si="133"/>
        <v/>
      </c>
      <c r="CU96" s="452" t="str">
        <f t="shared" si="133"/>
        <v/>
      </c>
      <c r="CV96" s="452" t="str">
        <f t="shared" si="142"/>
        <v/>
      </c>
      <c r="CW96" s="452" t="str">
        <f t="shared" si="142"/>
        <v/>
      </c>
      <c r="CX96" s="453" t="str">
        <f t="shared" si="142"/>
        <v/>
      </c>
      <c r="CY96" s="451" t="str">
        <f t="shared" si="142"/>
        <v/>
      </c>
      <c r="CZ96" s="452" t="str">
        <f t="shared" si="142"/>
        <v/>
      </c>
      <c r="DA96" s="452" t="str">
        <f t="shared" si="142"/>
        <v/>
      </c>
      <c r="DB96" s="452" t="str">
        <f t="shared" si="142"/>
        <v/>
      </c>
      <c r="DC96" s="453" t="str">
        <f t="shared" si="142"/>
        <v/>
      </c>
      <c r="DD96" s="451" t="str">
        <f t="shared" si="142"/>
        <v/>
      </c>
      <c r="DE96" s="452" t="str">
        <f t="shared" si="134"/>
        <v/>
      </c>
      <c r="DF96" s="452" t="str">
        <f t="shared" si="134"/>
        <v/>
      </c>
      <c r="DG96" s="452" t="str">
        <f t="shared" si="134"/>
        <v/>
      </c>
      <c r="DH96" s="453" t="str">
        <f t="shared" si="134"/>
        <v/>
      </c>
      <c r="DI96" s="451" t="str">
        <f t="shared" si="134"/>
        <v/>
      </c>
      <c r="DJ96" s="452" t="str">
        <f t="shared" si="134"/>
        <v/>
      </c>
      <c r="DK96" s="452" t="str">
        <f t="shared" si="134"/>
        <v/>
      </c>
      <c r="DL96" s="452" t="str">
        <f t="shared" si="134"/>
        <v/>
      </c>
      <c r="DM96" s="453" t="str">
        <f t="shared" si="134"/>
        <v/>
      </c>
      <c r="DN96" s="451" t="str">
        <f t="shared" si="134"/>
        <v/>
      </c>
      <c r="DO96" s="452" t="str">
        <f t="shared" si="134"/>
        <v/>
      </c>
      <c r="DP96" s="452" t="str">
        <f t="shared" si="134"/>
        <v/>
      </c>
      <c r="DQ96" s="452" t="str">
        <f t="shared" si="134"/>
        <v/>
      </c>
      <c r="DR96" s="453" t="str">
        <f t="shared" si="134"/>
        <v/>
      </c>
      <c r="DS96" s="451" t="str">
        <f t="shared" si="134"/>
        <v/>
      </c>
      <c r="DT96" s="452" t="str">
        <f t="shared" si="134"/>
        <v/>
      </c>
      <c r="DU96" s="452" t="str">
        <f t="shared" si="124"/>
        <v/>
      </c>
      <c r="DV96" s="452" t="str">
        <f t="shared" si="124"/>
        <v/>
      </c>
      <c r="DW96" s="453" t="str">
        <f t="shared" si="124"/>
        <v/>
      </c>
      <c r="DX96" s="451" t="str">
        <f t="shared" si="124"/>
        <v/>
      </c>
      <c r="DY96" s="452" t="str">
        <f t="shared" si="124"/>
        <v/>
      </c>
      <c r="DZ96" s="452" t="str">
        <f t="shared" si="124"/>
        <v/>
      </c>
      <c r="EA96" s="452" t="str">
        <f t="shared" si="124"/>
        <v/>
      </c>
      <c r="EB96" s="453" t="str">
        <f t="shared" si="124"/>
        <v/>
      </c>
      <c r="EC96" s="451" t="str">
        <f t="shared" si="136"/>
        <v/>
      </c>
      <c r="ED96" s="452" t="str">
        <f t="shared" si="136"/>
        <v/>
      </c>
      <c r="EE96" s="452" t="str">
        <f t="shared" si="136"/>
        <v/>
      </c>
      <c r="EF96" s="452" t="str">
        <f t="shared" si="136"/>
        <v/>
      </c>
      <c r="EG96" s="453" t="str">
        <f t="shared" si="136"/>
        <v/>
      </c>
      <c r="EH96" s="451" t="str">
        <f t="shared" si="136"/>
        <v/>
      </c>
      <c r="EI96" s="452" t="str">
        <f t="shared" si="136"/>
        <v/>
      </c>
      <c r="EJ96" s="452" t="str">
        <f t="shared" si="136"/>
        <v/>
      </c>
      <c r="EK96" s="452" t="str">
        <f t="shared" si="136"/>
        <v/>
      </c>
      <c r="EL96" s="453" t="str">
        <f t="shared" si="136"/>
        <v/>
      </c>
      <c r="EM96" s="451" t="str">
        <f t="shared" si="136"/>
        <v/>
      </c>
      <c r="EN96" s="452" t="str">
        <f t="shared" si="136"/>
        <v/>
      </c>
      <c r="EO96" s="452" t="str">
        <f t="shared" si="136"/>
        <v/>
      </c>
      <c r="EP96" s="452" t="str">
        <f t="shared" si="136"/>
        <v/>
      </c>
      <c r="EQ96" s="453" t="str">
        <f t="shared" si="136"/>
        <v/>
      </c>
      <c r="ER96" s="451" t="str">
        <f t="shared" si="136"/>
        <v/>
      </c>
      <c r="ES96" s="452" t="str">
        <f t="shared" si="136"/>
        <v/>
      </c>
      <c r="ET96" s="452" t="str">
        <f t="shared" si="136"/>
        <v/>
      </c>
      <c r="EU96" s="452" t="str">
        <f t="shared" si="136"/>
        <v/>
      </c>
      <c r="EV96" s="453" t="str">
        <f t="shared" si="136"/>
        <v/>
      </c>
      <c r="EW96" s="451" t="str">
        <f t="shared" si="136"/>
        <v/>
      </c>
      <c r="EX96" s="452" t="str">
        <f t="shared" si="136"/>
        <v/>
      </c>
      <c r="EY96" s="452" t="str">
        <f t="shared" si="136"/>
        <v/>
      </c>
      <c r="EZ96" s="452" t="str">
        <f t="shared" si="136"/>
        <v/>
      </c>
      <c r="FA96" s="453" t="str">
        <f t="shared" si="136"/>
        <v/>
      </c>
      <c r="FB96" s="451" t="str">
        <f t="shared" si="136"/>
        <v/>
      </c>
      <c r="FC96" s="452" t="str">
        <f t="shared" si="136"/>
        <v/>
      </c>
      <c r="FD96" s="452" t="str">
        <f t="shared" si="139"/>
        <v/>
      </c>
      <c r="FE96" s="452" t="str">
        <f t="shared" si="139"/>
        <v/>
      </c>
      <c r="FF96" s="453" t="str">
        <f t="shared" si="139"/>
        <v/>
      </c>
      <c r="FG96" s="451" t="str">
        <f t="shared" si="139"/>
        <v/>
      </c>
      <c r="FH96" s="452" t="str">
        <f t="shared" si="139"/>
        <v/>
      </c>
      <c r="FI96" s="452" t="str">
        <f t="shared" si="139"/>
        <v/>
      </c>
      <c r="FJ96" s="452" t="str">
        <f t="shared" si="139"/>
        <v/>
      </c>
      <c r="FK96" s="453" t="str">
        <f t="shared" si="139"/>
        <v/>
      </c>
      <c r="FL96" s="451" t="str">
        <f t="shared" si="139"/>
        <v/>
      </c>
      <c r="FM96" s="452" t="str">
        <f t="shared" si="139"/>
        <v/>
      </c>
      <c r="FN96" s="452" t="str">
        <f t="shared" si="139"/>
        <v/>
      </c>
      <c r="FO96" s="452" t="str">
        <f t="shared" si="139"/>
        <v/>
      </c>
      <c r="FP96" s="453" t="str">
        <f t="shared" si="137"/>
        <v/>
      </c>
      <c r="FQ96" s="451" t="str">
        <f t="shared" si="137"/>
        <v/>
      </c>
      <c r="FR96" s="452" t="str">
        <f t="shared" si="137"/>
        <v/>
      </c>
      <c r="FS96" s="452" t="str">
        <f t="shared" si="137"/>
        <v/>
      </c>
      <c r="FT96" s="452" t="str">
        <f t="shared" si="137"/>
        <v/>
      </c>
      <c r="FU96" s="453" t="str">
        <f t="shared" si="137"/>
        <v/>
      </c>
      <c r="FV96" s="451" t="str">
        <f t="shared" si="137"/>
        <v/>
      </c>
      <c r="FW96" s="452" t="str">
        <f t="shared" si="137"/>
        <v/>
      </c>
      <c r="FX96" s="452" t="str">
        <f t="shared" si="137"/>
        <v/>
      </c>
      <c r="FY96" s="452" t="str">
        <f t="shared" si="128"/>
        <v/>
      </c>
      <c r="FZ96" s="453" t="str">
        <f t="shared" si="128"/>
        <v/>
      </c>
      <c r="GA96" s="451" t="str">
        <f t="shared" si="128"/>
        <v/>
      </c>
      <c r="GB96" s="452" t="str">
        <f t="shared" si="128"/>
        <v/>
      </c>
      <c r="GC96" s="452" t="str">
        <f t="shared" si="128"/>
        <v/>
      </c>
      <c r="GD96" s="452" t="str">
        <f t="shared" si="128"/>
        <v/>
      </c>
      <c r="GE96" s="453" t="str">
        <f t="shared" si="128"/>
        <v/>
      </c>
      <c r="GF96" s="451" t="str">
        <f t="shared" si="128"/>
        <v/>
      </c>
      <c r="GG96" s="452" t="str">
        <f t="shared" si="128"/>
        <v/>
      </c>
      <c r="GH96" s="452" t="str">
        <f t="shared" si="128"/>
        <v/>
      </c>
      <c r="GI96" s="452" t="str">
        <f t="shared" si="128"/>
        <v/>
      </c>
      <c r="GJ96" s="453" t="str">
        <f t="shared" si="128"/>
        <v/>
      </c>
      <c r="GK96" s="451" t="str">
        <f t="shared" si="128"/>
        <v/>
      </c>
      <c r="GL96" s="452" t="str">
        <f t="shared" si="128"/>
        <v/>
      </c>
      <c r="GM96" s="452" t="str">
        <f t="shared" si="128"/>
        <v/>
      </c>
      <c r="GN96" s="452" t="str">
        <f t="shared" si="127"/>
        <v/>
      </c>
      <c r="GO96" s="453" t="str">
        <f t="shared" si="127"/>
        <v/>
      </c>
      <c r="GP96" s="451" t="str">
        <f t="shared" si="127"/>
        <v/>
      </c>
      <c r="GQ96" s="452" t="str">
        <f t="shared" si="127"/>
        <v/>
      </c>
      <c r="GR96" s="452" t="str">
        <f t="shared" si="127"/>
        <v/>
      </c>
      <c r="GS96" s="452" t="str">
        <f t="shared" si="127"/>
        <v/>
      </c>
      <c r="GT96" s="453" t="str">
        <f t="shared" si="132"/>
        <v/>
      </c>
      <c r="GU96" s="451" t="str">
        <f t="shared" si="132"/>
        <v/>
      </c>
      <c r="GV96" s="452" t="str">
        <f t="shared" si="132"/>
        <v/>
      </c>
      <c r="GW96" s="452" t="str">
        <f t="shared" si="132"/>
        <v/>
      </c>
      <c r="GX96" s="452" t="str">
        <f t="shared" si="132"/>
        <v/>
      </c>
      <c r="GY96" s="453" t="str">
        <f t="shared" si="132"/>
        <v/>
      </c>
      <c r="GZ96" s="451" t="str">
        <f t="shared" si="132"/>
        <v/>
      </c>
      <c r="HA96" s="452" t="str">
        <f t="shared" si="132"/>
        <v/>
      </c>
      <c r="HB96" s="452" t="str">
        <f t="shared" si="132"/>
        <v/>
      </c>
      <c r="HC96" s="452" t="str">
        <f t="shared" si="132"/>
        <v/>
      </c>
      <c r="HD96" s="453" t="str">
        <f t="shared" si="132"/>
        <v/>
      </c>
      <c r="HE96" s="451" t="str">
        <f t="shared" si="132"/>
        <v/>
      </c>
      <c r="HF96" s="452" t="str">
        <f t="shared" si="132"/>
        <v/>
      </c>
      <c r="HG96" s="452" t="str">
        <f t="shared" si="132"/>
        <v/>
      </c>
      <c r="HH96" s="452" t="str">
        <f t="shared" si="132"/>
        <v/>
      </c>
      <c r="HI96" s="453" t="str">
        <f t="shared" si="132"/>
        <v/>
      </c>
      <c r="HJ96" s="451" t="str">
        <f t="shared" si="144"/>
        <v/>
      </c>
      <c r="HK96" s="452" t="str">
        <f t="shared" si="144"/>
        <v/>
      </c>
      <c r="HL96" s="452" t="str">
        <f t="shared" si="144"/>
        <v/>
      </c>
      <c r="HM96" s="452" t="str">
        <f t="shared" si="144"/>
        <v/>
      </c>
      <c r="HN96" s="453" t="str">
        <f t="shared" si="144"/>
        <v/>
      </c>
      <c r="HO96" s="451" t="str">
        <f t="shared" si="144"/>
        <v/>
      </c>
      <c r="HP96" s="452" t="str">
        <f t="shared" si="144"/>
        <v/>
      </c>
      <c r="HQ96" s="452" t="str">
        <f t="shared" si="144"/>
        <v/>
      </c>
      <c r="HR96" s="452" t="str">
        <f t="shared" si="144"/>
        <v/>
      </c>
      <c r="HS96" s="453" t="str">
        <f t="shared" si="144"/>
        <v/>
      </c>
      <c r="HT96" s="451" t="str">
        <f t="shared" si="144"/>
        <v/>
      </c>
      <c r="HU96" s="452" t="str">
        <f t="shared" si="144"/>
        <v/>
      </c>
      <c r="HV96" s="452" t="str">
        <f t="shared" si="144"/>
        <v/>
      </c>
      <c r="HW96" s="452" t="str">
        <f t="shared" si="144"/>
        <v/>
      </c>
      <c r="HX96" s="453" t="str">
        <f t="shared" si="144"/>
        <v/>
      </c>
      <c r="HY96" s="451" t="str">
        <f t="shared" si="143"/>
        <v/>
      </c>
      <c r="HZ96" s="452" t="str">
        <f t="shared" si="143"/>
        <v/>
      </c>
      <c r="IA96" s="452" t="str">
        <f t="shared" si="143"/>
        <v/>
      </c>
      <c r="IB96" s="452" t="str">
        <f t="shared" si="143"/>
        <v/>
      </c>
      <c r="IC96" s="453" t="str">
        <f t="shared" si="143"/>
        <v/>
      </c>
      <c r="ID96" s="451" t="str">
        <f t="shared" si="143"/>
        <v/>
      </c>
      <c r="IE96" s="452" t="str">
        <f t="shared" si="143"/>
        <v/>
      </c>
      <c r="IF96" s="452" t="str">
        <f t="shared" si="143"/>
        <v/>
      </c>
      <c r="IG96" s="452" t="str">
        <f t="shared" si="143"/>
        <v/>
      </c>
      <c r="IH96" s="453" t="str">
        <f t="shared" si="143"/>
        <v/>
      </c>
      <c r="II96" s="451" t="str">
        <f t="shared" si="143"/>
        <v/>
      </c>
      <c r="IJ96" s="452" t="str">
        <f t="shared" si="143"/>
        <v/>
      </c>
      <c r="IK96" s="452" t="str">
        <f t="shared" si="143"/>
        <v/>
      </c>
      <c r="IL96" s="452" t="str">
        <f t="shared" si="143"/>
        <v/>
      </c>
      <c r="IM96" s="453" t="str">
        <f t="shared" ref="IM96:IR111" si="147">IF(AND(IM$2&gt;=$J96,IM$2&lt;=$K96),1,"")</f>
        <v/>
      </c>
      <c r="IN96" s="451" t="str">
        <f t="shared" si="147"/>
        <v/>
      </c>
      <c r="IO96" s="452" t="str">
        <f t="shared" si="126"/>
        <v/>
      </c>
      <c r="IP96" s="452" t="str">
        <f t="shared" si="126"/>
        <v/>
      </c>
      <c r="IQ96" s="452" t="str">
        <f t="shared" si="126"/>
        <v/>
      </c>
      <c r="IR96" s="453" t="str">
        <f t="shared" si="126"/>
        <v/>
      </c>
    </row>
    <row r="97" spans="1:252" x14ac:dyDescent="0.2">
      <c r="A97" s="461">
        <v>9.5</v>
      </c>
      <c r="C97" s="447" t="s">
        <v>1355</v>
      </c>
      <c r="D97" s="447"/>
      <c r="E97" s="448"/>
      <c r="F97" s="448"/>
      <c r="G97" s="448"/>
      <c r="H97" s="448"/>
      <c r="I97" s="448"/>
      <c r="J97" s="449" t="str">
        <f t="shared" si="140"/>
        <v/>
      </c>
      <c r="K97" s="449" t="str">
        <f t="shared" si="141"/>
        <v/>
      </c>
      <c r="L97" s="450">
        <f t="shared" si="101"/>
        <v>0</v>
      </c>
      <c r="M97" s="451" t="str">
        <f t="shared" si="138"/>
        <v/>
      </c>
      <c r="N97" s="452" t="str">
        <f t="shared" si="138"/>
        <v/>
      </c>
      <c r="O97" s="452" t="str">
        <f t="shared" si="138"/>
        <v/>
      </c>
      <c r="P97" s="452" t="str">
        <f t="shared" si="138"/>
        <v/>
      </c>
      <c r="Q97" s="453" t="str">
        <f t="shared" si="138"/>
        <v/>
      </c>
      <c r="R97" s="451" t="str">
        <f t="shared" si="138"/>
        <v/>
      </c>
      <c r="S97" s="452" t="str">
        <f t="shared" si="138"/>
        <v/>
      </c>
      <c r="T97" s="452" t="str">
        <f t="shared" si="138"/>
        <v/>
      </c>
      <c r="U97" s="452" t="str">
        <f t="shared" si="138"/>
        <v/>
      </c>
      <c r="V97" s="453" t="str">
        <f t="shared" si="138"/>
        <v/>
      </c>
      <c r="W97" s="451" t="str">
        <f t="shared" si="138"/>
        <v/>
      </c>
      <c r="X97" s="452" t="str">
        <f t="shared" si="138"/>
        <v/>
      </c>
      <c r="Y97" s="452" t="str">
        <f t="shared" si="138"/>
        <v/>
      </c>
      <c r="Z97" s="452" t="str">
        <f t="shared" si="138"/>
        <v/>
      </c>
      <c r="AA97" s="453" t="str">
        <f t="shared" si="138"/>
        <v/>
      </c>
      <c r="AB97" s="451" t="str">
        <f t="shared" si="138"/>
        <v/>
      </c>
      <c r="AC97" s="452" t="str">
        <f t="shared" ref="AC97:AR112" si="148">IF(AND(AC$2&gt;=$J97,AC$2&lt;=$K97),1,"")</f>
        <v/>
      </c>
      <c r="AD97" s="452" t="str">
        <f t="shared" si="148"/>
        <v/>
      </c>
      <c r="AE97" s="452" t="str">
        <f t="shared" si="148"/>
        <v/>
      </c>
      <c r="AF97" s="453" t="str">
        <f t="shared" si="148"/>
        <v/>
      </c>
      <c r="AG97" s="451" t="str">
        <f t="shared" si="148"/>
        <v/>
      </c>
      <c r="AH97" s="452" t="str">
        <f t="shared" si="148"/>
        <v/>
      </c>
      <c r="AI97" s="452" t="str">
        <f t="shared" si="148"/>
        <v/>
      </c>
      <c r="AJ97" s="452" t="str">
        <f t="shared" si="148"/>
        <v/>
      </c>
      <c r="AK97" s="453" t="str">
        <f t="shared" si="148"/>
        <v/>
      </c>
      <c r="AL97" s="451" t="str">
        <f t="shared" si="148"/>
        <v/>
      </c>
      <c r="AM97" s="452" t="str">
        <f t="shared" si="148"/>
        <v/>
      </c>
      <c r="AN97" s="452" t="str">
        <f t="shared" si="148"/>
        <v/>
      </c>
      <c r="AO97" s="452" t="str">
        <f t="shared" si="148"/>
        <v/>
      </c>
      <c r="AP97" s="453" t="str">
        <f t="shared" si="148"/>
        <v/>
      </c>
      <c r="AQ97" s="451" t="str">
        <f t="shared" si="148"/>
        <v/>
      </c>
      <c r="AR97" s="452" t="str">
        <f t="shared" si="148"/>
        <v/>
      </c>
      <c r="AS97" s="452" t="str">
        <f t="shared" si="145"/>
        <v/>
      </c>
      <c r="AT97" s="452" t="str">
        <f t="shared" si="145"/>
        <v/>
      </c>
      <c r="AU97" s="453" t="str">
        <f t="shared" si="145"/>
        <v/>
      </c>
      <c r="AV97" s="451" t="str">
        <f t="shared" si="145"/>
        <v/>
      </c>
      <c r="AW97" s="452" t="str">
        <f t="shared" si="145"/>
        <v/>
      </c>
      <c r="AX97" s="452" t="str">
        <f t="shared" si="145"/>
        <v/>
      </c>
      <c r="AY97" s="452" t="str">
        <f t="shared" si="145"/>
        <v/>
      </c>
      <c r="AZ97" s="453" t="str">
        <f t="shared" si="145"/>
        <v/>
      </c>
      <c r="BA97" s="451" t="str">
        <f t="shared" si="145"/>
        <v/>
      </c>
      <c r="BB97" s="452" t="str">
        <f t="shared" si="145"/>
        <v/>
      </c>
      <c r="BC97" s="452" t="str">
        <f t="shared" si="145"/>
        <v/>
      </c>
      <c r="BD97" s="452" t="str">
        <f t="shared" si="145"/>
        <v/>
      </c>
      <c r="BE97" s="453" t="str">
        <f t="shared" si="145"/>
        <v/>
      </c>
      <c r="BF97" s="451" t="str">
        <f t="shared" si="145"/>
        <v/>
      </c>
      <c r="BG97" s="452" t="str">
        <f t="shared" si="145"/>
        <v/>
      </c>
      <c r="BH97" s="452" t="str">
        <f t="shared" si="129"/>
        <v/>
      </c>
      <c r="BI97" s="452" t="str">
        <f t="shared" si="129"/>
        <v/>
      </c>
      <c r="BJ97" s="453" t="str">
        <f t="shared" si="129"/>
        <v/>
      </c>
      <c r="BK97" s="451" t="str">
        <f t="shared" si="129"/>
        <v/>
      </c>
      <c r="BL97" s="452" t="str">
        <f t="shared" si="129"/>
        <v/>
      </c>
      <c r="BM97" s="452" t="str">
        <f t="shared" si="129"/>
        <v/>
      </c>
      <c r="BN97" s="452" t="str">
        <f t="shared" si="129"/>
        <v/>
      </c>
      <c r="BO97" s="453" t="str">
        <f t="shared" si="129"/>
        <v/>
      </c>
      <c r="BP97" s="451" t="str">
        <f t="shared" si="129"/>
        <v/>
      </c>
      <c r="BQ97" s="452" t="str">
        <f t="shared" si="129"/>
        <v/>
      </c>
      <c r="BR97" s="452" t="str">
        <f t="shared" si="129"/>
        <v/>
      </c>
      <c r="BS97" s="452" t="str">
        <f t="shared" si="129"/>
        <v/>
      </c>
      <c r="BT97" s="453" t="str">
        <f t="shared" si="129"/>
        <v/>
      </c>
      <c r="BU97" s="451" t="str">
        <f t="shared" si="129"/>
        <v/>
      </c>
      <c r="BV97" s="452" t="str">
        <f t="shared" si="129"/>
        <v/>
      </c>
      <c r="BW97" s="452" t="str">
        <f t="shared" si="129"/>
        <v/>
      </c>
      <c r="BX97" s="452" t="str">
        <f t="shared" si="146"/>
        <v/>
      </c>
      <c r="BY97" s="453" t="str">
        <f t="shared" si="146"/>
        <v/>
      </c>
      <c r="BZ97" s="451" t="str">
        <f t="shared" si="146"/>
        <v/>
      </c>
      <c r="CA97" s="452" t="str">
        <f t="shared" si="146"/>
        <v/>
      </c>
      <c r="CB97" s="452" t="str">
        <f t="shared" si="146"/>
        <v/>
      </c>
      <c r="CC97" s="452" t="str">
        <f t="shared" si="146"/>
        <v/>
      </c>
      <c r="CD97" s="453" t="str">
        <f t="shared" si="146"/>
        <v/>
      </c>
      <c r="CE97" s="451" t="str">
        <f t="shared" si="146"/>
        <v/>
      </c>
      <c r="CF97" s="452" t="str">
        <f t="shared" si="146"/>
        <v/>
      </c>
      <c r="CG97" s="452" t="str">
        <f t="shared" si="146"/>
        <v/>
      </c>
      <c r="CH97" s="452" t="str">
        <f t="shared" si="146"/>
        <v/>
      </c>
      <c r="CI97" s="453" t="str">
        <f t="shared" si="146"/>
        <v/>
      </c>
      <c r="CJ97" s="451" t="str">
        <f t="shared" si="146"/>
        <v/>
      </c>
      <c r="CK97" s="452" t="str">
        <f t="shared" si="146"/>
        <v/>
      </c>
      <c r="CL97" s="452" t="str">
        <f t="shared" si="146"/>
        <v/>
      </c>
      <c r="CM97" s="452" t="str">
        <f t="shared" si="146"/>
        <v/>
      </c>
      <c r="CN97" s="453" t="str">
        <f t="shared" si="133"/>
        <v/>
      </c>
      <c r="CO97" s="451" t="str">
        <f t="shared" si="133"/>
        <v/>
      </c>
      <c r="CP97" s="452" t="str">
        <f t="shared" si="133"/>
        <v/>
      </c>
      <c r="CQ97" s="452" t="str">
        <f t="shared" si="133"/>
        <v/>
      </c>
      <c r="CR97" s="452" t="str">
        <f t="shared" si="133"/>
        <v/>
      </c>
      <c r="CS97" s="453" t="str">
        <f t="shared" si="133"/>
        <v/>
      </c>
      <c r="CT97" s="451" t="str">
        <f t="shared" si="133"/>
        <v/>
      </c>
      <c r="CU97" s="452" t="str">
        <f t="shared" si="133"/>
        <v/>
      </c>
      <c r="CV97" s="452" t="str">
        <f t="shared" si="142"/>
        <v/>
      </c>
      <c r="CW97" s="452" t="str">
        <f t="shared" si="142"/>
        <v/>
      </c>
      <c r="CX97" s="453" t="str">
        <f t="shared" si="142"/>
        <v/>
      </c>
      <c r="CY97" s="451" t="str">
        <f t="shared" si="142"/>
        <v/>
      </c>
      <c r="CZ97" s="452" t="str">
        <f t="shared" si="142"/>
        <v/>
      </c>
      <c r="DA97" s="452" t="str">
        <f t="shared" si="142"/>
        <v/>
      </c>
      <c r="DB97" s="452" t="str">
        <f t="shared" si="142"/>
        <v/>
      </c>
      <c r="DC97" s="453" t="str">
        <f t="shared" si="142"/>
        <v/>
      </c>
      <c r="DD97" s="451" t="str">
        <f t="shared" si="142"/>
        <v/>
      </c>
      <c r="DE97" s="452" t="str">
        <f t="shared" si="134"/>
        <v/>
      </c>
      <c r="DF97" s="452" t="str">
        <f t="shared" si="134"/>
        <v/>
      </c>
      <c r="DG97" s="452" t="str">
        <f t="shared" si="134"/>
        <v/>
      </c>
      <c r="DH97" s="453" t="str">
        <f t="shared" si="134"/>
        <v/>
      </c>
      <c r="DI97" s="451" t="str">
        <f t="shared" si="134"/>
        <v/>
      </c>
      <c r="DJ97" s="452" t="str">
        <f t="shared" si="134"/>
        <v/>
      </c>
      <c r="DK97" s="452" t="str">
        <f t="shared" si="134"/>
        <v/>
      </c>
      <c r="DL97" s="452" t="str">
        <f t="shared" si="134"/>
        <v/>
      </c>
      <c r="DM97" s="453" t="str">
        <f t="shared" si="134"/>
        <v/>
      </c>
      <c r="DN97" s="451" t="str">
        <f t="shared" si="134"/>
        <v/>
      </c>
      <c r="DO97" s="452" t="str">
        <f t="shared" si="134"/>
        <v/>
      </c>
      <c r="DP97" s="452" t="str">
        <f t="shared" si="134"/>
        <v/>
      </c>
      <c r="DQ97" s="452" t="str">
        <f t="shared" si="134"/>
        <v/>
      </c>
      <c r="DR97" s="453" t="str">
        <f t="shared" si="134"/>
        <v/>
      </c>
      <c r="DS97" s="451" t="str">
        <f t="shared" si="134"/>
        <v/>
      </c>
      <c r="DT97" s="452" t="str">
        <f t="shared" si="134"/>
        <v/>
      </c>
      <c r="DU97" s="452" t="str">
        <f t="shared" si="124"/>
        <v/>
      </c>
      <c r="DV97" s="452" t="str">
        <f t="shared" si="124"/>
        <v/>
      </c>
      <c r="DW97" s="453" t="str">
        <f t="shared" si="124"/>
        <v/>
      </c>
      <c r="DX97" s="451" t="str">
        <f t="shared" si="124"/>
        <v/>
      </c>
      <c r="DY97" s="452" t="str">
        <f t="shared" si="124"/>
        <v/>
      </c>
      <c r="DZ97" s="452" t="str">
        <f t="shared" si="124"/>
        <v/>
      </c>
      <c r="EA97" s="452" t="str">
        <f t="shared" si="124"/>
        <v/>
      </c>
      <c r="EB97" s="453" t="str">
        <f t="shared" si="124"/>
        <v/>
      </c>
      <c r="EC97" s="451" t="str">
        <f t="shared" si="136"/>
        <v/>
      </c>
      <c r="ED97" s="452" t="str">
        <f t="shared" si="136"/>
        <v/>
      </c>
      <c r="EE97" s="452" t="str">
        <f t="shared" si="136"/>
        <v/>
      </c>
      <c r="EF97" s="452" t="str">
        <f t="shared" si="136"/>
        <v/>
      </c>
      <c r="EG97" s="453" t="str">
        <f t="shared" si="136"/>
        <v/>
      </c>
      <c r="EH97" s="451" t="str">
        <f t="shared" si="136"/>
        <v/>
      </c>
      <c r="EI97" s="452" t="str">
        <f t="shared" si="136"/>
        <v/>
      </c>
      <c r="EJ97" s="452" t="str">
        <f t="shared" si="136"/>
        <v/>
      </c>
      <c r="EK97" s="452" t="str">
        <f t="shared" si="136"/>
        <v/>
      </c>
      <c r="EL97" s="453" t="str">
        <f t="shared" si="136"/>
        <v/>
      </c>
      <c r="EM97" s="451" t="str">
        <f t="shared" si="136"/>
        <v/>
      </c>
      <c r="EN97" s="452" t="str">
        <f t="shared" si="136"/>
        <v/>
      </c>
      <c r="EO97" s="452" t="str">
        <f t="shared" si="136"/>
        <v/>
      </c>
      <c r="EP97" s="452" t="str">
        <f t="shared" si="136"/>
        <v/>
      </c>
      <c r="EQ97" s="453" t="str">
        <f t="shared" si="136"/>
        <v/>
      </c>
      <c r="ER97" s="451" t="str">
        <f t="shared" si="136"/>
        <v/>
      </c>
      <c r="ES97" s="452" t="str">
        <f t="shared" si="136"/>
        <v/>
      </c>
      <c r="ET97" s="452" t="str">
        <f t="shared" si="136"/>
        <v/>
      </c>
      <c r="EU97" s="452" t="str">
        <f t="shared" si="136"/>
        <v/>
      </c>
      <c r="EV97" s="453" t="str">
        <f t="shared" si="136"/>
        <v/>
      </c>
      <c r="EW97" s="451" t="str">
        <f t="shared" si="136"/>
        <v/>
      </c>
      <c r="EX97" s="452" t="str">
        <f t="shared" si="136"/>
        <v/>
      </c>
      <c r="EY97" s="452" t="str">
        <f t="shared" si="136"/>
        <v/>
      </c>
      <c r="EZ97" s="452" t="str">
        <f t="shared" si="136"/>
        <v/>
      </c>
      <c r="FA97" s="453" t="str">
        <f t="shared" si="136"/>
        <v/>
      </c>
      <c r="FB97" s="451" t="str">
        <f t="shared" si="136"/>
        <v/>
      </c>
      <c r="FC97" s="452" t="str">
        <f t="shared" si="136"/>
        <v/>
      </c>
      <c r="FD97" s="452" t="str">
        <f t="shared" si="139"/>
        <v/>
      </c>
      <c r="FE97" s="452" t="str">
        <f t="shared" si="139"/>
        <v/>
      </c>
      <c r="FF97" s="453" t="str">
        <f t="shared" si="139"/>
        <v/>
      </c>
      <c r="FG97" s="451" t="str">
        <f t="shared" si="139"/>
        <v/>
      </c>
      <c r="FH97" s="452" t="str">
        <f t="shared" si="139"/>
        <v/>
      </c>
      <c r="FI97" s="452" t="str">
        <f t="shared" si="139"/>
        <v/>
      </c>
      <c r="FJ97" s="452" t="str">
        <f t="shared" si="139"/>
        <v/>
      </c>
      <c r="FK97" s="453" t="str">
        <f t="shared" si="139"/>
        <v/>
      </c>
      <c r="FL97" s="451" t="str">
        <f t="shared" si="139"/>
        <v/>
      </c>
      <c r="FM97" s="452" t="str">
        <f t="shared" si="139"/>
        <v/>
      </c>
      <c r="FN97" s="452" t="str">
        <f t="shared" si="139"/>
        <v/>
      </c>
      <c r="FO97" s="452" t="str">
        <f t="shared" si="139"/>
        <v/>
      </c>
      <c r="FP97" s="453" t="str">
        <f t="shared" si="137"/>
        <v/>
      </c>
      <c r="FQ97" s="451" t="str">
        <f t="shared" si="137"/>
        <v/>
      </c>
      <c r="FR97" s="452" t="str">
        <f t="shared" si="137"/>
        <v/>
      </c>
      <c r="FS97" s="452" t="str">
        <f t="shared" si="137"/>
        <v/>
      </c>
      <c r="FT97" s="452" t="str">
        <f t="shared" si="137"/>
        <v/>
      </c>
      <c r="FU97" s="453" t="str">
        <f t="shared" si="137"/>
        <v/>
      </c>
      <c r="FV97" s="451" t="str">
        <f t="shared" si="137"/>
        <v/>
      </c>
      <c r="FW97" s="452" t="str">
        <f t="shared" si="137"/>
        <v/>
      </c>
      <c r="FX97" s="452" t="str">
        <f t="shared" si="137"/>
        <v/>
      </c>
      <c r="FY97" s="452" t="str">
        <f t="shared" si="128"/>
        <v/>
      </c>
      <c r="FZ97" s="453" t="str">
        <f t="shared" si="128"/>
        <v/>
      </c>
      <c r="GA97" s="451" t="str">
        <f t="shared" si="128"/>
        <v/>
      </c>
      <c r="GB97" s="452" t="str">
        <f t="shared" si="128"/>
        <v/>
      </c>
      <c r="GC97" s="452" t="str">
        <f t="shared" si="128"/>
        <v/>
      </c>
      <c r="GD97" s="452" t="str">
        <f t="shared" si="128"/>
        <v/>
      </c>
      <c r="GE97" s="453" t="str">
        <f t="shared" si="128"/>
        <v/>
      </c>
      <c r="GF97" s="451" t="str">
        <f t="shared" si="128"/>
        <v/>
      </c>
      <c r="GG97" s="452" t="str">
        <f t="shared" si="128"/>
        <v/>
      </c>
      <c r="GH97" s="452" t="str">
        <f t="shared" si="128"/>
        <v/>
      </c>
      <c r="GI97" s="452" t="str">
        <f t="shared" si="128"/>
        <v/>
      </c>
      <c r="GJ97" s="453" t="str">
        <f t="shared" si="128"/>
        <v/>
      </c>
      <c r="GK97" s="451" t="str">
        <f t="shared" si="128"/>
        <v/>
      </c>
      <c r="GL97" s="452" t="str">
        <f t="shared" si="128"/>
        <v/>
      </c>
      <c r="GM97" s="452" t="str">
        <f t="shared" si="128"/>
        <v/>
      </c>
      <c r="GN97" s="452" t="str">
        <f t="shared" si="127"/>
        <v/>
      </c>
      <c r="GO97" s="453" t="str">
        <f t="shared" si="127"/>
        <v/>
      </c>
      <c r="GP97" s="451" t="str">
        <f t="shared" si="127"/>
        <v/>
      </c>
      <c r="GQ97" s="452" t="str">
        <f t="shared" si="127"/>
        <v/>
      </c>
      <c r="GR97" s="452" t="str">
        <f t="shared" si="127"/>
        <v/>
      </c>
      <c r="GS97" s="452" t="str">
        <f t="shared" si="127"/>
        <v/>
      </c>
      <c r="GT97" s="453" t="str">
        <f t="shared" si="132"/>
        <v/>
      </c>
      <c r="GU97" s="451" t="str">
        <f t="shared" si="132"/>
        <v/>
      </c>
      <c r="GV97" s="452" t="str">
        <f t="shared" si="132"/>
        <v/>
      </c>
      <c r="GW97" s="452" t="str">
        <f t="shared" si="132"/>
        <v/>
      </c>
      <c r="GX97" s="452" t="str">
        <f t="shared" si="132"/>
        <v/>
      </c>
      <c r="GY97" s="453" t="str">
        <f t="shared" si="132"/>
        <v/>
      </c>
      <c r="GZ97" s="451" t="str">
        <f t="shared" si="132"/>
        <v/>
      </c>
      <c r="HA97" s="452" t="str">
        <f t="shared" si="132"/>
        <v/>
      </c>
      <c r="HB97" s="452" t="str">
        <f t="shared" si="132"/>
        <v/>
      </c>
      <c r="HC97" s="452" t="str">
        <f t="shared" si="132"/>
        <v/>
      </c>
      <c r="HD97" s="453" t="str">
        <f t="shared" si="132"/>
        <v/>
      </c>
      <c r="HE97" s="451" t="str">
        <f t="shared" si="132"/>
        <v/>
      </c>
      <c r="HF97" s="452" t="str">
        <f t="shared" si="132"/>
        <v/>
      </c>
      <c r="HG97" s="452" t="str">
        <f t="shared" si="132"/>
        <v/>
      </c>
      <c r="HH97" s="452" t="str">
        <f t="shared" si="132"/>
        <v/>
      </c>
      <c r="HI97" s="453" t="str">
        <f t="shared" si="132"/>
        <v/>
      </c>
      <c r="HJ97" s="451" t="str">
        <f t="shared" si="144"/>
        <v/>
      </c>
      <c r="HK97" s="452" t="str">
        <f t="shared" si="144"/>
        <v/>
      </c>
      <c r="HL97" s="452" t="str">
        <f t="shared" si="144"/>
        <v/>
      </c>
      <c r="HM97" s="452" t="str">
        <f t="shared" si="144"/>
        <v/>
      </c>
      <c r="HN97" s="453" t="str">
        <f t="shared" si="144"/>
        <v/>
      </c>
      <c r="HO97" s="451" t="str">
        <f t="shared" si="144"/>
        <v/>
      </c>
      <c r="HP97" s="452" t="str">
        <f t="shared" si="144"/>
        <v/>
      </c>
      <c r="HQ97" s="452" t="str">
        <f t="shared" si="144"/>
        <v/>
      </c>
      <c r="HR97" s="452" t="str">
        <f t="shared" si="144"/>
        <v/>
      </c>
      <c r="HS97" s="453" t="str">
        <f t="shared" si="144"/>
        <v/>
      </c>
      <c r="HT97" s="451" t="str">
        <f t="shared" si="144"/>
        <v/>
      </c>
      <c r="HU97" s="452" t="str">
        <f t="shared" si="144"/>
        <v/>
      </c>
      <c r="HV97" s="452" t="str">
        <f t="shared" si="144"/>
        <v/>
      </c>
      <c r="HW97" s="452" t="str">
        <f t="shared" si="144"/>
        <v/>
      </c>
      <c r="HX97" s="453" t="str">
        <f t="shared" si="144"/>
        <v/>
      </c>
      <c r="HY97" s="451" t="str">
        <f t="shared" si="143"/>
        <v/>
      </c>
      <c r="HZ97" s="452" t="str">
        <f t="shared" si="143"/>
        <v/>
      </c>
      <c r="IA97" s="452" t="str">
        <f t="shared" si="143"/>
        <v/>
      </c>
      <c r="IB97" s="452" t="str">
        <f t="shared" si="143"/>
        <v/>
      </c>
      <c r="IC97" s="453" t="str">
        <f t="shared" si="143"/>
        <v/>
      </c>
      <c r="ID97" s="451" t="str">
        <f t="shared" si="143"/>
        <v/>
      </c>
      <c r="IE97" s="452" t="str">
        <f t="shared" si="143"/>
        <v/>
      </c>
      <c r="IF97" s="452" t="str">
        <f t="shared" si="143"/>
        <v/>
      </c>
      <c r="IG97" s="452" t="str">
        <f t="shared" si="143"/>
        <v/>
      </c>
      <c r="IH97" s="453" t="str">
        <f t="shared" si="143"/>
        <v/>
      </c>
      <c r="II97" s="451" t="str">
        <f t="shared" si="143"/>
        <v/>
      </c>
      <c r="IJ97" s="452" t="str">
        <f t="shared" si="143"/>
        <v/>
      </c>
      <c r="IK97" s="452" t="str">
        <f t="shared" si="143"/>
        <v/>
      </c>
      <c r="IL97" s="452" t="str">
        <f t="shared" si="143"/>
        <v/>
      </c>
      <c r="IM97" s="453" t="str">
        <f t="shared" si="147"/>
        <v/>
      </c>
      <c r="IN97" s="451" t="str">
        <f t="shared" si="147"/>
        <v/>
      </c>
      <c r="IO97" s="452" t="str">
        <f t="shared" si="126"/>
        <v/>
      </c>
      <c r="IP97" s="452" t="str">
        <f t="shared" si="126"/>
        <v/>
      </c>
      <c r="IQ97" s="452" t="str">
        <f t="shared" si="126"/>
        <v/>
      </c>
      <c r="IR97" s="453" t="str">
        <f t="shared" si="126"/>
        <v/>
      </c>
    </row>
    <row r="98" spans="1:252" x14ac:dyDescent="0.2">
      <c r="A98" s="461">
        <v>9.6</v>
      </c>
      <c r="C98" s="447" t="s">
        <v>1356</v>
      </c>
      <c r="D98" s="447"/>
      <c r="E98" s="448"/>
      <c r="F98" s="448"/>
      <c r="G98" s="448"/>
      <c r="H98" s="448"/>
      <c r="I98" s="448"/>
      <c r="J98" s="449" t="str">
        <f t="shared" si="140"/>
        <v/>
      </c>
      <c r="K98" s="449" t="str">
        <f t="shared" si="141"/>
        <v/>
      </c>
      <c r="L98" s="450">
        <f t="shared" si="101"/>
        <v>0</v>
      </c>
      <c r="M98" s="451" t="str">
        <f t="shared" si="138"/>
        <v/>
      </c>
      <c r="N98" s="452" t="str">
        <f t="shared" si="138"/>
        <v/>
      </c>
      <c r="O98" s="452" t="str">
        <f t="shared" si="138"/>
        <v/>
      </c>
      <c r="P98" s="452" t="str">
        <f t="shared" si="138"/>
        <v/>
      </c>
      <c r="Q98" s="453" t="str">
        <f t="shared" si="138"/>
        <v/>
      </c>
      <c r="R98" s="451" t="str">
        <f t="shared" si="138"/>
        <v/>
      </c>
      <c r="S98" s="452" t="str">
        <f t="shared" si="138"/>
        <v/>
      </c>
      <c r="T98" s="452" t="str">
        <f t="shared" si="138"/>
        <v/>
      </c>
      <c r="U98" s="452" t="str">
        <f t="shared" si="138"/>
        <v/>
      </c>
      <c r="V98" s="453" t="str">
        <f t="shared" si="138"/>
        <v/>
      </c>
      <c r="W98" s="451" t="str">
        <f t="shared" si="138"/>
        <v/>
      </c>
      <c r="X98" s="452" t="str">
        <f t="shared" si="138"/>
        <v/>
      </c>
      <c r="Y98" s="452" t="str">
        <f t="shared" si="138"/>
        <v/>
      </c>
      <c r="Z98" s="452" t="str">
        <f t="shared" si="138"/>
        <v/>
      </c>
      <c r="AA98" s="453" t="str">
        <f t="shared" si="138"/>
        <v/>
      </c>
      <c r="AB98" s="451" t="str">
        <f t="shared" si="138"/>
        <v/>
      </c>
      <c r="AC98" s="452" t="str">
        <f t="shared" si="148"/>
        <v/>
      </c>
      <c r="AD98" s="452" t="str">
        <f t="shared" si="148"/>
        <v/>
      </c>
      <c r="AE98" s="452" t="str">
        <f t="shared" si="148"/>
        <v/>
      </c>
      <c r="AF98" s="453" t="str">
        <f t="shared" si="148"/>
        <v/>
      </c>
      <c r="AG98" s="451" t="str">
        <f t="shared" si="148"/>
        <v/>
      </c>
      <c r="AH98" s="452" t="str">
        <f t="shared" si="148"/>
        <v/>
      </c>
      <c r="AI98" s="452" t="str">
        <f t="shared" si="148"/>
        <v/>
      </c>
      <c r="AJ98" s="452" t="str">
        <f t="shared" si="148"/>
        <v/>
      </c>
      <c r="AK98" s="453" t="str">
        <f t="shared" si="148"/>
        <v/>
      </c>
      <c r="AL98" s="451" t="str">
        <f t="shared" si="148"/>
        <v/>
      </c>
      <c r="AM98" s="452" t="str">
        <f t="shared" si="148"/>
        <v/>
      </c>
      <c r="AN98" s="452" t="str">
        <f t="shared" si="148"/>
        <v/>
      </c>
      <c r="AO98" s="452" t="str">
        <f t="shared" si="148"/>
        <v/>
      </c>
      <c r="AP98" s="453" t="str">
        <f t="shared" si="148"/>
        <v/>
      </c>
      <c r="AQ98" s="451" t="str">
        <f t="shared" si="148"/>
        <v/>
      </c>
      <c r="AR98" s="452" t="str">
        <f t="shared" si="148"/>
        <v/>
      </c>
      <c r="AS98" s="452" t="str">
        <f t="shared" si="145"/>
        <v/>
      </c>
      <c r="AT98" s="452" t="str">
        <f t="shared" si="145"/>
        <v/>
      </c>
      <c r="AU98" s="453" t="str">
        <f t="shared" si="145"/>
        <v/>
      </c>
      <c r="AV98" s="451" t="str">
        <f t="shared" si="145"/>
        <v/>
      </c>
      <c r="AW98" s="452" t="str">
        <f t="shared" si="145"/>
        <v/>
      </c>
      <c r="AX98" s="452" t="str">
        <f t="shared" si="145"/>
        <v/>
      </c>
      <c r="AY98" s="452" t="str">
        <f t="shared" si="145"/>
        <v/>
      </c>
      <c r="AZ98" s="453" t="str">
        <f t="shared" si="145"/>
        <v/>
      </c>
      <c r="BA98" s="451" t="str">
        <f t="shared" si="145"/>
        <v/>
      </c>
      <c r="BB98" s="452" t="str">
        <f t="shared" si="145"/>
        <v/>
      </c>
      <c r="BC98" s="452" t="str">
        <f t="shared" si="145"/>
        <v/>
      </c>
      <c r="BD98" s="452" t="str">
        <f t="shared" si="145"/>
        <v/>
      </c>
      <c r="BE98" s="453" t="str">
        <f t="shared" si="145"/>
        <v/>
      </c>
      <c r="BF98" s="451" t="str">
        <f t="shared" si="145"/>
        <v/>
      </c>
      <c r="BG98" s="452" t="str">
        <f t="shared" si="145"/>
        <v/>
      </c>
      <c r="BH98" s="452" t="str">
        <f t="shared" si="129"/>
        <v/>
      </c>
      <c r="BI98" s="452" t="str">
        <f t="shared" si="129"/>
        <v/>
      </c>
      <c r="BJ98" s="453" t="str">
        <f t="shared" si="129"/>
        <v/>
      </c>
      <c r="BK98" s="451" t="str">
        <f t="shared" si="129"/>
        <v/>
      </c>
      <c r="BL98" s="452" t="str">
        <f t="shared" si="129"/>
        <v/>
      </c>
      <c r="BM98" s="452" t="str">
        <f t="shared" si="129"/>
        <v/>
      </c>
      <c r="BN98" s="452" t="str">
        <f t="shared" si="129"/>
        <v/>
      </c>
      <c r="BO98" s="453" t="str">
        <f t="shared" si="129"/>
        <v/>
      </c>
      <c r="BP98" s="451" t="str">
        <f t="shared" si="129"/>
        <v/>
      </c>
      <c r="BQ98" s="452" t="str">
        <f t="shared" si="129"/>
        <v/>
      </c>
      <c r="BR98" s="452" t="str">
        <f t="shared" si="129"/>
        <v/>
      </c>
      <c r="BS98" s="452" t="str">
        <f t="shared" si="129"/>
        <v/>
      </c>
      <c r="BT98" s="453" t="str">
        <f t="shared" si="129"/>
        <v/>
      </c>
      <c r="BU98" s="451" t="str">
        <f t="shared" si="129"/>
        <v/>
      </c>
      <c r="BV98" s="452" t="str">
        <f t="shared" si="129"/>
        <v/>
      </c>
      <c r="BW98" s="452" t="str">
        <f t="shared" si="129"/>
        <v/>
      </c>
      <c r="BX98" s="452" t="str">
        <f t="shared" si="146"/>
        <v/>
      </c>
      <c r="BY98" s="453" t="str">
        <f t="shared" si="146"/>
        <v/>
      </c>
      <c r="BZ98" s="451" t="str">
        <f t="shared" si="146"/>
        <v/>
      </c>
      <c r="CA98" s="452" t="str">
        <f t="shared" si="146"/>
        <v/>
      </c>
      <c r="CB98" s="452" t="str">
        <f t="shared" si="146"/>
        <v/>
      </c>
      <c r="CC98" s="452" t="str">
        <f t="shared" si="146"/>
        <v/>
      </c>
      <c r="CD98" s="453" t="str">
        <f t="shared" si="146"/>
        <v/>
      </c>
      <c r="CE98" s="451" t="str">
        <f t="shared" si="146"/>
        <v/>
      </c>
      <c r="CF98" s="452" t="str">
        <f t="shared" si="146"/>
        <v/>
      </c>
      <c r="CG98" s="452" t="str">
        <f t="shared" si="146"/>
        <v/>
      </c>
      <c r="CH98" s="452" t="str">
        <f t="shared" si="146"/>
        <v/>
      </c>
      <c r="CI98" s="453" t="str">
        <f t="shared" si="146"/>
        <v/>
      </c>
      <c r="CJ98" s="451" t="str">
        <f t="shared" si="146"/>
        <v/>
      </c>
      <c r="CK98" s="452" t="str">
        <f t="shared" si="146"/>
        <v/>
      </c>
      <c r="CL98" s="452" t="str">
        <f t="shared" si="146"/>
        <v/>
      </c>
      <c r="CM98" s="452" t="str">
        <f t="shared" si="146"/>
        <v/>
      </c>
      <c r="CN98" s="453" t="str">
        <f t="shared" si="133"/>
        <v/>
      </c>
      <c r="CO98" s="451" t="str">
        <f t="shared" si="133"/>
        <v/>
      </c>
      <c r="CP98" s="452" t="str">
        <f t="shared" si="133"/>
        <v/>
      </c>
      <c r="CQ98" s="452" t="str">
        <f t="shared" si="133"/>
        <v/>
      </c>
      <c r="CR98" s="452" t="str">
        <f t="shared" si="133"/>
        <v/>
      </c>
      <c r="CS98" s="453" t="str">
        <f t="shared" si="133"/>
        <v/>
      </c>
      <c r="CT98" s="451" t="str">
        <f t="shared" si="133"/>
        <v/>
      </c>
      <c r="CU98" s="452" t="str">
        <f t="shared" si="133"/>
        <v/>
      </c>
      <c r="CV98" s="452" t="str">
        <f t="shared" si="142"/>
        <v/>
      </c>
      <c r="CW98" s="452" t="str">
        <f t="shared" si="142"/>
        <v/>
      </c>
      <c r="CX98" s="453" t="str">
        <f t="shared" si="142"/>
        <v/>
      </c>
      <c r="CY98" s="451" t="str">
        <f t="shared" si="142"/>
        <v/>
      </c>
      <c r="CZ98" s="452" t="str">
        <f t="shared" si="142"/>
        <v/>
      </c>
      <c r="DA98" s="452" t="str">
        <f t="shared" si="142"/>
        <v/>
      </c>
      <c r="DB98" s="452" t="str">
        <f t="shared" si="142"/>
        <v/>
      </c>
      <c r="DC98" s="453" t="str">
        <f t="shared" si="142"/>
        <v/>
      </c>
      <c r="DD98" s="451" t="str">
        <f t="shared" si="142"/>
        <v/>
      </c>
      <c r="DE98" s="452" t="str">
        <f t="shared" si="134"/>
        <v/>
      </c>
      <c r="DF98" s="452" t="str">
        <f t="shared" si="134"/>
        <v/>
      </c>
      <c r="DG98" s="452" t="str">
        <f t="shared" si="134"/>
        <v/>
      </c>
      <c r="DH98" s="453" t="str">
        <f t="shared" si="134"/>
        <v/>
      </c>
      <c r="DI98" s="451" t="str">
        <f t="shared" si="134"/>
        <v/>
      </c>
      <c r="DJ98" s="452" t="str">
        <f t="shared" si="134"/>
        <v/>
      </c>
      <c r="DK98" s="452" t="str">
        <f t="shared" si="134"/>
        <v/>
      </c>
      <c r="DL98" s="452" t="str">
        <f t="shared" si="134"/>
        <v/>
      </c>
      <c r="DM98" s="453" t="str">
        <f t="shared" si="134"/>
        <v/>
      </c>
      <c r="DN98" s="451" t="str">
        <f t="shared" si="134"/>
        <v/>
      </c>
      <c r="DO98" s="452" t="str">
        <f t="shared" si="134"/>
        <v/>
      </c>
      <c r="DP98" s="452" t="str">
        <f t="shared" si="134"/>
        <v/>
      </c>
      <c r="DQ98" s="452" t="str">
        <f t="shared" si="134"/>
        <v/>
      </c>
      <c r="DR98" s="453" t="str">
        <f t="shared" si="134"/>
        <v/>
      </c>
      <c r="DS98" s="451" t="str">
        <f t="shared" si="134"/>
        <v/>
      </c>
      <c r="DT98" s="452" t="str">
        <f t="shared" si="134"/>
        <v/>
      </c>
      <c r="DU98" s="452" t="str">
        <f t="shared" si="124"/>
        <v/>
      </c>
      <c r="DV98" s="452" t="str">
        <f t="shared" si="124"/>
        <v/>
      </c>
      <c r="DW98" s="453" t="str">
        <f t="shared" si="124"/>
        <v/>
      </c>
      <c r="DX98" s="451" t="str">
        <f t="shared" si="124"/>
        <v/>
      </c>
      <c r="DY98" s="452" t="str">
        <f t="shared" si="124"/>
        <v/>
      </c>
      <c r="DZ98" s="452" t="str">
        <f t="shared" si="124"/>
        <v/>
      </c>
      <c r="EA98" s="452" t="str">
        <f t="shared" si="124"/>
        <v/>
      </c>
      <c r="EB98" s="453" t="str">
        <f t="shared" si="124"/>
        <v/>
      </c>
      <c r="EC98" s="451" t="str">
        <f t="shared" si="136"/>
        <v/>
      </c>
      <c r="ED98" s="452" t="str">
        <f t="shared" si="136"/>
        <v/>
      </c>
      <c r="EE98" s="452" t="str">
        <f t="shared" si="136"/>
        <v/>
      </c>
      <c r="EF98" s="452" t="str">
        <f t="shared" si="136"/>
        <v/>
      </c>
      <c r="EG98" s="453" t="str">
        <f t="shared" si="136"/>
        <v/>
      </c>
      <c r="EH98" s="451" t="str">
        <f t="shared" si="136"/>
        <v/>
      </c>
      <c r="EI98" s="452" t="str">
        <f t="shared" si="136"/>
        <v/>
      </c>
      <c r="EJ98" s="452" t="str">
        <f t="shared" si="136"/>
        <v/>
      </c>
      <c r="EK98" s="452" t="str">
        <f t="shared" si="136"/>
        <v/>
      </c>
      <c r="EL98" s="453" t="str">
        <f t="shared" si="136"/>
        <v/>
      </c>
      <c r="EM98" s="451" t="str">
        <f t="shared" si="136"/>
        <v/>
      </c>
      <c r="EN98" s="452" t="str">
        <f t="shared" si="136"/>
        <v/>
      </c>
      <c r="EO98" s="452" t="str">
        <f t="shared" si="136"/>
        <v/>
      </c>
      <c r="EP98" s="452" t="str">
        <f t="shared" si="136"/>
        <v/>
      </c>
      <c r="EQ98" s="453" t="str">
        <f t="shared" si="136"/>
        <v/>
      </c>
      <c r="ER98" s="451" t="str">
        <f t="shared" si="136"/>
        <v/>
      </c>
      <c r="ES98" s="452" t="str">
        <f t="shared" si="136"/>
        <v/>
      </c>
      <c r="ET98" s="452" t="str">
        <f t="shared" si="136"/>
        <v/>
      </c>
      <c r="EU98" s="452" t="str">
        <f t="shared" si="136"/>
        <v/>
      </c>
      <c r="EV98" s="453" t="str">
        <f t="shared" si="136"/>
        <v/>
      </c>
      <c r="EW98" s="451" t="str">
        <f t="shared" si="136"/>
        <v/>
      </c>
      <c r="EX98" s="452" t="str">
        <f t="shared" si="136"/>
        <v/>
      </c>
      <c r="EY98" s="452" t="str">
        <f t="shared" si="136"/>
        <v/>
      </c>
      <c r="EZ98" s="452" t="str">
        <f t="shared" si="136"/>
        <v/>
      </c>
      <c r="FA98" s="453" t="str">
        <f t="shared" si="136"/>
        <v/>
      </c>
      <c r="FB98" s="451" t="str">
        <f t="shared" si="136"/>
        <v/>
      </c>
      <c r="FC98" s="452" t="str">
        <f t="shared" si="136"/>
        <v/>
      </c>
      <c r="FD98" s="452" t="str">
        <f t="shared" si="139"/>
        <v/>
      </c>
      <c r="FE98" s="452" t="str">
        <f t="shared" si="139"/>
        <v/>
      </c>
      <c r="FF98" s="453" t="str">
        <f t="shared" si="139"/>
        <v/>
      </c>
      <c r="FG98" s="451" t="str">
        <f t="shared" si="139"/>
        <v/>
      </c>
      <c r="FH98" s="452" t="str">
        <f t="shared" si="139"/>
        <v/>
      </c>
      <c r="FI98" s="452" t="str">
        <f t="shared" si="139"/>
        <v/>
      </c>
      <c r="FJ98" s="452" t="str">
        <f t="shared" si="139"/>
        <v/>
      </c>
      <c r="FK98" s="453" t="str">
        <f t="shared" si="139"/>
        <v/>
      </c>
      <c r="FL98" s="451" t="str">
        <f t="shared" si="139"/>
        <v/>
      </c>
      <c r="FM98" s="452" t="str">
        <f t="shared" si="139"/>
        <v/>
      </c>
      <c r="FN98" s="452" t="str">
        <f t="shared" si="139"/>
        <v/>
      </c>
      <c r="FO98" s="452" t="str">
        <f t="shared" si="139"/>
        <v/>
      </c>
      <c r="FP98" s="453" t="str">
        <f t="shared" si="137"/>
        <v/>
      </c>
      <c r="FQ98" s="451" t="str">
        <f t="shared" si="137"/>
        <v/>
      </c>
      <c r="FR98" s="452" t="str">
        <f t="shared" si="137"/>
        <v/>
      </c>
      <c r="FS98" s="452" t="str">
        <f t="shared" si="137"/>
        <v/>
      </c>
      <c r="FT98" s="452" t="str">
        <f t="shared" si="137"/>
        <v/>
      </c>
      <c r="FU98" s="453" t="str">
        <f t="shared" si="137"/>
        <v/>
      </c>
      <c r="FV98" s="451" t="str">
        <f t="shared" si="137"/>
        <v/>
      </c>
      <c r="FW98" s="452" t="str">
        <f t="shared" si="137"/>
        <v/>
      </c>
      <c r="FX98" s="452" t="str">
        <f t="shared" si="137"/>
        <v/>
      </c>
      <c r="FY98" s="452" t="str">
        <f t="shared" si="128"/>
        <v/>
      </c>
      <c r="FZ98" s="453" t="str">
        <f t="shared" si="128"/>
        <v/>
      </c>
      <c r="GA98" s="451" t="str">
        <f t="shared" si="128"/>
        <v/>
      </c>
      <c r="GB98" s="452" t="str">
        <f t="shared" si="128"/>
        <v/>
      </c>
      <c r="GC98" s="452" t="str">
        <f t="shared" si="128"/>
        <v/>
      </c>
      <c r="GD98" s="452" t="str">
        <f t="shared" si="128"/>
        <v/>
      </c>
      <c r="GE98" s="453" t="str">
        <f t="shared" si="128"/>
        <v/>
      </c>
      <c r="GF98" s="451" t="str">
        <f t="shared" si="128"/>
        <v/>
      </c>
      <c r="GG98" s="452" t="str">
        <f t="shared" si="128"/>
        <v/>
      </c>
      <c r="GH98" s="452" t="str">
        <f t="shared" si="128"/>
        <v/>
      </c>
      <c r="GI98" s="452" t="str">
        <f t="shared" si="128"/>
        <v/>
      </c>
      <c r="GJ98" s="453" t="str">
        <f t="shared" si="128"/>
        <v/>
      </c>
      <c r="GK98" s="451" t="str">
        <f t="shared" si="128"/>
        <v/>
      </c>
      <c r="GL98" s="452" t="str">
        <f t="shared" si="128"/>
        <v/>
      </c>
      <c r="GM98" s="452" t="str">
        <f t="shared" si="128"/>
        <v/>
      </c>
      <c r="GN98" s="452" t="str">
        <f t="shared" si="127"/>
        <v/>
      </c>
      <c r="GO98" s="453" t="str">
        <f t="shared" si="127"/>
        <v/>
      </c>
      <c r="GP98" s="451" t="str">
        <f t="shared" si="127"/>
        <v/>
      </c>
      <c r="GQ98" s="452" t="str">
        <f t="shared" si="127"/>
        <v/>
      </c>
      <c r="GR98" s="452" t="str">
        <f t="shared" si="127"/>
        <v/>
      </c>
      <c r="GS98" s="452" t="str">
        <f t="shared" si="127"/>
        <v/>
      </c>
      <c r="GT98" s="453" t="str">
        <f t="shared" si="132"/>
        <v/>
      </c>
      <c r="GU98" s="451" t="str">
        <f t="shared" si="132"/>
        <v/>
      </c>
      <c r="GV98" s="452" t="str">
        <f t="shared" si="132"/>
        <v/>
      </c>
      <c r="GW98" s="452" t="str">
        <f t="shared" si="132"/>
        <v/>
      </c>
      <c r="GX98" s="452" t="str">
        <f t="shared" si="132"/>
        <v/>
      </c>
      <c r="GY98" s="453" t="str">
        <f t="shared" si="132"/>
        <v/>
      </c>
      <c r="GZ98" s="451" t="str">
        <f t="shared" si="132"/>
        <v/>
      </c>
      <c r="HA98" s="452" t="str">
        <f t="shared" si="132"/>
        <v/>
      </c>
      <c r="HB98" s="452" t="str">
        <f t="shared" si="132"/>
        <v/>
      </c>
      <c r="HC98" s="452" t="str">
        <f t="shared" si="132"/>
        <v/>
      </c>
      <c r="HD98" s="453" t="str">
        <f t="shared" si="132"/>
        <v/>
      </c>
      <c r="HE98" s="451" t="str">
        <f t="shared" si="132"/>
        <v/>
      </c>
      <c r="HF98" s="452" t="str">
        <f t="shared" si="132"/>
        <v/>
      </c>
      <c r="HG98" s="452" t="str">
        <f t="shared" si="132"/>
        <v/>
      </c>
      <c r="HH98" s="452" t="str">
        <f t="shared" si="132"/>
        <v/>
      </c>
      <c r="HI98" s="453" t="str">
        <f t="shared" si="132"/>
        <v/>
      </c>
      <c r="HJ98" s="451" t="str">
        <f t="shared" si="144"/>
        <v/>
      </c>
      <c r="HK98" s="452" t="str">
        <f t="shared" si="144"/>
        <v/>
      </c>
      <c r="HL98" s="452" t="str">
        <f t="shared" si="144"/>
        <v/>
      </c>
      <c r="HM98" s="452" t="str">
        <f t="shared" si="144"/>
        <v/>
      </c>
      <c r="HN98" s="453" t="str">
        <f t="shared" si="144"/>
        <v/>
      </c>
      <c r="HO98" s="451" t="str">
        <f t="shared" si="144"/>
        <v/>
      </c>
      <c r="HP98" s="452" t="str">
        <f t="shared" si="144"/>
        <v/>
      </c>
      <c r="HQ98" s="452" t="str">
        <f t="shared" si="144"/>
        <v/>
      </c>
      <c r="HR98" s="452" t="str">
        <f t="shared" si="144"/>
        <v/>
      </c>
      <c r="HS98" s="453" t="str">
        <f t="shared" si="144"/>
        <v/>
      </c>
      <c r="HT98" s="451" t="str">
        <f t="shared" si="144"/>
        <v/>
      </c>
      <c r="HU98" s="452" t="str">
        <f t="shared" si="144"/>
        <v/>
      </c>
      <c r="HV98" s="452" t="str">
        <f t="shared" si="144"/>
        <v/>
      </c>
      <c r="HW98" s="452" t="str">
        <f t="shared" si="144"/>
        <v/>
      </c>
      <c r="HX98" s="453" t="str">
        <f t="shared" si="144"/>
        <v/>
      </c>
      <c r="HY98" s="451" t="str">
        <f t="shared" si="143"/>
        <v/>
      </c>
      <c r="HZ98" s="452" t="str">
        <f t="shared" si="143"/>
        <v/>
      </c>
      <c r="IA98" s="452" t="str">
        <f t="shared" si="143"/>
        <v/>
      </c>
      <c r="IB98" s="452" t="str">
        <f t="shared" si="143"/>
        <v/>
      </c>
      <c r="IC98" s="453" t="str">
        <f t="shared" si="143"/>
        <v/>
      </c>
      <c r="ID98" s="451" t="str">
        <f t="shared" si="143"/>
        <v/>
      </c>
      <c r="IE98" s="452" t="str">
        <f t="shared" si="143"/>
        <v/>
      </c>
      <c r="IF98" s="452" t="str">
        <f t="shared" si="143"/>
        <v/>
      </c>
      <c r="IG98" s="452" t="str">
        <f t="shared" si="143"/>
        <v/>
      </c>
      <c r="IH98" s="453" t="str">
        <f t="shared" si="143"/>
        <v/>
      </c>
      <c r="II98" s="451" t="str">
        <f t="shared" si="143"/>
        <v/>
      </c>
      <c r="IJ98" s="452" t="str">
        <f t="shared" si="143"/>
        <v/>
      </c>
      <c r="IK98" s="452" t="str">
        <f t="shared" si="143"/>
        <v/>
      </c>
      <c r="IL98" s="452" t="str">
        <f t="shared" si="143"/>
        <v/>
      </c>
      <c r="IM98" s="453" t="str">
        <f t="shared" si="147"/>
        <v/>
      </c>
      <c r="IN98" s="451" t="str">
        <f t="shared" si="147"/>
        <v/>
      </c>
      <c r="IO98" s="452" t="str">
        <f t="shared" si="147"/>
        <v/>
      </c>
      <c r="IP98" s="452" t="str">
        <f t="shared" si="147"/>
        <v/>
      </c>
      <c r="IQ98" s="452" t="str">
        <f t="shared" si="147"/>
        <v/>
      </c>
      <c r="IR98" s="453" t="str">
        <f t="shared" si="147"/>
        <v/>
      </c>
    </row>
    <row r="99" spans="1:252" x14ac:dyDescent="0.2">
      <c r="A99" s="461">
        <v>9.6999999999999993</v>
      </c>
      <c r="C99" s="447" t="s">
        <v>1357</v>
      </c>
      <c r="D99" s="447"/>
      <c r="E99" s="448"/>
      <c r="F99" s="448"/>
      <c r="G99" s="448"/>
      <c r="H99" s="448"/>
      <c r="I99" s="448"/>
      <c r="J99" s="449" t="str">
        <f t="shared" si="140"/>
        <v/>
      </c>
      <c r="K99" s="449" t="str">
        <f t="shared" si="141"/>
        <v/>
      </c>
      <c r="L99" s="450">
        <f t="shared" si="101"/>
        <v>0</v>
      </c>
      <c r="M99" s="451" t="str">
        <f t="shared" si="138"/>
        <v/>
      </c>
      <c r="N99" s="452" t="str">
        <f t="shared" si="138"/>
        <v/>
      </c>
      <c r="O99" s="452" t="str">
        <f t="shared" si="138"/>
        <v/>
      </c>
      <c r="P99" s="452" t="str">
        <f t="shared" si="138"/>
        <v/>
      </c>
      <c r="Q99" s="453" t="str">
        <f t="shared" si="138"/>
        <v/>
      </c>
      <c r="R99" s="451" t="str">
        <f t="shared" si="138"/>
        <v/>
      </c>
      <c r="S99" s="452" t="str">
        <f t="shared" si="138"/>
        <v/>
      </c>
      <c r="T99" s="452" t="str">
        <f t="shared" si="138"/>
        <v/>
      </c>
      <c r="U99" s="452" t="str">
        <f t="shared" si="138"/>
        <v/>
      </c>
      <c r="V99" s="453" t="str">
        <f t="shared" si="138"/>
        <v/>
      </c>
      <c r="W99" s="451" t="str">
        <f t="shared" si="138"/>
        <v/>
      </c>
      <c r="X99" s="452" t="str">
        <f t="shared" si="138"/>
        <v/>
      </c>
      <c r="Y99" s="452" t="str">
        <f t="shared" si="138"/>
        <v/>
      </c>
      <c r="Z99" s="452" t="str">
        <f t="shared" si="138"/>
        <v/>
      </c>
      <c r="AA99" s="453" t="str">
        <f t="shared" si="138"/>
        <v/>
      </c>
      <c r="AB99" s="451" t="str">
        <f t="shared" si="138"/>
        <v/>
      </c>
      <c r="AC99" s="452" t="str">
        <f t="shared" si="148"/>
        <v/>
      </c>
      <c r="AD99" s="452" t="str">
        <f t="shared" si="148"/>
        <v/>
      </c>
      <c r="AE99" s="452" t="str">
        <f t="shared" si="148"/>
        <v/>
      </c>
      <c r="AF99" s="453" t="str">
        <f t="shared" si="148"/>
        <v/>
      </c>
      <c r="AG99" s="451" t="str">
        <f t="shared" si="148"/>
        <v/>
      </c>
      <c r="AH99" s="452" t="str">
        <f t="shared" si="148"/>
        <v/>
      </c>
      <c r="AI99" s="452" t="str">
        <f t="shared" si="148"/>
        <v/>
      </c>
      <c r="AJ99" s="452" t="str">
        <f t="shared" si="148"/>
        <v/>
      </c>
      <c r="AK99" s="453" t="str">
        <f t="shared" si="148"/>
        <v/>
      </c>
      <c r="AL99" s="451" t="str">
        <f t="shared" si="148"/>
        <v/>
      </c>
      <c r="AM99" s="452" t="str">
        <f t="shared" si="148"/>
        <v/>
      </c>
      <c r="AN99" s="452" t="str">
        <f t="shared" si="148"/>
        <v/>
      </c>
      <c r="AO99" s="452" t="str">
        <f t="shared" si="148"/>
        <v/>
      </c>
      <c r="AP99" s="453" t="str">
        <f t="shared" si="148"/>
        <v/>
      </c>
      <c r="AQ99" s="451" t="str">
        <f t="shared" si="148"/>
        <v/>
      </c>
      <c r="AR99" s="452" t="str">
        <f t="shared" si="148"/>
        <v/>
      </c>
      <c r="AS99" s="452" t="str">
        <f t="shared" si="145"/>
        <v/>
      </c>
      <c r="AT99" s="452" t="str">
        <f t="shared" si="145"/>
        <v/>
      </c>
      <c r="AU99" s="453" t="str">
        <f t="shared" si="145"/>
        <v/>
      </c>
      <c r="AV99" s="451" t="str">
        <f t="shared" si="145"/>
        <v/>
      </c>
      <c r="AW99" s="452" t="str">
        <f t="shared" si="145"/>
        <v/>
      </c>
      <c r="AX99" s="452" t="str">
        <f t="shared" si="145"/>
        <v/>
      </c>
      <c r="AY99" s="452" t="str">
        <f t="shared" si="145"/>
        <v/>
      </c>
      <c r="AZ99" s="453" t="str">
        <f t="shared" si="145"/>
        <v/>
      </c>
      <c r="BA99" s="451" t="str">
        <f t="shared" si="145"/>
        <v/>
      </c>
      <c r="BB99" s="452" t="str">
        <f t="shared" si="145"/>
        <v/>
      </c>
      <c r="BC99" s="452" t="str">
        <f t="shared" si="145"/>
        <v/>
      </c>
      <c r="BD99" s="452" t="str">
        <f t="shared" si="145"/>
        <v/>
      </c>
      <c r="BE99" s="453" t="str">
        <f t="shared" si="145"/>
        <v/>
      </c>
      <c r="BF99" s="451" t="str">
        <f t="shared" si="145"/>
        <v/>
      </c>
      <c r="BG99" s="452" t="str">
        <f t="shared" si="145"/>
        <v/>
      </c>
      <c r="BH99" s="452" t="str">
        <f t="shared" si="129"/>
        <v/>
      </c>
      <c r="BI99" s="452" t="str">
        <f t="shared" si="129"/>
        <v/>
      </c>
      <c r="BJ99" s="453" t="str">
        <f t="shared" si="129"/>
        <v/>
      </c>
      <c r="BK99" s="451" t="str">
        <f t="shared" si="129"/>
        <v/>
      </c>
      <c r="BL99" s="452" t="str">
        <f t="shared" si="129"/>
        <v/>
      </c>
      <c r="BM99" s="452" t="str">
        <f t="shared" si="129"/>
        <v/>
      </c>
      <c r="BN99" s="452" t="str">
        <f t="shared" si="129"/>
        <v/>
      </c>
      <c r="BO99" s="453" t="str">
        <f t="shared" si="129"/>
        <v/>
      </c>
      <c r="BP99" s="451" t="str">
        <f t="shared" si="129"/>
        <v/>
      </c>
      <c r="BQ99" s="452" t="str">
        <f t="shared" si="129"/>
        <v/>
      </c>
      <c r="BR99" s="452" t="str">
        <f t="shared" si="129"/>
        <v/>
      </c>
      <c r="BS99" s="452" t="str">
        <f t="shared" si="129"/>
        <v/>
      </c>
      <c r="BT99" s="453" t="str">
        <f t="shared" si="129"/>
        <v/>
      </c>
      <c r="BU99" s="451" t="str">
        <f t="shared" si="129"/>
        <v/>
      </c>
      <c r="BV99" s="452" t="str">
        <f t="shared" si="129"/>
        <v/>
      </c>
      <c r="BW99" s="452" t="str">
        <f t="shared" si="129"/>
        <v/>
      </c>
      <c r="BX99" s="452" t="str">
        <f t="shared" si="146"/>
        <v/>
      </c>
      <c r="BY99" s="453" t="str">
        <f t="shared" si="146"/>
        <v/>
      </c>
      <c r="BZ99" s="451" t="str">
        <f t="shared" si="146"/>
        <v/>
      </c>
      <c r="CA99" s="452" t="str">
        <f t="shared" si="146"/>
        <v/>
      </c>
      <c r="CB99" s="452" t="str">
        <f t="shared" si="146"/>
        <v/>
      </c>
      <c r="CC99" s="452" t="str">
        <f t="shared" si="146"/>
        <v/>
      </c>
      <c r="CD99" s="453" t="str">
        <f t="shared" si="146"/>
        <v/>
      </c>
      <c r="CE99" s="451" t="str">
        <f t="shared" si="146"/>
        <v/>
      </c>
      <c r="CF99" s="452" t="str">
        <f t="shared" si="146"/>
        <v/>
      </c>
      <c r="CG99" s="452" t="str">
        <f t="shared" si="146"/>
        <v/>
      </c>
      <c r="CH99" s="452" t="str">
        <f t="shared" si="146"/>
        <v/>
      </c>
      <c r="CI99" s="453" t="str">
        <f t="shared" si="146"/>
        <v/>
      </c>
      <c r="CJ99" s="451" t="str">
        <f t="shared" si="146"/>
        <v/>
      </c>
      <c r="CK99" s="452" t="str">
        <f t="shared" si="146"/>
        <v/>
      </c>
      <c r="CL99" s="452" t="str">
        <f t="shared" si="146"/>
        <v/>
      </c>
      <c r="CM99" s="452" t="str">
        <f t="shared" si="146"/>
        <v/>
      </c>
      <c r="CN99" s="453" t="str">
        <f t="shared" si="133"/>
        <v/>
      </c>
      <c r="CO99" s="451" t="str">
        <f t="shared" si="133"/>
        <v/>
      </c>
      <c r="CP99" s="452" t="str">
        <f t="shared" si="133"/>
        <v/>
      </c>
      <c r="CQ99" s="452" t="str">
        <f t="shared" si="133"/>
        <v/>
      </c>
      <c r="CR99" s="452" t="str">
        <f t="shared" si="133"/>
        <v/>
      </c>
      <c r="CS99" s="453" t="str">
        <f t="shared" si="133"/>
        <v/>
      </c>
      <c r="CT99" s="451" t="str">
        <f t="shared" si="133"/>
        <v/>
      </c>
      <c r="CU99" s="452" t="str">
        <f t="shared" si="133"/>
        <v/>
      </c>
      <c r="CV99" s="452" t="str">
        <f t="shared" si="142"/>
        <v/>
      </c>
      <c r="CW99" s="452" t="str">
        <f t="shared" si="142"/>
        <v/>
      </c>
      <c r="CX99" s="453" t="str">
        <f t="shared" si="142"/>
        <v/>
      </c>
      <c r="CY99" s="451" t="str">
        <f t="shared" si="142"/>
        <v/>
      </c>
      <c r="CZ99" s="452" t="str">
        <f t="shared" si="142"/>
        <v/>
      </c>
      <c r="DA99" s="452" t="str">
        <f t="shared" si="142"/>
        <v/>
      </c>
      <c r="DB99" s="452" t="str">
        <f t="shared" si="142"/>
        <v/>
      </c>
      <c r="DC99" s="453" t="str">
        <f t="shared" si="142"/>
        <v/>
      </c>
      <c r="DD99" s="451" t="str">
        <f t="shared" si="142"/>
        <v/>
      </c>
      <c r="DE99" s="452" t="str">
        <f t="shared" si="134"/>
        <v/>
      </c>
      <c r="DF99" s="452" t="str">
        <f t="shared" si="134"/>
        <v/>
      </c>
      <c r="DG99" s="452" t="str">
        <f t="shared" si="134"/>
        <v/>
      </c>
      <c r="DH99" s="453" t="str">
        <f t="shared" si="134"/>
        <v/>
      </c>
      <c r="DI99" s="451" t="str">
        <f t="shared" si="134"/>
        <v/>
      </c>
      <c r="DJ99" s="452" t="str">
        <f t="shared" si="134"/>
        <v/>
      </c>
      <c r="DK99" s="452" t="str">
        <f t="shared" si="134"/>
        <v/>
      </c>
      <c r="DL99" s="452" t="str">
        <f t="shared" si="134"/>
        <v/>
      </c>
      <c r="DM99" s="453" t="str">
        <f t="shared" si="134"/>
        <v/>
      </c>
      <c r="DN99" s="451" t="str">
        <f t="shared" si="134"/>
        <v/>
      </c>
      <c r="DO99" s="452" t="str">
        <f t="shared" si="134"/>
        <v/>
      </c>
      <c r="DP99" s="452" t="str">
        <f t="shared" si="134"/>
        <v/>
      </c>
      <c r="DQ99" s="452" t="str">
        <f t="shared" si="134"/>
        <v/>
      </c>
      <c r="DR99" s="453" t="str">
        <f t="shared" si="134"/>
        <v/>
      </c>
      <c r="DS99" s="451" t="str">
        <f t="shared" si="134"/>
        <v/>
      </c>
      <c r="DT99" s="452" t="str">
        <f t="shared" si="134"/>
        <v/>
      </c>
      <c r="DU99" s="452" t="str">
        <f t="shared" si="124"/>
        <v/>
      </c>
      <c r="DV99" s="452" t="str">
        <f t="shared" si="124"/>
        <v/>
      </c>
      <c r="DW99" s="453" t="str">
        <f t="shared" si="124"/>
        <v/>
      </c>
      <c r="DX99" s="451" t="str">
        <f t="shared" si="124"/>
        <v/>
      </c>
      <c r="DY99" s="452" t="str">
        <f t="shared" si="124"/>
        <v/>
      </c>
      <c r="DZ99" s="452" t="str">
        <f t="shared" si="124"/>
        <v/>
      </c>
      <c r="EA99" s="452" t="str">
        <f t="shared" si="124"/>
        <v/>
      </c>
      <c r="EB99" s="453" t="str">
        <f t="shared" si="124"/>
        <v/>
      </c>
      <c r="EC99" s="451" t="str">
        <f t="shared" si="136"/>
        <v/>
      </c>
      <c r="ED99" s="452" t="str">
        <f t="shared" si="136"/>
        <v/>
      </c>
      <c r="EE99" s="452" t="str">
        <f t="shared" si="136"/>
        <v/>
      </c>
      <c r="EF99" s="452" t="str">
        <f t="shared" si="136"/>
        <v/>
      </c>
      <c r="EG99" s="453" t="str">
        <f t="shared" si="136"/>
        <v/>
      </c>
      <c r="EH99" s="451" t="str">
        <f t="shared" si="136"/>
        <v/>
      </c>
      <c r="EI99" s="452" t="str">
        <f t="shared" si="136"/>
        <v/>
      </c>
      <c r="EJ99" s="452" t="str">
        <f t="shared" si="136"/>
        <v/>
      </c>
      <c r="EK99" s="452" t="str">
        <f t="shared" si="136"/>
        <v/>
      </c>
      <c r="EL99" s="453" t="str">
        <f t="shared" si="136"/>
        <v/>
      </c>
      <c r="EM99" s="451" t="str">
        <f t="shared" si="136"/>
        <v/>
      </c>
      <c r="EN99" s="452" t="str">
        <f t="shared" si="136"/>
        <v/>
      </c>
      <c r="EO99" s="452" t="str">
        <f t="shared" si="136"/>
        <v/>
      </c>
      <c r="EP99" s="452" t="str">
        <f t="shared" si="136"/>
        <v/>
      </c>
      <c r="EQ99" s="453" t="str">
        <f t="shared" si="136"/>
        <v/>
      </c>
      <c r="ER99" s="451" t="str">
        <f t="shared" si="136"/>
        <v/>
      </c>
      <c r="ES99" s="452" t="str">
        <f t="shared" si="136"/>
        <v/>
      </c>
      <c r="ET99" s="452" t="str">
        <f t="shared" si="136"/>
        <v/>
      </c>
      <c r="EU99" s="452" t="str">
        <f t="shared" si="136"/>
        <v/>
      </c>
      <c r="EV99" s="453" t="str">
        <f t="shared" si="136"/>
        <v/>
      </c>
      <c r="EW99" s="451" t="str">
        <f t="shared" si="136"/>
        <v/>
      </c>
      <c r="EX99" s="452" t="str">
        <f t="shared" si="136"/>
        <v/>
      </c>
      <c r="EY99" s="452" t="str">
        <f t="shared" si="136"/>
        <v/>
      </c>
      <c r="EZ99" s="452" t="str">
        <f t="shared" si="136"/>
        <v/>
      </c>
      <c r="FA99" s="453" t="str">
        <f t="shared" si="136"/>
        <v/>
      </c>
      <c r="FB99" s="451" t="str">
        <f t="shared" si="136"/>
        <v/>
      </c>
      <c r="FC99" s="452" t="str">
        <f t="shared" si="136"/>
        <v/>
      </c>
      <c r="FD99" s="452" t="str">
        <f t="shared" si="139"/>
        <v/>
      </c>
      <c r="FE99" s="452" t="str">
        <f t="shared" si="139"/>
        <v/>
      </c>
      <c r="FF99" s="453" t="str">
        <f t="shared" si="139"/>
        <v/>
      </c>
      <c r="FG99" s="451" t="str">
        <f t="shared" si="139"/>
        <v/>
      </c>
      <c r="FH99" s="452" t="str">
        <f t="shared" si="139"/>
        <v/>
      </c>
      <c r="FI99" s="452" t="str">
        <f t="shared" si="139"/>
        <v/>
      </c>
      <c r="FJ99" s="452" t="str">
        <f t="shared" si="139"/>
        <v/>
      </c>
      <c r="FK99" s="453" t="str">
        <f t="shared" si="139"/>
        <v/>
      </c>
      <c r="FL99" s="451" t="str">
        <f t="shared" si="139"/>
        <v/>
      </c>
      <c r="FM99" s="452" t="str">
        <f t="shared" si="139"/>
        <v/>
      </c>
      <c r="FN99" s="452" t="str">
        <f t="shared" si="139"/>
        <v/>
      </c>
      <c r="FO99" s="452" t="str">
        <f t="shared" si="139"/>
        <v/>
      </c>
      <c r="FP99" s="453" t="str">
        <f t="shared" si="137"/>
        <v/>
      </c>
      <c r="FQ99" s="451" t="str">
        <f t="shared" si="137"/>
        <v/>
      </c>
      <c r="FR99" s="452" t="str">
        <f t="shared" si="137"/>
        <v/>
      </c>
      <c r="FS99" s="452" t="str">
        <f t="shared" si="137"/>
        <v/>
      </c>
      <c r="FT99" s="452" t="str">
        <f t="shared" si="137"/>
        <v/>
      </c>
      <c r="FU99" s="453" t="str">
        <f t="shared" si="137"/>
        <v/>
      </c>
      <c r="FV99" s="451" t="str">
        <f t="shared" si="137"/>
        <v/>
      </c>
      <c r="FW99" s="452" t="str">
        <f t="shared" si="137"/>
        <v/>
      </c>
      <c r="FX99" s="452" t="str">
        <f t="shared" si="137"/>
        <v/>
      </c>
      <c r="FY99" s="452" t="str">
        <f t="shared" si="128"/>
        <v/>
      </c>
      <c r="FZ99" s="453" t="str">
        <f t="shared" si="128"/>
        <v/>
      </c>
      <c r="GA99" s="451" t="str">
        <f t="shared" si="128"/>
        <v/>
      </c>
      <c r="GB99" s="452" t="str">
        <f t="shared" si="128"/>
        <v/>
      </c>
      <c r="GC99" s="452" t="str">
        <f t="shared" si="128"/>
        <v/>
      </c>
      <c r="GD99" s="452" t="str">
        <f t="shared" si="128"/>
        <v/>
      </c>
      <c r="GE99" s="453" t="str">
        <f t="shared" si="128"/>
        <v/>
      </c>
      <c r="GF99" s="451" t="str">
        <f t="shared" si="128"/>
        <v/>
      </c>
      <c r="GG99" s="452" t="str">
        <f t="shared" si="128"/>
        <v/>
      </c>
      <c r="GH99" s="452" t="str">
        <f t="shared" si="128"/>
        <v/>
      </c>
      <c r="GI99" s="452" t="str">
        <f t="shared" si="128"/>
        <v/>
      </c>
      <c r="GJ99" s="453" t="str">
        <f t="shared" si="128"/>
        <v/>
      </c>
      <c r="GK99" s="451" t="str">
        <f t="shared" si="128"/>
        <v/>
      </c>
      <c r="GL99" s="452" t="str">
        <f t="shared" si="128"/>
        <v/>
      </c>
      <c r="GM99" s="452" t="str">
        <f t="shared" si="128"/>
        <v/>
      </c>
      <c r="GN99" s="452" t="str">
        <f t="shared" si="127"/>
        <v/>
      </c>
      <c r="GO99" s="453" t="str">
        <f t="shared" si="127"/>
        <v/>
      </c>
      <c r="GP99" s="451" t="str">
        <f t="shared" si="127"/>
        <v/>
      </c>
      <c r="GQ99" s="452" t="str">
        <f t="shared" si="127"/>
        <v/>
      </c>
      <c r="GR99" s="452" t="str">
        <f t="shared" si="127"/>
        <v/>
      </c>
      <c r="GS99" s="452" t="str">
        <f t="shared" si="127"/>
        <v/>
      </c>
      <c r="GT99" s="453" t="str">
        <f t="shared" si="132"/>
        <v/>
      </c>
      <c r="GU99" s="451" t="str">
        <f t="shared" si="132"/>
        <v/>
      </c>
      <c r="GV99" s="452" t="str">
        <f t="shared" si="132"/>
        <v/>
      </c>
      <c r="GW99" s="452" t="str">
        <f t="shared" si="132"/>
        <v/>
      </c>
      <c r="GX99" s="452" t="str">
        <f t="shared" si="132"/>
        <v/>
      </c>
      <c r="GY99" s="453" t="str">
        <f t="shared" si="132"/>
        <v/>
      </c>
      <c r="GZ99" s="451" t="str">
        <f t="shared" si="132"/>
        <v/>
      </c>
      <c r="HA99" s="452" t="str">
        <f t="shared" si="132"/>
        <v/>
      </c>
      <c r="HB99" s="452" t="str">
        <f t="shared" si="132"/>
        <v/>
      </c>
      <c r="HC99" s="452" t="str">
        <f t="shared" si="132"/>
        <v/>
      </c>
      <c r="HD99" s="453" t="str">
        <f t="shared" si="132"/>
        <v/>
      </c>
      <c r="HE99" s="451" t="str">
        <f t="shared" si="132"/>
        <v/>
      </c>
      <c r="HF99" s="452" t="str">
        <f t="shared" si="132"/>
        <v/>
      </c>
      <c r="HG99" s="452" t="str">
        <f t="shared" si="132"/>
        <v/>
      </c>
      <c r="HH99" s="452" t="str">
        <f t="shared" si="132"/>
        <v/>
      </c>
      <c r="HI99" s="453" t="str">
        <f t="shared" si="132"/>
        <v/>
      </c>
      <c r="HJ99" s="451" t="str">
        <f t="shared" si="144"/>
        <v/>
      </c>
      <c r="HK99" s="452" t="str">
        <f t="shared" si="144"/>
        <v/>
      </c>
      <c r="HL99" s="452" t="str">
        <f t="shared" si="144"/>
        <v/>
      </c>
      <c r="HM99" s="452" t="str">
        <f t="shared" si="144"/>
        <v/>
      </c>
      <c r="HN99" s="453" t="str">
        <f t="shared" si="144"/>
        <v/>
      </c>
      <c r="HO99" s="451" t="str">
        <f t="shared" si="144"/>
        <v/>
      </c>
      <c r="HP99" s="452" t="str">
        <f t="shared" si="144"/>
        <v/>
      </c>
      <c r="HQ99" s="452" t="str">
        <f t="shared" si="144"/>
        <v/>
      </c>
      <c r="HR99" s="452" t="str">
        <f t="shared" si="144"/>
        <v/>
      </c>
      <c r="HS99" s="453" t="str">
        <f t="shared" si="144"/>
        <v/>
      </c>
      <c r="HT99" s="451" t="str">
        <f t="shared" si="144"/>
        <v/>
      </c>
      <c r="HU99" s="452" t="str">
        <f t="shared" si="144"/>
        <v/>
      </c>
      <c r="HV99" s="452" t="str">
        <f t="shared" si="144"/>
        <v/>
      </c>
      <c r="HW99" s="452" t="str">
        <f t="shared" si="144"/>
        <v/>
      </c>
      <c r="HX99" s="453" t="str">
        <f t="shared" si="144"/>
        <v/>
      </c>
      <c r="HY99" s="451" t="str">
        <f t="shared" si="143"/>
        <v/>
      </c>
      <c r="HZ99" s="452" t="str">
        <f t="shared" si="143"/>
        <v/>
      </c>
      <c r="IA99" s="452" t="str">
        <f t="shared" si="143"/>
        <v/>
      </c>
      <c r="IB99" s="452" t="str">
        <f t="shared" si="143"/>
        <v/>
      </c>
      <c r="IC99" s="453" t="str">
        <f t="shared" si="143"/>
        <v/>
      </c>
      <c r="ID99" s="451" t="str">
        <f t="shared" si="143"/>
        <v/>
      </c>
      <c r="IE99" s="452" t="str">
        <f t="shared" si="143"/>
        <v/>
      </c>
      <c r="IF99" s="452" t="str">
        <f t="shared" si="143"/>
        <v/>
      </c>
      <c r="IG99" s="452" t="str">
        <f t="shared" si="143"/>
        <v/>
      </c>
      <c r="IH99" s="453" t="str">
        <f t="shared" si="143"/>
        <v/>
      </c>
      <c r="II99" s="451" t="str">
        <f t="shared" si="143"/>
        <v/>
      </c>
      <c r="IJ99" s="452" t="str">
        <f t="shared" si="143"/>
        <v/>
      </c>
      <c r="IK99" s="452" t="str">
        <f t="shared" si="143"/>
        <v/>
      </c>
      <c r="IL99" s="452" t="str">
        <f t="shared" si="143"/>
        <v/>
      </c>
      <c r="IM99" s="453" t="str">
        <f t="shared" si="147"/>
        <v/>
      </c>
      <c r="IN99" s="451" t="str">
        <f t="shared" si="147"/>
        <v/>
      </c>
      <c r="IO99" s="452" t="str">
        <f t="shared" si="147"/>
        <v/>
      </c>
      <c r="IP99" s="452" t="str">
        <f t="shared" si="147"/>
        <v/>
      </c>
      <c r="IQ99" s="452" t="str">
        <f t="shared" si="147"/>
        <v/>
      </c>
      <c r="IR99" s="453" t="str">
        <f t="shared" si="147"/>
        <v/>
      </c>
    </row>
    <row r="100" spans="1:252" x14ac:dyDescent="0.2">
      <c r="A100" s="461">
        <v>9.8000000000000007</v>
      </c>
      <c r="C100" s="447" t="s">
        <v>1358</v>
      </c>
      <c r="D100" s="447"/>
      <c r="E100" s="448"/>
      <c r="F100" s="448"/>
      <c r="G100" s="448"/>
      <c r="H100" s="448"/>
      <c r="I100" s="448"/>
      <c r="J100" s="449" t="str">
        <f t="shared" si="140"/>
        <v/>
      </c>
      <c r="K100" s="449" t="str">
        <f t="shared" si="141"/>
        <v/>
      </c>
      <c r="L100" s="450">
        <f t="shared" si="101"/>
        <v>0</v>
      </c>
      <c r="M100" s="451" t="str">
        <f t="shared" si="138"/>
        <v/>
      </c>
      <c r="N100" s="452" t="str">
        <f t="shared" si="138"/>
        <v/>
      </c>
      <c r="O100" s="452" t="str">
        <f t="shared" si="138"/>
        <v/>
      </c>
      <c r="P100" s="452" t="str">
        <f t="shared" si="138"/>
        <v/>
      </c>
      <c r="Q100" s="453" t="str">
        <f t="shared" si="138"/>
        <v/>
      </c>
      <c r="R100" s="451" t="str">
        <f t="shared" si="138"/>
        <v/>
      </c>
      <c r="S100" s="452" t="str">
        <f t="shared" si="138"/>
        <v/>
      </c>
      <c r="T100" s="452" t="str">
        <f t="shared" si="138"/>
        <v/>
      </c>
      <c r="U100" s="452" t="str">
        <f t="shared" si="138"/>
        <v/>
      </c>
      <c r="V100" s="453" t="str">
        <f t="shared" si="138"/>
        <v/>
      </c>
      <c r="W100" s="451" t="str">
        <f t="shared" si="138"/>
        <v/>
      </c>
      <c r="X100" s="452" t="str">
        <f t="shared" si="138"/>
        <v/>
      </c>
      <c r="Y100" s="452" t="str">
        <f t="shared" si="138"/>
        <v/>
      </c>
      <c r="Z100" s="452" t="str">
        <f t="shared" si="138"/>
        <v/>
      </c>
      <c r="AA100" s="453" t="str">
        <f t="shared" si="138"/>
        <v/>
      </c>
      <c r="AB100" s="451" t="str">
        <f t="shared" si="138"/>
        <v/>
      </c>
      <c r="AC100" s="452" t="str">
        <f t="shared" si="148"/>
        <v/>
      </c>
      <c r="AD100" s="452" t="str">
        <f t="shared" si="148"/>
        <v/>
      </c>
      <c r="AE100" s="452" t="str">
        <f t="shared" si="148"/>
        <v/>
      </c>
      <c r="AF100" s="453" t="str">
        <f t="shared" si="148"/>
        <v/>
      </c>
      <c r="AG100" s="451" t="str">
        <f t="shared" si="148"/>
        <v/>
      </c>
      <c r="AH100" s="452" t="str">
        <f t="shared" si="148"/>
        <v/>
      </c>
      <c r="AI100" s="452" t="str">
        <f t="shared" si="148"/>
        <v/>
      </c>
      <c r="AJ100" s="452" t="str">
        <f t="shared" si="148"/>
        <v/>
      </c>
      <c r="AK100" s="453" t="str">
        <f t="shared" si="148"/>
        <v/>
      </c>
      <c r="AL100" s="451" t="str">
        <f t="shared" si="148"/>
        <v/>
      </c>
      <c r="AM100" s="452" t="str">
        <f t="shared" si="148"/>
        <v/>
      </c>
      <c r="AN100" s="452" t="str">
        <f t="shared" si="148"/>
        <v/>
      </c>
      <c r="AO100" s="452" t="str">
        <f t="shared" si="148"/>
        <v/>
      </c>
      <c r="AP100" s="453" t="str">
        <f t="shared" si="148"/>
        <v/>
      </c>
      <c r="AQ100" s="451" t="str">
        <f t="shared" si="148"/>
        <v/>
      </c>
      <c r="AR100" s="452" t="str">
        <f t="shared" si="148"/>
        <v/>
      </c>
      <c r="AS100" s="452" t="str">
        <f t="shared" si="145"/>
        <v/>
      </c>
      <c r="AT100" s="452" t="str">
        <f t="shared" si="145"/>
        <v/>
      </c>
      <c r="AU100" s="453" t="str">
        <f t="shared" si="145"/>
        <v/>
      </c>
      <c r="AV100" s="451" t="str">
        <f t="shared" si="145"/>
        <v/>
      </c>
      <c r="AW100" s="452" t="str">
        <f t="shared" si="145"/>
        <v/>
      </c>
      <c r="AX100" s="452" t="str">
        <f t="shared" si="145"/>
        <v/>
      </c>
      <c r="AY100" s="452" t="str">
        <f t="shared" si="145"/>
        <v/>
      </c>
      <c r="AZ100" s="453" t="str">
        <f t="shared" si="145"/>
        <v/>
      </c>
      <c r="BA100" s="451" t="str">
        <f t="shared" si="145"/>
        <v/>
      </c>
      <c r="BB100" s="452" t="str">
        <f t="shared" si="145"/>
        <v/>
      </c>
      <c r="BC100" s="452" t="str">
        <f t="shared" si="145"/>
        <v/>
      </c>
      <c r="BD100" s="452" t="str">
        <f t="shared" si="145"/>
        <v/>
      </c>
      <c r="BE100" s="453" t="str">
        <f t="shared" si="145"/>
        <v/>
      </c>
      <c r="BF100" s="451" t="str">
        <f t="shared" si="145"/>
        <v/>
      </c>
      <c r="BG100" s="452" t="str">
        <f t="shared" si="145"/>
        <v/>
      </c>
      <c r="BH100" s="452" t="str">
        <f t="shared" si="129"/>
        <v/>
      </c>
      <c r="BI100" s="452" t="str">
        <f t="shared" si="129"/>
        <v/>
      </c>
      <c r="BJ100" s="453" t="str">
        <f t="shared" si="129"/>
        <v/>
      </c>
      <c r="BK100" s="451" t="str">
        <f t="shared" si="129"/>
        <v/>
      </c>
      <c r="BL100" s="452" t="str">
        <f t="shared" si="129"/>
        <v/>
      </c>
      <c r="BM100" s="452" t="str">
        <f t="shared" si="129"/>
        <v/>
      </c>
      <c r="BN100" s="452" t="str">
        <f t="shared" si="129"/>
        <v/>
      </c>
      <c r="BO100" s="453" t="str">
        <f t="shared" si="129"/>
        <v/>
      </c>
      <c r="BP100" s="451" t="str">
        <f t="shared" si="129"/>
        <v/>
      </c>
      <c r="BQ100" s="452" t="str">
        <f t="shared" si="129"/>
        <v/>
      </c>
      <c r="BR100" s="452" t="str">
        <f t="shared" si="129"/>
        <v/>
      </c>
      <c r="BS100" s="452" t="str">
        <f t="shared" si="129"/>
        <v/>
      </c>
      <c r="BT100" s="453" t="str">
        <f t="shared" si="129"/>
        <v/>
      </c>
      <c r="BU100" s="451" t="str">
        <f t="shared" si="129"/>
        <v/>
      </c>
      <c r="BV100" s="452" t="str">
        <f t="shared" si="129"/>
        <v/>
      </c>
      <c r="BW100" s="452" t="str">
        <f t="shared" si="129"/>
        <v/>
      </c>
      <c r="BX100" s="452" t="str">
        <f t="shared" si="146"/>
        <v/>
      </c>
      <c r="BY100" s="453" t="str">
        <f t="shared" si="146"/>
        <v/>
      </c>
      <c r="BZ100" s="451" t="str">
        <f t="shared" si="146"/>
        <v/>
      </c>
      <c r="CA100" s="452" t="str">
        <f t="shared" si="146"/>
        <v/>
      </c>
      <c r="CB100" s="452" t="str">
        <f t="shared" si="146"/>
        <v/>
      </c>
      <c r="CC100" s="452" t="str">
        <f t="shared" si="146"/>
        <v/>
      </c>
      <c r="CD100" s="453" t="str">
        <f t="shared" si="146"/>
        <v/>
      </c>
      <c r="CE100" s="451" t="str">
        <f t="shared" si="146"/>
        <v/>
      </c>
      <c r="CF100" s="452" t="str">
        <f t="shared" si="146"/>
        <v/>
      </c>
      <c r="CG100" s="452" t="str">
        <f t="shared" si="146"/>
        <v/>
      </c>
      <c r="CH100" s="452" t="str">
        <f t="shared" si="146"/>
        <v/>
      </c>
      <c r="CI100" s="453" t="str">
        <f t="shared" si="146"/>
        <v/>
      </c>
      <c r="CJ100" s="451" t="str">
        <f t="shared" si="146"/>
        <v/>
      </c>
      <c r="CK100" s="452" t="str">
        <f t="shared" si="146"/>
        <v/>
      </c>
      <c r="CL100" s="452" t="str">
        <f t="shared" si="146"/>
        <v/>
      </c>
      <c r="CM100" s="452" t="str">
        <f t="shared" si="146"/>
        <v/>
      </c>
      <c r="CN100" s="453" t="str">
        <f t="shared" si="133"/>
        <v/>
      </c>
      <c r="CO100" s="451" t="str">
        <f t="shared" si="133"/>
        <v/>
      </c>
      <c r="CP100" s="452" t="str">
        <f t="shared" si="133"/>
        <v/>
      </c>
      <c r="CQ100" s="452" t="str">
        <f t="shared" si="133"/>
        <v/>
      </c>
      <c r="CR100" s="452" t="str">
        <f t="shared" si="133"/>
        <v/>
      </c>
      <c r="CS100" s="453" t="str">
        <f t="shared" si="133"/>
        <v/>
      </c>
      <c r="CT100" s="451" t="str">
        <f t="shared" si="133"/>
        <v/>
      </c>
      <c r="CU100" s="452" t="str">
        <f t="shared" si="133"/>
        <v/>
      </c>
      <c r="CV100" s="452" t="str">
        <f t="shared" si="142"/>
        <v/>
      </c>
      <c r="CW100" s="452" t="str">
        <f t="shared" si="142"/>
        <v/>
      </c>
      <c r="CX100" s="453" t="str">
        <f t="shared" si="142"/>
        <v/>
      </c>
      <c r="CY100" s="451" t="str">
        <f t="shared" si="142"/>
        <v/>
      </c>
      <c r="CZ100" s="452" t="str">
        <f t="shared" si="142"/>
        <v/>
      </c>
      <c r="DA100" s="452" t="str">
        <f t="shared" si="142"/>
        <v/>
      </c>
      <c r="DB100" s="452" t="str">
        <f t="shared" si="142"/>
        <v/>
      </c>
      <c r="DC100" s="453" t="str">
        <f t="shared" si="142"/>
        <v/>
      </c>
      <c r="DD100" s="451" t="str">
        <f t="shared" si="142"/>
        <v/>
      </c>
      <c r="DE100" s="452" t="str">
        <f t="shared" si="134"/>
        <v/>
      </c>
      <c r="DF100" s="452" t="str">
        <f t="shared" si="134"/>
        <v/>
      </c>
      <c r="DG100" s="452" t="str">
        <f t="shared" si="134"/>
        <v/>
      </c>
      <c r="DH100" s="453" t="str">
        <f t="shared" si="134"/>
        <v/>
      </c>
      <c r="DI100" s="451" t="str">
        <f t="shared" si="134"/>
        <v/>
      </c>
      <c r="DJ100" s="452" t="str">
        <f t="shared" si="134"/>
        <v/>
      </c>
      <c r="DK100" s="452" t="str">
        <f t="shared" si="134"/>
        <v/>
      </c>
      <c r="DL100" s="452" t="str">
        <f t="shared" si="134"/>
        <v/>
      </c>
      <c r="DM100" s="453" t="str">
        <f t="shared" si="134"/>
        <v/>
      </c>
      <c r="DN100" s="451" t="str">
        <f t="shared" si="134"/>
        <v/>
      </c>
      <c r="DO100" s="452" t="str">
        <f t="shared" si="134"/>
        <v/>
      </c>
      <c r="DP100" s="452" t="str">
        <f t="shared" si="134"/>
        <v/>
      </c>
      <c r="DQ100" s="452" t="str">
        <f t="shared" si="134"/>
        <v/>
      </c>
      <c r="DR100" s="453" t="str">
        <f t="shared" si="134"/>
        <v/>
      </c>
      <c r="DS100" s="451" t="str">
        <f t="shared" si="134"/>
        <v/>
      </c>
      <c r="DT100" s="452" t="str">
        <f t="shared" si="134"/>
        <v/>
      </c>
      <c r="DU100" s="452" t="str">
        <f t="shared" ref="DU100:EJ117" si="149">IF(AND(DU$2&gt;=$J100,DU$2&lt;=$K100),1,"")</f>
        <v/>
      </c>
      <c r="DV100" s="452" t="str">
        <f t="shared" si="149"/>
        <v/>
      </c>
      <c r="DW100" s="453" t="str">
        <f t="shared" si="149"/>
        <v/>
      </c>
      <c r="DX100" s="451" t="str">
        <f t="shared" si="149"/>
        <v/>
      </c>
      <c r="DY100" s="452" t="str">
        <f t="shared" si="149"/>
        <v/>
      </c>
      <c r="DZ100" s="452" t="str">
        <f t="shared" si="149"/>
        <v/>
      </c>
      <c r="EA100" s="452" t="str">
        <f t="shared" si="149"/>
        <v/>
      </c>
      <c r="EB100" s="453" t="str">
        <f t="shared" si="149"/>
        <v/>
      </c>
      <c r="EC100" s="451" t="str">
        <f t="shared" si="149"/>
        <v/>
      </c>
      <c r="ED100" s="452" t="str">
        <f t="shared" si="149"/>
        <v/>
      </c>
      <c r="EE100" s="452" t="str">
        <f t="shared" si="149"/>
        <v/>
      </c>
      <c r="EF100" s="452" t="str">
        <f t="shared" si="149"/>
        <v/>
      </c>
      <c r="EG100" s="453" t="str">
        <f t="shared" si="149"/>
        <v/>
      </c>
      <c r="EH100" s="451" t="str">
        <f t="shared" si="149"/>
        <v/>
      </c>
      <c r="EI100" s="452" t="str">
        <f t="shared" si="149"/>
        <v/>
      </c>
      <c r="EJ100" s="452" t="str">
        <f t="shared" si="136"/>
        <v/>
      </c>
      <c r="EK100" s="452" t="str">
        <f t="shared" si="136"/>
        <v/>
      </c>
      <c r="EL100" s="453" t="str">
        <f t="shared" si="136"/>
        <v/>
      </c>
      <c r="EM100" s="451" t="str">
        <f t="shared" si="136"/>
        <v/>
      </c>
      <c r="EN100" s="452" t="str">
        <f t="shared" si="136"/>
        <v/>
      </c>
      <c r="EO100" s="452" t="str">
        <f t="shared" si="136"/>
        <v/>
      </c>
      <c r="EP100" s="452" t="str">
        <f t="shared" si="136"/>
        <v/>
      </c>
      <c r="EQ100" s="453" t="str">
        <f t="shared" si="136"/>
        <v/>
      </c>
      <c r="ER100" s="451" t="str">
        <f t="shared" si="136"/>
        <v/>
      </c>
      <c r="ES100" s="452" t="str">
        <f t="shared" si="136"/>
        <v/>
      </c>
      <c r="ET100" s="452" t="str">
        <f t="shared" si="136"/>
        <v/>
      </c>
      <c r="EU100" s="452" t="str">
        <f t="shared" si="136"/>
        <v/>
      </c>
      <c r="EV100" s="453" t="str">
        <f t="shared" si="136"/>
        <v/>
      </c>
      <c r="EW100" s="451" t="str">
        <f t="shared" si="136"/>
        <v/>
      </c>
      <c r="EX100" s="452" t="str">
        <f t="shared" si="136"/>
        <v/>
      </c>
      <c r="EY100" s="452" t="str">
        <f t="shared" si="136"/>
        <v/>
      </c>
      <c r="EZ100" s="452" t="str">
        <f t="shared" ref="EZ100:FO115" si="150">IF(AND(EZ$2&gt;=$J100,EZ$2&lt;=$K100),1,"")</f>
        <v/>
      </c>
      <c r="FA100" s="453" t="str">
        <f t="shared" si="150"/>
        <v/>
      </c>
      <c r="FB100" s="451" t="str">
        <f t="shared" si="150"/>
        <v/>
      </c>
      <c r="FC100" s="452" t="str">
        <f t="shared" si="150"/>
        <v/>
      </c>
      <c r="FD100" s="452" t="str">
        <f t="shared" si="150"/>
        <v/>
      </c>
      <c r="FE100" s="452" t="str">
        <f t="shared" si="150"/>
        <v/>
      </c>
      <c r="FF100" s="453" t="str">
        <f t="shared" si="150"/>
        <v/>
      </c>
      <c r="FG100" s="451" t="str">
        <f t="shared" si="150"/>
        <v/>
      </c>
      <c r="FH100" s="452" t="str">
        <f t="shared" si="150"/>
        <v/>
      </c>
      <c r="FI100" s="452" t="str">
        <f t="shared" si="150"/>
        <v/>
      </c>
      <c r="FJ100" s="452" t="str">
        <f t="shared" si="150"/>
        <v/>
      </c>
      <c r="FK100" s="453" t="str">
        <f t="shared" si="150"/>
        <v/>
      </c>
      <c r="FL100" s="451" t="str">
        <f t="shared" si="150"/>
        <v/>
      </c>
      <c r="FM100" s="452" t="str">
        <f t="shared" si="150"/>
        <v/>
      </c>
      <c r="FN100" s="452" t="str">
        <f t="shared" si="150"/>
        <v/>
      </c>
      <c r="FO100" s="452" t="str">
        <f t="shared" si="150"/>
        <v/>
      </c>
      <c r="FP100" s="453" t="str">
        <f t="shared" si="137"/>
        <v/>
      </c>
      <c r="FQ100" s="451" t="str">
        <f t="shared" si="137"/>
        <v/>
      </c>
      <c r="FR100" s="452" t="str">
        <f t="shared" si="137"/>
        <v/>
      </c>
      <c r="FS100" s="452" t="str">
        <f t="shared" si="137"/>
        <v/>
      </c>
      <c r="FT100" s="452" t="str">
        <f t="shared" si="137"/>
        <v/>
      </c>
      <c r="FU100" s="453" t="str">
        <f t="shared" si="137"/>
        <v/>
      </c>
      <c r="FV100" s="451" t="str">
        <f t="shared" si="137"/>
        <v/>
      </c>
      <c r="FW100" s="452" t="str">
        <f t="shared" si="137"/>
        <v/>
      </c>
      <c r="FX100" s="452" t="str">
        <f t="shared" si="137"/>
        <v/>
      </c>
      <c r="FY100" s="452" t="str">
        <f t="shared" si="128"/>
        <v/>
      </c>
      <c r="FZ100" s="453" t="str">
        <f t="shared" si="128"/>
        <v/>
      </c>
      <c r="GA100" s="451" t="str">
        <f t="shared" si="128"/>
        <v/>
      </c>
      <c r="GB100" s="452" t="str">
        <f t="shared" si="128"/>
        <v/>
      </c>
      <c r="GC100" s="452" t="str">
        <f t="shared" si="128"/>
        <v/>
      </c>
      <c r="GD100" s="452" t="str">
        <f t="shared" si="128"/>
        <v/>
      </c>
      <c r="GE100" s="453" t="str">
        <f t="shared" si="128"/>
        <v/>
      </c>
      <c r="GF100" s="451" t="str">
        <f t="shared" si="128"/>
        <v/>
      </c>
      <c r="GG100" s="452" t="str">
        <f t="shared" si="128"/>
        <v/>
      </c>
      <c r="GH100" s="452" t="str">
        <f t="shared" si="128"/>
        <v/>
      </c>
      <c r="GI100" s="452" t="str">
        <f t="shared" si="128"/>
        <v/>
      </c>
      <c r="GJ100" s="453" t="str">
        <f t="shared" si="128"/>
        <v/>
      </c>
      <c r="GK100" s="451" t="str">
        <f t="shared" si="128"/>
        <v/>
      </c>
      <c r="GL100" s="452" t="str">
        <f t="shared" si="128"/>
        <v/>
      </c>
      <c r="GM100" s="452" t="str">
        <f t="shared" si="128"/>
        <v/>
      </c>
      <c r="GN100" s="452" t="str">
        <f t="shared" ref="GN100:HD115" si="151">IF(AND(GN$2&gt;=$J100,GN$2&lt;=$K100),1,"")</f>
        <v/>
      </c>
      <c r="GO100" s="453" t="str">
        <f t="shared" si="151"/>
        <v/>
      </c>
      <c r="GP100" s="451" t="str">
        <f t="shared" si="151"/>
        <v/>
      </c>
      <c r="GQ100" s="452" t="str">
        <f t="shared" si="151"/>
        <v/>
      </c>
      <c r="GR100" s="452" t="str">
        <f t="shared" si="151"/>
        <v/>
      </c>
      <c r="GS100" s="452" t="str">
        <f t="shared" si="151"/>
        <v/>
      </c>
      <c r="GT100" s="453" t="str">
        <f t="shared" si="151"/>
        <v/>
      </c>
      <c r="GU100" s="451" t="str">
        <f t="shared" si="151"/>
        <v/>
      </c>
      <c r="GV100" s="452" t="str">
        <f t="shared" si="151"/>
        <v/>
      </c>
      <c r="GW100" s="452" t="str">
        <f t="shared" si="151"/>
        <v/>
      </c>
      <c r="GX100" s="452" t="str">
        <f t="shared" si="151"/>
        <v/>
      </c>
      <c r="GY100" s="453" t="str">
        <f t="shared" si="151"/>
        <v/>
      </c>
      <c r="GZ100" s="451" t="str">
        <f t="shared" si="151"/>
        <v/>
      </c>
      <c r="HA100" s="452" t="str">
        <f t="shared" si="151"/>
        <v/>
      </c>
      <c r="HB100" s="452" t="str">
        <f t="shared" si="151"/>
        <v/>
      </c>
      <c r="HC100" s="452" t="str">
        <f t="shared" si="151"/>
        <v/>
      </c>
      <c r="HD100" s="453" t="str">
        <f t="shared" si="151"/>
        <v/>
      </c>
      <c r="HE100" s="451" t="str">
        <f t="shared" si="132"/>
        <v/>
      </c>
      <c r="HF100" s="452" t="str">
        <f t="shared" si="132"/>
        <v/>
      </c>
      <c r="HG100" s="452" t="str">
        <f t="shared" si="132"/>
        <v/>
      </c>
      <c r="HH100" s="452" t="str">
        <f t="shared" si="132"/>
        <v/>
      </c>
      <c r="HI100" s="453" t="str">
        <f t="shared" si="132"/>
        <v/>
      </c>
      <c r="HJ100" s="451" t="str">
        <f t="shared" si="144"/>
        <v/>
      </c>
      <c r="HK100" s="452" t="str">
        <f t="shared" si="144"/>
        <v/>
      </c>
      <c r="HL100" s="452" t="str">
        <f t="shared" si="144"/>
        <v/>
      </c>
      <c r="HM100" s="452" t="str">
        <f t="shared" si="144"/>
        <v/>
      </c>
      <c r="HN100" s="453" t="str">
        <f t="shared" si="144"/>
        <v/>
      </c>
      <c r="HO100" s="451" t="str">
        <f t="shared" si="144"/>
        <v/>
      </c>
      <c r="HP100" s="452" t="str">
        <f t="shared" si="144"/>
        <v/>
      </c>
      <c r="HQ100" s="452" t="str">
        <f t="shared" si="144"/>
        <v/>
      </c>
      <c r="HR100" s="452" t="str">
        <f t="shared" si="144"/>
        <v/>
      </c>
      <c r="HS100" s="453" t="str">
        <f t="shared" si="144"/>
        <v/>
      </c>
      <c r="HT100" s="451" t="str">
        <f t="shared" si="144"/>
        <v/>
      </c>
      <c r="HU100" s="452" t="str">
        <f t="shared" si="144"/>
        <v/>
      </c>
      <c r="HV100" s="452" t="str">
        <f t="shared" si="144"/>
        <v/>
      </c>
      <c r="HW100" s="452" t="str">
        <f t="shared" si="144"/>
        <v/>
      </c>
      <c r="HX100" s="453" t="str">
        <f t="shared" si="144"/>
        <v/>
      </c>
      <c r="HY100" s="451" t="str">
        <f t="shared" si="143"/>
        <v/>
      </c>
      <c r="HZ100" s="452" t="str">
        <f t="shared" si="143"/>
        <v/>
      </c>
      <c r="IA100" s="452" t="str">
        <f t="shared" si="143"/>
        <v/>
      </c>
      <c r="IB100" s="452" t="str">
        <f t="shared" si="143"/>
        <v/>
      </c>
      <c r="IC100" s="453" t="str">
        <f t="shared" si="143"/>
        <v/>
      </c>
      <c r="ID100" s="451" t="str">
        <f t="shared" si="143"/>
        <v/>
      </c>
      <c r="IE100" s="452" t="str">
        <f t="shared" si="143"/>
        <v/>
      </c>
      <c r="IF100" s="452" t="str">
        <f t="shared" si="143"/>
        <v/>
      </c>
      <c r="IG100" s="452" t="str">
        <f t="shared" si="143"/>
        <v/>
      </c>
      <c r="IH100" s="453" t="str">
        <f t="shared" si="143"/>
        <v/>
      </c>
      <c r="II100" s="451" t="str">
        <f t="shared" si="143"/>
        <v/>
      </c>
      <c r="IJ100" s="452" t="str">
        <f t="shared" si="143"/>
        <v/>
      </c>
      <c r="IK100" s="452" t="str">
        <f t="shared" si="143"/>
        <v/>
      </c>
      <c r="IL100" s="452" t="str">
        <f t="shared" si="143"/>
        <v/>
      </c>
      <c r="IM100" s="453" t="str">
        <f t="shared" si="147"/>
        <v/>
      </c>
      <c r="IN100" s="451" t="str">
        <f t="shared" si="147"/>
        <v/>
      </c>
      <c r="IO100" s="452" t="str">
        <f t="shared" si="147"/>
        <v/>
      </c>
      <c r="IP100" s="452" t="str">
        <f t="shared" si="147"/>
        <v/>
      </c>
      <c r="IQ100" s="452" t="str">
        <f t="shared" si="147"/>
        <v/>
      </c>
      <c r="IR100" s="453" t="str">
        <f t="shared" si="147"/>
        <v/>
      </c>
    </row>
    <row r="101" spans="1:252" x14ac:dyDescent="0.2">
      <c r="A101" s="461">
        <v>9.9</v>
      </c>
      <c r="C101" s="447" t="s">
        <v>1359</v>
      </c>
      <c r="D101" s="447"/>
      <c r="E101" s="448"/>
      <c r="F101" s="448"/>
      <c r="G101" s="448"/>
      <c r="H101" s="448"/>
      <c r="I101" s="448"/>
      <c r="J101" s="449" t="str">
        <f t="shared" si="140"/>
        <v/>
      </c>
      <c r="K101" s="449" t="str">
        <f t="shared" si="141"/>
        <v/>
      </c>
      <c r="L101" s="450">
        <f t="shared" si="101"/>
        <v>0</v>
      </c>
      <c r="M101" s="451" t="str">
        <f t="shared" si="138"/>
        <v/>
      </c>
      <c r="N101" s="452" t="str">
        <f t="shared" si="138"/>
        <v/>
      </c>
      <c r="O101" s="452" t="str">
        <f t="shared" si="138"/>
        <v/>
      </c>
      <c r="P101" s="452" t="str">
        <f t="shared" si="138"/>
        <v/>
      </c>
      <c r="Q101" s="453" t="str">
        <f t="shared" si="138"/>
        <v/>
      </c>
      <c r="R101" s="451" t="str">
        <f t="shared" si="138"/>
        <v/>
      </c>
      <c r="S101" s="452" t="str">
        <f t="shared" si="138"/>
        <v/>
      </c>
      <c r="T101" s="452" t="str">
        <f t="shared" si="138"/>
        <v/>
      </c>
      <c r="U101" s="452" t="str">
        <f t="shared" si="138"/>
        <v/>
      </c>
      <c r="V101" s="453" t="str">
        <f t="shared" si="138"/>
        <v/>
      </c>
      <c r="W101" s="451" t="str">
        <f t="shared" si="138"/>
        <v/>
      </c>
      <c r="X101" s="452" t="str">
        <f t="shared" si="138"/>
        <v/>
      </c>
      <c r="Y101" s="452" t="str">
        <f t="shared" si="138"/>
        <v/>
      </c>
      <c r="Z101" s="452" t="str">
        <f t="shared" si="138"/>
        <v/>
      </c>
      <c r="AA101" s="453" t="str">
        <f t="shared" si="138"/>
        <v/>
      </c>
      <c r="AB101" s="451" t="str">
        <f t="shared" si="138"/>
        <v/>
      </c>
      <c r="AC101" s="452" t="str">
        <f t="shared" si="148"/>
        <v/>
      </c>
      <c r="AD101" s="452" t="str">
        <f t="shared" si="148"/>
        <v/>
      </c>
      <c r="AE101" s="452" t="str">
        <f t="shared" si="148"/>
        <v/>
      </c>
      <c r="AF101" s="453" t="str">
        <f t="shared" si="148"/>
        <v/>
      </c>
      <c r="AG101" s="451" t="str">
        <f t="shared" si="148"/>
        <v/>
      </c>
      <c r="AH101" s="452" t="str">
        <f t="shared" si="148"/>
        <v/>
      </c>
      <c r="AI101" s="452" t="str">
        <f t="shared" si="148"/>
        <v/>
      </c>
      <c r="AJ101" s="452" t="str">
        <f t="shared" si="148"/>
        <v/>
      </c>
      <c r="AK101" s="453" t="str">
        <f t="shared" si="148"/>
        <v/>
      </c>
      <c r="AL101" s="451" t="str">
        <f t="shared" si="148"/>
        <v/>
      </c>
      <c r="AM101" s="452" t="str">
        <f t="shared" si="148"/>
        <v/>
      </c>
      <c r="AN101" s="452" t="str">
        <f t="shared" si="148"/>
        <v/>
      </c>
      <c r="AO101" s="452" t="str">
        <f t="shared" si="148"/>
        <v/>
      </c>
      <c r="AP101" s="453" t="str">
        <f t="shared" si="148"/>
        <v/>
      </c>
      <c r="AQ101" s="451" t="str">
        <f t="shared" si="148"/>
        <v/>
      </c>
      <c r="AR101" s="452" t="str">
        <f t="shared" si="148"/>
        <v/>
      </c>
      <c r="AS101" s="452" t="str">
        <f t="shared" si="145"/>
        <v/>
      </c>
      <c r="AT101" s="452" t="str">
        <f t="shared" si="145"/>
        <v/>
      </c>
      <c r="AU101" s="453" t="str">
        <f t="shared" si="145"/>
        <v/>
      </c>
      <c r="AV101" s="451" t="str">
        <f t="shared" si="145"/>
        <v/>
      </c>
      <c r="AW101" s="452" t="str">
        <f t="shared" si="145"/>
        <v/>
      </c>
      <c r="AX101" s="452" t="str">
        <f t="shared" si="145"/>
        <v/>
      </c>
      <c r="AY101" s="452" t="str">
        <f t="shared" si="145"/>
        <v/>
      </c>
      <c r="AZ101" s="453" t="str">
        <f t="shared" si="145"/>
        <v/>
      </c>
      <c r="BA101" s="451" t="str">
        <f t="shared" si="145"/>
        <v/>
      </c>
      <c r="BB101" s="452" t="str">
        <f t="shared" si="145"/>
        <v/>
      </c>
      <c r="BC101" s="452" t="str">
        <f t="shared" si="145"/>
        <v/>
      </c>
      <c r="BD101" s="452" t="str">
        <f t="shared" si="145"/>
        <v/>
      </c>
      <c r="BE101" s="453" t="str">
        <f t="shared" si="145"/>
        <v/>
      </c>
      <c r="BF101" s="451" t="str">
        <f t="shared" si="145"/>
        <v/>
      </c>
      <c r="BG101" s="452" t="str">
        <f t="shared" si="145"/>
        <v/>
      </c>
      <c r="BH101" s="452" t="str">
        <f t="shared" si="129"/>
        <v/>
      </c>
      <c r="BI101" s="452" t="str">
        <f t="shared" si="129"/>
        <v/>
      </c>
      <c r="BJ101" s="453" t="str">
        <f t="shared" si="129"/>
        <v/>
      </c>
      <c r="BK101" s="451" t="str">
        <f t="shared" si="129"/>
        <v/>
      </c>
      <c r="BL101" s="452" t="str">
        <f t="shared" si="129"/>
        <v/>
      </c>
      <c r="BM101" s="452" t="str">
        <f t="shared" si="129"/>
        <v/>
      </c>
      <c r="BN101" s="452" t="str">
        <f t="shared" si="129"/>
        <v/>
      </c>
      <c r="BO101" s="453" t="str">
        <f t="shared" si="129"/>
        <v/>
      </c>
      <c r="BP101" s="451" t="str">
        <f t="shared" si="129"/>
        <v/>
      </c>
      <c r="BQ101" s="452" t="str">
        <f t="shared" si="129"/>
        <v/>
      </c>
      <c r="BR101" s="452" t="str">
        <f t="shared" si="129"/>
        <v/>
      </c>
      <c r="BS101" s="452" t="str">
        <f t="shared" si="129"/>
        <v/>
      </c>
      <c r="BT101" s="453" t="str">
        <f t="shared" si="129"/>
        <v/>
      </c>
      <c r="BU101" s="451" t="str">
        <f t="shared" si="129"/>
        <v/>
      </c>
      <c r="BV101" s="452" t="str">
        <f t="shared" si="129"/>
        <v/>
      </c>
      <c r="BW101" s="452" t="str">
        <f t="shared" si="129"/>
        <v/>
      </c>
      <c r="BX101" s="452" t="str">
        <f t="shared" si="146"/>
        <v/>
      </c>
      <c r="BY101" s="453" t="str">
        <f t="shared" si="146"/>
        <v/>
      </c>
      <c r="BZ101" s="451" t="str">
        <f t="shared" si="146"/>
        <v/>
      </c>
      <c r="CA101" s="452" t="str">
        <f t="shared" si="146"/>
        <v/>
      </c>
      <c r="CB101" s="452" t="str">
        <f t="shared" si="146"/>
        <v/>
      </c>
      <c r="CC101" s="452" t="str">
        <f t="shared" si="146"/>
        <v/>
      </c>
      <c r="CD101" s="453" t="str">
        <f t="shared" si="146"/>
        <v/>
      </c>
      <c r="CE101" s="451" t="str">
        <f t="shared" si="146"/>
        <v/>
      </c>
      <c r="CF101" s="452" t="str">
        <f t="shared" si="146"/>
        <v/>
      </c>
      <c r="CG101" s="452" t="str">
        <f t="shared" si="146"/>
        <v/>
      </c>
      <c r="CH101" s="452" t="str">
        <f t="shared" si="146"/>
        <v/>
      </c>
      <c r="CI101" s="453" t="str">
        <f t="shared" si="146"/>
        <v/>
      </c>
      <c r="CJ101" s="451" t="str">
        <f t="shared" si="146"/>
        <v/>
      </c>
      <c r="CK101" s="452" t="str">
        <f t="shared" si="146"/>
        <v/>
      </c>
      <c r="CL101" s="452" t="str">
        <f t="shared" si="146"/>
        <v/>
      </c>
      <c r="CM101" s="452" t="str">
        <f t="shared" si="146"/>
        <v/>
      </c>
      <c r="CN101" s="453" t="str">
        <f t="shared" si="133"/>
        <v/>
      </c>
      <c r="CO101" s="451" t="str">
        <f t="shared" si="133"/>
        <v/>
      </c>
      <c r="CP101" s="452" t="str">
        <f t="shared" si="133"/>
        <v/>
      </c>
      <c r="CQ101" s="452" t="str">
        <f t="shared" si="133"/>
        <v/>
      </c>
      <c r="CR101" s="452" t="str">
        <f t="shared" si="133"/>
        <v/>
      </c>
      <c r="CS101" s="453" t="str">
        <f t="shared" si="133"/>
        <v/>
      </c>
      <c r="CT101" s="451" t="str">
        <f t="shared" si="133"/>
        <v/>
      </c>
      <c r="CU101" s="452" t="str">
        <f t="shared" si="133"/>
        <v/>
      </c>
      <c r="CV101" s="452" t="str">
        <f t="shared" si="142"/>
        <v/>
      </c>
      <c r="CW101" s="452" t="str">
        <f t="shared" si="142"/>
        <v/>
      </c>
      <c r="CX101" s="453" t="str">
        <f t="shared" si="142"/>
        <v/>
      </c>
      <c r="CY101" s="451" t="str">
        <f t="shared" si="142"/>
        <v/>
      </c>
      <c r="CZ101" s="452" t="str">
        <f t="shared" si="142"/>
        <v/>
      </c>
      <c r="DA101" s="452" t="str">
        <f t="shared" si="142"/>
        <v/>
      </c>
      <c r="DB101" s="452" t="str">
        <f t="shared" si="142"/>
        <v/>
      </c>
      <c r="DC101" s="453" t="str">
        <f t="shared" si="142"/>
        <v/>
      </c>
      <c r="DD101" s="451" t="str">
        <f t="shared" si="142"/>
        <v/>
      </c>
      <c r="DE101" s="452" t="str">
        <f t="shared" si="134"/>
        <v/>
      </c>
      <c r="DF101" s="452" t="str">
        <f t="shared" si="134"/>
        <v/>
      </c>
      <c r="DG101" s="452" t="str">
        <f t="shared" si="134"/>
        <v/>
      </c>
      <c r="DH101" s="453" t="str">
        <f t="shared" si="134"/>
        <v/>
      </c>
      <c r="DI101" s="451" t="str">
        <f t="shared" si="134"/>
        <v/>
      </c>
      <c r="DJ101" s="452" t="str">
        <f t="shared" si="134"/>
        <v/>
      </c>
      <c r="DK101" s="452" t="str">
        <f t="shared" si="134"/>
        <v/>
      </c>
      <c r="DL101" s="452" t="str">
        <f t="shared" si="134"/>
        <v/>
      </c>
      <c r="DM101" s="453" t="str">
        <f t="shared" si="134"/>
        <v/>
      </c>
      <c r="DN101" s="451" t="str">
        <f t="shared" si="134"/>
        <v/>
      </c>
      <c r="DO101" s="452" t="str">
        <f t="shared" si="134"/>
        <v/>
      </c>
      <c r="DP101" s="452" t="str">
        <f t="shared" si="134"/>
        <v/>
      </c>
      <c r="DQ101" s="452" t="str">
        <f t="shared" si="134"/>
        <v/>
      </c>
      <c r="DR101" s="453" t="str">
        <f t="shared" si="134"/>
        <v/>
      </c>
      <c r="DS101" s="451" t="str">
        <f t="shared" si="134"/>
        <v/>
      </c>
      <c r="DT101" s="452" t="str">
        <f t="shared" si="134"/>
        <v/>
      </c>
      <c r="DU101" s="452" t="str">
        <f t="shared" si="149"/>
        <v/>
      </c>
      <c r="DV101" s="452" t="str">
        <f t="shared" si="149"/>
        <v/>
      </c>
      <c r="DW101" s="453" t="str">
        <f t="shared" si="149"/>
        <v/>
      </c>
      <c r="DX101" s="451" t="str">
        <f t="shared" si="149"/>
        <v/>
      </c>
      <c r="DY101" s="452" t="str">
        <f t="shared" si="149"/>
        <v/>
      </c>
      <c r="DZ101" s="452" t="str">
        <f t="shared" si="149"/>
        <v/>
      </c>
      <c r="EA101" s="452" t="str">
        <f t="shared" si="149"/>
        <v/>
      </c>
      <c r="EB101" s="453" t="str">
        <f t="shared" si="149"/>
        <v/>
      </c>
      <c r="EC101" s="451" t="str">
        <f t="shared" si="149"/>
        <v/>
      </c>
      <c r="ED101" s="452" t="str">
        <f t="shared" si="149"/>
        <v/>
      </c>
      <c r="EE101" s="452" t="str">
        <f t="shared" si="149"/>
        <v/>
      </c>
      <c r="EF101" s="452" t="str">
        <f t="shared" si="149"/>
        <v/>
      </c>
      <c r="EG101" s="453" t="str">
        <f t="shared" si="149"/>
        <v/>
      </c>
      <c r="EH101" s="451" t="str">
        <f t="shared" si="149"/>
        <v/>
      </c>
      <c r="EI101" s="452" t="str">
        <f t="shared" si="149"/>
        <v/>
      </c>
      <c r="EJ101" s="452" t="str">
        <f t="shared" si="149"/>
        <v/>
      </c>
      <c r="EK101" s="452" t="str">
        <f t="shared" ref="EK101:EZ116" si="152">IF(AND(EK$2&gt;=$J101,EK$2&lt;=$K101),1,"")</f>
        <v/>
      </c>
      <c r="EL101" s="453" t="str">
        <f t="shared" si="152"/>
        <v/>
      </c>
      <c r="EM101" s="451" t="str">
        <f t="shared" si="152"/>
        <v/>
      </c>
      <c r="EN101" s="452" t="str">
        <f t="shared" si="152"/>
        <v/>
      </c>
      <c r="EO101" s="452" t="str">
        <f t="shared" si="152"/>
        <v/>
      </c>
      <c r="EP101" s="452" t="str">
        <f t="shared" si="152"/>
        <v/>
      </c>
      <c r="EQ101" s="453" t="str">
        <f t="shared" si="152"/>
        <v/>
      </c>
      <c r="ER101" s="451" t="str">
        <f t="shared" si="152"/>
        <v/>
      </c>
      <c r="ES101" s="452" t="str">
        <f t="shared" si="152"/>
        <v/>
      </c>
      <c r="ET101" s="452" t="str">
        <f t="shared" si="152"/>
        <v/>
      </c>
      <c r="EU101" s="452" t="str">
        <f t="shared" si="152"/>
        <v/>
      </c>
      <c r="EV101" s="453" t="str">
        <f t="shared" si="152"/>
        <v/>
      </c>
      <c r="EW101" s="451" t="str">
        <f t="shared" si="152"/>
        <v/>
      </c>
      <c r="EX101" s="452" t="str">
        <f t="shared" si="152"/>
        <v/>
      </c>
      <c r="EY101" s="452" t="str">
        <f t="shared" si="152"/>
        <v/>
      </c>
      <c r="EZ101" s="452" t="str">
        <f t="shared" si="150"/>
        <v/>
      </c>
      <c r="FA101" s="453" t="str">
        <f t="shared" si="150"/>
        <v/>
      </c>
      <c r="FB101" s="451" t="str">
        <f t="shared" si="150"/>
        <v/>
      </c>
      <c r="FC101" s="452" t="str">
        <f t="shared" si="150"/>
        <v/>
      </c>
      <c r="FD101" s="452" t="str">
        <f t="shared" si="150"/>
        <v/>
      </c>
      <c r="FE101" s="452" t="str">
        <f t="shared" si="150"/>
        <v/>
      </c>
      <c r="FF101" s="453" t="str">
        <f t="shared" si="150"/>
        <v/>
      </c>
      <c r="FG101" s="451" t="str">
        <f t="shared" si="150"/>
        <v/>
      </c>
      <c r="FH101" s="452" t="str">
        <f t="shared" si="150"/>
        <v/>
      </c>
      <c r="FI101" s="452" t="str">
        <f t="shared" si="150"/>
        <v/>
      </c>
      <c r="FJ101" s="452" t="str">
        <f t="shared" si="150"/>
        <v/>
      </c>
      <c r="FK101" s="453" t="str">
        <f t="shared" si="150"/>
        <v/>
      </c>
      <c r="FL101" s="451" t="str">
        <f t="shared" si="150"/>
        <v/>
      </c>
      <c r="FM101" s="452" t="str">
        <f t="shared" si="150"/>
        <v/>
      </c>
      <c r="FN101" s="452" t="str">
        <f t="shared" si="150"/>
        <v/>
      </c>
      <c r="FO101" s="452" t="str">
        <f t="shared" si="150"/>
        <v/>
      </c>
      <c r="FP101" s="453" t="str">
        <f t="shared" si="137"/>
        <v/>
      </c>
      <c r="FQ101" s="451" t="str">
        <f t="shared" si="137"/>
        <v/>
      </c>
      <c r="FR101" s="452" t="str">
        <f t="shared" si="137"/>
        <v/>
      </c>
      <c r="FS101" s="452" t="str">
        <f t="shared" si="137"/>
        <v/>
      </c>
      <c r="FT101" s="452" t="str">
        <f t="shared" si="137"/>
        <v/>
      </c>
      <c r="FU101" s="453" t="str">
        <f t="shared" si="137"/>
        <v/>
      </c>
      <c r="FV101" s="451" t="str">
        <f t="shared" si="137"/>
        <v/>
      </c>
      <c r="FW101" s="452" t="str">
        <f t="shared" si="137"/>
        <v/>
      </c>
      <c r="FX101" s="452" t="str">
        <f t="shared" si="137"/>
        <v/>
      </c>
      <c r="FY101" s="452" t="str">
        <f t="shared" ref="FY101:GN116" si="153">IF(AND(FY$2&gt;=$J101,FY$2&lt;=$K101),1,"")</f>
        <v/>
      </c>
      <c r="FZ101" s="453" t="str">
        <f t="shared" si="153"/>
        <v/>
      </c>
      <c r="GA101" s="451" t="str">
        <f t="shared" si="153"/>
        <v/>
      </c>
      <c r="GB101" s="452" t="str">
        <f t="shared" si="153"/>
        <v/>
      </c>
      <c r="GC101" s="452" t="str">
        <f t="shared" si="153"/>
        <v/>
      </c>
      <c r="GD101" s="452" t="str">
        <f t="shared" si="153"/>
        <v/>
      </c>
      <c r="GE101" s="453" t="str">
        <f t="shared" si="153"/>
        <v/>
      </c>
      <c r="GF101" s="451" t="str">
        <f t="shared" si="153"/>
        <v/>
      </c>
      <c r="GG101" s="452" t="str">
        <f t="shared" si="153"/>
        <v/>
      </c>
      <c r="GH101" s="452" t="str">
        <f t="shared" si="153"/>
        <v/>
      </c>
      <c r="GI101" s="452" t="str">
        <f t="shared" si="153"/>
        <v/>
      </c>
      <c r="GJ101" s="453" t="str">
        <f t="shared" si="153"/>
        <v/>
      </c>
      <c r="GK101" s="451" t="str">
        <f t="shared" si="153"/>
        <v/>
      </c>
      <c r="GL101" s="452" t="str">
        <f t="shared" si="153"/>
        <v/>
      </c>
      <c r="GM101" s="452" t="str">
        <f t="shared" si="153"/>
        <v/>
      </c>
      <c r="GN101" s="452" t="str">
        <f t="shared" si="153"/>
        <v/>
      </c>
      <c r="GO101" s="453" t="str">
        <f t="shared" si="151"/>
        <v/>
      </c>
      <c r="GP101" s="451" t="str">
        <f t="shared" si="151"/>
        <v/>
      </c>
      <c r="GQ101" s="452" t="str">
        <f t="shared" si="151"/>
        <v/>
      </c>
      <c r="GR101" s="452" t="str">
        <f t="shared" si="151"/>
        <v/>
      </c>
      <c r="GS101" s="452" t="str">
        <f t="shared" si="151"/>
        <v/>
      </c>
      <c r="GT101" s="453" t="str">
        <f t="shared" si="151"/>
        <v/>
      </c>
      <c r="GU101" s="451" t="str">
        <f t="shared" si="151"/>
        <v/>
      </c>
      <c r="GV101" s="452" t="str">
        <f t="shared" si="151"/>
        <v/>
      </c>
      <c r="GW101" s="452" t="str">
        <f t="shared" si="151"/>
        <v/>
      </c>
      <c r="GX101" s="452" t="str">
        <f t="shared" si="151"/>
        <v/>
      </c>
      <c r="GY101" s="453" t="str">
        <f t="shared" si="151"/>
        <v/>
      </c>
      <c r="GZ101" s="451" t="str">
        <f t="shared" si="151"/>
        <v/>
      </c>
      <c r="HA101" s="452" t="str">
        <f t="shared" si="151"/>
        <v/>
      </c>
      <c r="HB101" s="452" t="str">
        <f t="shared" si="151"/>
        <v/>
      </c>
      <c r="HC101" s="452" t="str">
        <f t="shared" si="151"/>
        <v/>
      </c>
      <c r="HD101" s="453" t="str">
        <f t="shared" si="151"/>
        <v/>
      </c>
      <c r="HE101" s="451" t="str">
        <f t="shared" si="132"/>
        <v/>
      </c>
      <c r="HF101" s="452" t="str">
        <f t="shared" si="132"/>
        <v/>
      </c>
      <c r="HG101" s="452" t="str">
        <f t="shared" si="132"/>
        <v/>
      </c>
      <c r="HH101" s="452" t="str">
        <f t="shared" si="132"/>
        <v/>
      </c>
      <c r="HI101" s="453" t="str">
        <f t="shared" si="132"/>
        <v/>
      </c>
      <c r="HJ101" s="451" t="str">
        <f t="shared" si="144"/>
        <v/>
      </c>
      <c r="HK101" s="452" t="str">
        <f t="shared" si="144"/>
        <v/>
      </c>
      <c r="HL101" s="452" t="str">
        <f t="shared" si="144"/>
        <v/>
      </c>
      <c r="HM101" s="452" t="str">
        <f t="shared" si="144"/>
        <v/>
      </c>
      <c r="HN101" s="453" t="str">
        <f t="shared" si="144"/>
        <v/>
      </c>
      <c r="HO101" s="451" t="str">
        <f t="shared" si="144"/>
        <v/>
      </c>
      <c r="HP101" s="452" t="str">
        <f t="shared" si="144"/>
        <v/>
      </c>
      <c r="HQ101" s="452" t="str">
        <f t="shared" si="144"/>
        <v/>
      </c>
      <c r="HR101" s="452" t="str">
        <f t="shared" si="144"/>
        <v/>
      </c>
      <c r="HS101" s="453" t="str">
        <f t="shared" si="144"/>
        <v/>
      </c>
      <c r="HT101" s="451" t="str">
        <f t="shared" si="144"/>
        <v/>
      </c>
      <c r="HU101" s="452" t="str">
        <f t="shared" si="144"/>
        <v/>
      </c>
      <c r="HV101" s="452" t="str">
        <f t="shared" si="144"/>
        <v/>
      </c>
      <c r="HW101" s="452" t="str">
        <f t="shared" si="144"/>
        <v/>
      </c>
      <c r="HX101" s="453" t="str">
        <f t="shared" si="144"/>
        <v/>
      </c>
      <c r="HY101" s="451" t="str">
        <f t="shared" si="143"/>
        <v/>
      </c>
      <c r="HZ101" s="452" t="str">
        <f t="shared" si="143"/>
        <v/>
      </c>
      <c r="IA101" s="452" t="str">
        <f t="shared" si="143"/>
        <v/>
      </c>
      <c r="IB101" s="452" t="str">
        <f t="shared" si="143"/>
        <v/>
      </c>
      <c r="IC101" s="453" t="str">
        <f t="shared" si="143"/>
        <v/>
      </c>
      <c r="ID101" s="451" t="str">
        <f t="shared" si="143"/>
        <v/>
      </c>
      <c r="IE101" s="452" t="str">
        <f t="shared" si="143"/>
        <v/>
      </c>
      <c r="IF101" s="452" t="str">
        <f t="shared" si="143"/>
        <v/>
      </c>
      <c r="IG101" s="452" t="str">
        <f t="shared" si="143"/>
        <v/>
      </c>
      <c r="IH101" s="453" t="str">
        <f t="shared" si="143"/>
        <v/>
      </c>
      <c r="II101" s="451" t="str">
        <f t="shared" si="143"/>
        <v/>
      </c>
      <c r="IJ101" s="452" t="str">
        <f t="shared" si="143"/>
        <v/>
      </c>
      <c r="IK101" s="452" t="str">
        <f t="shared" si="143"/>
        <v/>
      </c>
      <c r="IL101" s="452" t="str">
        <f t="shared" si="143"/>
        <v/>
      </c>
      <c r="IM101" s="453" t="str">
        <f t="shared" si="147"/>
        <v/>
      </c>
      <c r="IN101" s="451" t="str">
        <f t="shared" si="147"/>
        <v/>
      </c>
      <c r="IO101" s="452" t="str">
        <f t="shared" si="147"/>
        <v/>
      </c>
      <c r="IP101" s="452" t="str">
        <f t="shared" si="147"/>
        <v/>
      </c>
      <c r="IQ101" s="452" t="str">
        <f t="shared" si="147"/>
        <v/>
      </c>
      <c r="IR101" s="453" t="str">
        <f t="shared" si="147"/>
        <v/>
      </c>
    </row>
    <row r="102" spans="1:252" x14ac:dyDescent="0.2">
      <c r="A102" s="462">
        <v>9.1</v>
      </c>
      <c r="B102" s="463"/>
      <c r="C102" s="464" t="s">
        <v>1360</v>
      </c>
      <c r="D102" s="464"/>
      <c r="E102" s="465"/>
      <c r="F102" s="465"/>
      <c r="G102" s="465"/>
      <c r="H102" s="465"/>
      <c r="I102" s="466"/>
      <c r="J102" s="467" t="str">
        <f t="shared" si="140"/>
        <v/>
      </c>
      <c r="K102" s="467" t="str">
        <f t="shared" si="141"/>
        <v/>
      </c>
      <c r="L102" s="468">
        <f t="shared" si="101"/>
        <v>0</v>
      </c>
      <c r="M102" s="469" t="str">
        <f t="shared" si="138"/>
        <v/>
      </c>
      <c r="N102" s="470" t="str">
        <f t="shared" si="138"/>
        <v/>
      </c>
      <c r="O102" s="470" t="str">
        <f t="shared" si="138"/>
        <v/>
      </c>
      <c r="P102" s="470" t="str">
        <f t="shared" si="138"/>
        <v/>
      </c>
      <c r="Q102" s="471" t="str">
        <f t="shared" si="138"/>
        <v/>
      </c>
      <c r="R102" s="469" t="str">
        <f t="shared" si="138"/>
        <v/>
      </c>
      <c r="S102" s="470" t="str">
        <f t="shared" si="138"/>
        <v/>
      </c>
      <c r="T102" s="470" t="str">
        <f t="shared" si="138"/>
        <v/>
      </c>
      <c r="U102" s="470" t="str">
        <f t="shared" si="138"/>
        <v/>
      </c>
      <c r="V102" s="471" t="str">
        <f t="shared" si="138"/>
        <v/>
      </c>
      <c r="W102" s="469" t="str">
        <f t="shared" si="138"/>
        <v/>
      </c>
      <c r="X102" s="470" t="str">
        <f t="shared" si="138"/>
        <v/>
      </c>
      <c r="Y102" s="470" t="str">
        <f t="shared" si="138"/>
        <v/>
      </c>
      <c r="Z102" s="470" t="str">
        <f t="shared" si="138"/>
        <v/>
      </c>
      <c r="AA102" s="471" t="str">
        <f t="shared" si="138"/>
        <v/>
      </c>
      <c r="AB102" s="469" t="str">
        <f t="shared" si="138"/>
        <v/>
      </c>
      <c r="AC102" s="470" t="str">
        <f t="shared" si="148"/>
        <v/>
      </c>
      <c r="AD102" s="470" t="str">
        <f t="shared" si="148"/>
        <v/>
      </c>
      <c r="AE102" s="470" t="str">
        <f t="shared" si="148"/>
        <v/>
      </c>
      <c r="AF102" s="471" t="str">
        <f t="shared" si="148"/>
        <v/>
      </c>
      <c r="AG102" s="469" t="str">
        <f t="shared" si="148"/>
        <v/>
      </c>
      <c r="AH102" s="470" t="str">
        <f t="shared" si="148"/>
        <v/>
      </c>
      <c r="AI102" s="470" t="str">
        <f t="shared" si="148"/>
        <v/>
      </c>
      <c r="AJ102" s="470" t="str">
        <f t="shared" si="148"/>
        <v/>
      </c>
      <c r="AK102" s="471" t="str">
        <f t="shared" si="148"/>
        <v/>
      </c>
      <c r="AL102" s="469" t="str">
        <f t="shared" si="148"/>
        <v/>
      </c>
      <c r="AM102" s="470" t="str">
        <f t="shared" si="148"/>
        <v/>
      </c>
      <c r="AN102" s="470" t="str">
        <f t="shared" si="148"/>
        <v/>
      </c>
      <c r="AO102" s="470" t="str">
        <f t="shared" si="148"/>
        <v/>
      </c>
      <c r="AP102" s="471" t="str">
        <f t="shared" si="148"/>
        <v/>
      </c>
      <c r="AQ102" s="469" t="str">
        <f t="shared" si="148"/>
        <v/>
      </c>
      <c r="AR102" s="470" t="str">
        <f t="shared" si="148"/>
        <v/>
      </c>
      <c r="AS102" s="470" t="str">
        <f t="shared" si="145"/>
        <v/>
      </c>
      <c r="AT102" s="470" t="str">
        <f t="shared" si="145"/>
        <v/>
      </c>
      <c r="AU102" s="471" t="str">
        <f t="shared" si="145"/>
        <v/>
      </c>
      <c r="AV102" s="469" t="str">
        <f t="shared" si="145"/>
        <v/>
      </c>
      <c r="AW102" s="470" t="str">
        <f t="shared" si="145"/>
        <v/>
      </c>
      <c r="AX102" s="470" t="str">
        <f t="shared" si="145"/>
        <v/>
      </c>
      <c r="AY102" s="470" t="str">
        <f t="shared" si="145"/>
        <v/>
      </c>
      <c r="AZ102" s="471" t="str">
        <f t="shared" si="145"/>
        <v/>
      </c>
      <c r="BA102" s="469" t="str">
        <f t="shared" si="145"/>
        <v/>
      </c>
      <c r="BB102" s="470" t="str">
        <f t="shared" si="145"/>
        <v/>
      </c>
      <c r="BC102" s="470" t="str">
        <f t="shared" si="145"/>
        <v/>
      </c>
      <c r="BD102" s="470" t="str">
        <f t="shared" si="145"/>
        <v/>
      </c>
      <c r="BE102" s="471" t="str">
        <f t="shared" si="145"/>
        <v/>
      </c>
      <c r="BF102" s="469" t="str">
        <f t="shared" si="145"/>
        <v/>
      </c>
      <c r="BG102" s="470" t="str">
        <f t="shared" si="145"/>
        <v/>
      </c>
      <c r="BH102" s="470" t="str">
        <f t="shared" si="129"/>
        <v/>
      </c>
      <c r="BI102" s="470" t="str">
        <f t="shared" si="129"/>
        <v/>
      </c>
      <c r="BJ102" s="471" t="str">
        <f t="shared" si="129"/>
        <v/>
      </c>
      <c r="BK102" s="469" t="str">
        <f t="shared" si="129"/>
        <v/>
      </c>
      <c r="BL102" s="470" t="str">
        <f t="shared" si="129"/>
        <v/>
      </c>
      <c r="BM102" s="470" t="str">
        <f t="shared" si="129"/>
        <v/>
      </c>
      <c r="BN102" s="470" t="str">
        <f t="shared" si="129"/>
        <v/>
      </c>
      <c r="BO102" s="471" t="str">
        <f t="shared" si="129"/>
        <v/>
      </c>
      <c r="BP102" s="469" t="str">
        <f t="shared" si="129"/>
        <v/>
      </c>
      <c r="BQ102" s="470" t="str">
        <f t="shared" si="129"/>
        <v/>
      </c>
      <c r="BR102" s="470" t="str">
        <f t="shared" si="129"/>
        <v/>
      </c>
      <c r="BS102" s="470" t="str">
        <f t="shared" si="129"/>
        <v/>
      </c>
      <c r="BT102" s="471" t="str">
        <f t="shared" si="129"/>
        <v/>
      </c>
      <c r="BU102" s="469" t="str">
        <f t="shared" si="129"/>
        <v/>
      </c>
      <c r="BV102" s="470" t="str">
        <f t="shared" si="129"/>
        <v/>
      </c>
      <c r="BW102" s="470" t="str">
        <f t="shared" si="129"/>
        <v/>
      </c>
      <c r="BX102" s="470" t="str">
        <f t="shared" si="146"/>
        <v/>
      </c>
      <c r="BY102" s="471" t="str">
        <f t="shared" si="146"/>
        <v/>
      </c>
      <c r="BZ102" s="469" t="str">
        <f t="shared" si="146"/>
        <v/>
      </c>
      <c r="CA102" s="470" t="str">
        <f t="shared" si="146"/>
        <v/>
      </c>
      <c r="CB102" s="470" t="str">
        <f t="shared" si="146"/>
        <v/>
      </c>
      <c r="CC102" s="470" t="str">
        <f t="shared" si="146"/>
        <v/>
      </c>
      <c r="CD102" s="471" t="str">
        <f t="shared" si="146"/>
        <v/>
      </c>
      <c r="CE102" s="469" t="str">
        <f t="shared" si="146"/>
        <v/>
      </c>
      <c r="CF102" s="470" t="str">
        <f t="shared" si="146"/>
        <v/>
      </c>
      <c r="CG102" s="470" t="str">
        <f t="shared" si="146"/>
        <v/>
      </c>
      <c r="CH102" s="470" t="str">
        <f t="shared" si="146"/>
        <v/>
      </c>
      <c r="CI102" s="471" t="str">
        <f t="shared" si="146"/>
        <v/>
      </c>
      <c r="CJ102" s="469" t="str">
        <f t="shared" si="146"/>
        <v/>
      </c>
      <c r="CK102" s="470" t="str">
        <f t="shared" si="146"/>
        <v/>
      </c>
      <c r="CL102" s="470" t="str">
        <f t="shared" si="146"/>
        <v/>
      </c>
      <c r="CM102" s="470" t="str">
        <f t="shared" si="146"/>
        <v/>
      </c>
      <c r="CN102" s="471" t="str">
        <f t="shared" si="133"/>
        <v/>
      </c>
      <c r="CO102" s="469" t="str">
        <f t="shared" si="133"/>
        <v/>
      </c>
      <c r="CP102" s="470" t="str">
        <f t="shared" si="133"/>
        <v/>
      </c>
      <c r="CQ102" s="470" t="str">
        <f t="shared" si="133"/>
        <v/>
      </c>
      <c r="CR102" s="470" t="str">
        <f t="shared" si="133"/>
        <v/>
      </c>
      <c r="CS102" s="471" t="str">
        <f t="shared" si="133"/>
        <v/>
      </c>
      <c r="CT102" s="469" t="str">
        <f t="shared" si="133"/>
        <v/>
      </c>
      <c r="CU102" s="470" t="str">
        <f t="shared" si="133"/>
        <v/>
      </c>
      <c r="CV102" s="470" t="str">
        <f t="shared" si="142"/>
        <v/>
      </c>
      <c r="CW102" s="470" t="str">
        <f t="shared" si="142"/>
        <v/>
      </c>
      <c r="CX102" s="471" t="str">
        <f t="shared" si="142"/>
        <v/>
      </c>
      <c r="CY102" s="469" t="str">
        <f t="shared" si="142"/>
        <v/>
      </c>
      <c r="CZ102" s="470" t="str">
        <f t="shared" si="142"/>
        <v/>
      </c>
      <c r="DA102" s="470" t="str">
        <f t="shared" si="142"/>
        <v/>
      </c>
      <c r="DB102" s="470" t="str">
        <f t="shared" si="142"/>
        <v/>
      </c>
      <c r="DC102" s="471" t="str">
        <f t="shared" si="142"/>
        <v/>
      </c>
      <c r="DD102" s="469" t="str">
        <f t="shared" si="142"/>
        <v/>
      </c>
      <c r="DE102" s="470" t="str">
        <f t="shared" si="134"/>
        <v/>
      </c>
      <c r="DF102" s="470" t="str">
        <f t="shared" si="134"/>
        <v/>
      </c>
      <c r="DG102" s="470" t="str">
        <f t="shared" si="134"/>
        <v/>
      </c>
      <c r="DH102" s="471" t="str">
        <f t="shared" si="134"/>
        <v/>
      </c>
      <c r="DI102" s="469" t="str">
        <f t="shared" si="134"/>
        <v/>
      </c>
      <c r="DJ102" s="470" t="str">
        <f t="shared" si="134"/>
        <v/>
      </c>
      <c r="DK102" s="470" t="str">
        <f t="shared" si="134"/>
        <v/>
      </c>
      <c r="DL102" s="470" t="str">
        <f t="shared" si="134"/>
        <v/>
      </c>
      <c r="DM102" s="471" t="str">
        <f t="shared" si="134"/>
        <v/>
      </c>
      <c r="DN102" s="469" t="str">
        <f t="shared" si="134"/>
        <v/>
      </c>
      <c r="DO102" s="470" t="str">
        <f t="shared" si="134"/>
        <v/>
      </c>
      <c r="DP102" s="470" t="str">
        <f t="shared" si="134"/>
        <v/>
      </c>
      <c r="DQ102" s="470" t="str">
        <f t="shared" si="134"/>
        <v/>
      </c>
      <c r="DR102" s="471" t="str">
        <f t="shared" si="134"/>
        <v/>
      </c>
      <c r="DS102" s="469" t="str">
        <f t="shared" si="134"/>
        <v/>
      </c>
      <c r="DT102" s="470" t="str">
        <f t="shared" si="134"/>
        <v/>
      </c>
      <c r="DU102" s="470" t="str">
        <f t="shared" si="149"/>
        <v/>
      </c>
      <c r="DV102" s="470" t="str">
        <f t="shared" si="149"/>
        <v/>
      </c>
      <c r="DW102" s="471" t="str">
        <f t="shared" si="149"/>
        <v/>
      </c>
      <c r="DX102" s="469" t="str">
        <f t="shared" si="149"/>
        <v/>
      </c>
      <c r="DY102" s="470" t="str">
        <f t="shared" si="149"/>
        <v/>
      </c>
      <c r="DZ102" s="470" t="str">
        <f t="shared" si="149"/>
        <v/>
      </c>
      <c r="EA102" s="470" t="str">
        <f t="shared" si="149"/>
        <v/>
      </c>
      <c r="EB102" s="471" t="str">
        <f t="shared" si="149"/>
        <v/>
      </c>
      <c r="EC102" s="469" t="str">
        <f t="shared" si="149"/>
        <v/>
      </c>
      <c r="ED102" s="470" t="str">
        <f t="shared" si="149"/>
        <v/>
      </c>
      <c r="EE102" s="470" t="str">
        <f t="shared" si="149"/>
        <v/>
      </c>
      <c r="EF102" s="470" t="str">
        <f t="shared" si="149"/>
        <v/>
      </c>
      <c r="EG102" s="471" t="str">
        <f t="shared" si="149"/>
        <v/>
      </c>
      <c r="EH102" s="469" t="str">
        <f t="shared" si="149"/>
        <v/>
      </c>
      <c r="EI102" s="470" t="str">
        <f t="shared" si="149"/>
        <v/>
      </c>
      <c r="EJ102" s="470" t="str">
        <f t="shared" si="149"/>
        <v/>
      </c>
      <c r="EK102" s="470" t="str">
        <f t="shared" si="152"/>
        <v/>
      </c>
      <c r="EL102" s="471" t="str">
        <f t="shared" si="152"/>
        <v/>
      </c>
      <c r="EM102" s="469" t="str">
        <f t="shared" si="152"/>
        <v/>
      </c>
      <c r="EN102" s="470" t="str">
        <f t="shared" si="152"/>
        <v/>
      </c>
      <c r="EO102" s="470" t="str">
        <f t="shared" si="152"/>
        <v/>
      </c>
      <c r="EP102" s="470" t="str">
        <f t="shared" si="152"/>
        <v/>
      </c>
      <c r="EQ102" s="471" t="str">
        <f t="shared" si="152"/>
        <v/>
      </c>
      <c r="ER102" s="469" t="str">
        <f t="shared" si="152"/>
        <v/>
      </c>
      <c r="ES102" s="470" t="str">
        <f t="shared" si="152"/>
        <v/>
      </c>
      <c r="ET102" s="470" t="str">
        <f t="shared" si="152"/>
        <v/>
      </c>
      <c r="EU102" s="470" t="str">
        <f t="shared" si="152"/>
        <v/>
      </c>
      <c r="EV102" s="471" t="str">
        <f t="shared" si="152"/>
        <v/>
      </c>
      <c r="EW102" s="469" t="str">
        <f t="shared" si="152"/>
        <v/>
      </c>
      <c r="EX102" s="470" t="str">
        <f t="shared" si="152"/>
        <v/>
      </c>
      <c r="EY102" s="470" t="str">
        <f t="shared" si="152"/>
        <v/>
      </c>
      <c r="EZ102" s="470" t="str">
        <f t="shared" si="150"/>
        <v/>
      </c>
      <c r="FA102" s="471" t="str">
        <f t="shared" si="150"/>
        <v/>
      </c>
      <c r="FB102" s="469" t="str">
        <f t="shared" si="150"/>
        <v/>
      </c>
      <c r="FC102" s="470" t="str">
        <f t="shared" si="150"/>
        <v/>
      </c>
      <c r="FD102" s="470" t="str">
        <f t="shared" si="150"/>
        <v/>
      </c>
      <c r="FE102" s="470" t="str">
        <f t="shared" si="150"/>
        <v/>
      </c>
      <c r="FF102" s="471" t="str">
        <f t="shared" si="150"/>
        <v/>
      </c>
      <c r="FG102" s="469" t="str">
        <f t="shared" si="150"/>
        <v/>
      </c>
      <c r="FH102" s="470" t="str">
        <f t="shared" si="150"/>
        <v/>
      </c>
      <c r="FI102" s="470" t="str">
        <f t="shared" si="150"/>
        <v/>
      </c>
      <c r="FJ102" s="470" t="str">
        <f t="shared" si="150"/>
        <v/>
      </c>
      <c r="FK102" s="471" t="str">
        <f t="shared" si="150"/>
        <v/>
      </c>
      <c r="FL102" s="469" t="str">
        <f t="shared" si="150"/>
        <v/>
      </c>
      <c r="FM102" s="470" t="str">
        <f t="shared" si="150"/>
        <v/>
      </c>
      <c r="FN102" s="470" t="str">
        <f t="shared" si="150"/>
        <v/>
      </c>
      <c r="FO102" s="470" t="str">
        <f t="shared" si="150"/>
        <v/>
      </c>
      <c r="FP102" s="471" t="str">
        <f t="shared" si="137"/>
        <v/>
      </c>
      <c r="FQ102" s="469" t="str">
        <f t="shared" si="137"/>
        <v/>
      </c>
      <c r="FR102" s="470" t="str">
        <f t="shared" si="137"/>
        <v/>
      </c>
      <c r="FS102" s="470" t="str">
        <f t="shared" si="137"/>
        <v/>
      </c>
      <c r="FT102" s="470" t="str">
        <f t="shared" si="137"/>
        <v/>
      </c>
      <c r="FU102" s="471" t="str">
        <f t="shared" si="137"/>
        <v/>
      </c>
      <c r="FV102" s="469" t="str">
        <f t="shared" si="137"/>
        <v/>
      </c>
      <c r="FW102" s="470" t="str">
        <f t="shared" si="137"/>
        <v/>
      </c>
      <c r="FX102" s="470" t="str">
        <f t="shared" si="137"/>
        <v/>
      </c>
      <c r="FY102" s="470" t="str">
        <f t="shared" si="153"/>
        <v/>
      </c>
      <c r="FZ102" s="471" t="str">
        <f t="shared" si="153"/>
        <v/>
      </c>
      <c r="GA102" s="469" t="str">
        <f t="shared" si="153"/>
        <v/>
      </c>
      <c r="GB102" s="470" t="str">
        <f t="shared" si="153"/>
        <v/>
      </c>
      <c r="GC102" s="470" t="str">
        <f t="shared" si="153"/>
        <v/>
      </c>
      <c r="GD102" s="470" t="str">
        <f t="shared" si="153"/>
        <v/>
      </c>
      <c r="GE102" s="471" t="str">
        <f t="shared" si="153"/>
        <v/>
      </c>
      <c r="GF102" s="469" t="str">
        <f t="shared" si="153"/>
        <v/>
      </c>
      <c r="GG102" s="470" t="str">
        <f t="shared" si="153"/>
        <v/>
      </c>
      <c r="GH102" s="470" t="str">
        <f t="shared" si="153"/>
        <v/>
      </c>
      <c r="GI102" s="470" t="str">
        <f t="shared" si="153"/>
        <v/>
      </c>
      <c r="GJ102" s="471" t="str">
        <f t="shared" si="153"/>
        <v/>
      </c>
      <c r="GK102" s="469" t="str">
        <f t="shared" si="153"/>
        <v/>
      </c>
      <c r="GL102" s="470" t="str">
        <f t="shared" si="153"/>
        <v/>
      </c>
      <c r="GM102" s="470" t="str">
        <f t="shared" si="153"/>
        <v/>
      </c>
      <c r="GN102" s="470" t="str">
        <f t="shared" si="153"/>
        <v/>
      </c>
      <c r="GO102" s="471" t="str">
        <f t="shared" si="151"/>
        <v/>
      </c>
      <c r="GP102" s="469" t="str">
        <f t="shared" si="151"/>
        <v/>
      </c>
      <c r="GQ102" s="470" t="str">
        <f t="shared" si="151"/>
        <v/>
      </c>
      <c r="GR102" s="470" t="str">
        <f t="shared" si="151"/>
        <v/>
      </c>
      <c r="GS102" s="470" t="str">
        <f t="shared" si="151"/>
        <v/>
      </c>
      <c r="GT102" s="471" t="str">
        <f t="shared" si="151"/>
        <v/>
      </c>
      <c r="GU102" s="469" t="str">
        <f t="shared" si="151"/>
        <v/>
      </c>
      <c r="GV102" s="470" t="str">
        <f t="shared" si="151"/>
        <v/>
      </c>
      <c r="GW102" s="470" t="str">
        <f t="shared" si="151"/>
        <v/>
      </c>
      <c r="GX102" s="470" t="str">
        <f t="shared" si="151"/>
        <v/>
      </c>
      <c r="GY102" s="471" t="str">
        <f t="shared" si="151"/>
        <v/>
      </c>
      <c r="GZ102" s="469" t="str">
        <f t="shared" si="151"/>
        <v/>
      </c>
      <c r="HA102" s="470" t="str">
        <f t="shared" si="151"/>
        <v/>
      </c>
      <c r="HB102" s="470" t="str">
        <f t="shared" si="151"/>
        <v/>
      </c>
      <c r="HC102" s="470" t="str">
        <f t="shared" si="151"/>
        <v/>
      </c>
      <c r="HD102" s="471" t="str">
        <f t="shared" si="151"/>
        <v/>
      </c>
      <c r="HE102" s="469" t="str">
        <f t="shared" si="132"/>
        <v/>
      </c>
      <c r="HF102" s="470" t="str">
        <f t="shared" si="132"/>
        <v/>
      </c>
      <c r="HG102" s="470" t="str">
        <f t="shared" si="132"/>
        <v/>
      </c>
      <c r="HH102" s="470" t="str">
        <f t="shared" si="132"/>
        <v/>
      </c>
      <c r="HI102" s="471" t="str">
        <f t="shared" si="132"/>
        <v/>
      </c>
      <c r="HJ102" s="469" t="str">
        <f t="shared" si="144"/>
        <v/>
      </c>
      <c r="HK102" s="470" t="str">
        <f t="shared" si="144"/>
        <v/>
      </c>
      <c r="HL102" s="470" t="str">
        <f t="shared" si="144"/>
        <v/>
      </c>
      <c r="HM102" s="470" t="str">
        <f t="shared" si="144"/>
        <v/>
      </c>
      <c r="HN102" s="471" t="str">
        <f t="shared" si="144"/>
        <v/>
      </c>
      <c r="HO102" s="469" t="str">
        <f t="shared" si="144"/>
        <v/>
      </c>
      <c r="HP102" s="470" t="str">
        <f t="shared" si="144"/>
        <v/>
      </c>
      <c r="HQ102" s="470" t="str">
        <f t="shared" si="144"/>
        <v/>
      </c>
      <c r="HR102" s="470" t="str">
        <f t="shared" si="144"/>
        <v/>
      </c>
      <c r="HS102" s="471" t="str">
        <f t="shared" si="144"/>
        <v/>
      </c>
      <c r="HT102" s="469" t="str">
        <f t="shared" si="144"/>
        <v/>
      </c>
      <c r="HU102" s="470" t="str">
        <f t="shared" si="144"/>
        <v/>
      </c>
      <c r="HV102" s="470" t="str">
        <f t="shared" si="144"/>
        <v/>
      </c>
      <c r="HW102" s="470" t="str">
        <f t="shared" si="144"/>
        <v/>
      </c>
      <c r="HX102" s="471" t="str">
        <f t="shared" si="144"/>
        <v/>
      </c>
      <c r="HY102" s="469" t="str">
        <f t="shared" si="143"/>
        <v/>
      </c>
      <c r="HZ102" s="470" t="str">
        <f t="shared" si="143"/>
        <v/>
      </c>
      <c r="IA102" s="470" t="str">
        <f t="shared" si="143"/>
        <v/>
      </c>
      <c r="IB102" s="470" t="str">
        <f t="shared" si="143"/>
        <v/>
      </c>
      <c r="IC102" s="471" t="str">
        <f t="shared" si="143"/>
        <v/>
      </c>
      <c r="ID102" s="469" t="str">
        <f t="shared" si="143"/>
        <v/>
      </c>
      <c r="IE102" s="470" t="str">
        <f t="shared" si="143"/>
        <v/>
      </c>
      <c r="IF102" s="470" t="str">
        <f t="shared" si="143"/>
        <v/>
      </c>
      <c r="IG102" s="470" t="str">
        <f t="shared" si="143"/>
        <v/>
      </c>
      <c r="IH102" s="471" t="str">
        <f t="shared" si="143"/>
        <v/>
      </c>
      <c r="II102" s="469" t="str">
        <f t="shared" si="143"/>
        <v/>
      </c>
      <c r="IJ102" s="470" t="str">
        <f t="shared" si="143"/>
        <v/>
      </c>
      <c r="IK102" s="470" t="str">
        <f t="shared" si="143"/>
        <v/>
      </c>
      <c r="IL102" s="470" t="str">
        <f t="shared" si="143"/>
        <v/>
      </c>
      <c r="IM102" s="471" t="str">
        <f t="shared" si="147"/>
        <v/>
      </c>
      <c r="IN102" s="469" t="str">
        <f t="shared" si="147"/>
        <v/>
      </c>
      <c r="IO102" s="470" t="str">
        <f t="shared" si="147"/>
        <v/>
      </c>
      <c r="IP102" s="470" t="str">
        <f t="shared" si="147"/>
        <v/>
      </c>
      <c r="IQ102" s="470" t="str">
        <f t="shared" si="147"/>
        <v/>
      </c>
      <c r="IR102" s="471" t="str">
        <f t="shared" si="147"/>
        <v/>
      </c>
    </row>
    <row r="103" spans="1:252" x14ac:dyDescent="0.2">
      <c r="A103" s="455">
        <v>10</v>
      </c>
      <c r="B103" s="456"/>
      <c r="C103" s="456" t="str">
        <f>Breakdown!$A18</f>
        <v/>
      </c>
      <c r="D103" s="457"/>
      <c r="E103" s="437" t="str">
        <f>IF(E104="","",MIN(E104:E113))</f>
        <v/>
      </c>
      <c r="F103" s="437" t="str">
        <f>IF(F104="","",MAX(F104:F113))</f>
        <v/>
      </c>
      <c r="G103" s="437"/>
      <c r="H103" s="437"/>
      <c r="I103" s="458"/>
      <c r="J103" s="459">
        <f>MIN(J104:J113)</f>
        <v>0</v>
      </c>
      <c r="K103" s="459">
        <f>MAX(K104:K113)</f>
        <v>0</v>
      </c>
      <c r="L103" s="460">
        <f t="shared" si="101"/>
        <v>0</v>
      </c>
      <c r="M103" s="451" t="str">
        <f t="shared" si="138"/>
        <v/>
      </c>
      <c r="N103" s="452" t="str">
        <f t="shared" si="138"/>
        <v/>
      </c>
      <c r="O103" s="452" t="str">
        <f t="shared" si="138"/>
        <v/>
      </c>
      <c r="P103" s="452" t="str">
        <f t="shared" si="138"/>
        <v/>
      </c>
      <c r="Q103" s="453" t="str">
        <f t="shared" si="138"/>
        <v/>
      </c>
      <c r="R103" s="451" t="str">
        <f t="shared" si="138"/>
        <v/>
      </c>
      <c r="S103" s="452" t="str">
        <f t="shared" si="138"/>
        <v/>
      </c>
      <c r="T103" s="452" t="str">
        <f t="shared" si="138"/>
        <v/>
      </c>
      <c r="U103" s="452" t="str">
        <f t="shared" si="138"/>
        <v/>
      </c>
      <c r="V103" s="453" t="str">
        <f t="shared" si="138"/>
        <v/>
      </c>
      <c r="W103" s="451" t="str">
        <f t="shared" si="138"/>
        <v/>
      </c>
      <c r="X103" s="452" t="str">
        <f t="shared" si="138"/>
        <v/>
      </c>
      <c r="Y103" s="452" t="str">
        <f t="shared" si="138"/>
        <v/>
      </c>
      <c r="Z103" s="452" t="str">
        <f t="shared" si="138"/>
        <v/>
      </c>
      <c r="AA103" s="453" t="str">
        <f t="shared" si="138"/>
        <v/>
      </c>
      <c r="AB103" s="451" t="str">
        <f t="shared" si="138"/>
        <v/>
      </c>
      <c r="AC103" s="452" t="str">
        <f t="shared" si="148"/>
        <v/>
      </c>
      <c r="AD103" s="452" t="str">
        <f t="shared" si="148"/>
        <v/>
      </c>
      <c r="AE103" s="452" t="str">
        <f t="shared" si="148"/>
        <v/>
      </c>
      <c r="AF103" s="453" t="str">
        <f t="shared" si="148"/>
        <v/>
      </c>
      <c r="AG103" s="451" t="str">
        <f t="shared" si="148"/>
        <v/>
      </c>
      <c r="AH103" s="452" t="str">
        <f t="shared" si="148"/>
        <v/>
      </c>
      <c r="AI103" s="452" t="str">
        <f t="shared" si="148"/>
        <v/>
      </c>
      <c r="AJ103" s="452" t="str">
        <f t="shared" si="148"/>
        <v/>
      </c>
      <c r="AK103" s="453" t="str">
        <f t="shared" si="148"/>
        <v/>
      </c>
      <c r="AL103" s="451" t="str">
        <f t="shared" si="148"/>
        <v/>
      </c>
      <c r="AM103" s="452" t="str">
        <f t="shared" si="148"/>
        <v/>
      </c>
      <c r="AN103" s="452" t="str">
        <f t="shared" si="148"/>
        <v/>
      </c>
      <c r="AO103" s="452" t="str">
        <f t="shared" si="148"/>
        <v/>
      </c>
      <c r="AP103" s="453" t="str">
        <f t="shared" si="148"/>
        <v/>
      </c>
      <c r="AQ103" s="451" t="str">
        <f t="shared" si="148"/>
        <v/>
      </c>
      <c r="AR103" s="452" t="str">
        <f t="shared" si="148"/>
        <v/>
      </c>
      <c r="AS103" s="452" t="str">
        <f t="shared" si="145"/>
        <v/>
      </c>
      <c r="AT103" s="452" t="str">
        <f t="shared" si="145"/>
        <v/>
      </c>
      <c r="AU103" s="453" t="str">
        <f t="shared" si="145"/>
        <v/>
      </c>
      <c r="AV103" s="451" t="str">
        <f t="shared" si="145"/>
        <v/>
      </c>
      <c r="AW103" s="452" t="str">
        <f t="shared" si="145"/>
        <v/>
      </c>
      <c r="AX103" s="452" t="str">
        <f t="shared" si="145"/>
        <v/>
      </c>
      <c r="AY103" s="452" t="str">
        <f t="shared" si="145"/>
        <v/>
      </c>
      <c r="AZ103" s="453" t="str">
        <f t="shared" si="145"/>
        <v/>
      </c>
      <c r="BA103" s="451" t="str">
        <f t="shared" si="145"/>
        <v/>
      </c>
      <c r="BB103" s="452" t="str">
        <f t="shared" si="145"/>
        <v/>
      </c>
      <c r="BC103" s="452" t="str">
        <f t="shared" si="145"/>
        <v/>
      </c>
      <c r="BD103" s="452" t="str">
        <f t="shared" si="145"/>
        <v/>
      </c>
      <c r="BE103" s="453" t="str">
        <f t="shared" si="145"/>
        <v/>
      </c>
      <c r="BF103" s="451" t="str">
        <f t="shared" si="145"/>
        <v/>
      </c>
      <c r="BG103" s="452" t="str">
        <f t="shared" si="145"/>
        <v/>
      </c>
      <c r="BH103" s="452" t="str">
        <f t="shared" ref="BH103:BW118" si="154">IF(AND(BH$2&gt;=$J103,BH$2&lt;=$K103),1,"")</f>
        <v/>
      </c>
      <c r="BI103" s="452" t="str">
        <f t="shared" si="154"/>
        <v/>
      </c>
      <c r="BJ103" s="453" t="str">
        <f t="shared" si="154"/>
        <v/>
      </c>
      <c r="BK103" s="451" t="str">
        <f t="shared" si="154"/>
        <v/>
      </c>
      <c r="BL103" s="452" t="str">
        <f t="shared" si="154"/>
        <v/>
      </c>
      <c r="BM103" s="452" t="str">
        <f t="shared" si="154"/>
        <v/>
      </c>
      <c r="BN103" s="452" t="str">
        <f t="shared" si="154"/>
        <v/>
      </c>
      <c r="BO103" s="453" t="str">
        <f t="shared" si="154"/>
        <v/>
      </c>
      <c r="BP103" s="451" t="str">
        <f t="shared" si="154"/>
        <v/>
      </c>
      <c r="BQ103" s="452" t="str">
        <f t="shared" si="154"/>
        <v/>
      </c>
      <c r="BR103" s="452" t="str">
        <f t="shared" si="154"/>
        <v/>
      </c>
      <c r="BS103" s="452" t="str">
        <f t="shared" si="154"/>
        <v/>
      </c>
      <c r="BT103" s="453" t="str">
        <f t="shared" si="154"/>
        <v/>
      </c>
      <c r="BU103" s="451" t="str">
        <f t="shared" si="154"/>
        <v/>
      </c>
      <c r="BV103" s="452" t="str">
        <f t="shared" si="154"/>
        <v/>
      </c>
      <c r="BW103" s="452" t="str">
        <f t="shared" si="154"/>
        <v/>
      </c>
      <c r="BX103" s="452" t="str">
        <f t="shared" si="146"/>
        <v/>
      </c>
      <c r="BY103" s="453" t="str">
        <f t="shared" si="146"/>
        <v/>
      </c>
      <c r="BZ103" s="451" t="str">
        <f t="shared" si="146"/>
        <v/>
      </c>
      <c r="CA103" s="452" t="str">
        <f t="shared" si="146"/>
        <v/>
      </c>
      <c r="CB103" s="452" t="str">
        <f t="shared" si="146"/>
        <v/>
      </c>
      <c r="CC103" s="452" t="str">
        <f t="shared" si="146"/>
        <v/>
      </c>
      <c r="CD103" s="453" t="str">
        <f t="shared" si="146"/>
        <v/>
      </c>
      <c r="CE103" s="451" t="str">
        <f t="shared" si="146"/>
        <v/>
      </c>
      <c r="CF103" s="452" t="str">
        <f t="shared" si="146"/>
        <v/>
      </c>
      <c r="CG103" s="452" t="str">
        <f t="shared" si="146"/>
        <v/>
      </c>
      <c r="CH103" s="452" t="str">
        <f t="shared" si="146"/>
        <v/>
      </c>
      <c r="CI103" s="453" t="str">
        <f t="shared" si="146"/>
        <v/>
      </c>
      <c r="CJ103" s="451" t="str">
        <f t="shared" si="146"/>
        <v/>
      </c>
      <c r="CK103" s="452" t="str">
        <f t="shared" si="146"/>
        <v/>
      </c>
      <c r="CL103" s="452" t="str">
        <f t="shared" si="146"/>
        <v/>
      </c>
      <c r="CM103" s="452" t="str">
        <f t="shared" si="146"/>
        <v/>
      </c>
      <c r="CN103" s="453" t="str">
        <f t="shared" si="133"/>
        <v/>
      </c>
      <c r="CO103" s="451" t="str">
        <f t="shared" si="133"/>
        <v/>
      </c>
      <c r="CP103" s="452" t="str">
        <f t="shared" si="133"/>
        <v/>
      </c>
      <c r="CQ103" s="452" t="str">
        <f t="shared" si="133"/>
        <v/>
      </c>
      <c r="CR103" s="452" t="str">
        <f t="shared" si="133"/>
        <v/>
      </c>
      <c r="CS103" s="453" t="str">
        <f t="shared" si="133"/>
        <v/>
      </c>
      <c r="CT103" s="451" t="str">
        <f t="shared" si="133"/>
        <v/>
      </c>
      <c r="CU103" s="452" t="str">
        <f t="shared" si="133"/>
        <v/>
      </c>
      <c r="CV103" s="452" t="str">
        <f t="shared" si="142"/>
        <v/>
      </c>
      <c r="CW103" s="452" t="str">
        <f t="shared" si="142"/>
        <v/>
      </c>
      <c r="CX103" s="453" t="str">
        <f t="shared" si="142"/>
        <v/>
      </c>
      <c r="CY103" s="451" t="str">
        <f t="shared" si="142"/>
        <v/>
      </c>
      <c r="CZ103" s="452" t="str">
        <f t="shared" si="142"/>
        <v/>
      </c>
      <c r="DA103" s="452" t="str">
        <f t="shared" si="142"/>
        <v/>
      </c>
      <c r="DB103" s="452" t="str">
        <f t="shared" si="142"/>
        <v/>
      </c>
      <c r="DC103" s="453" t="str">
        <f t="shared" si="142"/>
        <v/>
      </c>
      <c r="DD103" s="451" t="str">
        <f t="shared" si="142"/>
        <v/>
      </c>
      <c r="DE103" s="452" t="str">
        <f t="shared" si="134"/>
        <v/>
      </c>
      <c r="DF103" s="452" t="str">
        <f t="shared" si="134"/>
        <v/>
      </c>
      <c r="DG103" s="452" t="str">
        <f t="shared" si="134"/>
        <v/>
      </c>
      <c r="DH103" s="453" t="str">
        <f t="shared" si="134"/>
        <v/>
      </c>
      <c r="DI103" s="451" t="str">
        <f t="shared" si="134"/>
        <v/>
      </c>
      <c r="DJ103" s="452" t="str">
        <f t="shared" si="134"/>
        <v/>
      </c>
      <c r="DK103" s="452" t="str">
        <f t="shared" si="134"/>
        <v/>
      </c>
      <c r="DL103" s="452" t="str">
        <f t="shared" si="134"/>
        <v/>
      </c>
      <c r="DM103" s="453" t="str">
        <f t="shared" si="134"/>
        <v/>
      </c>
      <c r="DN103" s="451" t="str">
        <f t="shared" si="134"/>
        <v/>
      </c>
      <c r="DO103" s="452" t="str">
        <f t="shared" si="134"/>
        <v/>
      </c>
      <c r="DP103" s="452" t="str">
        <f t="shared" si="134"/>
        <v/>
      </c>
      <c r="DQ103" s="452" t="str">
        <f t="shared" si="134"/>
        <v/>
      </c>
      <c r="DR103" s="453" t="str">
        <f t="shared" si="134"/>
        <v/>
      </c>
      <c r="DS103" s="451" t="str">
        <f t="shared" si="134"/>
        <v/>
      </c>
      <c r="DT103" s="452" t="str">
        <f t="shared" si="134"/>
        <v/>
      </c>
      <c r="DU103" s="452" t="str">
        <f t="shared" si="149"/>
        <v/>
      </c>
      <c r="DV103" s="452" t="str">
        <f t="shared" si="149"/>
        <v/>
      </c>
      <c r="DW103" s="453" t="str">
        <f t="shared" si="149"/>
        <v/>
      </c>
      <c r="DX103" s="451" t="str">
        <f t="shared" si="149"/>
        <v/>
      </c>
      <c r="DY103" s="452" t="str">
        <f t="shared" si="149"/>
        <v/>
      </c>
      <c r="DZ103" s="452" t="str">
        <f t="shared" si="149"/>
        <v/>
      </c>
      <c r="EA103" s="452" t="str">
        <f t="shared" si="149"/>
        <v/>
      </c>
      <c r="EB103" s="453" t="str">
        <f t="shared" si="149"/>
        <v/>
      </c>
      <c r="EC103" s="451" t="str">
        <f t="shared" si="149"/>
        <v/>
      </c>
      <c r="ED103" s="452" t="str">
        <f t="shared" si="149"/>
        <v/>
      </c>
      <c r="EE103" s="452" t="str">
        <f t="shared" si="149"/>
        <v/>
      </c>
      <c r="EF103" s="452" t="str">
        <f t="shared" si="149"/>
        <v/>
      </c>
      <c r="EG103" s="453" t="str">
        <f t="shared" si="149"/>
        <v/>
      </c>
      <c r="EH103" s="451" t="str">
        <f t="shared" si="149"/>
        <v/>
      </c>
      <c r="EI103" s="452" t="str">
        <f t="shared" si="149"/>
        <v/>
      </c>
      <c r="EJ103" s="452" t="str">
        <f t="shared" si="149"/>
        <v/>
      </c>
      <c r="EK103" s="452" t="str">
        <f t="shared" si="152"/>
        <v/>
      </c>
      <c r="EL103" s="453" t="str">
        <f t="shared" si="152"/>
        <v/>
      </c>
      <c r="EM103" s="451" t="str">
        <f t="shared" si="152"/>
        <v/>
      </c>
      <c r="EN103" s="452" t="str">
        <f t="shared" si="152"/>
        <v/>
      </c>
      <c r="EO103" s="452" t="str">
        <f t="shared" si="152"/>
        <v/>
      </c>
      <c r="EP103" s="452" t="str">
        <f t="shared" si="152"/>
        <v/>
      </c>
      <c r="EQ103" s="453" t="str">
        <f t="shared" si="152"/>
        <v/>
      </c>
      <c r="ER103" s="451" t="str">
        <f t="shared" si="152"/>
        <v/>
      </c>
      <c r="ES103" s="452" t="str">
        <f t="shared" si="152"/>
        <v/>
      </c>
      <c r="ET103" s="452" t="str">
        <f t="shared" si="152"/>
        <v/>
      </c>
      <c r="EU103" s="452" t="str">
        <f t="shared" si="152"/>
        <v/>
      </c>
      <c r="EV103" s="453" t="str">
        <f t="shared" si="152"/>
        <v/>
      </c>
      <c r="EW103" s="451" t="str">
        <f t="shared" si="152"/>
        <v/>
      </c>
      <c r="EX103" s="452" t="str">
        <f t="shared" si="152"/>
        <v/>
      </c>
      <c r="EY103" s="452" t="str">
        <f t="shared" si="152"/>
        <v/>
      </c>
      <c r="EZ103" s="452" t="str">
        <f t="shared" si="150"/>
        <v/>
      </c>
      <c r="FA103" s="453" t="str">
        <f t="shared" si="150"/>
        <v/>
      </c>
      <c r="FB103" s="451" t="str">
        <f t="shared" si="150"/>
        <v/>
      </c>
      <c r="FC103" s="452" t="str">
        <f t="shared" si="150"/>
        <v/>
      </c>
      <c r="FD103" s="452" t="str">
        <f t="shared" si="150"/>
        <v/>
      </c>
      <c r="FE103" s="452" t="str">
        <f t="shared" si="150"/>
        <v/>
      </c>
      <c r="FF103" s="453" t="str">
        <f t="shared" si="150"/>
        <v/>
      </c>
      <c r="FG103" s="451" t="str">
        <f t="shared" si="150"/>
        <v/>
      </c>
      <c r="FH103" s="452" t="str">
        <f t="shared" si="150"/>
        <v/>
      </c>
      <c r="FI103" s="452" t="str">
        <f t="shared" si="150"/>
        <v/>
      </c>
      <c r="FJ103" s="452" t="str">
        <f t="shared" si="150"/>
        <v/>
      </c>
      <c r="FK103" s="453" t="str">
        <f t="shared" si="150"/>
        <v/>
      </c>
      <c r="FL103" s="451" t="str">
        <f t="shared" si="150"/>
        <v/>
      </c>
      <c r="FM103" s="452" t="str">
        <f t="shared" si="150"/>
        <v/>
      </c>
      <c r="FN103" s="452" t="str">
        <f t="shared" si="150"/>
        <v/>
      </c>
      <c r="FO103" s="452" t="str">
        <f t="shared" si="150"/>
        <v/>
      </c>
      <c r="FP103" s="453" t="str">
        <f t="shared" si="137"/>
        <v/>
      </c>
      <c r="FQ103" s="451" t="str">
        <f t="shared" si="137"/>
        <v/>
      </c>
      <c r="FR103" s="452" t="str">
        <f t="shared" si="137"/>
        <v/>
      </c>
      <c r="FS103" s="452" t="str">
        <f t="shared" si="137"/>
        <v/>
      </c>
      <c r="FT103" s="452" t="str">
        <f t="shared" si="137"/>
        <v/>
      </c>
      <c r="FU103" s="453" t="str">
        <f t="shared" si="137"/>
        <v/>
      </c>
      <c r="FV103" s="451" t="str">
        <f t="shared" si="137"/>
        <v/>
      </c>
      <c r="FW103" s="452" t="str">
        <f t="shared" si="137"/>
        <v/>
      </c>
      <c r="FX103" s="452" t="str">
        <f t="shared" si="137"/>
        <v/>
      </c>
      <c r="FY103" s="452" t="str">
        <f t="shared" si="153"/>
        <v/>
      </c>
      <c r="FZ103" s="453" t="str">
        <f t="shared" si="153"/>
        <v/>
      </c>
      <c r="GA103" s="451" t="str">
        <f t="shared" si="153"/>
        <v/>
      </c>
      <c r="GB103" s="452" t="str">
        <f t="shared" si="153"/>
        <v/>
      </c>
      <c r="GC103" s="452" t="str">
        <f t="shared" si="153"/>
        <v/>
      </c>
      <c r="GD103" s="452" t="str">
        <f t="shared" si="153"/>
        <v/>
      </c>
      <c r="GE103" s="453" t="str">
        <f t="shared" si="153"/>
        <v/>
      </c>
      <c r="GF103" s="451" t="str">
        <f t="shared" si="153"/>
        <v/>
      </c>
      <c r="GG103" s="452" t="str">
        <f t="shared" si="153"/>
        <v/>
      </c>
      <c r="GH103" s="452" t="str">
        <f t="shared" si="153"/>
        <v/>
      </c>
      <c r="GI103" s="452" t="str">
        <f t="shared" si="153"/>
        <v/>
      </c>
      <c r="GJ103" s="453" t="str">
        <f t="shared" si="153"/>
        <v/>
      </c>
      <c r="GK103" s="451" t="str">
        <f t="shared" si="153"/>
        <v/>
      </c>
      <c r="GL103" s="452" t="str">
        <f t="shared" si="153"/>
        <v/>
      </c>
      <c r="GM103" s="452" t="str">
        <f t="shared" si="153"/>
        <v/>
      </c>
      <c r="GN103" s="452" t="str">
        <f t="shared" si="153"/>
        <v/>
      </c>
      <c r="GO103" s="453" t="str">
        <f t="shared" si="151"/>
        <v/>
      </c>
      <c r="GP103" s="451" t="str">
        <f t="shared" si="151"/>
        <v/>
      </c>
      <c r="GQ103" s="452" t="str">
        <f t="shared" si="151"/>
        <v/>
      </c>
      <c r="GR103" s="452" t="str">
        <f t="shared" si="151"/>
        <v/>
      </c>
      <c r="GS103" s="452" t="str">
        <f t="shared" si="151"/>
        <v/>
      </c>
      <c r="GT103" s="453" t="str">
        <f t="shared" si="151"/>
        <v/>
      </c>
      <c r="GU103" s="451" t="str">
        <f t="shared" si="151"/>
        <v/>
      </c>
      <c r="GV103" s="452" t="str">
        <f t="shared" si="151"/>
        <v/>
      </c>
      <c r="GW103" s="452" t="str">
        <f t="shared" si="151"/>
        <v/>
      </c>
      <c r="GX103" s="452" t="str">
        <f t="shared" si="151"/>
        <v/>
      </c>
      <c r="GY103" s="453" t="str">
        <f t="shared" si="151"/>
        <v/>
      </c>
      <c r="GZ103" s="451" t="str">
        <f t="shared" si="151"/>
        <v/>
      </c>
      <c r="HA103" s="452" t="str">
        <f t="shared" si="151"/>
        <v/>
      </c>
      <c r="HB103" s="452" t="str">
        <f t="shared" si="151"/>
        <v/>
      </c>
      <c r="HC103" s="452" t="str">
        <f t="shared" si="151"/>
        <v/>
      </c>
      <c r="HD103" s="453" t="str">
        <f t="shared" si="151"/>
        <v/>
      </c>
      <c r="HE103" s="451" t="str">
        <f t="shared" si="132"/>
        <v/>
      </c>
      <c r="HF103" s="452" t="str">
        <f t="shared" si="132"/>
        <v/>
      </c>
      <c r="HG103" s="452" t="str">
        <f t="shared" si="132"/>
        <v/>
      </c>
      <c r="HH103" s="452" t="str">
        <f t="shared" si="132"/>
        <v/>
      </c>
      <c r="HI103" s="453" t="str">
        <f t="shared" si="132"/>
        <v/>
      </c>
      <c r="HJ103" s="451" t="str">
        <f t="shared" si="144"/>
        <v/>
      </c>
      <c r="HK103" s="452" t="str">
        <f t="shared" si="144"/>
        <v/>
      </c>
      <c r="HL103" s="452" t="str">
        <f t="shared" si="144"/>
        <v/>
      </c>
      <c r="HM103" s="452" t="str">
        <f t="shared" si="144"/>
        <v/>
      </c>
      <c r="HN103" s="453" t="str">
        <f t="shared" si="144"/>
        <v/>
      </c>
      <c r="HO103" s="451" t="str">
        <f t="shared" si="144"/>
        <v/>
      </c>
      <c r="HP103" s="452" t="str">
        <f t="shared" si="144"/>
        <v/>
      </c>
      <c r="HQ103" s="452" t="str">
        <f t="shared" si="144"/>
        <v/>
      </c>
      <c r="HR103" s="452" t="str">
        <f t="shared" si="144"/>
        <v/>
      </c>
      <c r="HS103" s="453" t="str">
        <f t="shared" si="144"/>
        <v/>
      </c>
      <c r="HT103" s="451" t="str">
        <f t="shared" si="144"/>
        <v/>
      </c>
      <c r="HU103" s="452" t="str">
        <f t="shared" si="144"/>
        <v/>
      </c>
      <c r="HV103" s="452" t="str">
        <f t="shared" si="144"/>
        <v/>
      </c>
      <c r="HW103" s="452" t="str">
        <f t="shared" si="144"/>
        <v/>
      </c>
      <c r="HX103" s="453" t="str">
        <f t="shared" si="144"/>
        <v/>
      </c>
      <c r="HY103" s="451" t="str">
        <f t="shared" si="143"/>
        <v/>
      </c>
      <c r="HZ103" s="452" t="str">
        <f t="shared" si="143"/>
        <v/>
      </c>
      <c r="IA103" s="452" t="str">
        <f t="shared" si="143"/>
        <v/>
      </c>
      <c r="IB103" s="452" t="str">
        <f t="shared" si="143"/>
        <v/>
      </c>
      <c r="IC103" s="453" t="str">
        <f t="shared" si="143"/>
        <v/>
      </c>
      <c r="ID103" s="451" t="str">
        <f t="shared" si="143"/>
        <v/>
      </c>
      <c r="IE103" s="452" t="str">
        <f t="shared" si="143"/>
        <v/>
      </c>
      <c r="IF103" s="452" t="str">
        <f t="shared" si="143"/>
        <v/>
      </c>
      <c r="IG103" s="452" t="str">
        <f t="shared" si="143"/>
        <v/>
      </c>
      <c r="IH103" s="453" t="str">
        <f t="shared" si="143"/>
        <v/>
      </c>
      <c r="II103" s="451" t="str">
        <f t="shared" si="143"/>
        <v/>
      </c>
      <c r="IJ103" s="452" t="str">
        <f t="shared" si="143"/>
        <v/>
      </c>
      <c r="IK103" s="452" t="str">
        <f t="shared" si="143"/>
        <v/>
      </c>
      <c r="IL103" s="452" t="str">
        <f t="shared" si="143"/>
        <v/>
      </c>
      <c r="IM103" s="453" t="str">
        <f t="shared" si="147"/>
        <v/>
      </c>
      <c r="IN103" s="451" t="str">
        <f t="shared" si="147"/>
        <v/>
      </c>
      <c r="IO103" s="452" t="str">
        <f t="shared" si="147"/>
        <v/>
      </c>
      <c r="IP103" s="452" t="str">
        <f t="shared" si="147"/>
        <v/>
      </c>
      <c r="IQ103" s="452" t="str">
        <f t="shared" si="147"/>
        <v/>
      </c>
      <c r="IR103" s="453" t="str">
        <f t="shared" si="147"/>
        <v/>
      </c>
    </row>
    <row r="104" spans="1:252" x14ac:dyDescent="0.2">
      <c r="A104" s="461">
        <v>10.1</v>
      </c>
      <c r="C104" s="447" t="s">
        <v>1351</v>
      </c>
      <c r="D104" s="447"/>
      <c r="E104" s="448"/>
      <c r="F104" s="448"/>
      <c r="G104" s="448"/>
      <c r="H104" s="448"/>
      <c r="I104" s="448"/>
      <c r="J104" s="449" t="str">
        <f t="shared" ref="J104:J113" si="155">IF(E104="","",E104-$M$3+1)</f>
        <v/>
      </c>
      <c r="K104" s="449" t="str">
        <f t="shared" ref="K104:K113" si="156">IF(F104="","",F104-$M$3+1)</f>
        <v/>
      </c>
      <c r="L104" s="450">
        <f t="shared" si="101"/>
        <v>0</v>
      </c>
      <c r="M104" s="451" t="str">
        <f t="shared" si="138"/>
        <v/>
      </c>
      <c r="N104" s="452" t="str">
        <f t="shared" si="138"/>
        <v/>
      </c>
      <c r="O104" s="452" t="str">
        <f t="shared" si="138"/>
        <v/>
      </c>
      <c r="P104" s="452" t="str">
        <f t="shared" si="138"/>
        <v/>
      </c>
      <c r="Q104" s="453" t="str">
        <f t="shared" si="138"/>
        <v/>
      </c>
      <c r="R104" s="451" t="str">
        <f t="shared" si="138"/>
        <v/>
      </c>
      <c r="S104" s="452" t="str">
        <f t="shared" si="138"/>
        <v/>
      </c>
      <c r="T104" s="452" t="str">
        <f t="shared" si="138"/>
        <v/>
      </c>
      <c r="U104" s="452" t="str">
        <f t="shared" si="138"/>
        <v/>
      </c>
      <c r="V104" s="453" t="str">
        <f t="shared" si="138"/>
        <v/>
      </c>
      <c r="W104" s="451" t="str">
        <f t="shared" si="138"/>
        <v/>
      </c>
      <c r="X104" s="452" t="str">
        <f t="shared" si="138"/>
        <v/>
      </c>
      <c r="Y104" s="452" t="str">
        <f t="shared" si="138"/>
        <v/>
      </c>
      <c r="Z104" s="452" t="str">
        <f t="shared" si="138"/>
        <v/>
      </c>
      <c r="AA104" s="453" t="str">
        <f t="shared" si="138"/>
        <v/>
      </c>
      <c r="AB104" s="451" t="str">
        <f t="shared" si="138"/>
        <v/>
      </c>
      <c r="AC104" s="452" t="str">
        <f t="shared" si="148"/>
        <v/>
      </c>
      <c r="AD104" s="452" t="str">
        <f t="shared" si="148"/>
        <v/>
      </c>
      <c r="AE104" s="452" t="str">
        <f t="shared" si="148"/>
        <v/>
      </c>
      <c r="AF104" s="453" t="str">
        <f t="shared" si="148"/>
        <v/>
      </c>
      <c r="AG104" s="451" t="str">
        <f t="shared" si="148"/>
        <v/>
      </c>
      <c r="AH104" s="452" t="str">
        <f t="shared" si="148"/>
        <v/>
      </c>
      <c r="AI104" s="452" t="str">
        <f t="shared" si="148"/>
        <v/>
      </c>
      <c r="AJ104" s="452" t="str">
        <f t="shared" si="148"/>
        <v/>
      </c>
      <c r="AK104" s="453" t="str">
        <f t="shared" si="148"/>
        <v/>
      </c>
      <c r="AL104" s="451" t="str">
        <f t="shared" si="148"/>
        <v/>
      </c>
      <c r="AM104" s="452" t="str">
        <f t="shared" si="148"/>
        <v/>
      </c>
      <c r="AN104" s="452" t="str">
        <f t="shared" si="148"/>
        <v/>
      </c>
      <c r="AO104" s="452" t="str">
        <f t="shared" si="148"/>
        <v/>
      </c>
      <c r="AP104" s="453" t="str">
        <f t="shared" si="148"/>
        <v/>
      </c>
      <c r="AQ104" s="451" t="str">
        <f t="shared" si="148"/>
        <v/>
      </c>
      <c r="AR104" s="452" t="str">
        <f t="shared" si="148"/>
        <v/>
      </c>
      <c r="AS104" s="452" t="str">
        <f t="shared" si="145"/>
        <v/>
      </c>
      <c r="AT104" s="452" t="str">
        <f t="shared" si="145"/>
        <v/>
      </c>
      <c r="AU104" s="453" t="str">
        <f t="shared" si="145"/>
        <v/>
      </c>
      <c r="AV104" s="451" t="str">
        <f t="shared" si="145"/>
        <v/>
      </c>
      <c r="AW104" s="452" t="str">
        <f t="shared" si="145"/>
        <v/>
      </c>
      <c r="AX104" s="452" t="str">
        <f t="shared" si="145"/>
        <v/>
      </c>
      <c r="AY104" s="452" t="str">
        <f t="shared" si="145"/>
        <v/>
      </c>
      <c r="AZ104" s="453" t="str">
        <f t="shared" si="145"/>
        <v/>
      </c>
      <c r="BA104" s="451" t="str">
        <f t="shared" si="145"/>
        <v/>
      </c>
      <c r="BB104" s="452" t="str">
        <f t="shared" si="145"/>
        <v/>
      </c>
      <c r="BC104" s="452" t="str">
        <f t="shared" si="145"/>
        <v/>
      </c>
      <c r="BD104" s="452" t="str">
        <f t="shared" si="145"/>
        <v/>
      </c>
      <c r="BE104" s="453" t="str">
        <f t="shared" si="145"/>
        <v/>
      </c>
      <c r="BF104" s="451" t="str">
        <f t="shared" si="145"/>
        <v/>
      </c>
      <c r="BG104" s="452" t="str">
        <f t="shared" si="145"/>
        <v/>
      </c>
      <c r="BH104" s="452" t="str">
        <f t="shared" si="154"/>
        <v/>
      </c>
      <c r="BI104" s="452" t="str">
        <f t="shared" si="154"/>
        <v/>
      </c>
      <c r="BJ104" s="453" t="str">
        <f t="shared" si="154"/>
        <v/>
      </c>
      <c r="BK104" s="451" t="str">
        <f t="shared" si="154"/>
        <v/>
      </c>
      <c r="BL104" s="452" t="str">
        <f t="shared" si="154"/>
        <v/>
      </c>
      <c r="BM104" s="452" t="str">
        <f t="shared" si="154"/>
        <v/>
      </c>
      <c r="BN104" s="452" t="str">
        <f t="shared" si="154"/>
        <v/>
      </c>
      <c r="BO104" s="453" t="str">
        <f t="shared" si="154"/>
        <v/>
      </c>
      <c r="BP104" s="451" t="str">
        <f t="shared" si="154"/>
        <v/>
      </c>
      <c r="BQ104" s="452" t="str">
        <f t="shared" si="154"/>
        <v/>
      </c>
      <c r="BR104" s="452" t="str">
        <f t="shared" si="154"/>
        <v/>
      </c>
      <c r="BS104" s="452" t="str">
        <f t="shared" si="154"/>
        <v/>
      </c>
      <c r="BT104" s="453" t="str">
        <f t="shared" si="154"/>
        <v/>
      </c>
      <c r="BU104" s="451" t="str">
        <f t="shared" si="154"/>
        <v/>
      </c>
      <c r="BV104" s="452" t="str">
        <f t="shared" si="154"/>
        <v/>
      </c>
      <c r="BW104" s="452" t="str">
        <f t="shared" si="154"/>
        <v/>
      </c>
      <c r="BX104" s="452" t="str">
        <f t="shared" si="146"/>
        <v/>
      </c>
      <c r="BY104" s="453" t="str">
        <f t="shared" si="146"/>
        <v/>
      </c>
      <c r="BZ104" s="451" t="str">
        <f t="shared" si="146"/>
        <v/>
      </c>
      <c r="CA104" s="452" t="str">
        <f t="shared" si="146"/>
        <v/>
      </c>
      <c r="CB104" s="452" t="str">
        <f t="shared" si="146"/>
        <v/>
      </c>
      <c r="CC104" s="452" t="str">
        <f t="shared" si="146"/>
        <v/>
      </c>
      <c r="CD104" s="453" t="str">
        <f t="shared" si="146"/>
        <v/>
      </c>
      <c r="CE104" s="451" t="str">
        <f t="shared" si="146"/>
        <v/>
      </c>
      <c r="CF104" s="452" t="str">
        <f t="shared" si="146"/>
        <v/>
      </c>
      <c r="CG104" s="452" t="str">
        <f t="shared" si="146"/>
        <v/>
      </c>
      <c r="CH104" s="452" t="str">
        <f t="shared" si="146"/>
        <v/>
      </c>
      <c r="CI104" s="453" t="str">
        <f t="shared" si="146"/>
        <v/>
      </c>
      <c r="CJ104" s="451" t="str">
        <f t="shared" si="146"/>
        <v/>
      </c>
      <c r="CK104" s="452" t="str">
        <f t="shared" si="146"/>
        <v/>
      </c>
      <c r="CL104" s="452" t="str">
        <f t="shared" si="146"/>
        <v/>
      </c>
      <c r="CM104" s="452" t="str">
        <f t="shared" si="146"/>
        <v/>
      </c>
      <c r="CN104" s="453" t="str">
        <f t="shared" si="133"/>
        <v/>
      </c>
      <c r="CO104" s="451" t="str">
        <f t="shared" si="133"/>
        <v/>
      </c>
      <c r="CP104" s="452" t="str">
        <f t="shared" si="133"/>
        <v/>
      </c>
      <c r="CQ104" s="452" t="str">
        <f t="shared" si="133"/>
        <v/>
      </c>
      <c r="CR104" s="452" t="str">
        <f t="shared" si="133"/>
        <v/>
      </c>
      <c r="CS104" s="453" t="str">
        <f t="shared" si="133"/>
        <v/>
      </c>
      <c r="CT104" s="451" t="str">
        <f t="shared" si="133"/>
        <v/>
      </c>
      <c r="CU104" s="452" t="str">
        <f t="shared" si="133"/>
        <v/>
      </c>
      <c r="CV104" s="452" t="str">
        <f t="shared" si="142"/>
        <v/>
      </c>
      <c r="CW104" s="452" t="str">
        <f t="shared" si="142"/>
        <v/>
      </c>
      <c r="CX104" s="453" t="str">
        <f t="shared" si="142"/>
        <v/>
      </c>
      <c r="CY104" s="451" t="str">
        <f t="shared" si="142"/>
        <v/>
      </c>
      <c r="CZ104" s="452" t="str">
        <f t="shared" si="142"/>
        <v/>
      </c>
      <c r="DA104" s="452" t="str">
        <f t="shared" si="142"/>
        <v/>
      </c>
      <c r="DB104" s="452" t="str">
        <f t="shared" si="142"/>
        <v/>
      </c>
      <c r="DC104" s="453" t="str">
        <f t="shared" si="142"/>
        <v/>
      </c>
      <c r="DD104" s="451" t="str">
        <f t="shared" si="142"/>
        <v/>
      </c>
      <c r="DE104" s="452" t="str">
        <f t="shared" si="134"/>
        <v/>
      </c>
      <c r="DF104" s="452" t="str">
        <f t="shared" si="134"/>
        <v/>
      </c>
      <c r="DG104" s="452" t="str">
        <f t="shared" si="134"/>
        <v/>
      </c>
      <c r="DH104" s="453" t="str">
        <f t="shared" si="134"/>
        <v/>
      </c>
      <c r="DI104" s="451" t="str">
        <f t="shared" si="134"/>
        <v/>
      </c>
      <c r="DJ104" s="452" t="str">
        <f t="shared" si="134"/>
        <v/>
      </c>
      <c r="DK104" s="452" t="str">
        <f t="shared" si="134"/>
        <v/>
      </c>
      <c r="DL104" s="452" t="str">
        <f t="shared" si="134"/>
        <v/>
      </c>
      <c r="DM104" s="453" t="str">
        <f t="shared" si="134"/>
        <v/>
      </c>
      <c r="DN104" s="451" t="str">
        <f t="shared" si="134"/>
        <v/>
      </c>
      <c r="DO104" s="452" t="str">
        <f t="shared" si="134"/>
        <v/>
      </c>
      <c r="DP104" s="452" t="str">
        <f t="shared" si="134"/>
        <v/>
      </c>
      <c r="DQ104" s="452" t="str">
        <f t="shared" si="134"/>
        <v/>
      </c>
      <c r="DR104" s="453" t="str">
        <f t="shared" si="134"/>
        <v/>
      </c>
      <c r="DS104" s="451" t="str">
        <f t="shared" si="134"/>
        <v/>
      </c>
      <c r="DT104" s="452" t="str">
        <f t="shared" si="134"/>
        <v/>
      </c>
      <c r="DU104" s="452" t="str">
        <f t="shared" si="149"/>
        <v/>
      </c>
      <c r="DV104" s="452" t="str">
        <f t="shared" si="149"/>
        <v/>
      </c>
      <c r="DW104" s="453" t="str">
        <f t="shared" si="149"/>
        <v/>
      </c>
      <c r="DX104" s="451" t="str">
        <f t="shared" si="149"/>
        <v/>
      </c>
      <c r="DY104" s="452" t="str">
        <f t="shared" si="149"/>
        <v/>
      </c>
      <c r="DZ104" s="452" t="str">
        <f t="shared" si="149"/>
        <v/>
      </c>
      <c r="EA104" s="452" t="str">
        <f t="shared" si="149"/>
        <v/>
      </c>
      <c r="EB104" s="453" t="str">
        <f t="shared" si="149"/>
        <v/>
      </c>
      <c r="EC104" s="451" t="str">
        <f t="shared" si="149"/>
        <v/>
      </c>
      <c r="ED104" s="452" t="str">
        <f t="shared" si="149"/>
        <v/>
      </c>
      <c r="EE104" s="452" t="str">
        <f t="shared" si="149"/>
        <v/>
      </c>
      <c r="EF104" s="452" t="str">
        <f t="shared" si="149"/>
        <v/>
      </c>
      <c r="EG104" s="453" t="str">
        <f t="shared" si="149"/>
        <v/>
      </c>
      <c r="EH104" s="451" t="str">
        <f t="shared" si="149"/>
        <v/>
      </c>
      <c r="EI104" s="452" t="str">
        <f t="shared" si="149"/>
        <v/>
      </c>
      <c r="EJ104" s="452" t="str">
        <f t="shared" si="149"/>
        <v/>
      </c>
      <c r="EK104" s="452" t="str">
        <f t="shared" si="152"/>
        <v/>
      </c>
      <c r="EL104" s="453" t="str">
        <f t="shared" si="152"/>
        <v/>
      </c>
      <c r="EM104" s="451" t="str">
        <f t="shared" si="152"/>
        <v/>
      </c>
      <c r="EN104" s="452" t="str">
        <f t="shared" si="152"/>
        <v/>
      </c>
      <c r="EO104" s="452" t="str">
        <f t="shared" si="152"/>
        <v/>
      </c>
      <c r="EP104" s="452" t="str">
        <f t="shared" si="152"/>
        <v/>
      </c>
      <c r="EQ104" s="453" t="str">
        <f t="shared" si="152"/>
        <v/>
      </c>
      <c r="ER104" s="451" t="str">
        <f t="shared" si="152"/>
        <v/>
      </c>
      <c r="ES104" s="452" t="str">
        <f t="shared" si="152"/>
        <v/>
      </c>
      <c r="ET104" s="452" t="str">
        <f t="shared" si="152"/>
        <v/>
      </c>
      <c r="EU104" s="452" t="str">
        <f t="shared" si="152"/>
        <v/>
      </c>
      <c r="EV104" s="453" t="str">
        <f t="shared" si="152"/>
        <v/>
      </c>
      <c r="EW104" s="451" t="str">
        <f t="shared" si="152"/>
        <v/>
      </c>
      <c r="EX104" s="452" t="str">
        <f t="shared" si="152"/>
        <v/>
      </c>
      <c r="EY104" s="452" t="str">
        <f t="shared" si="152"/>
        <v/>
      </c>
      <c r="EZ104" s="452" t="str">
        <f t="shared" si="150"/>
        <v/>
      </c>
      <c r="FA104" s="453" t="str">
        <f t="shared" si="150"/>
        <v/>
      </c>
      <c r="FB104" s="451" t="str">
        <f t="shared" si="150"/>
        <v/>
      </c>
      <c r="FC104" s="452" t="str">
        <f t="shared" si="150"/>
        <v/>
      </c>
      <c r="FD104" s="452" t="str">
        <f t="shared" si="150"/>
        <v/>
      </c>
      <c r="FE104" s="452" t="str">
        <f t="shared" si="150"/>
        <v/>
      </c>
      <c r="FF104" s="453" t="str">
        <f t="shared" si="150"/>
        <v/>
      </c>
      <c r="FG104" s="451" t="str">
        <f t="shared" si="150"/>
        <v/>
      </c>
      <c r="FH104" s="452" t="str">
        <f t="shared" si="150"/>
        <v/>
      </c>
      <c r="FI104" s="452" t="str">
        <f t="shared" si="150"/>
        <v/>
      </c>
      <c r="FJ104" s="452" t="str">
        <f t="shared" si="150"/>
        <v/>
      </c>
      <c r="FK104" s="453" t="str">
        <f t="shared" si="150"/>
        <v/>
      </c>
      <c r="FL104" s="451" t="str">
        <f t="shared" si="150"/>
        <v/>
      </c>
      <c r="FM104" s="452" t="str">
        <f t="shared" si="150"/>
        <v/>
      </c>
      <c r="FN104" s="452" t="str">
        <f t="shared" si="150"/>
        <v/>
      </c>
      <c r="FO104" s="452" t="str">
        <f t="shared" si="150"/>
        <v/>
      </c>
      <c r="FP104" s="453" t="str">
        <f t="shared" si="137"/>
        <v/>
      </c>
      <c r="FQ104" s="451" t="str">
        <f t="shared" si="137"/>
        <v/>
      </c>
      <c r="FR104" s="452" t="str">
        <f t="shared" si="137"/>
        <v/>
      </c>
      <c r="FS104" s="452" t="str">
        <f t="shared" si="137"/>
        <v/>
      </c>
      <c r="FT104" s="452" t="str">
        <f t="shared" si="137"/>
        <v/>
      </c>
      <c r="FU104" s="453" t="str">
        <f t="shared" si="137"/>
        <v/>
      </c>
      <c r="FV104" s="451" t="str">
        <f t="shared" si="137"/>
        <v/>
      </c>
      <c r="FW104" s="452" t="str">
        <f t="shared" si="137"/>
        <v/>
      </c>
      <c r="FX104" s="452" t="str">
        <f t="shared" si="137"/>
        <v/>
      </c>
      <c r="FY104" s="452" t="str">
        <f t="shared" si="153"/>
        <v/>
      </c>
      <c r="FZ104" s="453" t="str">
        <f t="shared" si="153"/>
        <v/>
      </c>
      <c r="GA104" s="451" t="str">
        <f t="shared" si="153"/>
        <v/>
      </c>
      <c r="GB104" s="452" t="str">
        <f t="shared" si="153"/>
        <v/>
      </c>
      <c r="GC104" s="452" t="str">
        <f t="shared" si="153"/>
        <v/>
      </c>
      <c r="GD104" s="452" t="str">
        <f t="shared" si="153"/>
        <v/>
      </c>
      <c r="GE104" s="453" t="str">
        <f t="shared" si="153"/>
        <v/>
      </c>
      <c r="GF104" s="451" t="str">
        <f t="shared" si="153"/>
        <v/>
      </c>
      <c r="GG104" s="452" t="str">
        <f t="shared" si="153"/>
        <v/>
      </c>
      <c r="GH104" s="452" t="str">
        <f t="shared" si="153"/>
        <v/>
      </c>
      <c r="GI104" s="452" t="str">
        <f t="shared" si="153"/>
        <v/>
      </c>
      <c r="GJ104" s="453" t="str">
        <f t="shared" si="153"/>
        <v/>
      </c>
      <c r="GK104" s="451" t="str">
        <f t="shared" si="153"/>
        <v/>
      </c>
      <c r="GL104" s="452" t="str">
        <f t="shared" si="153"/>
        <v/>
      </c>
      <c r="GM104" s="452" t="str">
        <f t="shared" si="153"/>
        <v/>
      </c>
      <c r="GN104" s="452" t="str">
        <f t="shared" si="153"/>
        <v/>
      </c>
      <c r="GO104" s="453" t="str">
        <f t="shared" si="151"/>
        <v/>
      </c>
      <c r="GP104" s="451" t="str">
        <f t="shared" si="151"/>
        <v/>
      </c>
      <c r="GQ104" s="452" t="str">
        <f t="shared" si="151"/>
        <v/>
      </c>
      <c r="GR104" s="452" t="str">
        <f t="shared" si="151"/>
        <v/>
      </c>
      <c r="GS104" s="452" t="str">
        <f t="shared" si="151"/>
        <v/>
      </c>
      <c r="GT104" s="453" t="str">
        <f t="shared" si="151"/>
        <v/>
      </c>
      <c r="GU104" s="451" t="str">
        <f t="shared" si="151"/>
        <v/>
      </c>
      <c r="GV104" s="452" t="str">
        <f t="shared" si="151"/>
        <v/>
      </c>
      <c r="GW104" s="452" t="str">
        <f t="shared" si="151"/>
        <v/>
      </c>
      <c r="GX104" s="452" t="str">
        <f t="shared" si="151"/>
        <v/>
      </c>
      <c r="GY104" s="453" t="str">
        <f t="shared" si="151"/>
        <v/>
      </c>
      <c r="GZ104" s="451" t="str">
        <f t="shared" si="151"/>
        <v/>
      </c>
      <c r="HA104" s="452" t="str">
        <f t="shared" si="151"/>
        <v/>
      </c>
      <c r="HB104" s="452" t="str">
        <f t="shared" si="151"/>
        <v/>
      </c>
      <c r="HC104" s="452" t="str">
        <f t="shared" si="151"/>
        <v/>
      </c>
      <c r="HD104" s="453" t="str">
        <f t="shared" si="151"/>
        <v/>
      </c>
      <c r="HE104" s="451" t="str">
        <f t="shared" ref="HE104:HT119" si="157">IF(AND(HE$2&gt;=$J104,HE$2&lt;=$K104),1,"")</f>
        <v/>
      </c>
      <c r="HF104" s="452" t="str">
        <f t="shared" si="157"/>
        <v/>
      </c>
      <c r="HG104" s="452" t="str">
        <f t="shared" si="157"/>
        <v/>
      </c>
      <c r="HH104" s="452" t="str">
        <f t="shared" si="157"/>
        <v/>
      </c>
      <c r="HI104" s="453" t="str">
        <f t="shared" si="157"/>
        <v/>
      </c>
      <c r="HJ104" s="451" t="str">
        <f t="shared" si="157"/>
        <v/>
      </c>
      <c r="HK104" s="452" t="str">
        <f t="shared" si="157"/>
        <v/>
      </c>
      <c r="HL104" s="452" t="str">
        <f t="shared" si="157"/>
        <v/>
      </c>
      <c r="HM104" s="452" t="str">
        <f t="shared" si="157"/>
        <v/>
      </c>
      <c r="HN104" s="453" t="str">
        <f t="shared" si="157"/>
        <v/>
      </c>
      <c r="HO104" s="451" t="str">
        <f t="shared" si="157"/>
        <v/>
      </c>
      <c r="HP104" s="452" t="str">
        <f t="shared" si="157"/>
        <v/>
      </c>
      <c r="HQ104" s="452" t="str">
        <f t="shared" si="157"/>
        <v/>
      </c>
      <c r="HR104" s="452" t="str">
        <f t="shared" si="157"/>
        <v/>
      </c>
      <c r="HS104" s="453" t="str">
        <f t="shared" si="157"/>
        <v/>
      </c>
      <c r="HT104" s="451" t="str">
        <f t="shared" si="157"/>
        <v/>
      </c>
      <c r="HU104" s="452" t="str">
        <f t="shared" si="144"/>
        <v/>
      </c>
      <c r="HV104" s="452" t="str">
        <f t="shared" si="144"/>
        <v/>
      </c>
      <c r="HW104" s="452" t="str">
        <f t="shared" si="144"/>
        <v/>
      </c>
      <c r="HX104" s="453" t="str">
        <f t="shared" si="144"/>
        <v/>
      </c>
      <c r="HY104" s="451" t="str">
        <f t="shared" si="143"/>
        <v/>
      </c>
      <c r="HZ104" s="452" t="str">
        <f t="shared" si="143"/>
        <v/>
      </c>
      <c r="IA104" s="452" t="str">
        <f t="shared" si="143"/>
        <v/>
      </c>
      <c r="IB104" s="452" t="str">
        <f t="shared" si="143"/>
        <v/>
      </c>
      <c r="IC104" s="453" t="str">
        <f t="shared" si="143"/>
        <v/>
      </c>
      <c r="ID104" s="451" t="str">
        <f t="shared" si="143"/>
        <v/>
      </c>
      <c r="IE104" s="452" t="str">
        <f t="shared" si="143"/>
        <v/>
      </c>
      <c r="IF104" s="452" t="str">
        <f t="shared" si="143"/>
        <v/>
      </c>
      <c r="IG104" s="452" t="str">
        <f t="shared" si="143"/>
        <v/>
      </c>
      <c r="IH104" s="453" t="str">
        <f t="shared" si="143"/>
        <v/>
      </c>
      <c r="II104" s="451" t="str">
        <f t="shared" si="143"/>
        <v/>
      </c>
      <c r="IJ104" s="452" t="str">
        <f t="shared" si="143"/>
        <v/>
      </c>
      <c r="IK104" s="452" t="str">
        <f t="shared" si="143"/>
        <v/>
      </c>
      <c r="IL104" s="452" t="str">
        <f t="shared" si="143"/>
        <v/>
      </c>
      <c r="IM104" s="453" t="str">
        <f t="shared" si="147"/>
        <v/>
      </c>
      <c r="IN104" s="451" t="str">
        <f t="shared" si="147"/>
        <v/>
      </c>
      <c r="IO104" s="452" t="str">
        <f t="shared" si="147"/>
        <v/>
      </c>
      <c r="IP104" s="452" t="str">
        <f t="shared" si="147"/>
        <v/>
      </c>
      <c r="IQ104" s="452" t="str">
        <f t="shared" si="147"/>
        <v/>
      </c>
      <c r="IR104" s="453" t="str">
        <f t="shared" si="147"/>
        <v/>
      </c>
    </row>
    <row r="105" spans="1:252" x14ac:dyDescent="0.2">
      <c r="A105" s="461">
        <v>10.199999999999999</v>
      </c>
      <c r="C105" s="447" t="s">
        <v>1352</v>
      </c>
      <c r="D105" s="447"/>
      <c r="E105" s="448"/>
      <c r="F105" s="448"/>
      <c r="G105" s="448"/>
      <c r="H105" s="448"/>
      <c r="I105" s="448"/>
      <c r="J105" s="449" t="str">
        <f t="shared" si="155"/>
        <v/>
      </c>
      <c r="K105" s="449" t="str">
        <f t="shared" si="156"/>
        <v/>
      </c>
      <c r="L105" s="450">
        <f t="shared" si="101"/>
        <v>0</v>
      </c>
      <c r="M105" s="451" t="str">
        <f t="shared" si="138"/>
        <v/>
      </c>
      <c r="N105" s="452" t="str">
        <f t="shared" si="138"/>
        <v/>
      </c>
      <c r="O105" s="452" t="str">
        <f t="shared" si="138"/>
        <v/>
      </c>
      <c r="P105" s="452" t="str">
        <f t="shared" si="138"/>
        <v/>
      </c>
      <c r="Q105" s="453" t="str">
        <f t="shared" si="138"/>
        <v/>
      </c>
      <c r="R105" s="451" t="str">
        <f t="shared" si="138"/>
        <v/>
      </c>
      <c r="S105" s="452" t="str">
        <f t="shared" si="138"/>
        <v/>
      </c>
      <c r="T105" s="452" t="str">
        <f t="shared" si="138"/>
        <v/>
      </c>
      <c r="U105" s="452" t="str">
        <f t="shared" si="138"/>
        <v/>
      </c>
      <c r="V105" s="453" t="str">
        <f t="shared" si="138"/>
        <v/>
      </c>
      <c r="W105" s="451" t="str">
        <f t="shared" si="138"/>
        <v/>
      </c>
      <c r="X105" s="452" t="str">
        <f t="shared" si="138"/>
        <v/>
      </c>
      <c r="Y105" s="452" t="str">
        <f t="shared" si="138"/>
        <v/>
      </c>
      <c r="Z105" s="452" t="str">
        <f t="shared" si="138"/>
        <v/>
      </c>
      <c r="AA105" s="453" t="str">
        <f t="shared" si="138"/>
        <v/>
      </c>
      <c r="AB105" s="451" t="str">
        <f t="shared" si="138"/>
        <v/>
      </c>
      <c r="AC105" s="452" t="str">
        <f t="shared" si="148"/>
        <v/>
      </c>
      <c r="AD105" s="452" t="str">
        <f t="shared" si="148"/>
        <v/>
      </c>
      <c r="AE105" s="452" t="str">
        <f t="shared" si="148"/>
        <v/>
      </c>
      <c r="AF105" s="453" t="str">
        <f t="shared" si="148"/>
        <v/>
      </c>
      <c r="AG105" s="451" t="str">
        <f t="shared" si="148"/>
        <v/>
      </c>
      <c r="AH105" s="452" t="str">
        <f t="shared" si="148"/>
        <v/>
      </c>
      <c r="AI105" s="452" t="str">
        <f t="shared" si="148"/>
        <v/>
      </c>
      <c r="AJ105" s="452" t="str">
        <f t="shared" si="148"/>
        <v/>
      </c>
      <c r="AK105" s="453" t="str">
        <f t="shared" si="148"/>
        <v/>
      </c>
      <c r="AL105" s="451" t="str">
        <f t="shared" si="148"/>
        <v/>
      </c>
      <c r="AM105" s="452" t="str">
        <f t="shared" si="148"/>
        <v/>
      </c>
      <c r="AN105" s="452" t="str">
        <f t="shared" si="148"/>
        <v/>
      </c>
      <c r="AO105" s="452" t="str">
        <f t="shared" si="148"/>
        <v/>
      </c>
      <c r="AP105" s="453" t="str">
        <f t="shared" si="148"/>
        <v/>
      </c>
      <c r="AQ105" s="451" t="str">
        <f t="shared" si="148"/>
        <v/>
      </c>
      <c r="AR105" s="452" t="str">
        <f t="shared" si="148"/>
        <v/>
      </c>
      <c r="AS105" s="452" t="str">
        <f t="shared" si="145"/>
        <v/>
      </c>
      <c r="AT105" s="452" t="str">
        <f t="shared" si="145"/>
        <v/>
      </c>
      <c r="AU105" s="453" t="str">
        <f t="shared" si="145"/>
        <v/>
      </c>
      <c r="AV105" s="451" t="str">
        <f t="shared" si="145"/>
        <v/>
      </c>
      <c r="AW105" s="452" t="str">
        <f t="shared" si="145"/>
        <v/>
      </c>
      <c r="AX105" s="452" t="str">
        <f t="shared" si="145"/>
        <v/>
      </c>
      <c r="AY105" s="452" t="str">
        <f t="shared" si="145"/>
        <v/>
      </c>
      <c r="AZ105" s="453" t="str">
        <f t="shared" si="145"/>
        <v/>
      </c>
      <c r="BA105" s="451" t="str">
        <f t="shared" si="145"/>
        <v/>
      </c>
      <c r="BB105" s="452" t="str">
        <f t="shared" si="145"/>
        <v/>
      </c>
      <c r="BC105" s="452" t="str">
        <f t="shared" si="145"/>
        <v/>
      </c>
      <c r="BD105" s="452" t="str">
        <f t="shared" si="145"/>
        <v/>
      </c>
      <c r="BE105" s="453" t="str">
        <f t="shared" si="145"/>
        <v/>
      </c>
      <c r="BF105" s="451" t="str">
        <f t="shared" si="145"/>
        <v/>
      </c>
      <c r="BG105" s="452" t="str">
        <f t="shared" si="145"/>
        <v/>
      </c>
      <c r="BH105" s="452" t="str">
        <f t="shared" si="154"/>
        <v/>
      </c>
      <c r="BI105" s="452" t="str">
        <f t="shared" si="154"/>
        <v/>
      </c>
      <c r="BJ105" s="453" t="str">
        <f t="shared" si="154"/>
        <v/>
      </c>
      <c r="BK105" s="451" t="str">
        <f t="shared" si="154"/>
        <v/>
      </c>
      <c r="BL105" s="452" t="str">
        <f t="shared" si="154"/>
        <v/>
      </c>
      <c r="BM105" s="452" t="str">
        <f t="shared" si="154"/>
        <v/>
      </c>
      <c r="BN105" s="452" t="str">
        <f t="shared" si="154"/>
        <v/>
      </c>
      <c r="BO105" s="453" t="str">
        <f t="shared" si="154"/>
        <v/>
      </c>
      <c r="BP105" s="451" t="str">
        <f t="shared" si="154"/>
        <v/>
      </c>
      <c r="BQ105" s="452" t="str">
        <f t="shared" si="154"/>
        <v/>
      </c>
      <c r="BR105" s="452" t="str">
        <f t="shared" si="154"/>
        <v/>
      </c>
      <c r="BS105" s="452" t="str">
        <f t="shared" si="154"/>
        <v/>
      </c>
      <c r="BT105" s="453" t="str">
        <f t="shared" si="154"/>
        <v/>
      </c>
      <c r="BU105" s="451" t="str">
        <f t="shared" si="154"/>
        <v/>
      </c>
      <c r="BV105" s="452" t="str">
        <f t="shared" si="154"/>
        <v/>
      </c>
      <c r="BW105" s="452" t="str">
        <f t="shared" si="154"/>
        <v/>
      </c>
      <c r="BX105" s="452" t="str">
        <f t="shared" si="146"/>
        <v/>
      </c>
      <c r="BY105" s="453" t="str">
        <f t="shared" si="146"/>
        <v/>
      </c>
      <c r="BZ105" s="451" t="str">
        <f t="shared" si="146"/>
        <v/>
      </c>
      <c r="CA105" s="452" t="str">
        <f t="shared" si="146"/>
        <v/>
      </c>
      <c r="CB105" s="452" t="str">
        <f t="shared" si="146"/>
        <v/>
      </c>
      <c r="CC105" s="452" t="str">
        <f t="shared" si="146"/>
        <v/>
      </c>
      <c r="CD105" s="453" t="str">
        <f t="shared" si="146"/>
        <v/>
      </c>
      <c r="CE105" s="451" t="str">
        <f t="shared" si="146"/>
        <v/>
      </c>
      <c r="CF105" s="452" t="str">
        <f t="shared" si="146"/>
        <v/>
      </c>
      <c r="CG105" s="452" t="str">
        <f t="shared" si="146"/>
        <v/>
      </c>
      <c r="CH105" s="452" t="str">
        <f t="shared" si="146"/>
        <v/>
      </c>
      <c r="CI105" s="453" t="str">
        <f t="shared" si="146"/>
        <v/>
      </c>
      <c r="CJ105" s="451" t="str">
        <f t="shared" si="146"/>
        <v/>
      </c>
      <c r="CK105" s="452" t="str">
        <f t="shared" si="146"/>
        <v/>
      </c>
      <c r="CL105" s="452" t="str">
        <f t="shared" si="146"/>
        <v/>
      </c>
      <c r="CM105" s="452" t="str">
        <f t="shared" si="146"/>
        <v/>
      </c>
      <c r="CN105" s="453" t="str">
        <f t="shared" ref="CN105:DX112" si="158">IF(AND(CN$2&gt;=$J105,CN$2&lt;=$K105),1,"")</f>
        <v/>
      </c>
      <c r="CO105" s="451" t="str">
        <f t="shared" si="158"/>
        <v/>
      </c>
      <c r="CP105" s="452" t="str">
        <f t="shared" si="158"/>
        <v/>
      </c>
      <c r="CQ105" s="452" t="str">
        <f t="shared" si="158"/>
        <v/>
      </c>
      <c r="CR105" s="452" t="str">
        <f t="shared" si="158"/>
        <v/>
      </c>
      <c r="CS105" s="453" t="str">
        <f t="shared" si="158"/>
        <v/>
      </c>
      <c r="CT105" s="451" t="str">
        <f t="shared" si="158"/>
        <v/>
      </c>
      <c r="CU105" s="452" t="str">
        <f t="shared" si="158"/>
        <v/>
      </c>
      <c r="CV105" s="452" t="str">
        <f t="shared" si="158"/>
        <v/>
      </c>
      <c r="CW105" s="452" t="str">
        <f t="shared" si="158"/>
        <v/>
      </c>
      <c r="CX105" s="453" t="str">
        <f t="shared" si="158"/>
        <v/>
      </c>
      <c r="CY105" s="451" t="str">
        <f t="shared" si="158"/>
        <v/>
      </c>
      <c r="CZ105" s="452" t="str">
        <f t="shared" si="158"/>
        <v/>
      </c>
      <c r="DA105" s="452" t="str">
        <f t="shared" si="158"/>
        <v/>
      </c>
      <c r="DB105" s="452" t="str">
        <f t="shared" si="158"/>
        <v/>
      </c>
      <c r="DC105" s="453" t="str">
        <f t="shared" si="158"/>
        <v/>
      </c>
      <c r="DD105" s="451" t="str">
        <f t="shared" si="158"/>
        <v/>
      </c>
      <c r="DE105" s="452" t="str">
        <f t="shared" si="134"/>
        <v/>
      </c>
      <c r="DF105" s="452" t="str">
        <f t="shared" si="134"/>
        <v/>
      </c>
      <c r="DG105" s="452" t="str">
        <f t="shared" si="134"/>
        <v/>
      </c>
      <c r="DH105" s="453" t="str">
        <f t="shared" si="134"/>
        <v/>
      </c>
      <c r="DI105" s="451" t="str">
        <f t="shared" si="134"/>
        <v/>
      </c>
      <c r="DJ105" s="452" t="str">
        <f t="shared" si="134"/>
        <v/>
      </c>
      <c r="DK105" s="452" t="str">
        <f t="shared" si="134"/>
        <v/>
      </c>
      <c r="DL105" s="452" t="str">
        <f t="shared" si="134"/>
        <v/>
      </c>
      <c r="DM105" s="453" t="str">
        <f t="shared" si="134"/>
        <v/>
      </c>
      <c r="DN105" s="451" t="str">
        <f t="shared" si="134"/>
        <v/>
      </c>
      <c r="DO105" s="452" t="str">
        <f t="shared" si="134"/>
        <v/>
      </c>
      <c r="DP105" s="452" t="str">
        <f t="shared" si="134"/>
        <v/>
      </c>
      <c r="DQ105" s="452" t="str">
        <f t="shared" si="134"/>
        <v/>
      </c>
      <c r="DR105" s="453" t="str">
        <f t="shared" si="134"/>
        <v/>
      </c>
      <c r="DS105" s="451" t="str">
        <f t="shared" si="134"/>
        <v/>
      </c>
      <c r="DT105" s="452" t="str">
        <f t="shared" si="134"/>
        <v/>
      </c>
      <c r="DU105" s="452" t="str">
        <f t="shared" si="149"/>
        <v/>
      </c>
      <c r="DV105" s="452" t="str">
        <f t="shared" si="149"/>
        <v/>
      </c>
      <c r="DW105" s="453" t="str">
        <f t="shared" si="149"/>
        <v/>
      </c>
      <c r="DX105" s="451" t="str">
        <f t="shared" si="149"/>
        <v/>
      </c>
      <c r="DY105" s="452" t="str">
        <f t="shared" si="149"/>
        <v/>
      </c>
      <c r="DZ105" s="452" t="str">
        <f t="shared" si="149"/>
        <v/>
      </c>
      <c r="EA105" s="452" t="str">
        <f t="shared" si="149"/>
        <v/>
      </c>
      <c r="EB105" s="453" t="str">
        <f t="shared" si="149"/>
        <v/>
      </c>
      <c r="EC105" s="451" t="str">
        <f t="shared" si="149"/>
        <v/>
      </c>
      <c r="ED105" s="452" t="str">
        <f t="shared" si="149"/>
        <v/>
      </c>
      <c r="EE105" s="452" t="str">
        <f t="shared" si="149"/>
        <v/>
      </c>
      <c r="EF105" s="452" t="str">
        <f t="shared" si="149"/>
        <v/>
      </c>
      <c r="EG105" s="453" t="str">
        <f t="shared" si="149"/>
        <v/>
      </c>
      <c r="EH105" s="451" t="str">
        <f t="shared" si="149"/>
        <v/>
      </c>
      <c r="EI105" s="452" t="str">
        <f t="shared" si="149"/>
        <v/>
      </c>
      <c r="EJ105" s="452" t="str">
        <f t="shared" si="149"/>
        <v/>
      </c>
      <c r="EK105" s="452" t="str">
        <f t="shared" si="152"/>
        <v/>
      </c>
      <c r="EL105" s="453" t="str">
        <f t="shared" si="152"/>
        <v/>
      </c>
      <c r="EM105" s="451" t="str">
        <f t="shared" si="152"/>
        <v/>
      </c>
      <c r="EN105" s="452" t="str">
        <f t="shared" si="152"/>
        <v/>
      </c>
      <c r="EO105" s="452" t="str">
        <f t="shared" si="152"/>
        <v/>
      </c>
      <c r="EP105" s="452" t="str">
        <f t="shared" si="152"/>
        <v/>
      </c>
      <c r="EQ105" s="453" t="str">
        <f t="shared" si="152"/>
        <v/>
      </c>
      <c r="ER105" s="451" t="str">
        <f t="shared" si="152"/>
        <v/>
      </c>
      <c r="ES105" s="452" t="str">
        <f t="shared" si="152"/>
        <v/>
      </c>
      <c r="ET105" s="452" t="str">
        <f t="shared" si="152"/>
        <v/>
      </c>
      <c r="EU105" s="452" t="str">
        <f t="shared" si="152"/>
        <v/>
      </c>
      <c r="EV105" s="453" t="str">
        <f t="shared" si="152"/>
        <v/>
      </c>
      <c r="EW105" s="451" t="str">
        <f t="shared" si="152"/>
        <v/>
      </c>
      <c r="EX105" s="452" t="str">
        <f t="shared" si="152"/>
        <v/>
      </c>
      <c r="EY105" s="452" t="str">
        <f t="shared" si="152"/>
        <v/>
      </c>
      <c r="EZ105" s="452" t="str">
        <f t="shared" si="150"/>
        <v/>
      </c>
      <c r="FA105" s="453" t="str">
        <f t="shared" si="150"/>
        <v/>
      </c>
      <c r="FB105" s="451" t="str">
        <f t="shared" si="150"/>
        <v/>
      </c>
      <c r="FC105" s="452" t="str">
        <f t="shared" si="150"/>
        <v/>
      </c>
      <c r="FD105" s="452" t="str">
        <f t="shared" si="150"/>
        <v/>
      </c>
      <c r="FE105" s="452" t="str">
        <f t="shared" si="150"/>
        <v/>
      </c>
      <c r="FF105" s="453" t="str">
        <f t="shared" si="150"/>
        <v/>
      </c>
      <c r="FG105" s="451" t="str">
        <f t="shared" si="150"/>
        <v/>
      </c>
      <c r="FH105" s="452" t="str">
        <f t="shared" si="150"/>
        <v/>
      </c>
      <c r="FI105" s="452" t="str">
        <f t="shared" si="150"/>
        <v/>
      </c>
      <c r="FJ105" s="452" t="str">
        <f t="shared" si="150"/>
        <v/>
      </c>
      <c r="FK105" s="453" t="str">
        <f t="shared" si="150"/>
        <v/>
      </c>
      <c r="FL105" s="451" t="str">
        <f t="shared" si="150"/>
        <v/>
      </c>
      <c r="FM105" s="452" t="str">
        <f t="shared" si="150"/>
        <v/>
      </c>
      <c r="FN105" s="452" t="str">
        <f t="shared" si="150"/>
        <v/>
      </c>
      <c r="FO105" s="452" t="str">
        <f t="shared" si="150"/>
        <v/>
      </c>
      <c r="FP105" s="453" t="str">
        <f t="shared" si="137"/>
        <v/>
      </c>
      <c r="FQ105" s="451" t="str">
        <f t="shared" si="137"/>
        <v/>
      </c>
      <c r="FR105" s="452" t="str">
        <f t="shared" si="137"/>
        <v/>
      </c>
      <c r="FS105" s="452" t="str">
        <f t="shared" si="137"/>
        <v/>
      </c>
      <c r="FT105" s="452" t="str">
        <f t="shared" si="137"/>
        <v/>
      </c>
      <c r="FU105" s="453" t="str">
        <f t="shared" si="137"/>
        <v/>
      </c>
      <c r="FV105" s="451" t="str">
        <f t="shared" si="137"/>
        <v/>
      </c>
      <c r="FW105" s="452" t="str">
        <f t="shared" si="137"/>
        <v/>
      </c>
      <c r="FX105" s="452" t="str">
        <f t="shared" si="137"/>
        <v/>
      </c>
      <c r="FY105" s="452" t="str">
        <f t="shared" si="153"/>
        <v/>
      </c>
      <c r="FZ105" s="453" t="str">
        <f t="shared" si="153"/>
        <v/>
      </c>
      <c r="GA105" s="451" t="str">
        <f t="shared" si="153"/>
        <v/>
      </c>
      <c r="GB105" s="452" t="str">
        <f t="shared" si="153"/>
        <v/>
      </c>
      <c r="GC105" s="452" t="str">
        <f t="shared" si="153"/>
        <v/>
      </c>
      <c r="GD105" s="452" t="str">
        <f t="shared" si="153"/>
        <v/>
      </c>
      <c r="GE105" s="453" t="str">
        <f t="shared" si="153"/>
        <v/>
      </c>
      <c r="GF105" s="451" t="str">
        <f t="shared" si="153"/>
        <v/>
      </c>
      <c r="GG105" s="452" t="str">
        <f t="shared" si="153"/>
        <v/>
      </c>
      <c r="GH105" s="452" t="str">
        <f t="shared" si="153"/>
        <v/>
      </c>
      <c r="GI105" s="452" t="str">
        <f t="shared" si="153"/>
        <v/>
      </c>
      <c r="GJ105" s="453" t="str">
        <f t="shared" si="153"/>
        <v/>
      </c>
      <c r="GK105" s="451" t="str">
        <f t="shared" si="153"/>
        <v/>
      </c>
      <c r="GL105" s="452" t="str">
        <f t="shared" si="153"/>
        <v/>
      </c>
      <c r="GM105" s="452" t="str">
        <f t="shared" si="153"/>
        <v/>
      </c>
      <c r="GN105" s="452" t="str">
        <f t="shared" si="153"/>
        <v/>
      </c>
      <c r="GO105" s="453" t="str">
        <f t="shared" si="151"/>
        <v/>
      </c>
      <c r="GP105" s="451" t="str">
        <f t="shared" si="151"/>
        <v/>
      </c>
      <c r="GQ105" s="452" t="str">
        <f t="shared" si="151"/>
        <v/>
      </c>
      <c r="GR105" s="452" t="str">
        <f t="shared" si="151"/>
        <v/>
      </c>
      <c r="GS105" s="452" t="str">
        <f t="shared" si="151"/>
        <v/>
      </c>
      <c r="GT105" s="453" t="str">
        <f t="shared" si="151"/>
        <v/>
      </c>
      <c r="GU105" s="451" t="str">
        <f t="shared" si="151"/>
        <v/>
      </c>
      <c r="GV105" s="452" t="str">
        <f t="shared" si="151"/>
        <v/>
      </c>
      <c r="GW105" s="452" t="str">
        <f t="shared" si="151"/>
        <v/>
      </c>
      <c r="GX105" s="452" t="str">
        <f t="shared" si="151"/>
        <v/>
      </c>
      <c r="GY105" s="453" t="str">
        <f t="shared" si="151"/>
        <v/>
      </c>
      <c r="GZ105" s="451" t="str">
        <f t="shared" si="151"/>
        <v/>
      </c>
      <c r="HA105" s="452" t="str">
        <f t="shared" si="151"/>
        <v/>
      </c>
      <c r="HB105" s="452" t="str">
        <f t="shared" si="151"/>
        <v/>
      </c>
      <c r="HC105" s="452" t="str">
        <f t="shared" si="151"/>
        <v/>
      </c>
      <c r="HD105" s="453" t="str">
        <f t="shared" si="151"/>
        <v/>
      </c>
      <c r="HE105" s="451" t="str">
        <f t="shared" si="157"/>
        <v/>
      </c>
      <c r="HF105" s="452" t="str">
        <f t="shared" si="157"/>
        <v/>
      </c>
      <c r="HG105" s="452" t="str">
        <f t="shared" si="157"/>
        <v/>
      </c>
      <c r="HH105" s="452" t="str">
        <f t="shared" si="157"/>
        <v/>
      </c>
      <c r="HI105" s="453" t="str">
        <f t="shared" si="157"/>
        <v/>
      </c>
      <c r="HJ105" s="451" t="str">
        <f t="shared" si="157"/>
        <v/>
      </c>
      <c r="HK105" s="452" t="str">
        <f t="shared" si="157"/>
        <v/>
      </c>
      <c r="HL105" s="452" t="str">
        <f t="shared" si="157"/>
        <v/>
      </c>
      <c r="HM105" s="452" t="str">
        <f t="shared" si="157"/>
        <v/>
      </c>
      <c r="HN105" s="453" t="str">
        <f t="shared" si="157"/>
        <v/>
      </c>
      <c r="HO105" s="451" t="str">
        <f t="shared" si="157"/>
        <v/>
      </c>
      <c r="HP105" s="452" t="str">
        <f t="shared" si="157"/>
        <v/>
      </c>
      <c r="HQ105" s="452" t="str">
        <f t="shared" si="157"/>
        <v/>
      </c>
      <c r="HR105" s="452" t="str">
        <f t="shared" si="157"/>
        <v/>
      </c>
      <c r="HS105" s="453" t="str">
        <f t="shared" si="157"/>
        <v/>
      </c>
      <c r="HT105" s="451" t="str">
        <f t="shared" si="157"/>
        <v/>
      </c>
      <c r="HU105" s="452" t="str">
        <f t="shared" si="144"/>
        <v/>
      </c>
      <c r="HV105" s="452" t="str">
        <f t="shared" si="144"/>
        <v/>
      </c>
      <c r="HW105" s="452" t="str">
        <f t="shared" si="144"/>
        <v/>
      </c>
      <c r="HX105" s="453" t="str">
        <f t="shared" si="144"/>
        <v/>
      </c>
      <c r="HY105" s="451" t="str">
        <f t="shared" si="144"/>
        <v/>
      </c>
      <c r="HZ105" s="452" t="str">
        <f t="shared" si="143"/>
        <v/>
      </c>
      <c r="IA105" s="452" t="str">
        <f t="shared" si="143"/>
        <v/>
      </c>
      <c r="IB105" s="452" t="str">
        <f t="shared" si="143"/>
        <v/>
      </c>
      <c r="IC105" s="453" t="str">
        <f t="shared" si="143"/>
        <v/>
      </c>
      <c r="ID105" s="451" t="str">
        <f t="shared" si="143"/>
        <v/>
      </c>
      <c r="IE105" s="452" t="str">
        <f t="shared" si="143"/>
        <v/>
      </c>
      <c r="IF105" s="452" t="str">
        <f t="shared" si="143"/>
        <v/>
      </c>
      <c r="IG105" s="452" t="str">
        <f t="shared" si="143"/>
        <v/>
      </c>
      <c r="IH105" s="453" t="str">
        <f t="shared" si="143"/>
        <v/>
      </c>
      <c r="II105" s="451" t="str">
        <f t="shared" si="143"/>
        <v/>
      </c>
      <c r="IJ105" s="452" t="str">
        <f t="shared" si="143"/>
        <v/>
      </c>
      <c r="IK105" s="452" t="str">
        <f t="shared" si="143"/>
        <v/>
      </c>
      <c r="IL105" s="452" t="str">
        <f t="shared" si="143"/>
        <v/>
      </c>
      <c r="IM105" s="453" t="str">
        <f t="shared" si="147"/>
        <v/>
      </c>
      <c r="IN105" s="451" t="str">
        <f t="shared" si="147"/>
        <v/>
      </c>
      <c r="IO105" s="452" t="str">
        <f t="shared" si="147"/>
        <v/>
      </c>
      <c r="IP105" s="452" t="str">
        <f t="shared" si="147"/>
        <v/>
      </c>
      <c r="IQ105" s="452" t="str">
        <f t="shared" si="147"/>
        <v/>
      </c>
      <c r="IR105" s="453" t="str">
        <f t="shared" si="147"/>
        <v/>
      </c>
    </row>
    <row r="106" spans="1:252" x14ac:dyDescent="0.2">
      <c r="A106" s="461">
        <v>10.3</v>
      </c>
      <c r="C106" s="447" t="s">
        <v>1353</v>
      </c>
      <c r="D106" s="447"/>
      <c r="E106" s="448"/>
      <c r="F106" s="448"/>
      <c r="G106" s="448"/>
      <c r="H106" s="448"/>
      <c r="I106" s="448"/>
      <c r="J106" s="449" t="str">
        <f t="shared" si="155"/>
        <v/>
      </c>
      <c r="K106" s="449" t="str">
        <f t="shared" si="156"/>
        <v/>
      </c>
      <c r="L106" s="450">
        <f t="shared" si="101"/>
        <v>0</v>
      </c>
      <c r="M106" s="451" t="str">
        <f t="shared" si="138"/>
        <v/>
      </c>
      <c r="N106" s="452" t="str">
        <f t="shared" si="138"/>
        <v/>
      </c>
      <c r="O106" s="452" t="str">
        <f t="shared" si="138"/>
        <v/>
      </c>
      <c r="P106" s="452" t="str">
        <f t="shared" si="138"/>
        <v/>
      </c>
      <c r="Q106" s="453" t="str">
        <f t="shared" si="138"/>
        <v/>
      </c>
      <c r="R106" s="451" t="str">
        <f t="shared" si="138"/>
        <v/>
      </c>
      <c r="S106" s="452" t="str">
        <f t="shared" si="138"/>
        <v/>
      </c>
      <c r="T106" s="452" t="str">
        <f t="shared" si="138"/>
        <v/>
      </c>
      <c r="U106" s="452" t="str">
        <f t="shared" si="138"/>
        <v/>
      </c>
      <c r="V106" s="453" t="str">
        <f t="shared" si="138"/>
        <v/>
      </c>
      <c r="W106" s="451" t="str">
        <f t="shared" si="138"/>
        <v/>
      </c>
      <c r="X106" s="452" t="str">
        <f t="shared" si="138"/>
        <v/>
      </c>
      <c r="Y106" s="452" t="str">
        <f t="shared" si="138"/>
        <v/>
      </c>
      <c r="Z106" s="452" t="str">
        <f t="shared" si="138"/>
        <v/>
      </c>
      <c r="AA106" s="453" t="str">
        <f t="shared" si="138"/>
        <v/>
      </c>
      <c r="AB106" s="451" t="str">
        <f t="shared" si="138"/>
        <v/>
      </c>
      <c r="AC106" s="452" t="str">
        <f t="shared" si="148"/>
        <v/>
      </c>
      <c r="AD106" s="452" t="str">
        <f t="shared" si="148"/>
        <v/>
      </c>
      <c r="AE106" s="452" t="str">
        <f t="shared" si="148"/>
        <v/>
      </c>
      <c r="AF106" s="453" t="str">
        <f t="shared" si="148"/>
        <v/>
      </c>
      <c r="AG106" s="451" t="str">
        <f t="shared" si="148"/>
        <v/>
      </c>
      <c r="AH106" s="452" t="str">
        <f t="shared" si="148"/>
        <v/>
      </c>
      <c r="AI106" s="452" t="str">
        <f t="shared" si="148"/>
        <v/>
      </c>
      <c r="AJ106" s="452" t="str">
        <f t="shared" si="148"/>
        <v/>
      </c>
      <c r="AK106" s="453" t="str">
        <f t="shared" si="148"/>
        <v/>
      </c>
      <c r="AL106" s="451" t="str">
        <f t="shared" si="148"/>
        <v/>
      </c>
      <c r="AM106" s="452" t="str">
        <f t="shared" si="148"/>
        <v/>
      </c>
      <c r="AN106" s="452" t="str">
        <f t="shared" si="148"/>
        <v/>
      </c>
      <c r="AO106" s="452" t="str">
        <f t="shared" si="148"/>
        <v/>
      </c>
      <c r="AP106" s="453" t="str">
        <f t="shared" si="148"/>
        <v/>
      </c>
      <c r="AQ106" s="451" t="str">
        <f t="shared" si="148"/>
        <v/>
      </c>
      <c r="AR106" s="452" t="str">
        <f t="shared" si="148"/>
        <v/>
      </c>
      <c r="AS106" s="452" t="str">
        <f t="shared" si="145"/>
        <v/>
      </c>
      <c r="AT106" s="452" t="str">
        <f t="shared" si="145"/>
        <v/>
      </c>
      <c r="AU106" s="453" t="str">
        <f t="shared" si="145"/>
        <v/>
      </c>
      <c r="AV106" s="451" t="str">
        <f t="shared" si="145"/>
        <v/>
      </c>
      <c r="AW106" s="452" t="str">
        <f t="shared" si="145"/>
        <v/>
      </c>
      <c r="AX106" s="452" t="str">
        <f t="shared" si="145"/>
        <v/>
      </c>
      <c r="AY106" s="452" t="str">
        <f t="shared" si="145"/>
        <v/>
      </c>
      <c r="AZ106" s="453" t="str">
        <f t="shared" si="145"/>
        <v/>
      </c>
      <c r="BA106" s="451" t="str">
        <f t="shared" si="145"/>
        <v/>
      </c>
      <c r="BB106" s="452" t="str">
        <f t="shared" si="145"/>
        <v/>
      </c>
      <c r="BC106" s="452" t="str">
        <f t="shared" si="145"/>
        <v/>
      </c>
      <c r="BD106" s="452" t="str">
        <f t="shared" si="145"/>
        <v/>
      </c>
      <c r="BE106" s="453" t="str">
        <f t="shared" si="145"/>
        <v/>
      </c>
      <c r="BF106" s="451" t="str">
        <f t="shared" si="145"/>
        <v/>
      </c>
      <c r="BG106" s="452" t="str">
        <f t="shared" si="145"/>
        <v/>
      </c>
      <c r="BH106" s="452" t="str">
        <f t="shared" si="154"/>
        <v/>
      </c>
      <c r="BI106" s="452" t="str">
        <f t="shared" si="154"/>
        <v/>
      </c>
      <c r="BJ106" s="453" t="str">
        <f t="shared" si="154"/>
        <v/>
      </c>
      <c r="BK106" s="451" t="str">
        <f t="shared" si="154"/>
        <v/>
      </c>
      <c r="BL106" s="452" t="str">
        <f t="shared" si="154"/>
        <v/>
      </c>
      <c r="BM106" s="452" t="str">
        <f t="shared" si="154"/>
        <v/>
      </c>
      <c r="BN106" s="452" t="str">
        <f t="shared" si="154"/>
        <v/>
      </c>
      <c r="BO106" s="453" t="str">
        <f t="shared" si="154"/>
        <v/>
      </c>
      <c r="BP106" s="451" t="str">
        <f t="shared" si="154"/>
        <v/>
      </c>
      <c r="BQ106" s="452" t="str">
        <f t="shared" si="154"/>
        <v/>
      </c>
      <c r="BR106" s="452" t="str">
        <f t="shared" si="154"/>
        <v/>
      </c>
      <c r="BS106" s="452" t="str">
        <f t="shared" si="154"/>
        <v/>
      </c>
      <c r="BT106" s="453" t="str">
        <f t="shared" si="154"/>
        <v/>
      </c>
      <c r="BU106" s="451" t="str">
        <f t="shared" si="154"/>
        <v/>
      </c>
      <c r="BV106" s="452" t="str">
        <f t="shared" si="154"/>
        <v/>
      </c>
      <c r="BW106" s="452" t="str">
        <f t="shared" si="154"/>
        <v/>
      </c>
      <c r="BX106" s="452" t="str">
        <f t="shared" si="146"/>
        <v/>
      </c>
      <c r="BY106" s="453" t="str">
        <f t="shared" si="146"/>
        <v/>
      </c>
      <c r="BZ106" s="451" t="str">
        <f t="shared" si="146"/>
        <v/>
      </c>
      <c r="CA106" s="452" t="str">
        <f t="shared" si="146"/>
        <v/>
      </c>
      <c r="CB106" s="452" t="str">
        <f t="shared" si="146"/>
        <v/>
      </c>
      <c r="CC106" s="452" t="str">
        <f t="shared" si="146"/>
        <v/>
      </c>
      <c r="CD106" s="453" t="str">
        <f t="shared" si="146"/>
        <v/>
      </c>
      <c r="CE106" s="451" t="str">
        <f t="shared" si="146"/>
        <v/>
      </c>
      <c r="CF106" s="452" t="str">
        <f t="shared" si="146"/>
        <v/>
      </c>
      <c r="CG106" s="452" t="str">
        <f t="shared" si="146"/>
        <v/>
      </c>
      <c r="CH106" s="452" t="str">
        <f t="shared" si="146"/>
        <v/>
      </c>
      <c r="CI106" s="453" t="str">
        <f t="shared" si="146"/>
        <v/>
      </c>
      <c r="CJ106" s="451" t="str">
        <f t="shared" si="146"/>
        <v/>
      </c>
      <c r="CK106" s="452" t="str">
        <f t="shared" si="146"/>
        <v/>
      </c>
      <c r="CL106" s="452" t="str">
        <f t="shared" si="146"/>
        <v/>
      </c>
      <c r="CM106" s="452" t="str">
        <f t="shared" si="146"/>
        <v/>
      </c>
      <c r="CN106" s="453" t="str">
        <f t="shared" si="158"/>
        <v/>
      </c>
      <c r="CO106" s="451" t="str">
        <f t="shared" si="158"/>
        <v/>
      </c>
      <c r="CP106" s="452" t="str">
        <f t="shared" si="158"/>
        <v/>
      </c>
      <c r="CQ106" s="452" t="str">
        <f t="shared" si="158"/>
        <v/>
      </c>
      <c r="CR106" s="452" t="str">
        <f t="shared" si="158"/>
        <v/>
      </c>
      <c r="CS106" s="453" t="str">
        <f t="shared" si="158"/>
        <v/>
      </c>
      <c r="CT106" s="451" t="str">
        <f t="shared" si="158"/>
        <v/>
      </c>
      <c r="CU106" s="452" t="str">
        <f t="shared" si="158"/>
        <v/>
      </c>
      <c r="CV106" s="452" t="str">
        <f t="shared" si="158"/>
        <v/>
      </c>
      <c r="CW106" s="452" t="str">
        <f t="shared" si="158"/>
        <v/>
      </c>
      <c r="CX106" s="453" t="str">
        <f t="shared" si="158"/>
        <v/>
      </c>
      <c r="CY106" s="451" t="str">
        <f t="shared" si="158"/>
        <v/>
      </c>
      <c r="CZ106" s="452" t="str">
        <f t="shared" si="158"/>
        <v/>
      </c>
      <c r="DA106" s="452" t="str">
        <f t="shared" si="158"/>
        <v/>
      </c>
      <c r="DB106" s="452" t="str">
        <f t="shared" si="158"/>
        <v/>
      </c>
      <c r="DC106" s="453" t="str">
        <f t="shared" si="158"/>
        <v/>
      </c>
      <c r="DD106" s="451" t="str">
        <f t="shared" si="158"/>
        <v/>
      </c>
      <c r="DE106" s="452" t="str">
        <f t="shared" si="158"/>
        <v/>
      </c>
      <c r="DF106" s="452" t="str">
        <f t="shared" si="158"/>
        <v/>
      </c>
      <c r="DG106" s="452" t="str">
        <f t="shared" si="158"/>
        <v/>
      </c>
      <c r="DH106" s="453" t="str">
        <f t="shared" si="158"/>
        <v/>
      </c>
      <c r="DI106" s="451" t="str">
        <f t="shared" si="158"/>
        <v/>
      </c>
      <c r="DJ106" s="452" t="str">
        <f t="shared" si="158"/>
        <v/>
      </c>
      <c r="DK106" s="452" t="str">
        <f t="shared" si="158"/>
        <v/>
      </c>
      <c r="DL106" s="452" t="str">
        <f t="shared" si="158"/>
        <v/>
      </c>
      <c r="DM106" s="453" t="str">
        <f t="shared" si="158"/>
        <v/>
      </c>
      <c r="DN106" s="451" t="str">
        <f t="shared" si="158"/>
        <v/>
      </c>
      <c r="DO106" s="452" t="str">
        <f t="shared" si="158"/>
        <v/>
      </c>
      <c r="DP106" s="452" t="str">
        <f t="shared" si="158"/>
        <v/>
      </c>
      <c r="DQ106" s="452" t="str">
        <f t="shared" si="158"/>
        <v/>
      </c>
      <c r="DR106" s="453" t="str">
        <f t="shared" si="158"/>
        <v/>
      </c>
      <c r="DS106" s="451" t="str">
        <f t="shared" si="158"/>
        <v/>
      </c>
      <c r="DT106" s="452" t="str">
        <f t="shared" si="158"/>
        <v/>
      </c>
      <c r="DU106" s="452" t="str">
        <f t="shared" si="149"/>
        <v/>
      </c>
      <c r="DV106" s="452" t="str">
        <f t="shared" si="149"/>
        <v/>
      </c>
      <c r="DW106" s="453" t="str">
        <f t="shared" si="149"/>
        <v/>
      </c>
      <c r="DX106" s="451" t="str">
        <f t="shared" si="149"/>
        <v/>
      </c>
      <c r="DY106" s="452" t="str">
        <f t="shared" si="149"/>
        <v/>
      </c>
      <c r="DZ106" s="452" t="str">
        <f t="shared" si="149"/>
        <v/>
      </c>
      <c r="EA106" s="452" t="str">
        <f t="shared" si="149"/>
        <v/>
      </c>
      <c r="EB106" s="453" t="str">
        <f t="shared" si="149"/>
        <v/>
      </c>
      <c r="EC106" s="451" t="str">
        <f t="shared" si="149"/>
        <v/>
      </c>
      <c r="ED106" s="452" t="str">
        <f t="shared" si="149"/>
        <v/>
      </c>
      <c r="EE106" s="452" t="str">
        <f t="shared" si="149"/>
        <v/>
      </c>
      <c r="EF106" s="452" t="str">
        <f t="shared" si="149"/>
        <v/>
      </c>
      <c r="EG106" s="453" t="str">
        <f t="shared" si="149"/>
        <v/>
      </c>
      <c r="EH106" s="451" t="str">
        <f t="shared" si="149"/>
        <v/>
      </c>
      <c r="EI106" s="452" t="str">
        <f t="shared" si="149"/>
        <v/>
      </c>
      <c r="EJ106" s="452" t="str">
        <f t="shared" si="149"/>
        <v/>
      </c>
      <c r="EK106" s="452" t="str">
        <f t="shared" si="152"/>
        <v/>
      </c>
      <c r="EL106" s="453" t="str">
        <f t="shared" si="152"/>
        <v/>
      </c>
      <c r="EM106" s="451" t="str">
        <f t="shared" si="152"/>
        <v/>
      </c>
      <c r="EN106" s="452" t="str">
        <f t="shared" si="152"/>
        <v/>
      </c>
      <c r="EO106" s="452" t="str">
        <f t="shared" si="152"/>
        <v/>
      </c>
      <c r="EP106" s="452" t="str">
        <f t="shared" si="152"/>
        <v/>
      </c>
      <c r="EQ106" s="453" t="str">
        <f t="shared" si="152"/>
        <v/>
      </c>
      <c r="ER106" s="451" t="str">
        <f t="shared" si="152"/>
        <v/>
      </c>
      <c r="ES106" s="452" t="str">
        <f t="shared" si="152"/>
        <v/>
      </c>
      <c r="ET106" s="452" t="str">
        <f t="shared" si="152"/>
        <v/>
      </c>
      <c r="EU106" s="452" t="str">
        <f t="shared" si="152"/>
        <v/>
      </c>
      <c r="EV106" s="453" t="str">
        <f t="shared" si="152"/>
        <v/>
      </c>
      <c r="EW106" s="451" t="str">
        <f t="shared" si="152"/>
        <v/>
      </c>
      <c r="EX106" s="452" t="str">
        <f t="shared" si="152"/>
        <v/>
      </c>
      <c r="EY106" s="452" t="str">
        <f t="shared" si="152"/>
        <v/>
      </c>
      <c r="EZ106" s="452" t="str">
        <f t="shared" si="152"/>
        <v/>
      </c>
      <c r="FA106" s="453" t="str">
        <f t="shared" si="150"/>
        <v/>
      </c>
      <c r="FB106" s="451" t="str">
        <f t="shared" si="150"/>
        <v/>
      </c>
      <c r="FC106" s="452" t="str">
        <f t="shared" si="150"/>
        <v/>
      </c>
      <c r="FD106" s="452" t="str">
        <f t="shared" si="150"/>
        <v/>
      </c>
      <c r="FE106" s="452" t="str">
        <f t="shared" si="150"/>
        <v/>
      </c>
      <c r="FF106" s="453" t="str">
        <f t="shared" si="150"/>
        <v/>
      </c>
      <c r="FG106" s="451" t="str">
        <f t="shared" si="150"/>
        <v/>
      </c>
      <c r="FH106" s="452" t="str">
        <f t="shared" si="150"/>
        <v/>
      </c>
      <c r="FI106" s="452" t="str">
        <f t="shared" si="150"/>
        <v/>
      </c>
      <c r="FJ106" s="452" t="str">
        <f t="shared" si="150"/>
        <v/>
      </c>
      <c r="FK106" s="453" t="str">
        <f t="shared" si="150"/>
        <v/>
      </c>
      <c r="FL106" s="451" t="str">
        <f t="shared" si="150"/>
        <v/>
      </c>
      <c r="FM106" s="452" t="str">
        <f t="shared" si="150"/>
        <v/>
      </c>
      <c r="FN106" s="452" t="str">
        <f t="shared" si="150"/>
        <v/>
      </c>
      <c r="FO106" s="452" t="str">
        <f t="shared" si="150"/>
        <v/>
      </c>
      <c r="FP106" s="453" t="str">
        <f t="shared" si="137"/>
        <v/>
      </c>
      <c r="FQ106" s="451" t="str">
        <f t="shared" si="137"/>
        <v/>
      </c>
      <c r="FR106" s="452" t="str">
        <f t="shared" si="137"/>
        <v/>
      </c>
      <c r="FS106" s="452" t="str">
        <f t="shared" si="137"/>
        <v/>
      </c>
      <c r="FT106" s="452" t="str">
        <f t="shared" si="137"/>
        <v/>
      </c>
      <c r="FU106" s="453" t="str">
        <f t="shared" si="137"/>
        <v/>
      </c>
      <c r="FV106" s="451" t="str">
        <f t="shared" si="137"/>
        <v/>
      </c>
      <c r="FW106" s="452" t="str">
        <f t="shared" si="137"/>
        <v/>
      </c>
      <c r="FX106" s="452" t="str">
        <f t="shared" si="137"/>
        <v/>
      </c>
      <c r="FY106" s="452" t="str">
        <f t="shared" si="153"/>
        <v/>
      </c>
      <c r="FZ106" s="453" t="str">
        <f t="shared" si="153"/>
        <v/>
      </c>
      <c r="GA106" s="451" t="str">
        <f t="shared" si="153"/>
        <v/>
      </c>
      <c r="GB106" s="452" t="str">
        <f t="shared" si="153"/>
        <v/>
      </c>
      <c r="GC106" s="452" t="str">
        <f t="shared" si="153"/>
        <v/>
      </c>
      <c r="GD106" s="452" t="str">
        <f t="shared" si="153"/>
        <v/>
      </c>
      <c r="GE106" s="453" t="str">
        <f t="shared" si="153"/>
        <v/>
      </c>
      <c r="GF106" s="451" t="str">
        <f t="shared" si="153"/>
        <v/>
      </c>
      <c r="GG106" s="452" t="str">
        <f t="shared" si="153"/>
        <v/>
      </c>
      <c r="GH106" s="452" t="str">
        <f t="shared" si="153"/>
        <v/>
      </c>
      <c r="GI106" s="452" t="str">
        <f t="shared" si="153"/>
        <v/>
      </c>
      <c r="GJ106" s="453" t="str">
        <f t="shared" si="153"/>
        <v/>
      </c>
      <c r="GK106" s="451" t="str">
        <f t="shared" si="153"/>
        <v/>
      </c>
      <c r="GL106" s="452" t="str">
        <f t="shared" si="153"/>
        <v/>
      </c>
      <c r="GM106" s="452" t="str">
        <f t="shared" si="153"/>
        <v/>
      </c>
      <c r="GN106" s="452" t="str">
        <f t="shared" si="153"/>
        <v/>
      </c>
      <c r="GO106" s="453" t="str">
        <f t="shared" si="151"/>
        <v/>
      </c>
      <c r="GP106" s="451" t="str">
        <f t="shared" si="151"/>
        <v/>
      </c>
      <c r="GQ106" s="452" t="str">
        <f t="shared" si="151"/>
        <v/>
      </c>
      <c r="GR106" s="452" t="str">
        <f t="shared" si="151"/>
        <v/>
      </c>
      <c r="GS106" s="452" t="str">
        <f t="shared" si="151"/>
        <v/>
      </c>
      <c r="GT106" s="453" t="str">
        <f t="shared" si="151"/>
        <v/>
      </c>
      <c r="GU106" s="451" t="str">
        <f t="shared" si="151"/>
        <v/>
      </c>
      <c r="GV106" s="452" t="str">
        <f t="shared" si="151"/>
        <v/>
      </c>
      <c r="GW106" s="452" t="str">
        <f t="shared" si="151"/>
        <v/>
      </c>
      <c r="GX106" s="452" t="str">
        <f t="shared" si="151"/>
        <v/>
      </c>
      <c r="GY106" s="453" t="str">
        <f t="shared" si="151"/>
        <v/>
      </c>
      <c r="GZ106" s="451" t="str">
        <f t="shared" si="151"/>
        <v/>
      </c>
      <c r="HA106" s="452" t="str">
        <f t="shared" si="151"/>
        <v/>
      </c>
      <c r="HB106" s="452" t="str">
        <f t="shared" si="151"/>
        <v/>
      </c>
      <c r="HC106" s="452" t="str">
        <f t="shared" si="151"/>
        <v/>
      </c>
      <c r="HD106" s="453" t="str">
        <f t="shared" si="151"/>
        <v/>
      </c>
      <c r="HE106" s="451" t="str">
        <f t="shared" si="157"/>
        <v/>
      </c>
      <c r="HF106" s="452" t="str">
        <f t="shared" si="157"/>
        <v/>
      </c>
      <c r="HG106" s="452" t="str">
        <f t="shared" si="157"/>
        <v/>
      </c>
      <c r="HH106" s="452" t="str">
        <f t="shared" si="157"/>
        <v/>
      </c>
      <c r="HI106" s="453" t="str">
        <f t="shared" si="157"/>
        <v/>
      </c>
      <c r="HJ106" s="451" t="str">
        <f t="shared" si="157"/>
        <v/>
      </c>
      <c r="HK106" s="452" t="str">
        <f t="shared" si="157"/>
        <v/>
      </c>
      <c r="HL106" s="452" t="str">
        <f t="shared" si="157"/>
        <v/>
      </c>
      <c r="HM106" s="452" t="str">
        <f t="shared" si="157"/>
        <v/>
      </c>
      <c r="HN106" s="453" t="str">
        <f t="shared" si="157"/>
        <v/>
      </c>
      <c r="HO106" s="451" t="str">
        <f t="shared" si="157"/>
        <v/>
      </c>
      <c r="HP106" s="452" t="str">
        <f t="shared" si="157"/>
        <v/>
      </c>
      <c r="HQ106" s="452" t="str">
        <f t="shared" si="157"/>
        <v/>
      </c>
      <c r="HR106" s="452" t="str">
        <f t="shared" si="157"/>
        <v/>
      </c>
      <c r="HS106" s="453" t="str">
        <f t="shared" si="157"/>
        <v/>
      </c>
      <c r="HT106" s="451" t="str">
        <f t="shared" si="157"/>
        <v/>
      </c>
      <c r="HU106" s="452" t="str">
        <f t="shared" si="144"/>
        <v/>
      </c>
      <c r="HV106" s="452" t="str">
        <f t="shared" si="144"/>
        <v/>
      </c>
      <c r="HW106" s="452" t="str">
        <f t="shared" si="144"/>
        <v/>
      </c>
      <c r="HX106" s="453" t="str">
        <f t="shared" si="144"/>
        <v/>
      </c>
      <c r="HY106" s="451" t="str">
        <f t="shared" si="144"/>
        <v/>
      </c>
      <c r="HZ106" s="452" t="str">
        <f t="shared" si="143"/>
        <v/>
      </c>
      <c r="IA106" s="452" t="str">
        <f t="shared" si="143"/>
        <v/>
      </c>
      <c r="IB106" s="452" t="str">
        <f t="shared" si="143"/>
        <v/>
      </c>
      <c r="IC106" s="453" t="str">
        <f t="shared" si="143"/>
        <v/>
      </c>
      <c r="ID106" s="451" t="str">
        <f t="shared" si="143"/>
        <v/>
      </c>
      <c r="IE106" s="452" t="str">
        <f t="shared" si="143"/>
        <v/>
      </c>
      <c r="IF106" s="452" t="str">
        <f t="shared" si="143"/>
        <v/>
      </c>
      <c r="IG106" s="452" t="str">
        <f t="shared" si="143"/>
        <v/>
      </c>
      <c r="IH106" s="453" t="str">
        <f t="shared" si="143"/>
        <v/>
      </c>
      <c r="II106" s="451" t="str">
        <f t="shared" si="143"/>
        <v/>
      </c>
      <c r="IJ106" s="452" t="str">
        <f t="shared" si="143"/>
        <v/>
      </c>
      <c r="IK106" s="452" t="str">
        <f t="shared" si="143"/>
        <v/>
      </c>
      <c r="IL106" s="452" t="str">
        <f t="shared" si="143"/>
        <v/>
      </c>
      <c r="IM106" s="453" t="str">
        <f t="shared" si="147"/>
        <v/>
      </c>
      <c r="IN106" s="451" t="str">
        <f t="shared" si="147"/>
        <v/>
      </c>
      <c r="IO106" s="452" t="str">
        <f t="shared" si="147"/>
        <v/>
      </c>
      <c r="IP106" s="452" t="str">
        <f t="shared" si="147"/>
        <v/>
      </c>
      <c r="IQ106" s="452" t="str">
        <f t="shared" si="147"/>
        <v/>
      </c>
      <c r="IR106" s="453" t="str">
        <f t="shared" si="147"/>
        <v/>
      </c>
    </row>
    <row r="107" spans="1:252" x14ac:dyDescent="0.2">
      <c r="A107" s="461">
        <v>10.4</v>
      </c>
      <c r="C107" s="447" t="s">
        <v>1354</v>
      </c>
      <c r="D107" s="447"/>
      <c r="E107" s="448"/>
      <c r="F107" s="448"/>
      <c r="G107" s="448"/>
      <c r="H107" s="448"/>
      <c r="I107" s="448"/>
      <c r="J107" s="449" t="str">
        <f t="shared" si="155"/>
        <v/>
      </c>
      <c r="K107" s="449" t="str">
        <f t="shared" si="156"/>
        <v/>
      </c>
      <c r="L107" s="450">
        <f t="shared" si="101"/>
        <v>0</v>
      </c>
      <c r="M107" s="451" t="str">
        <f t="shared" si="138"/>
        <v/>
      </c>
      <c r="N107" s="452" t="str">
        <f t="shared" si="138"/>
        <v/>
      </c>
      <c r="O107" s="452" t="str">
        <f t="shared" si="138"/>
        <v/>
      </c>
      <c r="P107" s="452" t="str">
        <f t="shared" si="138"/>
        <v/>
      </c>
      <c r="Q107" s="453" t="str">
        <f t="shared" si="138"/>
        <v/>
      </c>
      <c r="R107" s="451" t="str">
        <f t="shared" si="138"/>
        <v/>
      </c>
      <c r="S107" s="452" t="str">
        <f t="shared" si="138"/>
        <v/>
      </c>
      <c r="T107" s="452" t="str">
        <f t="shared" si="138"/>
        <v/>
      </c>
      <c r="U107" s="452" t="str">
        <f t="shared" si="138"/>
        <v/>
      </c>
      <c r="V107" s="453" t="str">
        <f t="shared" si="138"/>
        <v/>
      </c>
      <c r="W107" s="451" t="str">
        <f t="shared" si="138"/>
        <v/>
      </c>
      <c r="X107" s="452" t="str">
        <f t="shared" si="138"/>
        <v/>
      </c>
      <c r="Y107" s="452" t="str">
        <f t="shared" si="138"/>
        <v/>
      </c>
      <c r="Z107" s="452" t="str">
        <f t="shared" si="138"/>
        <v/>
      </c>
      <c r="AA107" s="453" t="str">
        <f t="shared" si="138"/>
        <v/>
      </c>
      <c r="AB107" s="451" t="str">
        <f t="shared" ref="AB107" si="159">IF(AND(AB$2&gt;=$J107,AB$2&lt;=$K107),1,"")</f>
        <v/>
      </c>
      <c r="AC107" s="452" t="str">
        <f t="shared" si="148"/>
        <v/>
      </c>
      <c r="AD107" s="452" t="str">
        <f t="shared" si="148"/>
        <v/>
      </c>
      <c r="AE107" s="452" t="str">
        <f t="shared" si="148"/>
        <v/>
      </c>
      <c r="AF107" s="453" t="str">
        <f t="shared" si="148"/>
        <v/>
      </c>
      <c r="AG107" s="451" t="str">
        <f t="shared" si="148"/>
        <v/>
      </c>
      <c r="AH107" s="452" t="str">
        <f t="shared" si="148"/>
        <v/>
      </c>
      <c r="AI107" s="452" t="str">
        <f t="shared" si="148"/>
        <v/>
      </c>
      <c r="AJ107" s="452" t="str">
        <f t="shared" si="148"/>
        <v/>
      </c>
      <c r="AK107" s="453" t="str">
        <f t="shared" si="148"/>
        <v/>
      </c>
      <c r="AL107" s="451" t="str">
        <f t="shared" si="148"/>
        <v/>
      </c>
      <c r="AM107" s="452" t="str">
        <f t="shared" si="148"/>
        <v/>
      </c>
      <c r="AN107" s="452" t="str">
        <f t="shared" si="148"/>
        <v/>
      </c>
      <c r="AO107" s="452" t="str">
        <f t="shared" si="148"/>
        <v/>
      </c>
      <c r="AP107" s="453" t="str">
        <f t="shared" si="148"/>
        <v/>
      </c>
      <c r="AQ107" s="451" t="str">
        <f t="shared" si="148"/>
        <v/>
      </c>
      <c r="AR107" s="452" t="str">
        <f t="shared" si="148"/>
        <v/>
      </c>
      <c r="AS107" s="452" t="str">
        <f t="shared" si="145"/>
        <v/>
      </c>
      <c r="AT107" s="452" t="str">
        <f t="shared" si="145"/>
        <v/>
      </c>
      <c r="AU107" s="453" t="str">
        <f t="shared" si="145"/>
        <v/>
      </c>
      <c r="AV107" s="451" t="str">
        <f t="shared" si="145"/>
        <v/>
      </c>
      <c r="AW107" s="452" t="str">
        <f t="shared" si="145"/>
        <v/>
      </c>
      <c r="AX107" s="452" t="str">
        <f t="shared" si="145"/>
        <v/>
      </c>
      <c r="AY107" s="452" t="str">
        <f t="shared" si="145"/>
        <v/>
      </c>
      <c r="AZ107" s="453" t="str">
        <f t="shared" si="145"/>
        <v/>
      </c>
      <c r="BA107" s="451" t="str">
        <f t="shared" si="145"/>
        <v/>
      </c>
      <c r="BB107" s="452" t="str">
        <f t="shared" si="145"/>
        <v/>
      </c>
      <c r="BC107" s="452" t="str">
        <f t="shared" si="145"/>
        <v/>
      </c>
      <c r="BD107" s="452" t="str">
        <f t="shared" si="145"/>
        <v/>
      </c>
      <c r="BE107" s="453" t="str">
        <f t="shared" si="145"/>
        <v/>
      </c>
      <c r="BF107" s="451" t="str">
        <f t="shared" si="145"/>
        <v/>
      </c>
      <c r="BG107" s="452" t="str">
        <f t="shared" si="145"/>
        <v/>
      </c>
      <c r="BH107" s="452" t="str">
        <f t="shared" si="154"/>
        <v/>
      </c>
      <c r="BI107" s="452" t="str">
        <f t="shared" si="154"/>
        <v/>
      </c>
      <c r="BJ107" s="453" t="str">
        <f t="shared" si="154"/>
        <v/>
      </c>
      <c r="BK107" s="451" t="str">
        <f t="shared" si="154"/>
        <v/>
      </c>
      <c r="BL107" s="452" t="str">
        <f t="shared" si="154"/>
        <v/>
      </c>
      <c r="BM107" s="452" t="str">
        <f t="shared" si="154"/>
        <v/>
      </c>
      <c r="BN107" s="452" t="str">
        <f t="shared" si="154"/>
        <v/>
      </c>
      <c r="BO107" s="453" t="str">
        <f t="shared" si="154"/>
        <v/>
      </c>
      <c r="BP107" s="451" t="str">
        <f t="shared" si="154"/>
        <v/>
      </c>
      <c r="BQ107" s="452" t="str">
        <f t="shared" si="154"/>
        <v/>
      </c>
      <c r="BR107" s="452" t="str">
        <f t="shared" si="154"/>
        <v/>
      </c>
      <c r="BS107" s="452" t="str">
        <f t="shared" si="154"/>
        <v/>
      </c>
      <c r="BT107" s="453" t="str">
        <f t="shared" si="154"/>
        <v/>
      </c>
      <c r="BU107" s="451" t="str">
        <f t="shared" si="154"/>
        <v/>
      </c>
      <c r="BV107" s="452" t="str">
        <f t="shared" si="154"/>
        <v/>
      </c>
      <c r="BW107" s="452" t="str">
        <f t="shared" si="154"/>
        <v/>
      </c>
      <c r="BX107" s="452" t="str">
        <f t="shared" si="146"/>
        <v/>
      </c>
      <c r="BY107" s="453" t="str">
        <f t="shared" si="146"/>
        <v/>
      </c>
      <c r="BZ107" s="451" t="str">
        <f t="shared" si="146"/>
        <v/>
      </c>
      <c r="CA107" s="452" t="str">
        <f t="shared" si="146"/>
        <v/>
      </c>
      <c r="CB107" s="452" t="str">
        <f t="shared" si="146"/>
        <v/>
      </c>
      <c r="CC107" s="452" t="str">
        <f t="shared" si="146"/>
        <v/>
      </c>
      <c r="CD107" s="453" t="str">
        <f t="shared" si="146"/>
        <v/>
      </c>
      <c r="CE107" s="451" t="str">
        <f t="shared" si="146"/>
        <v/>
      </c>
      <c r="CF107" s="452" t="str">
        <f t="shared" si="146"/>
        <v/>
      </c>
      <c r="CG107" s="452" t="str">
        <f t="shared" si="146"/>
        <v/>
      </c>
      <c r="CH107" s="452" t="str">
        <f t="shared" si="146"/>
        <v/>
      </c>
      <c r="CI107" s="453" t="str">
        <f t="shared" si="146"/>
        <v/>
      </c>
      <c r="CJ107" s="451" t="str">
        <f t="shared" si="146"/>
        <v/>
      </c>
      <c r="CK107" s="452" t="str">
        <f t="shared" si="146"/>
        <v/>
      </c>
      <c r="CL107" s="452" t="str">
        <f t="shared" si="146"/>
        <v/>
      </c>
      <c r="CM107" s="452" t="str">
        <f t="shared" si="146"/>
        <v/>
      </c>
      <c r="CN107" s="453" t="str">
        <f t="shared" si="158"/>
        <v/>
      </c>
      <c r="CO107" s="451" t="str">
        <f t="shared" si="158"/>
        <v/>
      </c>
      <c r="CP107" s="452" t="str">
        <f t="shared" si="158"/>
        <v/>
      </c>
      <c r="CQ107" s="452" t="str">
        <f t="shared" si="158"/>
        <v/>
      </c>
      <c r="CR107" s="452" t="str">
        <f t="shared" si="158"/>
        <v/>
      </c>
      <c r="CS107" s="453" t="str">
        <f t="shared" si="158"/>
        <v/>
      </c>
      <c r="CT107" s="451" t="str">
        <f t="shared" si="158"/>
        <v/>
      </c>
      <c r="CU107" s="452" t="str">
        <f t="shared" si="158"/>
        <v/>
      </c>
      <c r="CV107" s="452" t="str">
        <f t="shared" si="158"/>
        <v/>
      </c>
      <c r="CW107" s="452" t="str">
        <f t="shared" si="158"/>
        <v/>
      </c>
      <c r="CX107" s="453" t="str">
        <f t="shared" si="158"/>
        <v/>
      </c>
      <c r="CY107" s="451" t="str">
        <f t="shared" si="158"/>
        <v/>
      </c>
      <c r="CZ107" s="452" t="str">
        <f t="shared" si="158"/>
        <v/>
      </c>
      <c r="DA107" s="452" t="str">
        <f t="shared" si="158"/>
        <v/>
      </c>
      <c r="DB107" s="452" t="str">
        <f t="shared" si="158"/>
        <v/>
      </c>
      <c r="DC107" s="453" t="str">
        <f t="shared" si="158"/>
        <v/>
      </c>
      <c r="DD107" s="451" t="str">
        <f t="shared" si="158"/>
        <v/>
      </c>
      <c r="DE107" s="452" t="str">
        <f t="shared" si="158"/>
        <v/>
      </c>
      <c r="DF107" s="452" t="str">
        <f t="shared" si="158"/>
        <v/>
      </c>
      <c r="DG107" s="452" t="str">
        <f t="shared" si="158"/>
        <v/>
      </c>
      <c r="DH107" s="453" t="str">
        <f t="shared" si="158"/>
        <v/>
      </c>
      <c r="DI107" s="451" t="str">
        <f t="shared" si="158"/>
        <v/>
      </c>
      <c r="DJ107" s="452" t="str">
        <f t="shared" si="158"/>
        <v/>
      </c>
      <c r="DK107" s="452" t="str">
        <f t="shared" si="158"/>
        <v/>
      </c>
      <c r="DL107" s="452" t="str">
        <f t="shared" si="158"/>
        <v/>
      </c>
      <c r="DM107" s="453" t="str">
        <f t="shared" si="158"/>
        <v/>
      </c>
      <c r="DN107" s="451" t="str">
        <f t="shared" si="158"/>
        <v/>
      </c>
      <c r="DO107" s="452" t="str">
        <f t="shared" si="158"/>
        <v/>
      </c>
      <c r="DP107" s="452" t="str">
        <f t="shared" si="158"/>
        <v/>
      </c>
      <c r="DQ107" s="452" t="str">
        <f t="shared" si="158"/>
        <v/>
      </c>
      <c r="DR107" s="453" t="str">
        <f t="shared" si="158"/>
        <v/>
      </c>
      <c r="DS107" s="451" t="str">
        <f t="shared" si="158"/>
        <v/>
      </c>
      <c r="DT107" s="452" t="str">
        <f t="shared" si="158"/>
        <v/>
      </c>
      <c r="DU107" s="452" t="str">
        <f t="shared" si="149"/>
        <v/>
      </c>
      <c r="DV107" s="452" t="str">
        <f t="shared" si="149"/>
        <v/>
      </c>
      <c r="DW107" s="453" t="str">
        <f t="shared" si="149"/>
        <v/>
      </c>
      <c r="DX107" s="451" t="str">
        <f t="shared" si="149"/>
        <v/>
      </c>
      <c r="DY107" s="452" t="str">
        <f t="shared" si="149"/>
        <v/>
      </c>
      <c r="DZ107" s="452" t="str">
        <f t="shared" si="149"/>
        <v/>
      </c>
      <c r="EA107" s="452" t="str">
        <f t="shared" si="149"/>
        <v/>
      </c>
      <c r="EB107" s="453" t="str">
        <f t="shared" si="149"/>
        <v/>
      </c>
      <c r="EC107" s="451" t="str">
        <f t="shared" si="149"/>
        <v/>
      </c>
      <c r="ED107" s="452" t="str">
        <f t="shared" si="149"/>
        <v/>
      </c>
      <c r="EE107" s="452" t="str">
        <f t="shared" si="149"/>
        <v/>
      </c>
      <c r="EF107" s="452" t="str">
        <f t="shared" si="149"/>
        <v/>
      </c>
      <c r="EG107" s="453" t="str">
        <f t="shared" si="149"/>
        <v/>
      </c>
      <c r="EH107" s="451" t="str">
        <f t="shared" si="149"/>
        <v/>
      </c>
      <c r="EI107" s="452" t="str">
        <f t="shared" si="149"/>
        <v/>
      </c>
      <c r="EJ107" s="452" t="str">
        <f t="shared" si="149"/>
        <v/>
      </c>
      <c r="EK107" s="452" t="str">
        <f t="shared" si="152"/>
        <v/>
      </c>
      <c r="EL107" s="453" t="str">
        <f t="shared" si="152"/>
        <v/>
      </c>
      <c r="EM107" s="451" t="str">
        <f t="shared" si="152"/>
        <v/>
      </c>
      <c r="EN107" s="452" t="str">
        <f t="shared" si="152"/>
        <v/>
      </c>
      <c r="EO107" s="452" t="str">
        <f t="shared" si="152"/>
        <v/>
      </c>
      <c r="EP107" s="452" t="str">
        <f t="shared" si="152"/>
        <v/>
      </c>
      <c r="EQ107" s="453" t="str">
        <f t="shared" si="152"/>
        <v/>
      </c>
      <c r="ER107" s="451" t="str">
        <f t="shared" si="152"/>
        <v/>
      </c>
      <c r="ES107" s="452" t="str">
        <f t="shared" si="152"/>
        <v/>
      </c>
      <c r="ET107" s="452" t="str">
        <f t="shared" si="152"/>
        <v/>
      </c>
      <c r="EU107" s="452" t="str">
        <f t="shared" si="152"/>
        <v/>
      </c>
      <c r="EV107" s="453" t="str">
        <f t="shared" si="152"/>
        <v/>
      </c>
      <c r="EW107" s="451" t="str">
        <f t="shared" si="152"/>
        <v/>
      </c>
      <c r="EX107" s="452" t="str">
        <f t="shared" si="152"/>
        <v/>
      </c>
      <c r="EY107" s="452" t="str">
        <f t="shared" si="152"/>
        <v/>
      </c>
      <c r="EZ107" s="452" t="str">
        <f t="shared" si="152"/>
        <v/>
      </c>
      <c r="FA107" s="453" t="str">
        <f t="shared" si="150"/>
        <v/>
      </c>
      <c r="FB107" s="451" t="str">
        <f t="shared" si="150"/>
        <v/>
      </c>
      <c r="FC107" s="452" t="str">
        <f t="shared" si="150"/>
        <v/>
      </c>
      <c r="FD107" s="452" t="str">
        <f t="shared" si="150"/>
        <v/>
      </c>
      <c r="FE107" s="452" t="str">
        <f t="shared" si="150"/>
        <v/>
      </c>
      <c r="FF107" s="453" t="str">
        <f t="shared" si="150"/>
        <v/>
      </c>
      <c r="FG107" s="451" t="str">
        <f t="shared" si="150"/>
        <v/>
      </c>
      <c r="FH107" s="452" t="str">
        <f t="shared" si="150"/>
        <v/>
      </c>
      <c r="FI107" s="452" t="str">
        <f t="shared" si="150"/>
        <v/>
      </c>
      <c r="FJ107" s="452" t="str">
        <f t="shared" si="150"/>
        <v/>
      </c>
      <c r="FK107" s="453" t="str">
        <f t="shared" si="150"/>
        <v/>
      </c>
      <c r="FL107" s="451" t="str">
        <f t="shared" si="150"/>
        <v/>
      </c>
      <c r="FM107" s="452" t="str">
        <f t="shared" si="150"/>
        <v/>
      </c>
      <c r="FN107" s="452" t="str">
        <f t="shared" si="150"/>
        <v/>
      </c>
      <c r="FO107" s="452" t="str">
        <f t="shared" si="150"/>
        <v/>
      </c>
      <c r="FP107" s="453" t="str">
        <f t="shared" ref="FP107:GE122" si="160">IF(AND(FP$2&gt;=$J107,FP$2&lt;=$K107),1,"")</f>
        <v/>
      </c>
      <c r="FQ107" s="451" t="str">
        <f t="shared" si="160"/>
        <v/>
      </c>
      <c r="FR107" s="452" t="str">
        <f t="shared" si="160"/>
        <v/>
      </c>
      <c r="FS107" s="452" t="str">
        <f t="shared" si="160"/>
        <v/>
      </c>
      <c r="FT107" s="452" t="str">
        <f t="shared" si="160"/>
        <v/>
      </c>
      <c r="FU107" s="453" t="str">
        <f t="shared" si="160"/>
        <v/>
      </c>
      <c r="FV107" s="451" t="str">
        <f t="shared" si="160"/>
        <v/>
      </c>
      <c r="FW107" s="452" t="str">
        <f t="shared" si="160"/>
        <v/>
      </c>
      <c r="FX107" s="452" t="str">
        <f t="shared" si="160"/>
        <v/>
      </c>
      <c r="FY107" s="452" t="str">
        <f t="shared" si="160"/>
        <v/>
      </c>
      <c r="FZ107" s="453" t="str">
        <f t="shared" si="160"/>
        <v/>
      </c>
      <c r="GA107" s="451" t="str">
        <f t="shared" si="160"/>
        <v/>
      </c>
      <c r="GB107" s="452" t="str">
        <f t="shared" si="153"/>
        <v/>
      </c>
      <c r="GC107" s="452" t="str">
        <f t="shared" si="153"/>
        <v/>
      </c>
      <c r="GD107" s="452" t="str">
        <f t="shared" si="153"/>
        <v/>
      </c>
      <c r="GE107" s="453" t="str">
        <f t="shared" si="153"/>
        <v/>
      </c>
      <c r="GF107" s="451" t="str">
        <f t="shared" si="153"/>
        <v/>
      </c>
      <c r="GG107" s="452" t="str">
        <f t="shared" si="153"/>
        <v/>
      </c>
      <c r="GH107" s="452" t="str">
        <f t="shared" si="153"/>
        <v/>
      </c>
      <c r="GI107" s="452" t="str">
        <f t="shared" si="153"/>
        <v/>
      </c>
      <c r="GJ107" s="453" t="str">
        <f t="shared" si="153"/>
        <v/>
      </c>
      <c r="GK107" s="451" t="str">
        <f t="shared" si="153"/>
        <v/>
      </c>
      <c r="GL107" s="452" t="str">
        <f t="shared" si="153"/>
        <v/>
      </c>
      <c r="GM107" s="452" t="str">
        <f t="shared" si="153"/>
        <v/>
      </c>
      <c r="GN107" s="452" t="str">
        <f t="shared" si="153"/>
        <v/>
      </c>
      <c r="GO107" s="453" t="str">
        <f t="shared" si="151"/>
        <v/>
      </c>
      <c r="GP107" s="451" t="str">
        <f t="shared" si="151"/>
        <v/>
      </c>
      <c r="GQ107" s="452" t="str">
        <f t="shared" si="151"/>
        <v/>
      </c>
      <c r="GR107" s="452" t="str">
        <f t="shared" si="151"/>
        <v/>
      </c>
      <c r="GS107" s="452" t="str">
        <f t="shared" si="151"/>
        <v/>
      </c>
      <c r="GT107" s="453" t="str">
        <f t="shared" si="151"/>
        <v/>
      </c>
      <c r="GU107" s="451" t="str">
        <f t="shared" si="151"/>
        <v/>
      </c>
      <c r="GV107" s="452" t="str">
        <f t="shared" si="151"/>
        <v/>
      </c>
      <c r="GW107" s="452" t="str">
        <f t="shared" si="151"/>
        <v/>
      </c>
      <c r="GX107" s="452" t="str">
        <f t="shared" si="151"/>
        <v/>
      </c>
      <c r="GY107" s="453" t="str">
        <f t="shared" si="151"/>
        <v/>
      </c>
      <c r="GZ107" s="451" t="str">
        <f t="shared" si="151"/>
        <v/>
      </c>
      <c r="HA107" s="452" t="str">
        <f t="shared" si="151"/>
        <v/>
      </c>
      <c r="HB107" s="452" t="str">
        <f t="shared" si="151"/>
        <v/>
      </c>
      <c r="HC107" s="452" t="str">
        <f t="shared" si="151"/>
        <v/>
      </c>
      <c r="HD107" s="453" t="str">
        <f t="shared" si="151"/>
        <v/>
      </c>
      <c r="HE107" s="451" t="str">
        <f t="shared" si="157"/>
        <v/>
      </c>
      <c r="HF107" s="452" t="str">
        <f t="shared" si="157"/>
        <v/>
      </c>
      <c r="HG107" s="452" t="str">
        <f t="shared" si="157"/>
        <v/>
      </c>
      <c r="HH107" s="452" t="str">
        <f t="shared" si="157"/>
        <v/>
      </c>
      <c r="HI107" s="453" t="str">
        <f t="shared" si="157"/>
        <v/>
      </c>
      <c r="HJ107" s="451" t="str">
        <f t="shared" si="157"/>
        <v/>
      </c>
      <c r="HK107" s="452" t="str">
        <f t="shared" si="157"/>
        <v/>
      </c>
      <c r="HL107" s="452" t="str">
        <f t="shared" si="157"/>
        <v/>
      </c>
      <c r="HM107" s="452" t="str">
        <f t="shared" si="157"/>
        <v/>
      </c>
      <c r="HN107" s="453" t="str">
        <f t="shared" si="157"/>
        <v/>
      </c>
      <c r="HO107" s="451" t="str">
        <f t="shared" si="157"/>
        <v/>
      </c>
      <c r="HP107" s="452" t="str">
        <f t="shared" si="157"/>
        <v/>
      </c>
      <c r="HQ107" s="452" t="str">
        <f t="shared" si="157"/>
        <v/>
      </c>
      <c r="HR107" s="452" t="str">
        <f t="shared" si="157"/>
        <v/>
      </c>
      <c r="HS107" s="453" t="str">
        <f t="shared" si="157"/>
        <v/>
      </c>
      <c r="HT107" s="451" t="str">
        <f t="shared" si="157"/>
        <v/>
      </c>
      <c r="HU107" s="452" t="str">
        <f t="shared" si="144"/>
        <v/>
      </c>
      <c r="HV107" s="452" t="str">
        <f t="shared" si="144"/>
        <v/>
      </c>
      <c r="HW107" s="452" t="str">
        <f t="shared" si="144"/>
        <v/>
      </c>
      <c r="HX107" s="453" t="str">
        <f t="shared" si="144"/>
        <v/>
      </c>
      <c r="HY107" s="451" t="str">
        <f t="shared" si="144"/>
        <v/>
      </c>
      <c r="HZ107" s="452" t="str">
        <f t="shared" si="143"/>
        <v/>
      </c>
      <c r="IA107" s="452" t="str">
        <f t="shared" si="143"/>
        <v/>
      </c>
      <c r="IB107" s="452" t="str">
        <f t="shared" si="143"/>
        <v/>
      </c>
      <c r="IC107" s="453" t="str">
        <f t="shared" si="143"/>
        <v/>
      </c>
      <c r="ID107" s="451" t="str">
        <f t="shared" si="143"/>
        <v/>
      </c>
      <c r="IE107" s="452" t="str">
        <f t="shared" si="143"/>
        <v/>
      </c>
      <c r="IF107" s="452" t="str">
        <f t="shared" si="143"/>
        <v/>
      </c>
      <c r="IG107" s="452" t="str">
        <f t="shared" si="143"/>
        <v/>
      </c>
      <c r="IH107" s="453" t="str">
        <f t="shared" si="143"/>
        <v/>
      </c>
      <c r="II107" s="451" t="str">
        <f t="shared" si="143"/>
        <v/>
      </c>
      <c r="IJ107" s="452" t="str">
        <f t="shared" si="143"/>
        <v/>
      </c>
      <c r="IK107" s="452" t="str">
        <f t="shared" si="143"/>
        <v/>
      </c>
      <c r="IL107" s="452" t="str">
        <f t="shared" si="143"/>
        <v/>
      </c>
      <c r="IM107" s="453" t="str">
        <f t="shared" si="147"/>
        <v/>
      </c>
      <c r="IN107" s="451" t="str">
        <f t="shared" si="147"/>
        <v/>
      </c>
      <c r="IO107" s="452" t="str">
        <f t="shared" si="147"/>
        <v/>
      </c>
      <c r="IP107" s="452" t="str">
        <f t="shared" si="147"/>
        <v/>
      </c>
      <c r="IQ107" s="452" t="str">
        <f t="shared" si="147"/>
        <v/>
      </c>
      <c r="IR107" s="453" t="str">
        <f t="shared" si="147"/>
        <v/>
      </c>
    </row>
    <row r="108" spans="1:252" x14ac:dyDescent="0.2">
      <c r="A108" s="461">
        <v>10.5</v>
      </c>
      <c r="C108" s="447" t="s">
        <v>1355</v>
      </c>
      <c r="D108" s="447"/>
      <c r="E108" s="448"/>
      <c r="F108" s="448"/>
      <c r="G108" s="448"/>
      <c r="H108" s="448"/>
      <c r="I108" s="448"/>
      <c r="J108" s="449" t="str">
        <f t="shared" si="155"/>
        <v/>
      </c>
      <c r="K108" s="449" t="str">
        <f t="shared" si="156"/>
        <v/>
      </c>
      <c r="L108" s="450">
        <f t="shared" si="101"/>
        <v>0</v>
      </c>
      <c r="M108" s="451" t="str">
        <f t="shared" ref="M108:AB123" si="161">IF(AND(M$2&gt;=$J108,M$2&lt;=$K108),1,"")</f>
        <v/>
      </c>
      <c r="N108" s="452" t="str">
        <f t="shared" si="161"/>
        <v/>
      </c>
      <c r="O108" s="452" t="str">
        <f t="shared" si="161"/>
        <v/>
      </c>
      <c r="P108" s="452" t="str">
        <f t="shared" si="161"/>
        <v/>
      </c>
      <c r="Q108" s="453" t="str">
        <f t="shared" si="161"/>
        <v/>
      </c>
      <c r="R108" s="451" t="str">
        <f t="shared" si="161"/>
        <v/>
      </c>
      <c r="S108" s="452" t="str">
        <f t="shared" si="161"/>
        <v/>
      </c>
      <c r="T108" s="452" t="str">
        <f t="shared" si="161"/>
        <v/>
      </c>
      <c r="U108" s="452" t="str">
        <f t="shared" si="161"/>
        <v/>
      </c>
      <c r="V108" s="453" t="str">
        <f t="shared" si="161"/>
        <v/>
      </c>
      <c r="W108" s="451" t="str">
        <f t="shared" si="161"/>
        <v/>
      </c>
      <c r="X108" s="452" t="str">
        <f t="shared" si="161"/>
        <v/>
      </c>
      <c r="Y108" s="452" t="str">
        <f t="shared" si="161"/>
        <v/>
      </c>
      <c r="Z108" s="452" t="str">
        <f t="shared" si="161"/>
        <v/>
      </c>
      <c r="AA108" s="453" t="str">
        <f t="shared" si="161"/>
        <v/>
      </c>
      <c r="AB108" s="451" t="str">
        <f t="shared" si="161"/>
        <v/>
      </c>
      <c r="AC108" s="452" t="str">
        <f t="shared" si="148"/>
        <v/>
      </c>
      <c r="AD108" s="452" t="str">
        <f t="shared" si="148"/>
        <v/>
      </c>
      <c r="AE108" s="452" t="str">
        <f t="shared" si="148"/>
        <v/>
      </c>
      <c r="AF108" s="453" t="str">
        <f t="shared" si="148"/>
        <v/>
      </c>
      <c r="AG108" s="451" t="str">
        <f t="shared" si="148"/>
        <v/>
      </c>
      <c r="AH108" s="452" t="str">
        <f t="shared" si="148"/>
        <v/>
      </c>
      <c r="AI108" s="452" t="str">
        <f t="shared" si="148"/>
        <v/>
      </c>
      <c r="AJ108" s="452" t="str">
        <f t="shared" si="148"/>
        <v/>
      </c>
      <c r="AK108" s="453" t="str">
        <f t="shared" si="148"/>
        <v/>
      </c>
      <c r="AL108" s="451" t="str">
        <f t="shared" si="148"/>
        <v/>
      </c>
      <c r="AM108" s="452" t="str">
        <f t="shared" si="148"/>
        <v/>
      </c>
      <c r="AN108" s="452" t="str">
        <f t="shared" si="148"/>
        <v/>
      </c>
      <c r="AO108" s="452" t="str">
        <f t="shared" si="148"/>
        <v/>
      </c>
      <c r="AP108" s="453" t="str">
        <f t="shared" si="148"/>
        <v/>
      </c>
      <c r="AQ108" s="451" t="str">
        <f t="shared" si="148"/>
        <v/>
      </c>
      <c r="AR108" s="452" t="str">
        <f t="shared" si="148"/>
        <v/>
      </c>
      <c r="AS108" s="452" t="str">
        <f t="shared" si="145"/>
        <v/>
      </c>
      <c r="AT108" s="452" t="str">
        <f t="shared" si="145"/>
        <v/>
      </c>
      <c r="AU108" s="453" t="str">
        <f t="shared" si="145"/>
        <v/>
      </c>
      <c r="AV108" s="451" t="str">
        <f t="shared" si="145"/>
        <v/>
      </c>
      <c r="AW108" s="452" t="str">
        <f t="shared" si="145"/>
        <v/>
      </c>
      <c r="AX108" s="452" t="str">
        <f t="shared" si="145"/>
        <v/>
      </c>
      <c r="AY108" s="452" t="str">
        <f t="shared" si="145"/>
        <v/>
      </c>
      <c r="AZ108" s="453" t="str">
        <f t="shared" si="145"/>
        <v/>
      </c>
      <c r="BA108" s="451" t="str">
        <f t="shared" si="145"/>
        <v/>
      </c>
      <c r="BB108" s="452" t="str">
        <f t="shared" si="145"/>
        <v/>
      </c>
      <c r="BC108" s="452" t="str">
        <f t="shared" si="145"/>
        <v/>
      </c>
      <c r="BD108" s="452" t="str">
        <f t="shared" si="145"/>
        <v/>
      </c>
      <c r="BE108" s="453" t="str">
        <f t="shared" si="145"/>
        <v/>
      </c>
      <c r="BF108" s="451" t="str">
        <f t="shared" si="145"/>
        <v/>
      </c>
      <c r="BG108" s="452" t="str">
        <f t="shared" si="145"/>
        <v/>
      </c>
      <c r="BH108" s="452" t="str">
        <f t="shared" si="154"/>
        <v/>
      </c>
      <c r="BI108" s="452" t="str">
        <f t="shared" si="154"/>
        <v/>
      </c>
      <c r="BJ108" s="453" t="str">
        <f t="shared" si="154"/>
        <v/>
      </c>
      <c r="BK108" s="451" t="str">
        <f t="shared" si="154"/>
        <v/>
      </c>
      <c r="BL108" s="452" t="str">
        <f t="shared" si="154"/>
        <v/>
      </c>
      <c r="BM108" s="452" t="str">
        <f t="shared" si="154"/>
        <v/>
      </c>
      <c r="BN108" s="452" t="str">
        <f t="shared" si="154"/>
        <v/>
      </c>
      <c r="BO108" s="453" t="str">
        <f t="shared" si="154"/>
        <v/>
      </c>
      <c r="BP108" s="451" t="str">
        <f t="shared" si="154"/>
        <v/>
      </c>
      <c r="BQ108" s="452" t="str">
        <f t="shared" si="154"/>
        <v/>
      </c>
      <c r="BR108" s="452" t="str">
        <f t="shared" si="154"/>
        <v/>
      </c>
      <c r="BS108" s="452" t="str">
        <f t="shared" si="154"/>
        <v/>
      </c>
      <c r="BT108" s="453" t="str">
        <f t="shared" si="154"/>
        <v/>
      </c>
      <c r="BU108" s="451" t="str">
        <f t="shared" si="154"/>
        <v/>
      </c>
      <c r="BV108" s="452" t="str">
        <f t="shared" si="154"/>
        <v/>
      </c>
      <c r="BW108" s="452" t="str">
        <f t="shared" si="154"/>
        <v/>
      </c>
      <c r="BX108" s="452" t="str">
        <f t="shared" si="146"/>
        <v/>
      </c>
      <c r="BY108" s="453" t="str">
        <f t="shared" si="146"/>
        <v/>
      </c>
      <c r="BZ108" s="451" t="str">
        <f t="shared" si="146"/>
        <v/>
      </c>
      <c r="CA108" s="452" t="str">
        <f t="shared" si="146"/>
        <v/>
      </c>
      <c r="CB108" s="452" t="str">
        <f t="shared" si="146"/>
        <v/>
      </c>
      <c r="CC108" s="452" t="str">
        <f t="shared" si="146"/>
        <v/>
      </c>
      <c r="CD108" s="453" t="str">
        <f t="shared" si="146"/>
        <v/>
      </c>
      <c r="CE108" s="451" t="str">
        <f t="shared" si="146"/>
        <v/>
      </c>
      <c r="CF108" s="452" t="str">
        <f t="shared" si="146"/>
        <v/>
      </c>
      <c r="CG108" s="452" t="str">
        <f t="shared" si="146"/>
        <v/>
      </c>
      <c r="CH108" s="452" t="str">
        <f t="shared" si="146"/>
        <v/>
      </c>
      <c r="CI108" s="453" t="str">
        <f t="shared" si="146"/>
        <v/>
      </c>
      <c r="CJ108" s="451" t="str">
        <f t="shared" si="146"/>
        <v/>
      </c>
      <c r="CK108" s="452" t="str">
        <f t="shared" si="146"/>
        <v/>
      </c>
      <c r="CL108" s="452" t="str">
        <f t="shared" si="146"/>
        <v/>
      </c>
      <c r="CM108" s="452" t="str">
        <f t="shared" si="146"/>
        <v/>
      </c>
      <c r="CN108" s="453" t="str">
        <f t="shared" si="158"/>
        <v/>
      </c>
      <c r="CO108" s="451" t="str">
        <f t="shared" si="158"/>
        <v/>
      </c>
      <c r="CP108" s="452" t="str">
        <f t="shared" si="158"/>
        <v/>
      </c>
      <c r="CQ108" s="452" t="str">
        <f t="shared" si="158"/>
        <v/>
      </c>
      <c r="CR108" s="452" t="str">
        <f t="shared" si="158"/>
        <v/>
      </c>
      <c r="CS108" s="453" t="str">
        <f t="shared" si="158"/>
        <v/>
      </c>
      <c r="CT108" s="451" t="str">
        <f t="shared" si="158"/>
        <v/>
      </c>
      <c r="CU108" s="452" t="str">
        <f t="shared" si="158"/>
        <v/>
      </c>
      <c r="CV108" s="452" t="str">
        <f t="shared" si="158"/>
        <v/>
      </c>
      <c r="CW108" s="452" t="str">
        <f t="shared" si="158"/>
        <v/>
      </c>
      <c r="CX108" s="453" t="str">
        <f t="shared" si="158"/>
        <v/>
      </c>
      <c r="CY108" s="451" t="str">
        <f t="shared" si="158"/>
        <v/>
      </c>
      <c r="CZ108" s="452" t="str">
        <f t="shared" si="158"/>
        <v/>
      </c>
      <c r="DA108" s="452" t="str">
        <f t="shared" si="158"/>
        <v/>
      </c>
      <c r="DB108" s="452" t="str">
        <f t="shared" si="158"/>
        <v/>
      </c>
      <c r="DC108" s="453" t="str">
        <f t="shared" si="158"/>
        <v/>
      </c>
      <c r="DD108" s="451" t="str">
        <f t="shared" si="158"/>
        <v/>
      </c>
      <c r="DE108" s="452" t="str">
        <f t="shared" si="158"/>
        <v/>
      </c>
      <c r="DF108" s="452" t="str">
        <f t="shared" si="158"/>
        <v/>
      </c>
      <c r="DG108" s="452" t="str">
        <f t="shared" si="158"/>
        <v/>
      </c>
      <c r="DH108" s="453" t="str">
        <f t="shared" si="158"/>
        <v/>
      </c>
      <c r="DI108" s="451" t="str">
        <f t="shared" si="158"/>
        <v/>
      </c>
      <c r="DJ108" s="452" t="str">
        <f t="shared" si="158"/>
        <v/>
      </c>
      <c r="DK108" s="452" t="str">
        <f t="shared" si="158"/>
        <v/>
      </c>
      <c r="DL108" s="452" t="str">
        <f t="shared" si="158"/>
        <v/>
      </c>
      <c r="DM108" s="453" t="str">
        <f t="shared" si="158"/>
        <v/>
      </c>
      <c r="DN108" s="451" t="str">
        <f t="shared" si="158"/>
        <v/>
      </c>
      <c r="DO108" s="452" t="str">
        <f t="shared" si="158"/>
        <v/>
      </c>
      <c r="DP108" s="452" t="str">
        <f t="shared" si="158"/>
        <v/>
      </c>
      <c r="DQ108" s="452" t="str">
        <f t="shared" si="158"/>
        <v/>
      </c>
      <c r="DR108" s="453" t="str">
        <f t="shared" si="158"/>
        <v/>
      </c>
      <c r="DS108" s="451" t="str">
        <f t="shared" si="158"/>
        <v/>
      </c>
      <c r="DT108" s="452" t="str">
        <f t="shared" si="158"/>
        <v/>
      </c>
      <c r="DU108" s="452" t="str">
        <f t="shared" si="149"/>
        <v/>
      </c>
      <c r="DV108" s="452" t="str">
        <f t="shared" si="149"/>
        <v/>
      </c>
      <c r="DW108" s="453" t="str">
        <f t="shared" si="149"/>
        <v/>
      </c>
      <c r="DX108" s="451" t="str">
        <f t="shared" si="149"/>
        <v/>
      </c>
      <c r="DY108" s="452" t="str">
        <f t="shared" si="149"/>
        <v/>
      </c>
      <c r="DZ108" s="452" t="str">
        <f t="shared" si="149"/>
        <v/>
      </c>
      <c r="EA108" s="452" t="str">
        <f t="shared" si="149"/>
        <v/>
      </c>
      <c r="EB108" s="453" t="str">
        <f t="shared" si="149"/>
        <v/>
      </c>
      <c r="EC108" s="451" t="str">
        <f t="shared" si="149"/>
        <v/>
      </c>
      <c r="ED108" s="452" t="str">
        <f t="shared" si="149"/>
        <v/>
      </c>
      <c r="EE108" s="452" t="str">
        <f t="shared" si="149"/>
        <v/>
      </c>
      <c r="EF108" s="452" t="str">
        <f t="shared" si="149"/>
        <v/>
      </c>
      <c r="EG108" s="453" t="str">
        <f t="shared" si="149"/>
        <v/>
      </c>
      <c r="EH108" s="451" t="str">
        <f t="shared" si="149"/>
        <v/>
      </c>
      <c r="EI108" s="452" t="str">
        <f t="shared" si="149"/>
        <v/>
      </c>
      <c r="EJ108" s="452" t="str">
        <f t="shared" si="149"/>
        <v/>
      </c>
      <c r="EK108" s="452" t="str">
        <f t="shared" si="152"/>
        <v/>
      </c>
      <c r="EL108" s="453" t="str">
        <f t="shared" si="152"/>
        <v/>
      </c>
      <c r="EM108" s="451" t="str">
        <f t="shared" si="152"/>
        <v/>
      </c>
      <c r="EN108" s="452" t="str">
        <f t="shared" si="152"/>
        <v/>
      </c>
      <c r="EO108" s="452" t="str">
        <f t="shared" si="152"/>
        <v/>
      </c>
      <c r="EP108" s="452" t="str">
        <f t="shared" si="152"/>
        <v/>
      </c>
      <c r="EQ108" s="453" t="str">
        <f t="shared" si="152"/>
        <v/>
      </c>
      <c r="ER108" s="451" t="str">
        <f t="shared" si="152"/>
        <v/>
      </c>
      <c r="ES108" s="452" t="str">
        <f t="shared" si="152"/>
        <v/>
      </c>
      <c r="ET108" s="452" t="str">
        <f t="shared" si="152"/>
        <v/>
      </c>
      <c r="EU108" s="452" t="str">
        <f t="shared" si="152"/>
        <v/>
      </c>
      <c r="EV108" s="453" t="str">
        <f t="shared" si="152"/>
        <v/>
      </c>
      <c r="EW108" s="451" t="str">
        <f t="shared" si="152"/>
        <v/>
      </c>
      <c r="EX108" s="452" t="str">
        <f t="shared" si="152"/>
        <v/>
      </c>
      <c r="EY108" s="452" t="str">
        <f t="shared" si="152"/>
        <v/>
      </c>
      <c r="EZ108" s="452" t="str">
        <f t="shared" si="152"/>
        <v/>
      </c>
      <c r="FA108" s="453" t="str">
        <f t="shared" si="150"/>
        <v/>
      </c>
      <c r="FB108" s="451" t="str">
        <f t="shared" si="150"/>
        <v/>
      </c>
      <c r="FC108" s="452" t="str">
        <f t="shared" si="150"/>
        <v/>
      </c>
      <c r="FD108" s="452" t="str">
        <f t="shared" si="150"/>
        <v/>
      </c>
      <c r="FE108" s="452" t="str">
        <f t="shared" si="150"/>
        <v/>
      </c>
      <c r="FF108" s="453" t="str">
        <f t="shared" si="150"/>
        <v/>
      </c>
      <c r="FG108" s="451" t="str">
        <f t="shared" si="150"/>
        <v/>
      </c>
      <c r="FH108" s="452" t="str">
        <f t="shared" si="150"/>
        <v/>
      </c>
      <c r="FI108" s="452" t="str">
        <f t="shared" si="150"/>
        <v/>
      </c>
      <c r="FJ108" s="452" t="str">
        <f t="shared" si="150"/>
        <v/>
      </c>
      <c r="FK108" s="453" t="str">
        <f t="shared" si="150"/>
        <v/>
      </c>
      <c r="FL108" s="451" t="str">
        <f t="shared" si="150"/>
        <v/>
      </c>
      <c r="FM108" s="452" t="str">
        <f t="shared" si="150"/>
        <v/>
      </c>
      <c r="FN108" s="452" t="str">
        <f t="shared" si="150"/>
        <v/>
      </c>
      <c r="FO108" s="452" t="str">
        <f t="shared" si="150"/>
        <v/>
      </c>
      <c r="FP108" s="453" t="str">
        <f t="shared" si="160"/>
        <v/>
      </c>
      <c r="FQ108" s="451" t="str">
        <f t="shared" si="160"/>
        <v/>
      </c>
      <c r="FR108" s="452" t="str">
        <f t="shared" si="160"/>
        <v/>
      </c>
      <c r="FS108" s="452" t="str">
        <f t="shared" si="160"/>
        <v/>
      </c>
      <c r="FT108" s="452" t="str">
        <f t="shared" si="160"/>
        <v/>
      </c>
      <c r="FU108" s="453" t="str">
        <f t="shared" si="160"/>
        <v/>
      </c>
      <c r="FV108" s="451" t="str">
        <f t="shared" si="160"/>
        <v/>
      </c>
      <c r="FW108" s="452" t="str">
        <f t="shared" si="160"/>
        <v/>
      </c>
      <c r="FX108" s="452" t="str">
        <f t="shared" si="160"/>
        <v/>
      </c>
      <c r="FY108" s="452" t="str">
        <f t="shared" si="160"/>
        <v/>
      </c>
      <c r="FZ108" s="453" t="str">
        <f t="shared" si="160"/>
        <v/>
      </c>
      <c r="GA108" s="451" t="str">
        <f t="shared" si="160"/>
        <v/>
      </c>
      <c r="GB108" s="452" t="str">
        <f t="shared" si="153"/>
        <v/>
      </c>
      <c r="GC108" s="452" t="str">
        <f t="shared" si="153"/>
        <v/>
      </c>
      <c r="GD108" s="452" t="str">
        <f t="shared" si="153"/>
        <v/>
      </c>
      <c r="GE108" s="453" t="str">
        <f t="shared" si="153"/>
        <v/>
      </c>
      <c r="GF108" s="451" t="str">
        <f t="shared" si="153"/>
        <v/>
      </c>
      <c r="GG108" s="452" t="str">
        <f t="shared" si="153"/>
        <v/>
      </c>
      <c r="GH108" s="452" t="str">
        <f t="shared" si="153"/>
        <v/>
      </c>
      <c r="GI108" s="452" t="str">
        <f t="shared" si="153"/>
        <v/>
      </c>
      <c r="GJ108" s="453" t="str">
        <f t="shared" si="153"/>
        <v/>
      </c>
      <c r="GK108" s="451" t="str">
        <f t="shared" si="153"/>
        <v/>
      </c>
      <c r="GL108" s="452" t="str">
        <f t="shared" si="153"/>
        <v/>
      </c>
      <c r="GM108" s="452" t="str">
        <f t="shared" si="153"/>
        <v/>
      </c>
      <c r="GN108" s="452" t="str">
        <f t="shared" si="153"/>
        <v/>
      </c>
      <c r="GO108" s="453" t="str">
        <f t="shared" si="151"/>
        <v/>
      </c>
      <c r="GP108" s="451" t="str">
        <f t="shared" si="151"/>
        <v/>
      </c>
      <c r="GQ108" s="452" t="str">
        <f t="shared" si="151"/>
        <v/>
      </c>
      <c r="GR108" s="452" t="str">
        <f t="shared" si="151"/>
        <v/>
      </c>
      <c r="GS108" s="452" t="str">
        <f t="shared" si="151"/>
        <v/>
      </c>
      <c r="GT108" s="453" t="str">
        <f t="shared" si="151"/>
        <v/>
      </c>
      <c r="GU108" s="451" t="str">
        <f t="shared" si="151"/>
        <v/>
      </c>
      <c r="GV108" s="452" t="str">
        <f t="shared" si="151"/>
        <v/>
      </c>
      <c r="GW108" s="452" t="str">
        <f t="shared" si="151"/>
        <v/>
      </c>
      <c r="GX108" s="452" t="str">
        <f t="shared" si="151"/>
        <v/>
      </c>
      <c r="GY108" s="453" t="str">
        <f t="shared" si="151"/>
        <v/>
      </c>
      <c r="GZ108" s="451" t="str">
        <f t="shared" si="151"/>
        <v/>
      </c>
      <c r="HA108" s="452" t="str">
        <f t="shared" si="151"/>
        <v/>
      </c>
      <c r="HB108" s="452" t="str">
        <f t="shared" si="151"/>
        <v/>
      </c>
      <c r="HC108" s="452" t="str">
        <f t="shared" si="151"/>
        <v/>
      </c>
      <c r="HD108" s="453" t="str">
        <f t="shared" si="151"/>
        <v/>
      </c>
      <c r="HE108" s="451" t="str">
        <f t="shared" si="157"/>
        <v/>
      </c>
      <c r="HF108" s="452" t="str">
        <f t="shared" si="157"/>
        <v/>
      </c>
      <c r="HG108" s="452" t="str">
        <f t="shared" si="157"/>
        <v/>
      </c>
      <c r="HH108" s="452" t="str">
        <f t="shared" si="157"/>
        <v/>
      </c>
      <c r="HI108" s="453" t="str">
        <f t="shared" si="157"/>
        <v/>
      </c>
      <c r="HJ108" s="451" t="str">
        <f t="shared" si="157"/>
        <v/>
      </c>
      <c r="HK108" s="452" t="str">
        <f t="shared" si="157"/>
        <v/>
      </c>
      <c r="HL108" s="452" t="str">
        <f t="shared" si="157"/>
        <v/>
      </c>
      <c r="HM108" s="452" t="str">
        <f t="shared" si="157"/>
        <v/>
      </c>
      <c r="HN108" s="453" t="str">
        <f t="shared" si="157"/>
        <v/>
      </c>
      <c r="HO108" s="451" t="str">
        <f t="shared" si="157"/>
        <v/>
      </c>
      <c r="HP108" s="452" t="str">
        <f t="shared" si="157"/>
        <v/>
      </c>
      <c r="HQ108" s="452" t="str">
        <f t="shared" si="157"/>
        <v/>
      </c>
      <c r="HR108" s="452" t="str">
        <f t="shared" si="157"/>
        <v/>
      </c>
      <c r="HS108" s="453" t="str">
        <f t="shared" si="157"/>
        <v/>
      </c>
      <c r="HT108" s="451" t="str">
        <f t="shared" si="157"/>
        <v/>
      </c>
      <c r="HU108" s="452" t="str">
        <f t="shared" si="144"/>
        <v/>
      </c>
      <c r="HV108" s="452" t="str">
        <f t="shared" si="144"/>
        <v/>
      </c>
      <c r="HW108" s="452" t="str">
        <f t="shared" si="144"/>
        <v/>
      </c>
      <c r="HX108" s="453" t="str">
        <f t="shared" si="144"/>
        <v/>
      </c>
      <c r="HY108" s="451" t="str">
        <f t="shared" si="144"/>
        <v/>
      </c>
      <c r="HZ108" s="452" t="str">
        <f t="shared" si="143"/>
        <v/>
      </c>
      <c r="IA108" s="452" t="str">
        <f t="shared" si="143"/>
        <v/>
      </c>
      <c r="IB108" s="452" t="str">
        <f t="shared" si="143"/>
        <v/>
      </c>
      <c r="IC108" s="453" t="str">
        <f t="shared" si="143"/>
        <v/>
      </c>
      <c r="ID108" s="451" t="str">
        <f t="shared" si="143"/>
        <v/>
      </c>
      <c r="IE108" s="452" t="str">
        <f t="shared" si="143"/>
        <v/>
      </c>
      <c r="IF108" s="452" t="str">
        <f t="shared" si="143"/>
        <v/>
      </c>
      <c r="IG108" s="452" t="str">
        <f t="shared" si="143"/>
        <v/>
      </c>
      <c r="IH108" s="453" t="str">
        <f t="shared" si="143"/>
        <v/>
      </c>
      <c r="II108" s="451" t="str">
        <f t="shared" si="143"/>
        <v/>
      </c>
      <c r="IJ108" s="452" t="str">
        <f t="shared" si="143"/>
        <v/>
      </c>
      <c r="IK108" s="452" t="str">
        <f t="shared" si="143"/>
        <v/>
      </c>
      <c r="IL108" s="452" t="str">
        <f t="shared" si="143"/>
        <v/>
      </c>
      <c r="IM108" s="453" t="str">
        <f t="shared" si="147"/>
        <v/>
      </c>
      <c r="IN108" s="451" t="str">
        <f t="shared" si="147"/>
        <v/>
      </c>
      <c r="IO108" s="452" t="str">
        <f t="shared" si="147"/>
        <v/>
      </c>
      <c r="IP108" s="452" t="str">
        <f t="shared" si="147"/>
        <v/>
      </c>
      <c r="IQ108" s="452" t="str">
        <f t="shared" si="147"/>
        <v/>
      </c>
      <c r="IR108" s="453" t="str">
        <f t="shared" si="147"/>
        <v/>
      </c>
    </row>
    <row r="109" spans="1:252" x14ac:dyDescent="0.2">
      <c r="A109" s="461">
        <v>10.6</v>
      </c>
      <c r="C109" s="447" t="s">
        <v>1356</v>
      </c>
      <c r="D109" s="447"/>
      <c r="E109" s="448"/>
      <c r="F109" s="448"/>
      <c r="G109" s="448"/>
      <c r="H109" s="448"/>
      <c r="I109" s="448"/>
      <c r="J109" s="449" t="str">
        <f t="shared" si="155"/>
        <v/>
      </c>
      <c r="K109" s="449" t="str">
        <f t="shared" si="156"/>
        <v/>
      </c>
      <c r="L109" s="450">
        <f t="shared" si="101"/>
        <v>0</v>
      </c>
      <c r="M109" s="451" t="str">
        <f t="shared" si="161"/>
        <v/>
      </c>
      <c r="N109" s="452" t="str">
        <f t="shared" si="161"/>
        <v/>
      </c>
      <c r="O109" s="452" t="str">
        <f t="shared" si="161"/>
        <v/>
      </c>
      <c r="P109" s="452" t="str">
        <f t="shared" si="161"/>
        <v/>
      </c>
      <c r="Q109" s="453" t="str">
        <f t="shared" si="161"/>
        <v/>
      </c>
      <c r="R109" s="451" t="str">
        <f t="shared" si="161"/>
        <v/>
      </c>
      <c r="S109" s="452" t="str">
        <f t="shared" si="161"/>
        <v/>
      </c>
      <c r="T109" s="452" t="str">
        <f t="shared" si="161"/>
        <v/>
      </c>
      <c r="U109" s="452" t="str">
        <f t="shared" si="161"/>
        <v/>
      </c>
      <c r="V109" s="453" t="str">
        <f t="shared" si="161"/>
        <v/>
      </c>
      <c r="W109" s="451" t="str">
        <f t="shared" si="161"/>
        <v/>
      </c>
      <c r="X109" s="452" t="str">
        <f t="shared" si="161"/>
        <v/>
      </c>
      <c r="Y109" s="452" t="str">
        <f t="shared" si="161"/>
        <v/>
      </c>
      <c r="Z109" s="452" t="str">
        <f t="shared" si="161"/>
        <v/>
      </c>
      <c r="AA109" s="453" t="str">
        <f t="shared" si="161"/>
        <v/>
      </c>
      <c r="AB109" s="451" t="str">
        <f t="shared" si="161"/>
        <v/>
      </c>
      <c r="AC109" s="452" t="str">
        <f t="shared" si="148"/>
        <v/>
      </c>
      <c r="AD109" s="452" t="str">
        <f t="shared" si="148"/>
        <v/>
      </c>
      <c r="AE109" s="452" t="str">
        <f t="shared" si="148"/>
        <v/>
      </c>
      <c r="AF109" s="453" t="str">
        <f t="shared" si="148"/>
        <v/>
      </c>
      <c r="AG109" s="451" t="str">
        <f t="shared" si="148"/>
        <v/>
      </c>
      <c r="AH109" s="452" t="str">
        <f t="shared" si="148"/>
        <v/>
      </c>
      <c r="AI109" s="452" t="str">
        <f t="shared" si="148"/>
        <v/>
      </c>
      <c r="AJ109" s="452" t="str">
        <f t="shared" si="148"/>
        <v/>
      </c>
      <c r="AK109" s="453" t="str">
        <f t="shared" si="148"/>
        <v/>
      </c>
      <c r="AL109" s="451" t="str">
        <f t="shared" si="148"/>
        <v/>
      </c>
      <c r="AM109" s="452" t="str">
        <f t="shared" si="148"/>
        <v/>
      </c>
      <c r="AN109" s="452" t="str">
        <f t="shared" si="148"/>
        <v/>
      </c>
      <c r="AO109" s="452" t="str">
        <f t="shared" si="148"/>
        <v/>
      </c>
      <c r="AP109" s="453" t="str">
        <f t="shared" si="148"/>
        <v/>
      </c>
      <c r="AQ109" s="451" t="str">
        <f t="shared" si="148"/>
        <v/>
      </c>
      <c r="AR109" s="452" t="str">
        <f t="shared" si="148"/>
        <v/>
      </c>
      <c r="AS109" s="452" t="str">
        <f t="shared" si="145"/>
        <v/>
      </c>
      <c r="AT109" s="452" t="str">
        <f t="shared" si="145"/>
        <v/>
      </c>
      <c r="AU109" s="453" t="str">
        <f t="shared" si="145"/>
        <v/>
      </c>
      <c r="AV109" s="451" t="str">
        <f t="shared" si="145"/>
        <v/>
      </c>
      <c r="AW109" s="452" t="str">
        <f t="shared" si="145"/>
        <v/>
      </c>
      <c r="AX109" s="452" t="str">
        <f t="shared" si="145"/>
        <v/>
      </c>
      <c r="AY109" s="452" t="str">
        <f t="shared" si="145"/>
        <v/>
      </c>
      <c r="AZ109" s="453" t="str">
        <f t="shared" si="145"/>
        <v/>
      </c>
      <c r="BA109" s="451" t="str">
        <f t="shared" si="145"/>
        <v/>
      </c>
      <c r="BB109" s="452" t="str">
        <f t="shared" si="145"/>
        <v/>
      </c>
      <c r="BC109" s="452" t="str">
        <f t="shared" si="145"/>
        <v/>
      </c>
      <c r="BD109" s="452" t="str">
        <f t="shared" si="145"/>
        <v/>
      </c>
      <c r="BE109" s="453" t="str">
        <f t="shared" si="145"/>
        <v/>
      </c>
      <c r="BF109" s="451" t="str">
        <f t="shared" si="145"/>
        <v/>
      </c>
      <c r="BG109" s="452" t="str">
        <f t="shared" si="145"/>
        <v/>
      </c>
      <c r="BH109" s="452" t="str">
        <f t="shared" si="154"/>
        <v/>
      </c>
      <c r="BI109" s="452" t="str">
        <f t="shared" si="154"/>
        <v/>
      </c>
      <c r="BJ109" s="453" t="str">
        <f t="shared" si="154"/>
        <v/>
      </c>
      <c r="BK109" s="451" t="str">
        <f t="shared" si="154"/>
        <v/>
      </c>
      <c r="BL109" s="452" t="str">
        <f t="shared" si="154"/>
        <v/>
      </c>
      <c r="BM109" s="452" t="str">
        <f t="shared" si="154"/>
        <v/>
      </c>
      <c r="BN109" s="452" t="str">
        <f t="shared" si="154"/>
        <v/>
      </c>
      <c r="BO109" s="453" t="str">
        <f t="shared" si="154"/>
        <v/>
      </c>
      <c r="BP109" s="451" t="str">
        <f t="shared" si="154"/>
        <v/>
      </c>
      <c r="BQ109" s="452" t="str">
        <f t="shared" si="154"/>
        <v/>
      </c>
      <c r="BR109" s="452" t="str">
        <f t="shared" si="154"/>
        <v/>
      </c>
      <c r="BS109" s="452" t="str">
        <f t="shared" si="154"/>
        <v/>
      </c>
      <c r="BT109" s="453" t="str">
        <f t="shared" si="154"/>
        <v/>
      </c>
      <c r="BU109" s="451" t="str">
        <f t="shared" si="154"/>
        <v/>
      </c>
      <c r="BV109" s="452" t="str">
        <f t="shared" si="154"/>
        <v/>
      </c>
      <c r="BW109" s="452" t="str">
        <f t="shared" si="154"/>
        <v/>
      </c>
      <c r="BX109" s="452" t="str">
        <f t="shared" si="146"/>
        <v/>
      </c>
      <c r="BY109" s="453" t="str">
        <f t="shared" si="146"/>
        <v/>
      </c>
      <c r="BZ109" s="451" t="str">
        <f t="shared" si="146"/>
        <v/>
      </c>
      <c r="CA109" s="452" t="str">
        <f t="shared" si="146"/>
        <v/>
      </c>
      <c r="CB109" s="452" t="str">
        <f t="shared" si="146"/>
        <v/>
      </c>
      <c r="CC109" s="452" t="str">
        <f t="shared" si="146"/>
        <v/>
      </c>
      <c r="CD109" s="453" t="str">
        <f t="shared" si="146"/>
        <v/>
      </c>
      <c r="CE109" s="451" t="str">
        <f t="shared" si="146"/>
        <v/>
      </c>
      <c r="CF109" s="452" t="str">
        <f t="shared" si="146"/>
        <v/>
      </c>
      <c r="CG109" s="452" t="str">
        <f t="shared" si="146"/>
        <v/>
      </c>
      <c r="CH109" s="452" t="str">
        <f t="shared" si="146"/>
        <v/>
      </c>
      <c r="CI109" s="453" t="str">
        <f t="shared" si="146"/>
        <v/>
      </c>
      <c r="CJ109" s="451" t="str">
        <f t="shared" si="146"/>
        <v/>
      </c>
      <c r="CK109" s="452" t="str">
        <f t="shared" si="146"/>
        <v/>
      </c>
      <c r="CL109" s="452" t="str">
        <f t="shared" si="146"/>
        <v/>
      </c>
      <c r="CM109" s="452" t="str">
        <f t="shared" si="146"/>
        <v/>
      </c>
      <c r="CN109" s="453" t="str">
        <f t="shared" si="158"/>
        <v/>
      </c>
      <c r="CO109" s="451" t="str">
        <f t="shared" si="158"/>
        <v/>
      </c>
      <c r="CP109" s="452" t="str">
        <f t="shared" si="158"/>
        <v/>
      </c>
      <c r="CQ109" s="452" t="str">
        <f t="shared" si="158"/>
        <v/>
      </c>
      <c r="CR109" s="452" t="str">
        <f t="shared" si="158"/>
        <v/>
      </c>
      <c r="CS109" s="453" t="str">
        <f t="shared" si="158"/>
        <v/>
      </c>
      <c r="CT109" s="451" t="str">
        <f t="shared" si="158"/>
        <v/>
      </c>
      <c r="CU109" s="452" t="str">
        <f t="shared" si="158"/>
        <v/>
      </c>
      <c r="CV109" s="452" t="str">
        <f t="shared" si="158"/>
        <v/>
      </c>
      <c r="CW109" s="452" t="str">
        <f t="shared" si="158"/>
        <v/>
      </c>
      <c r="CX109" s="453" t="str">
        <f t="shared" si="158"/>
        <v/>
      </c>
      <c r="CY109" s="451" t="str">
        <f t="shared" si="158"/>
        <v/>
      </c>
      <c r="CZ109" s="452" t="str">
        <f t="shared" si="158"/>
        <v/>
      </c>
      <c r="DA109" s="452" t="str">
        <f t="shared" si="158"/>
        <v/>
      </c>
      <c r="DB109" s="452" t="str">
        <f t="shared" si="158"/>
        <v/>
      </c>
      <c r="DC109" s="453" t="str">
        <f t="shared" si="158"/>
        <v/>
      </c>
      <c r="DD109" s="451" t="str">
        <f t="shared" si="158"/>
        <v/>
      </c>
      <c r="DE109" s="452" t="str">
        <f t="shared" si="158"/>
        <v/>
      </c>
      <c r="DF109" s="452" t="str">
        <f t="shared" si="158"/>
        <v/>
      </c>
      <c r="DG109" s="452" t="str">
        <f t="shared" si="158"/>
        <v/>
      </c>
      <c r="DH109" s="453" t="str">
        <f t="shared" si="158"/>
        <v/>
      </c>
      <c r="DI109" s="451" t="str">
        <f t="shared" si="158"/>
        <v/>
      </c>
      <c r="DJ109" s="452" t="str">
        <f t="shared" si="158"/>
        <v/>
      </c>
      <c r="DK109" s="452" t="str">
        <f t="shared" si="158"/>
        <v/>
      </c>
      <c r="DL109" s="452" t="str">
        <f t="shared" si="158"/>
        <v/>
      </c>
      <c r="DM109" s="453" t="str">
        <f t="shared" si="158"/>
        <v/>
      </c>
      <c r="DN109" s="451" t="str">
        <f t="shared" si="158"/>
        <v/>
      </c>
      <c r="DO109" s="452" t="str">
        <f t="shared" si="158"/>
        <v/>
      </c>
      <c r="DP109" s="452" t="str">
        <f t="shared" si="158"/>
        <v/>
      </c>
      <c r="DQ109" s="452" t="str">
        <f t="shared" si="158"/>
        <v/>
      </c>
      <c r="DR109" s="453" t="str">
        <f t="shared" si="158"/>
        <v/>
      </c>
      <c r="DS109" s="451" t="str">
        <f t="shared" si="158"/>
        <v/>
      </c>
      <c r="DT109" s="452" t="str">
        <f t="shared" si="158"/>
        <v/>
      </c>
      <c r="DU109" s="452" t="str">
        <f t="shared" si="158"/>
        <v/>
      </c>
      <c r="DV109" s="452" t="str">
        <f t="shared" si="158"/>
        <v/>
      </c>
      <c r="DW109" s="453" t="str">
        <f t="shared" si="158"/>
        <v/>
      </c>
      <c r="DX109" s="451" t="str">
        <f t="shared" si="158"/>
        <v/>
      </c>
      <c r="DY109" s="452" t="str">
        <f t="shared" si="149"/>
        <v/>
      </c>
      <c r="DZ109" s="452" t="str">
        <f t="shared" si="149"/>
        <v/>
      </c>
      <c r="EA109" s="452" t="str">
        <f t="shared" si="149"/>
        <v/>
      </c>
      <c r="EB109" s="453" t="str">
        <f t="shared" si="149"/>
        <v/>
      </c>
      <c r="EC109" s="451" t="str">
        <f t="shared" si="149"/>
        <v/>
      </c>
      <c r="ED109" s="452" t="str">
        <f t="shared" si="149"/>
        <v/>
      </c>
      <c r="EE109" s="452" t="str">
        <f t="shared" si="149"/>
        <v/>
      </c>
      <c r="EF109" s="452" t="str">
        <f t="shared" si="149"/>
        <v/>
      </c>
      <c r="EG109" s="453" t="str">
        <f t="shared" si="149"/>
        <v/>
      </c>
      <c r="EH109" s="451" t="str">
        <f t="shared" si="149"/>
        <v/>
      </c>
      <c r="EI109" s="452" t="str">
        <f t="shared" si="149"/>
        <v/>
      </c>
      <c r="EJ109" s="452" t="str">
        <f t="shared" si="149"/>
        <v/>
      </c>
      <c r="EK109" s="452" t="str">
        <f t="shared" si="152"/>
        <v/>
      </c>
      <c r="EL109" s="453" t="str">
        <f t="shared" si="152"/>
        <v/>
      </c>
      <c r="EM109" s="451" t="str">
        <f t="shared" si="152"/>
        <v/>
      </c>
      <c r="EN109" s="452" t="str">
        <f t="shared" si="152"/>
        <v/>
      </c>
      <c r="EO109" s="452" t="str">
        <f t="shared" si="152"/>
        <v/>
      </c>
      <c r="EP109" s="452" t="str">
        <f t="shared" si="152"/>
        <v/>
      </c>
      <c r="EQ109" s="453" t="str">
        <f t="shared" si="152"/>
        <v/>
      </c>
      <c r="ER109" s="451" t="str">
        <f t="shared" si="152"/>
        <v/>
      </c>
      <c r="ES109" s="452" t="str">
        <f t="shared" si="152"/>
        <v/>
      </c>
      <c r="ET109" s="452" t="str">
        <f t="shared" si="152"/>
        <v/>
      </c>
      <c r="EU109" s="452" t="str">
        <f t="shared" si="152"/>
        <v/>
      </c>
      <c r="EV109" s="453" t="str">
        <f t="shared" si="152"/>
        <v/>
      </c>
      <c r="EW109" s="451" t="str">
        <f t="shared" si="152"/>
        <v/>
      </c>
      <c r="EX109" s="452" t="str">
        <f t="shared" si="152"/>
        <v/>
      </c>
      <c r="EY109" s="452" t="str">
        <f t="shared" si="152"/>
        <v/>
      </c>
      <c r="EZ109" s="452" t="str">
        <f t="shared" si="152"/>
        <v/>
      </c>
      <c r="FA109" s="453" t="str">
        <f t="shared" si="150"/>
        <v/>
      </c>
      <c r="FB109" s="451" t="str">
        <f t="shared" si="150"/>
        <v/>
      </c>
      <c r="FC109" s="452" t="str">
        <f t="shared" si="150"/>
        <v/>
      </c>
      <c r="FD109" s="452" t="str">
        <f t="shared" si="150"/>
        <v/>
      </c>
      <c r="FE109" s="452" t="str">
        <f t="shared" si="150"/>
        <v/>
      </c>
      <c r="FF109" s="453" t="str">
        <f t="shared" si="150"/>
        <v/>
      </c>
      <c r="FG109" s="451" t="str">
        <f t="shared" si="150"/>
        <v/>
      </c>
      <c r="FH109" s="452" t="str">
        <f t="shared" si="150"/>
        <v/>
      </c>
      <c r="FI109" s="452" t="str">
        <f t="shared" si="150"/>
        <v/>
      </c>
      <c r="FJ109" s="452" t="str">
        <f t="shared" si="150"/>
        <v/>
      </c>
      <c r="FK109" s="453" t="str">
        <f t="shared" si="150"/>
        <v/>
      </c>
      <c r="FL109" s="451" t="str">
        <f t="shared" si="150"/>
        <v/>
      </c>
      <c r="FM109" s="452" t="str">
        <f t="shared" si="150"/>
        <v/>
      </c>
      <c r="FN109" s="452" t="str">
        <f t="shared" si="150"/>
        <v/>
      </c>
      <c r="FO109" s="452" t="str">
        <f t="shared" si="150"/>
        <v/>
      </c>
      <c r="FP109" s="453" t="str">
        <f t="shared" si="160"/>
        <v/>
      </c>
      <c r="FQ109" s="451" t="str">
        <f t="shared" si="160"/>
        <v/>
      </c>
      <c r="FR109" s="452" t="str">
        <f t="shared" si="160"/>
        <v/>
      </c>
      <c r="FS109" s="452" t="str">
        <f t="shared" si="160"/>
        <v/>
      </c>
      <c r="FT109" s="452" t="str">
        <f t="shared" si="160"/>
        <v/>
      </c>
      <c r="FU109" s="453" t="str">
        <f t="shared" si="160"/>
        <v/>
      </c>
      <c r="FV109" s="451" t="str">
        <f t="shared" si="160"/>
        <v/>
      </c>
      <c r="FW109" s="452" t="str">
        <f t="shared" si="160"/>
        <v/>
      </c>
      <c r="FX109" s="452" t="str">
        <f t="shared" si="160"/>
        <v/>
      </c>
      <c r="FY109" s="452" t="str">
        <f t="shared" si="160"/>
        <v/>
      </c>
      <c r="FZ109" s="453" t="str">
        <f t="shared" si="160"/>
        <v/>
      </c>
      <c r="GA109" s="451" t="str">
        <f t="shared" si="160"/>
        <v/>
      </c>
      <c r="GB109" s="452" t="str">
        <f t="shared" si="153"/>
        <v/>
      </c>
      <c r="GC109" s="452" t="str">
        <f t="shared" si="153"/>
        <v/>
      </c>
      <c r="GD109" s="452" t="str">
        <f t="shared" si="153"/>
        <v/>
      </c>
      <c r="GE109" s="453" t="str">
        <f t="shared" si="153"/>
        <v/>
      </c>
      <c r="GF109" s="451" t="str">
        <f t="shared" si="153"/>
        <v/>
      </c>
      <c r="GG109" s="452" t="str">
        <f t="shared" si="153"/>
        <v/>
      </c>
      <c r="GH109" s="452" t="str">
        <f t="shared" si="153"/>
        <v/>
      </c>
      <c r="GI109" s="452" t="str">
        <f t="shared" si="153"/>
        <v/>
      </c>
      <c r="GJ109" s="453" t="str">
        <f t="shared" si="153"/>
        <v/>
      </c>
      <c r="GK109" s="451" t="str">
        <f t="shared" si="153"/>
        <v/>
      </c>
      <c r="GL109" s="452" t="str">
        <f t="shared" si="153"/>
        <v/>
      </c>
      <c r="GM109" s="452" t="str">
        <f t="shared" si="153"/>
        <v/>
      </c>
      <c r="GN109" s="452" t="str">
        <f t="shared" si="153"/>
        <v/>
      </c>
      <c r="GO109" s="453" t="str">
        <f t="shared" si="151"/>
        <v/>
      </c>
      <c r="GP109" s="451" t="str">
        <f t="shared" si="151"/>
        <v/>
      </c>
      <c r="GQ109" s="452" t="str">
        <f t="shared" si="151"/>
        <v/>
      </c>
      <c r="GR109" s="452" t="str">
        <f t="shared" si="151"/>
        <v/>
      </c>
      <c r="GS109" s="452" t="str">
        <f t="shared" si="151"/>
        <v/>
      </c>
      <c r="GT109" s="453" t="str">
        <f t="shared" si="151"/>
        <v/>
      </c>
      <c r="GU109" s="451" t="str">
        <f t="shared" si="151"/>
        <v/>
      </c>
      <c r="GV109" s="452" t="str">
        <f t="shared" si="151"/>
        <v/>
      </c>
      <c r="GW109" s="452" t="str">
        <f t="shared" si="151"/>
        <v/>
      </c>
      <c r="GX109" s="452" t="str">
        <f t="shared" si="151"/>
        <v/>
      </c>
      <c r="GY109" s="453" t="str">
        <f t="shared" si="151"/>
        <v/>
      </c>
      <c r="GZ109" s="451" t="str">
        <f t="shared" si="151"/>
        <v/>
      </c>
      <c r="HA109" s="452" t="str">
        <f t="shared" si="151"/>
        <v/>
      </c>
      <c r="HB109" s="452" t="str">
        <f t="shared" si="151"/>
        <v/>
      </c>
      <c r="HC109" s="452" t="str">
        <f t="shared" si="151"/>
        <v/>
      </c>
      <c r="HD109" s="453" t="str">
        <f t="shared" si="151"/>
        <v/>
      </c>
      <c r="HE109" s="451" t="str">
        <f t="shared" si="157"/>
        <v/>
      </c>
      <c r="HF109" s="452" t="str">
        <f t="shared" si="157"/>
        <v/>
      </c>
      <c r="HG109" s="452" t="str">
        <f t="shared" si="157"/>
        <v/>
      </c>
      <c r="HH109" s="452" t="str">
        <f t="shared" si="157"/>
        <v/>
      </c>
      <c r="HI109" s="453" t="str">
        <f t="shared" si="157"/>
        <v/>
      </c>
      <c r="HJ109" s="451" t="str">
        <f t="shared" si="157"/>
        <v/>
      </c>
      <c r="HK109" s="452" t="str">
        <f t="shared" si="157"/>
        <v/>
      </c>
      <c r="HL109" s="452" t="str">
        <f t="shared" si="157"/>
        <v/>
      </c>
      <c r="HM109" s="452" t="str">
        <f t="shared" si="157"/>
        <v/>
      </c>
      <c r="HN109" s="453" t="str">
        <f t="shared" si="157"/>
        <v/>
      </c>
      <c r="HO109" s="451" t="str">
        <f t="shared" si="157"/>
        <v/>
      </c>
      <c r="HP109" s="452" t="str">
        <f t="shared" si="157"/>
        <v/>
      </c>
      <c r="HQ109" s="452" t="str">
        <f t="shared" si="157"/>
        <v/>
      </c>
      <c r="HR109" s="452" t="str">
        <f t="shared" si="157"/>
        <v/>
      </c>
      <c r="HS109" s="453" t="str">
        <f t="shared" si="157"/>
        <v/>
      </c>
      <c r="HT109" s="451" t="str">
        <f t="shared" si="157"/>
        <v/>
      </c>
      <c r="HU109" s="452" t="str">
        <f t="shared" si="144"/>
        <v/>
      </c>
      <c r="HV109" s="452" t="str">
        <f t="shared" si="144"/>
        <v/>
      </c>
      <c r="HW109" s="452" t="str">
        <f t="shared" si="144"/>
        <v/>
      </c>
      <c r="HX109" s="453" t="str">
        <f t="shared" si="144"/>
        <v/>
      </c>
      <c r="HY109" s="451" t="str">
        <f t="shared" si="144"/>
        <v/>
      </c>
      <c r="HZ109" s="452" t="str">
        <f t="shared" ref="HZ109:IO125" si="162">IF(AND(HZ$2&gt;=$J109,HZ$2&lt;=$K109),1,"")</f>
        <v/>
      </c>
      <c r="IA109" s="452" t="str">
        <f t="shared" si="162"/>
        <v/>
      </c>
      <c r="IB109" s="452" t="str">
        <f t="shared" si="162"/>
        <v/>
      </c>
      <c r="IC109" s="453" t="str">
        <f t="shared" si="162"/>
        <v/>
      </c>
      <c r="ID109" s="451" t="str">
        <f t="shared" si="162"/>
        <v/>
      </c>
      <c r="IE109" s="452" t="str">
        <f t="shared" si="162"/>
        <v/>
      </c>
      <c r="IF109" s="452" t="str">
        <f t="shared" si="162"/>
        <v/>
      </c>
      <c r="IG109" s="452" t="str">
        <f t="shared" si="162"/>
        <v/>
      </c>
      <c r="IH109" s="453" t="str">
        <f t="shared" si="162"/>
        <v/>
      </c>
      <c r="II109" s="451" t="str">
        <f t="shared" si="162"/>
        <v/>
      </c>
      <c r="IJ109" s="452" t="str">
        <f t="shared" si="162"/>
        <v/>
      </c>
      <c r="IK109" s="452" t="str">
        <f t="shared" si="162"/>
        <v/>
      </c>
      <c r="IL109" s="452" t="str">
        <f t="shared" si="162"/>
        <v/>
      </c>
      <c r="IM109" s="453" t="str">
        <f t="shared" si="162"/>
        <v/>
      </c>
      <c r="IN109" s="451" t="str">
        <f t="shared" si="162"/>
        <v/>
      </c>
      <c r="IO109" s="452" t="str">
        <f t="shared" si="147"/>
        <v/>
      </c>
      <c r="IP109" s="452" t="str">
        <f t="shared" si="147"/>
        <v/>
      </c>
      <c r="IQ109" s="452" t="str">
        <f t="shared" si="147"/>
        <v/>
      </c>
      <c r="IR109" s="453" t="str">
        <f t="shared" si="147"/>
        <v/>
      </c>
    </row>
    <row r="110" spans="1:252" x14ac:dyDescent="0.2">
      <c r="A110" s="461">
        <v>10.7</v>
      </c>
      <c r="C110" s="447" t="s">
        <v>1357</v>
      </c>
      <c r="D110" s="447"/>
      <c r="E110" s="448"/>
      <c r="F110" s="448"/>
      <c r="G110" s="448"/>
      <c r="H110" s="448"/>
      <c r="I110" s="448"/>
      <c r="J110" s="449" t="str">
        <f t="shared" si="155"/>
        <v/>
      </c>
      <c r="K110" s="449" t="str">
        <f t="shared" si="156"/>
        <v/>
      </c>
      <c r="L110" s="450">
        <f t="shared" si="101"/>
        <v>0</v>
      </c>
      <c r="M110" s="451" t="str">
        <f t="shared" si="161"/>
        <v/>
      </c>
      <c r="N110" s="452" t="str">
        <f t="shared" si="161"/>
        <v/>
      </c>
      <c r="O110" s="452" t="str">
        <f t="shared" si="161"/>
        <v/>
      </c>
      <c r="P110" s="452" t="str">
        <f t="shared" si="161"/>
        <v/>
      </c>
      <c r="Q110" s="453" t="str">
        <f t="shared" si="161"/>
        <v/>
      </c>
      <c r="R110" s="451" t="str">
        <f t="shared" si="161"/>
        <v/>
      </c>
      <c r="S110" s="452" t="str">
        <f t="shared" si="161"/>
        <v/>
      </c>
      <c r="T110" s="452" t="str">
        <f t="shared" si="161"/>
        <v/>
      </c>
      <c r="U110" s="452" t="str">
        <f t="shared" si="161"/>
        <v/>
      </c>
      <c r="V110" s="453" t="str">
        <f t="shared" si="161"/>
        <v/>
      </c>
      <c r="W110" s="451" t="str">
        <f t="shared" si="161"/>
        <v/>
      </c>
      <c r="X110" s="452" t="str">
        <f t="shared" si="161"/>
        <v/>
      </c>
      <c r="Y110" s="452" t="str">
        <f t="shared" si="161"/>
        <v/>
      </c>
      <c r="Z110" s="452" t="str">
        <f t="shared" si="161"/>
        <v/>
      </c>
      <c r="AA110" s="453" t="str">
        <f t="shared" si="161"/>
        <v/>
      </c>
      <c r="AB110" s="451" t="str">
        <f t="shared" si="161"/>
        <v/>
      </c>
      <c r="AC110" s="452" t="str">
        <f t="shared" si="148"/>
        <v/>
      </c>
      <c r="AD110" s="452" t="str">
        <f t="shared" si="148"/>
        <v/>
      </c>
      <c r="AE110" s="452" t="str">
        <f t="shared" si="148"/>
        <v/>
      </c>
      <c r="AF110" s="453" t="str">
        <f t="shared" si="148"/>
        <v/>
      </c>
      <c r="AG110" s="451" t="str">
        <f t="shared" si="148"/>
        <v/>
      </c>
      <c r="AH110" s="452" t="str">
        <f t="shared" si="148"/>
        <v/>
      </c>
      <c r="AI110" s="452" t="str">
        <f t="shared" si="148"/>
        <v/>
      </c>
      <c r="AJ110" s="452" t="str">
        <f t="shared" si="148"/>
        <v/>
      </c>
      <c r="AK110" s="453" t="str">
        <f t="shared" si="148"/>
        <v/>
      </c>
      <c r="AL110" s="451" t="str">
        <f t="shared" si="148"/>
        <v/>
      </c>
      <c r="AM110" s="452" t="str">
        <f t="shared" si="148"/>
        <v/>
      </c>
      <c r="AN110" s="452" t="str">
        <f t="shared" si="148"/>
        <v/>
      </c>
      <c r="AO110" s="452" t="str">
        <f t="shared" si="148"/>
        <v/>
      </c>
      <c r="AP110" s="453" t="str">
        <f t="shared" si="148"/>
        <v/>
      </c>
      <c r="AQ110" s="451" t="str">
        <f t="shared" si="148"/>
        <v/>
      </c>
      <c r="AR110" s="452" t="str">
        <f t="shared" si="148"/>
        <v/>
      </c>
      <c r="AS110" s="452" t="str">
        <f t="shared" si="145"/>
        <v/>
      </c>
      <c r="AT110" s="452" t="str">
        <f t="shared" si="145"/>
        <v/>
      </c>
      <c r="AU110" s="453" t="str">
        <f t="shared" si="145"/>
        <v/>
      </c>
      <c r="AV110" s="451" t="str">
        <f t="shared" si="145"/>
        <v/>
      </c>
      <c r="AW110" s="452" t="str">
        <f t="shared" si="145"/>
        <v/>
      </c>
      <c r="AX110" s="452" t="str">
        <f t="shared" si="145"/>
        <v/>
      </c>
      <c r="AY110" s="452" t="str">
        <f t="shared" si="145"/>
        <v/>
      </c>
      <c r="AZ110" s="453" t="str">
        <f t="shared" si="145"/>
        <v/>
      </c>
      <c r="BA110" s="451" t="str">
        <f t="shared" si="145"/>
        <v/>
      </c>
      <c r="BB110" s="452" t="str">
        <f t="shared" si="145"/>
        <v/>
      </c>
      <c r="BC110" s="452" t="str">
        <f t="shared" si="145"/>
        <v/>
      </c>
      <c r="BD110" s="452" t="str">
        <f t="shared" si="145"/>
        <v/>
      </c>
      <c r="BE110" s="453" t="str">
        <f t="shared" si="145"/>
        <v/>
      </c>
      <c r="BF110" s="451" t="str">
        <f t="shared" si="145"/>
        <v/>
      </c>
      <c r="BG110" s="452" t="str">
        <f t="shared" si="145"/>
        <v/>
      </c>
      <c r="BH110" s="452" t="str">
        <f t="shared" si="154"/>
        <v/>
      </c>
      <c r="BI110" s="452" t="str">
        <f t="shared" si="154"/>
        <v/>
      </c>
      <c r="BJ110" s="453" t="str">
        <f t="shared" si="154"/>
        <v/>
      </c>
      <c r="BK110" s="451" t="str">
        <f t="shared" si="154"/>
        <v/>
      </c>
      <c r="BL110" s="452" t="str">
        <f t="shared" si="154"/>
        <v/>
      </c>
      <c r="BM110" s="452" t="str">
        <f t="shared" si="154"/>
        <v/>
      </c>
      <c r="BN110" s="452" t="str">
        <f t="shared" si="154"/>
        <v/>
      </c>
      <c r="BO110" s="453" t="str">
        <f t="shared" si="154"/>
        <v/>
      </c>
      <c r="BP110" s="451" t="str">
        <f t="shared" si="154"/>
        <v/>
      </c>
      <c r="BQ110" s="452" t="str">
        <f t="shared" si="154"/>
        <v/>
      </c>
      <c r="BR110" s="452" t="str">
        <f t="shared" si="154"/>
        <v/>
      </c>
      <c r="BS110" s="452" t="str">
        <f t="shared" si="154"/>
        <v/>
      </c>
      <c r="BT110" s="453" t="str">
        <f t="shared" si="154"/>
        <v/>
      </c>
      <c r="BU110" s="451" t="str">
        <f t="shared" si="154"/>
        <v/>
      </c>
      <c r="BV110" s="452" t="str">
        <f t="shared" si="154"/>
        <v/>
      </c>
      <c r="BW110" s="452" t="str">
        <f t="shared" si="154"/>
        <v/>
      </c>
      <c r="BX110" s="452" t="str">
        <f t="shared" si="146"/>
        <v/>
      </c>
      <c r="BY110" s="453" t="str">
        <f t="shared" si="146"/>
        <v/>
      </c>
      <c r="BZ110" s="451" t="str">
        <f t="shared" si="146"/>
        <v/>
      </c>
      <c r="CA110" s="452" t="str">
        <f t="shared" si="146"/>
        <v/>
      </c>
      <c r="CB110" s="452" t="str">
        <f t="shared" si="146"/>
        <v/>
      </c>
      <c r="CC110" s="452" t="str">
        <f t="shared" si="146"/>
        <v/>
      </c>
      <c r="CD110" s="453" t="str">
        <f t="shared" si="146"/>
        <v/>
      </c>
      <c r="CE110" s="451" t="str">
        <f t="shared" si="146"/>
        <v/>
      </c>
      <c r="CF110" s="452" t="str">
        <f t="shared" si="146"/>
        <v/>
      </c>
      <c r="CG110" s="452" t="str">
        <f t="shared" si="146"/>
        <v/>
      </c>
      <c r="CH110" s="452" t="str">
        <f t="shared" si="146"/>
        <v/>
      </c>
      <c r="CI110" s="453" t="str">
        <f t="shared" si="146"/>
        <v/>
      </c>
      <c r="CJ110" s="451" t="str">
        <f t="shared" si="146"/>
        <v/>
      </c>
      <c r="CK110" s="452" t="str">
        <f t="shared" si="146"/>
        <v/>
      </c>
      <c r="CL110" s="452" t="str">
        <f t="shared" si="146"/>
        <v/>
      </c>
      <c r="CM110" s="452" t="str">
        <f t="shared" si="146"/>
        <v/>
      </c>
      <c r="CN110" s="453" t="str">
        <f t="shared" si="158"/>
        <v/>
      </c>
      <c r="CO110" s="451" t="str">
        <f t="shared" si="158"/>
        <v/>
      </c>
      <c r="CP110" s="452" t="str">
        <f t="shared" si="158"/>
        <v/>
      </c>
      <c r="CQ110" s="452" t="str">
        <f t="shared" si="158"/>
        <v/>
      </c>
      <c r="CR110" s="452" t="str">
        <f t="shared" si="158"/>
        <v/>
      </c>
      <c r="CS110" s="453" t="str">
        <f t="shared" si="158"/>
        <v/>
      </c>
      <c r="CT110" s="451" t="str">
        <f t="shared" si="158"/>
        <v/>
      </c>
      <c r="CU110" s="452" t="str">
        <f t="shared" si="158"/>
        <v/>
      </c>
      <c r="CV110" s="452" t="str">
        <f t="shared" si="158"/>
        <v/>
      </c>
      <c r="CW110" s="452" t="str">
        <f t="shared" si="158"/>
        <v/>
      </c>
      <c r="CX110" s="453" t="str">
        <f t="shared" si="158"/>
        <v/>
      </c>
      <c r="CY110" s="451" t="str">
        <f t="shared" si="158"/>
        <v/>
      </c>
      <c r="CZ110" s="452" t="str">
        <f t="shared" si="158"/>
        <v/>
      </c>
      <c r="DA110" s="452" t="str">
        <f t="shared" si="158"/>
        <v/>
      </c>
      <c r="DB110" s="452" t="str">
        <f t="shared" si="158"/>
        <v/>
      </c>
      <c r="DC110" s="453" t="str">
        <f t="shared" si="158"/>
        <v/>
      </c>
      <c r="DD110" s="451" t="str">
        <f t="shared" si="158"/>
        <v/>
      </c>
      <c r="DE110" s="452" t="str">
        <f t="shared" si="158"/>
        <v/>
      </c>
      <c r="DF110" s="452" t="str">
        <f t="shared" si="158"/>
        <v/>
      </c>
      <c r="DG110" s="452" t="str">
        <f t="shared" si="158"/>
        <v/>
      </c>
      <c r="DH110" s="453" t="str">
        <f t="shared" si="158"/>
        <v/>
      </c>
      <c r="DI110" s="451" t="str">
        <f t="shared" si="158"/>
        <v/>
      </c>
      <c r="DJ110" s="452" t="str">
        <f t="shared" si="158"/>
        <v/>
      </c>
      <c r="DK110" s="452" t="str">
        <f t="shared" si="158"/>
        <v/>
      </c>
      <c r="DL110" s="452" t="str">
        <f t="shared" si="158"/>
        <v/>
      </c>
      <c r="DM110" s="453" t="str">
        <f t="shared" si="158"/>
        <v/>
      </c>
      <c r="DN110" s="451" t="str">
        <f t="shared" si="158"/>
        <v/>
      </c>
      <c r="DO110" s="452" t="str">
        <f t="shared" si="158"/>
        <v/>
      </c>
      <c r="DP110" s="452" t="str">
        <f t="shared" si="158"/>
        <v/>
      </c>
      <c r="DQ110" s="452" t="str">
        <f t="shared" si="158"/>
        <v/>
      </c>
      <c r="DR110" s="453" t="str">
        <f t="shared" si="158"/>
        <v/>
      </c>
      <c r="DS110" s="451" t="str">
        <f t="shared" si="158"/>
        <v/>
      </c>
      <c r="DT110" s="452" t="str">
        <f t="shared" si="158"/>
        <v/>
      </c>
      <c r="DU110" s="452" t="str">
        <f t="shared" si="158"/>
        <v/>
      </c>
      <c r="DV110" s="452" t="str">
        <f t="shared" si="158"/>
        <v/>
      </c>
      <c r="DW110" s="453" t="str">
        <f t="shared" si="158"/>
        <v/>
      </c>
      <c r="DX110" s="451" t="str">
        <f t="shared" si="158"/>
        <v/>
      </c>
      <c r="DY110" s="452" t="str">
        <f t="shared" si="149"/>
        <v/>
      </c>
      <c r="DZ110" s="452" t="str">
        <f t="shared" si="149"/>
        <v/>
      </c>
      <c r="EA110" s="452" t="str">
        <f t="shared" si="149"/>
        <v/>
      </c>
      <c r="EB110" s="453" t="str">
        <f t="shared" si="149"/>
        <v/>
      </c>
      <c r="EC110" s="451" t="str">
        <f t="shared" si="149"/>
        <v/>
      </c>
      <c r="ED110" s="452" t="str">
        <f t="shared" si="149"/>
        <v/>
      </c>
      <c r="EE110" s="452" t="str">
        <f t="shared" si="149"/>
        <v/>
      </c>
      <c r="EF110" s="452" t="str">
        <f t="shared" si="149"/>
        <v/>
      </c>
      <c r="EG110" s="453" t="str">
        <f t="shared" si="149"/>
        <v/>
      </c>
      <c r="EH110" s="451" t="str">
        <f t="shared" si="149"/>
        <v/>
      </c>
      <c r="EI110" s="452" t="str">
        <f t="shared" si="149"/>
        <v/>
      </c>
      <c r="EJ110" s="452" t="str">
        <f t="shared" si="149"/>
        <v/>
      </c>
      <c r="EK110" s="452" t="str">
        <f t="shared" si="152"/>
        <v/>
      </c>
      <c r="EL110" s="453" t="str">
        <f t="shared" si="152"/>
        <v/>
      </c>
      <c r="EM110" s="451" t="str">
        <f t="shared" si="152"/>
        <v/>
      </c>
      <c r="EN110" s="452" t="str">
        <f t="shared" si="152"/>
        <v/>
      </c>
      <c r="EO110" s="452" t="str">
        <f t="shared" si="152"/>
        <v/>
      </c>
      <c r="EP110" s="452" t="str">
        <f t="shared" si="152"/>
        <v/>
      </c>
      <c r="EQ110" s="453" t="str">
        <f t="shared" si="152"/>
        <v/>
      </c>
      <c r="ER110" s="451" t="str">
        <f t="shared" si="152"/>
        <v/>
      </c>
      <c r="ES110" s="452" t="str">
        <f t="shared" si="152"/>
        <v/>
      </c>
      <c r="ET110" s="452" t="str">
        <f t="shared" si="152"/>
        <v/>
      </c>
      <c r="EU110" s="452" t="str">
        <f t="shared" si="152"/>
        <v/>
      </c>
      <c r="EV110" s="453" t="str">
        <f t="shared" si="152"/>
        <v/>
      </c>
      <c r="EW110" s="451" t="str">
        <f t="shared" si="152"/>
        <v/>
      </c>
      <c r="EX110" s="452" t="str">
        <f t="shared" si="152"/>
        <v/>
      </c>
      <c r="EY110" s="452" t="str">
        <f t="shared" si="152"/>
        <v/>
      </c>
      <c r="EZ110" s="452" t="str">
        <f t="shared" si="152"/>
        <v/>
      </c>
      <c r="FA110" s="453" t="str">
        <f t="shared" si="150"/>
        <v/>
      </c>
      <c r="FB110" s="451" t="str">
        <f t="shared" si="150"/>
        <v/>
      </c>
      <c r="FC110" s="452" t="str">
        <f t="shared" si="150"/>
        <v/>
      </c>
      <c r="FD110" s="452" t="str">
        <f t="shared" si="150"/>
        <v/>
      </c>
      <c r="FE110" s="452" t="str">
        <f t="shared" si="150"/>
        <v/>
      </c>
      <c r="FF110" s="453" t="str">
        <f t="shared" si="150"/>
        <v/>
      </c>
      <c r="FG110" s="451" t="str">
        <f t="shared" si="150"/>
        <v/>
      </c>
      <c r="FH110" s="452" t="str">
        <f t="shared" si="150"/>
        <v/>
      </c>
      <c r="FI110" s="452" t="str">
        <f t="shared" si="150"/>
        <v/>
      </c>
      <c r="FJ110" s="452" t="str">
        <f t="shared" si="150"/>
        <v/>
      </c>
      <c r="FK110" s="453" t="str">
        <f t="shared" si="150"/>
        <v/>
      </c>
      <c r="FL110" s="451" t="str">
        <f t="shared" si="150"/>
        <v/>
      </c>
      <c r="FM110" s="452" t="str">
        <f t="shared" si="150"/>
        <v/>
      </c>
      <c r="FN110" s="452" t="str">
        <f t="shared" si="150"/>
        <v/>
      </c>
      <c r="FO110" s="452" t="str">
        <f t="shared" si="150"/>
        <v/>
      </c>
      <c r="FP110" s="453" t="str">
        <f t="shared" si="160"/>
        <v/>
      </c>
      <c r="FQ110" s="451" t="str">
        <f t="shared" si="160"/>
        <v/>
      </c>
      <c r="FR110" s="452" t="str">
        <f t="shared" si="160"/>
        <v/>
      </c>
      <c r="FS110" s="452" t="str">
        <f t="shared" si="160"/>
        <v/>
      </c>
      <c r="FT110" s="452" t="str">
        <f t="shared" si="160"/>
        <v/>
      </c>
      <c r="FU110" s="453" t="str">
        <f t="shared" si="160"/>
        <v/>
      </c>
      <c r="FV110" s="451" t="str">
        <f t="shared" si="160"/>
        <v/>
      </c>
      <c r="FW110" s="452" t="str">
        <f t="shared" si="160"/>
        <v/>
      </c>
      <c r="FX110" s="452" t="str">
        <f t="shared" si="160"/>
        <v/>
      </c>
      <c r="FY110" s="452" t="str">
        <f t="shared" si="160"/>
        <v/>
      </c>
      <c r="FZ110" s="453" t="str">
        <f t="shared" si="160"/>
        <v/>
      </c>
      <c r="GA110" s="451" t="str">
        <f t="shared" si="160"/>
        <v/>
      </c>
      <c r="GB110" s="452" t="str">
        <f t="shared" si="153"/>
        <v/>
      </c>
      <c r="GC110" s="452" t="str">
        <f t="shared" si="153"/>
        <v/>
      </c>
      <c r="GD110" s="452" t="str">
        <f t="shared" si="153"/>
        <v/>
      </c>
      <c r="GE110" s="453" t="str">
        <f t="shared" si="153"/>
        <v/>
      </c>
      <c r="GF110" s="451" t="str">
        <f t="shared" si="153"/>
        <v/>
      </c>
      <c r="GG110" s="452" t="str">
        <f t="shared" si="153"/>
        <v/>
      </c>
      <c r="GH110" s="452" t="str">
        <f t="shared" si="153"/>
        <v/>
      </c>
      <c r="GI110" s="452" t="str">
        <f t="shared" si="153"/>
        <v/>
      </c>
      <c r="GJ110" s="453" t="str">
        <f t="shared" si="153"/>
        <v/>
      </c>
      <c r="GK110" s="451" t="str">
        <f t="shared" si="153"/>
        <v/>
      </c>
      <c r="GL110" s="452" t="str">
        <f t="shared" si="153"/>
        <v/>
      </c>
      <c r="GM110" s="452" t="str">
        <f t="shared" si="153"/>
        <v/>
      </c>
      <c r="GN110" s="452" t="str">
        <f t="shared" si="153"/>
        <v/>
      </c>
      <c r="GO110" s="453" t="str">
        <f t="shared" si="151"/>
        <v/>
      </c>
      <c r="GP110" s="451" t="str">
        <f t="shared" si="151"/>
        <v/>
      </c>
      <c r="GQ110" s="452" t="str">
        <f t="shared" si="151"/>
        <v/>
      </c>
      <c r="GR110" s="452" t="str">
        <f t="shared" si="151"/>
        <v/>
      </c>
      <c r="GS110" s="452" t="str">
        <f t="shared" si="151"/>
        <v/>
      </c>
      <c r="GT110" s="453" t="str">
        <f t="shared" si="151"/>
        <v/>
      </c>
      <c r="GU110" s="451" t="str">
        <f t="shared" si="151"/>
        <v/>
      </c>
      <c r="GV110" s="452" t="str">
        <f t="shared" si="151"/>
        <v/>
      </c>
      <c r="GW110" s="452" t="str">
        <f t="shared" si="151"/>
        <v/>
      </c>
      <c r="GX110" s="452" t="str">
        <f t="shared" si="151"/>
        <v/>
      </c>
      <c r="GY110" s="453" t="str">
        <f t="shared" si="151"/>
        <v/>
      </c>
      <c r="GZ110" s="451" t="str">
        <f t="shared" si="151"/>
        <v/>
      </c>
      <c r="HA110" s="452" t="str">
        <f t="shared" si="151"/>
        <v/>
      </c>
      <c r="HB110" s="452" t="str">
        <f t="shared" si="151"/>
        <v/>
      </c>
      <c r="HC110" s="452" t="str">
        <f t="shared" si="151"/>
        <v/>
      </c>
      <c r="HD110" s="453" t="str">
        <f t="shared" si="151"/>
        <v/>
      </c>
      <c r="HE110" s="451" t="str">
        <f t="shared" si="157"/>
        <v/>
      </c>
      <c r="HF110" s="452" t="str">
        <f t="shared" si="157"/>
        <v/>
      </c>
      <c r="HG110" s="452" t="str">
        <f t="shared" si="157"/>
        <v/>
      </c>
      <c r="HH110" s="452" t="str">
        <f t="shared" si="157"/>
        <v/>
      </c>
      <c r="HI110" s="453" t="str">
        <f t="shared" si="157"/>
        <v/>
      </c>
      <c r="HJ110" s="451" t="str">
        <f t="shared" si="157"/>
        <v/>
      </c>
      <c r="HK110" s="452" t="str">
        <f t="shared" si="157"/>
        <v/>
      </c>
      <c r="HL110" s="452" t="str">
        <f t="shared" si="157"/>
        <v/>
      </c>
      <c r="HM110" s="452" t="str">
        <f t="shared" si="157"/>
        <v/>
      </c>
      <c r="HN110" s="453" t="str">
        <f t="shared" si="157"/>
        <v/>
      </c>
      <c r="HO110" s="451" t="str">
        <f t="shared" si="157"/>
        <v/>
      </c>
      <c r="HP110" s="452" t="str">
        <f t="shared" si="157"/>
        <v/>
      </c>
      <c r="HQ110" s="452" t="str">
        <f t="shared" si="157"/>
        <v/>
      </c>
      <c r="HR110" s="452" t="str">
        <f t="shared" si="157"/>
        <v/>
      </c>
      <c r="HS110" s="453" t="str">
        <f t="shared" si="157"/>
        <v/>
      </c>
      <c r="HT110" s="451" t="str">
        <f t="shared" si="157"/>
        <v/>
      </c>
      <c r="HU110" s="452" t="str">
        <f t="shared" ref="HU110:IJ125" si="163">IF(AND(HU$2&gt;=$J110,HU$2&lt;=$K110),1,"")</f>
        <v/>
      </c>
      <c r="HV110" s="452" t="str">
        <f t="shared" si="163"/>
        <v/>
      </c>
      <c r="HW110" s="452" t="str">
        <f t="shared" si="163"/>
        <v/>
      </c>
      <c r="HX110" s="453" t="str">
        <f t="shared" si="163"/>
        <v/>
      </c>
      <c r="HY110" s="451" t="str">
        <f t="shared" si="163"/>
        <v/>
      </c>
      <c r="HZ110" s="452" t="str">
        <f t="shared" si="163"/>
        <v/>
      </c>
      <c r="IA110" s="452" t="str">
        <f t="shared" si="163"/>
        <v/>
      </c>
      <c r="IB110" s="452" t="str">
        <f t="shared" si="163"/>
        <v/>
      </c>
      <c r="IC110" s="453" t="str">
        <f t="shared" si="162"/>
        <v/>
      </c>
      <c r="ID110" s="451" t="str">
        <f t="shared" si="162"/>
        <v/>
      </c>
      <c r="IE110" s="452" t="str">
        <f t="shared" si="162"/>
        <v/>
      </c>
      <c r="IF110" s="452" t="str">
        <f t="shared" si="162"/>
        <v/>
      </c>
      <c r="IG110" s="452" t="str">
        <f t="shared" si="162"/>
        <v/>
      </c>
      <c r="IH110" s="453" t="str">
        <f t="shared" si="162"/>
        <v/>
      </c>
      <c r="II110" s="451" t="str">
        <f t="shared" si="162"/>
        <v/>
      </c>
      <c r="IJ110" s="452" t="str">
        <f t="shared" si="162"/>
        <v/>
      </c>
      <c r="IK110" s="452" t="str">
        <f t="shared" si="162"/>
        <v/>
      </c>
      <c r="IL110" s="452" t="str">
        <f t="shared" si="162"/>
        <v/>
      </c>
      <c r="IM110" s="453" t="str">
        <f t="shared" si="162"/>
        <v/>
      </c>
      <c r="IN110" s="451" t="str">
        <f t="shared" si="162"/>
        <v/>
      </c>
      <c r="IO110" s="452" t="str">
        <f t="shared" si="147"/>
        <v/>
      </c>
      <c r="IP110" s="452" t="str">
        <f t="shared" si="147"/>
        <v/>
      </c>
      <c r="IQ110" s="452" t="str">
        <f t="shared" si="147"/>
        <v/>
      </c>
      <c r="IR110" s="453" t="str">
        <f t="shared" si="147"/>
        <v/>
      </c>
    </row>
    <row r="111" spans="1:252" x14ac:dyDescent="0.2">
      <c r="A111" s="461">
        <v>10.8</v>
      </c>
      <c r="C111" s="447" t="s">
        <v>1358</v>
      </c>
      <c r="D111" s="447"/>
      <c r="E111" s="448"/>
      <c r="F111" s="448"/>
      <c r="G111" s="448"/>
      <c r="H111" s="448"/>
      <c r="I111" s="448"/>
      <c r="J111" s="449" t="str">
        <f t="shared" si="155"/>
        <v/>
      </c>
      <c r="K111" s="449" t="str">
        <f t="shared" si="156"/>
        <v/>
      </c>
      <c r="L111" s="450">
        <f t="shared" si="101"/>
        <v>0</v>
      </c>
      <c r="M111" s="451" t="str">
        <f t="shared" si="161"/>
        <v/>
      </c>
      <c r="N111" s="452" t="str">
        <f t="shared" si="161"/>
        <v/>
      </c>
      <c r="O111" s="452" t="str">
        <f t="shared" si="161"/>
        <v/>
      </c>
      <c r="P111" s="452" t="str">
        <f t="shared" si="161"/>
        <v/>
      </c>
      <c r="Q111" s="453" t="str">
        <f t="shared" si="161"/>
        <v/>
      </c>
      <c r="R111" s="451" t="str">
        <f t="shared" si="161"/>
        <v/>
      </c>
      <c r="S111" s="452" t="str">
        <f t="shared" si="161"/>
        <v/>
      </c>
      <c r="T111" s="452" t="str">
        <f t="shared" si="161"/>
        <v/>
      </c>
      <c r="U111" s="452" t="str">
        <f t="shared" si="161"/>
        <v/>
      </c>
      <c r="V111" s="453" t="str">
        <f t="shared" si="161"/>
        <v/>
      </c>
      <c r="W111" s="451" t="str">
        <f t="shared" si="161"/>
        <v/>
      </c>
      <c r="X111" s="452" t="str">
        <f t="shared" si="161"/>
        <v/>
      </c>
      <c r="Y111" s="452" t="str">
        <f t="shared" si="161"/>
        <v/>
      </c>
      <c r="Z111" s="452" t="str">
        <f t="shared" si="161"/>
        <v/>
      </c>
      <c r="AA111" s="453" t="str">
        <f t="shared" si="161"/>
        <v/>
      </c>
      <c r="AB111" s="451" t="str">
        <f t="shared" si="161"/>
        <v/>
      </c>
      <c r="AC111" s="452" t="str">
        <f t="shared" si="148"/>
        <v/>
      </c>
      <c r="AD111" s="452" t="str">
        <f t="shared" si="148"/>
        <v/>
      </c>
      <c r="AE111" s="452" t="str">
        <f t="shared" si="148"/>
        <v/>
      </c>
      <c r="AF111" s="453" t="str">
        <f t="shared" si="148"/>
        <v/>
      </c>
      <c r="AG111" s="451" t="str">
        <f t="shared" si="148"/>
        <v/>
      </c>
      <c r="AH111" s="452" t="str">
        <f t="shared" si="148"/>
        <v/>
      </c>
      <c r="AI111" s="452" t="str">
        <f t="shared" si="148"/>
        <v/>
      </c>
      <c r="AJ111" s="452" t="str">
        <f t="shared" si="148"/>
        <v/>
      </c>
      <c r="AK111" s="453" t="str">
        <f t="shared" si="148"/>
        <v/>
      </c>
      <c r="AL111" s="451" t="str">
        <f t="shared" si="148"/>
        <v/>
      </c>
      <c r="AM111" s="452" t="str">
        <f t="shared" si="148"/>
        <v/>
      </c>
      <c r="AN111" s="452" t="str">
        <f t="shared" si="148"/>
        <v/>
      </c>
      <c r="AO111" s="452" t="str">
        <f t="shared" si="148"/>
        <v/>
      </c>
      <c r="AP111" s="453" t="str">
        <f t="shared" si="148"/>
        <v/>
      </c>
      <c r="AQ111" s="451" t="str">
        <f t="shared" si="148"/>
        <v/>
      </c>
      <c r="AR111" s="452" t="str">
        <f t="shared" si="148"/>
        <v/>
      </c>
      <c r="AS111" s="452" t="str">
        <f t="shared" si="145"/>
        <v/>
      </c>
      <c r="AT111" s="452" t="str">
        <f t="shared" si="145"/>
        <v/>
      </c>
      <c r="AU111" s="453" t="str">
        <f t="shared" si="145"/>
        <v/>
      </c>
      <c r="AV111" s="451" t="str">
        <f t="shared" si="145"/>
        <v/>
      </c>
      <c r="AW111" s="452" t="str">
        <f t="shared" si="145"/>
        <v/>
      </c>
      <c r="AX111" s="452" t="str">
        <f t="shared" si="145"/>
        <v/>
      </c>
      <c r="AY111" s="452" t="str">
        <f t="shared" si="145"/>
        <v/>
      </c>
      <c r="AZ111" s="453" t="str">
        <f t="shared" si="145"/>
        <v/>
      </c>
      <c r="BA111" s="451" t="str">
        <f t="shared" si="145"/>
        <v/>
      </c>
      <c r="BB111" s="452" t="str">
        <f t="shared" si="145"/>
        <v/>
      </c>
      <c r="BC111" s="452" t="str">
        <f t="shared" si="145"/>
        <v/>
      </c>
      <c r="BD111" s="452" t="str">
        <f t="shared" si="145"/>
        <v/>
      </c>
      <c r="BE111" s="453" t="str">
        <f t="shared" si="145"/>
        <v/>
      </c>
      <c r="BF111" s="451" t="str">
        <f t="shared" si="145"/>
        <v/>
      </c>
      <c r="BG111" s="452" t="str">
        <f t="shared" si="145"/>
        <v/>
      </c>
      <c r="BH111" s="452" t="str">
        <f t="shared" si="154"/>
        <v/>
      </c>
      <c r="BI111" s="452" t="str">
        <f t="shared" si="154"/>
        <v/>
      </c>
      <c r="BJ111" s="453" t="str">
        <f t="shared" si="154"/>
        <v/>
      </c>
      <c r="BK111" s="451" t="str">
        <f t="shared" si="154"/>
        <v/>
      </c>
      <c r="BL111" s="452" t="str">
        <f t="shared" si="154"/>
        <v/>
      </c>
      <c r="BM111" s="452" t="str">
        <f t="shared" si="154"/>
        <v/>
      </c>
      <c r="BN111" s="452" t="str">
        <f t="shared" si="154"/>
        <v/>
      </c>
      <c r="BO111" s="453" t="str">
        <f t="shared" si="154"/>
        <v/>
      </c>
      <c r="BP111" s="451" t="str">
        <f t="shared" si="154"/>
        <v/>
      </c>
      <c r="BQ111" s="452" t="str">
        <f t="shared" si="154"/>
        <v/>
      </c>
      <c r="BR111" s="452" t="str">
        <f t="shared" si="154"/>
        <v/>
      </c>
      <c r="BS111" s="452" t="str">
        <f t="shared" si="154"/>
        <v/>
      </c>
      <c r="BT111" s="453" t="str">
        <f t="shared" si="154"/>
        <v/>
      </c>
      <c r="BU111" s="451" t="str">
        <f t="shared" si="154"/>
        <v/>
      </c>
      <c r="BV111" s="452" t="str">
        <f t="shared" si="154"/>
        <v/>
      </c>
      <c r="BW111" s="452" t="str">
        <f t="shared" si="154"/>
        <v/>
      </c>
      <c r="BX111" s="452" t="str">
        <f t="shared" si="146"/>
        <v/>
      </c>
      <c r="BY111" s="453" t="str">
        <f t="shared" si="146"/>
        <v/>
      </c>
      <c r="BZ111" s="451" t="str">
        <f t="shared" si="146"/>
        <v/>
      </c>
      <c r="CA111" s="452" t="str">
        <f t="shared" si="146"/>
        <v/>
      </c>
      <c r="CB111" s="452" t="str">
        <f t="shared" si="146"/>
        <v/>
      </c>
      <c r="CC111" s="452" t="str">
        <f t="shared" si="146"/>
        <v/>
      </c>
      <c r="CD111" s="453" t="str">
        <f t="shared" si="146"/>
        <v/>
      </c>
      <c r="CE111" s="451" t="str">
        <f t="shared" si="146"/>
        <v/>
      </c>
      <c r="CF111" s="452" t="str">
        <f t="shared" si="146"/>
        <v/>
      </c>
      <c r="CG111" s="452" t="str">
        <f t="shared" si="146"/>
        <v/>
      </c>
      <c r="CH111" s="452" t="str">
        <f t="shared" si="146"/>
        <v/>
      </c>
      <c r="CI111" s="453" t="str">
        <f t="shared" si="146"/>
        <v/>
      </c>
      <c r="CJ111" s="451" t="str">
        <f t="shared" si="146"/>
        <v/>
      </c>
      <c r="CK111" s="452" t="str">
        <f t="shared" si="146"/>
        <v/>
      </c>
      <c r="CL111" s="452" t="str">
        <f t="shared" si="146"/>
        <v/>
      </c>
      <c r="CM111" s="452" t="str">
        <f t="shared" ref="CM111:DB126" si="164">IF(AND(CM$2&gt;=$J111,CM$2&lt;=$K111),1,"")</f>
        <v/>
      </c>
      <c r="CN111" s="453" t="str">
        <f t="shared" si="164"/>
        <v/>
      </c>
      <c r="CO111" s="451" t="str">
        <f t="shared" si="158"/>
        <v/>
      </c>
      <c r="CP111" s="452" t="str">
        <f t="shared" si="158"/>
        <v/>
      </c>
      <c r="CQ111" s="452" t="str">
        <f t="shared" si="158"/>
        <v/>
      </c>
      <c r="CR111" s="452" t="str">
        <f t="shared" si="158"/>
        <v/>
      </c>
      <c r="CS111" s="453" t="str">
        <f t="shared" si="158"/>
        <v/>
      </c>
      <c r="CT111" s="451" t="str">
        <f t="shared" si="158"/>
        <v/>
      </c>
      <c r="CU111" s="452" t="str">
        <f t="shared" si="158"/>
        <v/>
      </c>
      <c r="CV111" s="452" t="str">
        <f t="shared" si="158"/>
        <v/>
      </c>
      <c r="CW111" s="452" t="str">
        <f t="shared" si="158"/>
        <v/>
      </c>
      <c r="CX111" s="453" t="str">
        <f t="shared" si="158"/>
        <v/>
      </c>
      <c r="CY111" s="451" t="str">
        <f t="shared" si="158"/>
        <v/>
      </c>
      <c r="CZ111" s="452" t="str">
        <f t="shared" si="158"/>
        <v/>
      </c>
      <c r="DA111" s="452" t="str">
        <f t="shared" si="158"/>
        <v/>
      </c>
      <c r="DB111" s="452" t="str">
        <f t="shared" si="158"/>
        <v/>
      </c>
      <c r="DC111" s="453" t="str">
        <f t="shared" si="158"/>
        <v/>
      </c>
      <c r="DD111" s="451" t="str">
        <f t="shared" si="158"/>
        <v/>
      </c>
      <c r="DE111" s="452" t="str">
        <f t="shared" si="158"/>
        <v/>
      </c>
      <c r="DF111" s="452" t="str">
        <f t="shared" si="158"/>
        <v/>
      </c>
      <c r="DG111" s="452" t="str">
        <f t="shared" si="158"/>
        <v/>
      </c>
      <c r="DH111" s="453" t="str">
        <f t="shared" si="158"/>
        <v/>
      </c>
      <c r="DI111" s="451" t="str">
        <f t="shared" si="158"/>
        <v/>
      </c>
      <c r="DJ111" s="452" t="str">
        <f t="shared" si="158"/>
        <v/>
      </c>
      <c r="DK111" s="452" t="str">
        <f t="shared" si="158"/>
        <v/>
      </c>
      <c r="DL111" s="452" t="str">
        <f t="shared" si="158"/>
        <v/>
      </c>
      <c r="DM111" s="453" t="str">
        <f t="shared" si="158"/>
        <v/>
      </c>
      <c r="DN111" s="451" t="str">
        <f t="shared" si="158"/>
        <v/>
      </c>
      <c r="DO111" s="452" t="str">
        <f t="shared" si="158"/>
        <v/>
      </c>
      <c r="DP111" s="452" t="str">
        <f t="shared" si="158"/>
        <v/>
      </c>
      <c r="DQ111" s="452" t="str">
        <f t="shared" si="158"/>
        <v/>
      </c>
      <c r="DR111" s="453" t="str">
        <f t="shared" si="158"/>
        <v/>
      </c>
      <c r="DS111" s="451" t="str">
        <f t="shared" si="158"/>
        <v/>
      </c>
      <c r="DT111" s="452" t="str">
        <f t="shared" si="158"/>
        <v/>
      </c>
      <c r="DU111" s="452" t="str">
        <f t="shared" si="158"/>
        <v/>
      </c>
      <c r="DV111" s="452" t="str">
        <f t="shared" si="158"/>
        <v/>
      </c>
      <c r="DW111" s="453" t="str">
        <f t="shared" si="158"/>
        <v/>
      </c>
      <c r="DX111" s="451" t="str">
        <f t="shared" si="158"/>
        <v/>
      </c>
      <c r="DY111" s="452" t="str">
        <f t="shared" si="149"/>
        <v/>
      </c>
      <c r="DZ111" s="452" t="str">
        <f t="shared" si="149"/>
        <v/>
      </c>
      <c r="EA111" s="452" t="str">
        <f t="shared" si="149"/>
        <v/>
      </c>
      <c r="EB111" s="453" t="str">
        <f t="shared" si="149"/>
        <v/>
      </c>
      <c r="EC111" s="451" t="str">
        <f t="shared" si="149"/>
        <v/>
      </c>
      <c r="ED111" s="452" t="str">
        <f t="shared" si="149"/>
        <v/>
      </c>
      <c r="EE111" s="452" t="str">
        <f t="shared" si="149"/>
        <v/>
      </c>
      <c r="EF111" s="452" t="str">
        <f t="shared" si="149"/>
        <v/>
      </c>
      <c r="EG111" s="453" t="str">
        <f t="shared" si="149"/>
        <v/>
      </c>
      <c r="EH111" s="451" t="str">
        <f t="shared" si="149"/>
        <v/>
      </c>
      <c r="EI111" s="452" t="str">
        <f t="shared" si="149"/>
        <v/>
      </c>
      <c r="EJ111" s="452" t="str">
        <f t="shared" si="149"/>
        <v/>
      </c>
      <c r="EK111" s="452" t="str">
        <f t="shared" si="152"/>
        <v/>
      </c>
      <c r="EL111" s="453" t="str">
        <f t="shared" si="152"/>
        <v/>
      </c>
      <c r="EM111" s="451" t="str">
        <f t="shared" si="152"/>
        <v/>
      </c>
      <c r="EN111" s="452" t="str">
        <f t="shared" si="152"/>
        <v/>
      </c>
      <c r="EO111" s="452" t="str">
        <f t="shared" si="152"/>
        <v/>
      </c>
      <c r="EP111" s="452" t="str">
        <f t="shared" si="152"/>
        <v/>
      </c>
      <c r="EQ111" s="453" t="str">
        <f t="shared" si="152"/>
        <v/>
      </c>
      <c r="ER111" s="451" t="str">
        <f t="shared" si="152"/>
        <v/>
      </c>
      <c r="ES111" s="452" t="str">
        <f t="shared" si="152"/>
        <v/>
      </c>
      <c r="ET111" s="452" t="str">
        <f t="shared" si="152"/>
        <v/>
      </c>
      <c r="EU111" s="452" t="str">
        <f t="shared" si="152"/>
        <v/>
      </c>
      <c r="EV111" s="453" t="str">
        <f t="shared" si="152"/>
        <v/>
      </c>
      <c r="EW111" s="451" t="str">
        <f t="shared" si="152"/>
        <v/>
      </c>
      <c r="EX111" s="452" t="str">
        <f t="shared" si="152"/>
        <v/>
      </c>
      <c r="EY111" s="452" t="str">
        <f t="shared" si="152"/>
        <v/>
      </c>
      <c r="EZ111" s="452" t="str">
        <f t="shared" si="152"/>
        <v/>
      </c>
      <c r="FA111" s="453" t="str">
        <f t="shared" si="150"/>
        <v/>
      </c>
      <c r="FB111" s="451" t="str">
        <f t="shared" si="150"/>
        <v/>
      </c>
      <c r="FC111" s="452" t="str">
        <f t="shared" si="150"/>
        <v/>
      </c>
      <c r="FD111" s="452" t="str">
        <f t="shared" si="150"/>
        <v/>
      </c>
      <c r="FE111" s="452" t="str">
        <f t="shared" si="150"/>
        <v/>
      </c>
      <c r="FF111" s="453" t="str">
        <f t="shared" si="150"/>
        <v/>
      </c>
      <c r="FG111" s="451" t="str">
        <f t="shared" si="150"/>
        <v/>
      </c>
      <c r="FH111" s="452" t="str">
        <f t="shared" si="150"/>
        <v/>
      </c>
      <c r="FI111" s="452" t="str">
        <f t="shared" si="150"/>
        <v/>
      </c>
      <c r="FJ111" s="452" t="str">
        <f t="shared" si="150"/>
        <v/>
      </c>
      <c r="FK111" s="453" t="str">
        <f t="shared" si="150"/>
        <v/>
      </c>
      <c r="FL111" s="451" t="str">
        <f t="shared" si="150"/>
        <v/>
      </c>
      <c r="FM111" s="452" t="str">
        <f t="shared" si="150"/>
        <v/>
      </c>
      <c r="FN111" s="452" t="str">
        <f t="shared" si="150"/>
        <v/>
      </c>
      <c r="FO111" s="452" t="str">
        <f t="shared" si="150"/>
        <v/>
      </c>
      <c r="FP111" s="453" t="str">
        <f t="shared" si="160"/>
        <v/>
      </c>
      <c r="FQ111" s="451" t="str">
        <f t="shared" si="160"/>
        <v/>
      </c>
      <c r="FR111" s="452" t="str">
        <f t="shared" si="160"/>
        <v/>
      </c>
      <c r="FS111" s="452" t="str">
        <f t="shared" si="160"/>
        <v/>
      </c>
      <c r="FT111" s="452" t="str">
        <f t="shared" si="160"/>
        <v/>
      </c>
      <c r="FU111" s="453" t="str">
        <f t="shared" si="160"/>
        <v/>
      </c>
      <c r="FV111" s="451" t="str">
        <f t="shared" si="160"/>
        <v/>
      </c>
      <c r="FW111" s="452" t="str">
        <f t="shared" si="160"/>
        <v/>
      </c>
      <c r="FX111" s="452" t="str">
        <f t="shared" si="160"/>
        <v/>
      </c>
      <c r="FY111" s="452" t="str">
        <f t="shared" si="160"/>
        <v/>
      </c>
      <c r="FZ111" s="453" t="str">
        <f t="shared" si="160"/>
        <v/>
      </c>
      <c r="GA111" s="451" t="str">
        <f t="shared" si="160"/>
        <v/>
      </c>
      <c r="GB111" s="452" t="str">
        <f t="shared" si="153"/>
        <v/>
      </c>
      <c r="GC111" s="452" t="str">
        <f t="shared" si="153"/>
        <v/>
      </c>
      <c r="GD111" s="452" t="str">
        <f t="shared" si="153"/>
        <v/>
      </c>
      <c r="GE111" s="453" t="str">
        <f t="shared" si="153"/>
        <v/>
      </c>
      <c r="GF111" s="451" t="str">
        <f t="shared" si="153"/>
        <v/>
      </c>
      <c r="GG111" s="452" t="str">
        <f t="shared" si="153"/>
        <v/>
      </c>
      <c r="GH111" s="452" t="str">
        <f t="shared" si="153"/>
        <v/>
      </c>
      <c r="GI111" s="452" t="str">
        <f t="shared" si="153"/>
        <v/>
      </c>
      <c r="GJ111" s="453" t="str">
        <f t="shared" si="153"/>
        <v/>
      </c>
      <c r="GK111" s="451" t="str">
        <f t="shared" si="153"/>
        <v/>
      </c>
      <c r="GL111" s="452" t="str">
        <f t="shared" si="153"/>
        <v/>
      </c>
      <c r="GM111" s="452" t="str">
        <f t="shared" si="153"/>
        <v/>
      </c>
      <c r="GN111" s="452" t="str">
        <f t="shared" si="153"/>
        <v/>
      </c>
      <c r="GO111" s="453" t="str">
        <f t="shared" si="151"/>
        <v/>
      </c>
      <c r="GP111" s="451" t="str">
        <f t="shared" si="151"/>
        <v/>
      </c>
      <c r="GQ111" s="452" t="str">
        <f t="shared" si="151"/>
        <v/>
      </c>
      <c r="GR111" s="452" t="str">
        <f t="shared" si="151"/>
        <v/>
      </c>
      <c r="GS111" s="452" t="str">
        <f t="shared" si="151"/>
        <v/>
      </c>
      <c r="GT111" s="453" t="str">
        <f t="shared" si="151"/>
        <v/>
      </c>
      <c r="GU111" s="451" t="str">
        <f t="shared" si="151"/>
        <v/>
      </c>
      <c r="GV111" s="452" t="str">
        <f t="shared" si="151"/>
        <v/>
      </c>
      <c r="GW111" s="452" t="str">
        <f t="shared" si="151"/>
        <v/>
      </c>
      <c r="GX111" s="452" t="str">
        <f t="shared" si="151"/>
        <v/>
      </c>
      <c r="GY111" s="453" t="str">
        <f t="shared" si="151"/>
        <v/>
      </c>
      <c r="GZ111" s="451" t="str">
        <f t="shared" si="151"/>
        <v/>
      </c>
      <c r="HA111" s="452" t="str">
        <f t="shared" si="151"/>
        <v/>
      </c>
      <c r="HB111" s="452" t="str">
        <f t="shared" si="151"/>
        <v/>
      </c>
      <c r="HC111" s="452" t="str">
        <f t="shared" si="151"/>
        <v/>
      </c>
      <c r="HD111" s="453" t="str">
        <f t="shared" si="151"/>
        <v/>
      </c>
      <c r="HE111" s="451" t="str">
        <f t="shared" si="157"/>
        <v/>
      </c>
      <c r="HF111" s="452" t="str">
        <f t="shared" si="157"/>
        <v/>
      </c>
      <c r="HG111" s="452" t="str">
        <f t="shared" si="157"/>
        <v/>
      </c>
      <c r="HH111" s="452" t="str">
        <f t="shared" si="157"/>
        <v/>
      </c>
      <c r="HI111" s="453" t="str">
        <f t="shared" si="157"/>
        <v/>
      </c>
      <c r="HJ111" s="451" t="str">
        <f t="shared" si="157"/>
        <v/>
      </c>
      <c r="HK111" s="452" t="str">
        <f t="shared" si="157"/>
        <v/>
      </c>
      <c r="HL111" s="452" t="str">
        <f t="shared" si="157"/>
        <v/>
      </c>
      <c r="HM111" s="452" t="str">
        <f t="shared" si="157"/>
        <v/>
      </c>
      <c r="HN111" s="453" t="str">
        <f t="shared" si="157"/>
        <v/>
      </c>
      <c r="HO111" s="451" t="str">
        <f t="shared" si="157"/>
        <v/>
      </c>
      <c r="HP111" s="452" t="str">
        <f t="shared" si="157"/>
        <v/>
      </c>
      <c r="HQ111" s="452" t="str">
        <f t="shared" si="157"/>
        <v/>
      </c>
      <c r="HR111" s="452" t="str">
        <f t="shared" si="157"/>
        <v/>
      </c>
      <c r="HS111" s="453" t="str">
        <f t="shared" si="157"/>
        <v/>
      </c>
      <c r="HT111" s="451" t="str">
        <f t="shared" si="157"/>
        <v/>
      </c>
      <c r="HU111" s="452" t="str">
        <f t="shared" si="163"/>
        <v/>
      </c>
      <c r="HV111" s="452" t="str">
        <f t="shared" si="163"/>
        <v/>
      </c>
      <c r="HW111" s="452" t="str">
        <f t="shared" si="163"/>
        <v/>
      </c>
      <c r="HX111" s="453" t="str">
        <f t="shared" si="163"/>
        <v/>
      </c>
      <c r="HY111" s="451" t="str">
        <f t="shared" si="163"/>
        <v/>
      </c>
      <c r="HZ111" s="452" t="str">
        <f t="shared" si="163"/>
        <v/>
      </c>
      <c r="IA111" s="452" t="str">
        <f t="shared" si="163"/>
        <v/>
      </c>
      <c r="IB111" s="452" t="str">
        <f t="shared" si="163"/>
        <v/>
      </c>
      <c r="IC111" s="453" t="str">
        <f t="shared" si="162"/>
        <v/>
      </c>
      <c r="ID111" s="451" t="str">
        <f t="shared" si="162"/>
        <v/>
      </c>
      <c r="IE111" s="452" t="str">
        <f t="shared" si="162"/>
        <v/>
      </c>
      <c r="IF111" s="452" t="str">
        <f t="shared" si="162"/>
        <v/>
      </c>
      <c r="IG111" s="452" t="str">
        <f t="shared" si="162"/>
        <v/>
      </c>
      <c r="IH111" s="453" t="str">
        <f t="shared" si="162"/>
        <v/>
      </c>
      <c r="II111" s="451" t="str">
        <f t="shared" si="162"/>
        <v/>
      </c>
      <c r="IJ111" s="452" t="str">
        <f t="shared" si="162"/>
        <v/>
      </c>
      <c r="IK111" s="452" t="str">
        <f t="shared" si="162"/>
        <v/>
      </c>
      <c r="IL111" s="452" t="str">
        <f t="shared" si="162"/>
        <v/>
      </c>
      <c r="IM111" s="453" t="str">
        <f t="shared" si="162"/>
        <v/>
      </c>
      <c r="IN111" s="451" t="str">
        <f t="shared" si="162"/>
        <v/>
      </c>
      <c r="IO111" s="452" t="str">
        <f t="shared" si="147"/>
        <v/>
      </c>
      <c r="IP111" s="452" t="str">
        <f t="shared" si="147"/>
        <v/>
      </c>
      <c r="IQ111" s="452" t="str">
        <f t="shared" si="147"/>
        <v/>
      </c>
      <c r="IR111" s="453" t="str">
        <f t="shared" si="147"/>
        <v/>
      </c>
    </row>
    <row r="112" spans="1:252" x14ac:dyDescent="0.2">
      <c r="A112" s="461">
        <v>10.9</v>
      </c>
      <c r="C112" s="447" t="s">
        <v>1359</v>
      </c>
      <c r="D112" s="447"/>
      <c r="E112" s="448"/>
      <c r="F112" s="448"/>
      <c r="G112" s="448"/>
      <c r="H112" s="448"/>
      <c r="I112" s="448"/>
      <c r="J112" s="449" t="str">
        <f t="shared" si="155"/>
        <v/>
      </c>
      <c r="K112" s="449" t="str">
        <f t="shared" si="156"/>
        <v/>
      </c>
      <c r="L112" s="450">
        <f t="shared" si="101"/>
        <v>0</v>
      </c>
      <c r="M112" s="451" t="str">
        <f t="shared" si="161"/>
        <v/>
      </c>
      <c r="N112" s="452" t="str">
        <f t="shared" si="161"/>
        <v/>
      </c>
      <c r="O112" s="452" t="str">
        <f t="shared" si="161"/>
        <v/>
      </c>
      <c r="P112" s="452" t="str">
        <f t="shared" si="161"/>
        <v/>
      </c>
      <c r="Q112" s="453" t="str">
        <f t="shared" si="161"/>
        <v/>
      </c>
      <c r="R112" s="451" t="str">
        <f t="shared" si="161"/>
        <v/>
      </c>
      <c r="S112" s="452" t="str">
        <f t="shared" si="161"/>
        <v/>
      </c>
      <c r="T112" s="452" t="str">
        <f t="shared" si="161"/>
        <v/>
      </c>
      <c r="U112" s="452" t="str">
        <f t="shared" si="161"/>
        <v/>
      </c>
      <c r="V112" s="453" t="str">
        <f t="shared" si="161"/>
        <v/>
      </c>
      <c r="W112" s="451" t="str">
        <f t="shared" si="161"/>
        <v/>
      </c>
      <c r="X112" s="452" t="str">
        <f t="shared" si="161"/>
        <v/>
      </c>
      <c r="Y112" s="452" t="str">
        <f t="shared" si="161"/>
        <v/>
      </c>
      <c r="Z112" s="452" t="str">
        <f t="shared" si="161"/>
        <v/>
      </c>
      <c r="AA112" s="453" t="str">
        <f t="shared" si="161"/>
        <v/>
      </c>
      <c r="AB112" s="451" t="str">
        <f t="shared" si="161"/>
        <v/>
      </c>
      <c r="AC112" s="452" t="str">
        <f t="shared" si="148"/>
        <v/>
      </c>
      <c r="AD112" s="452" t="str">
        <f t="shared" si="148"/>
        <v/>
      </c>
      <c r="AE112" s="452" t="str">
        <f t="shared" si="148"/>
        <v/>
      </c>
      <c r="AF112" s="453" t="str">
        <f t="shared" si="148"/>
        <v/>
      </c>
      <c r="AG112" s="451" t="str">
        <f t="shared" si="148"/>
        <v/>
      </c>
      <c r="AH112" s="452" t="str">
        <f t="shared" si="148"/>
        <v/>
      </c>
      <c r="AI112" s="452" t="str">
        <f t="shared" si="148"/>
        <v/>
      </c>
      <c r="AJ112" s="452" t="str">
        <f t="shared" si="148"/>
        <v/>
      </c>
      <c r="AK112" s="453" t="str">
        <f t="shared" si="148"/>
        <v/>
      </c>
      <c r="AL112" s="451" t="str">
        <f t="shared" si="148"/>
        <v/>
      </c>
      <c r="AM112" s="452" t="str">
        <f t="shared" si="148"/>
        <v/>
      </c>
      <c r="AN112" s="452" t="str">
        <f t="shared" si="148"/>
        <v/>
      </c>
      <c r="AO112" s="452" t="str">
        <f t="shared" si="148"/>
        <v/>
      </c>
      <c r="AP112" s="453" t="str">
        <f t="shared" si="148"/>
        <v/>
      </c>
      <c r="AQ112" s="451" t="str">
        <f t="shared" si="148"/>
        <v/>
      </c>
      <c r="AR112" s="452" t="str">
        <f t="shared" ref="AR112:BG127" si="165">IF(AND(AR$2&gt;=$J112,AR$2&lt;=$K112),1,"")</f>
        <v/>
      </c>
      <c r="AS112" s="452" t="str">
        <f t="shared" si="165"/>
        <v/>
      </c>
      <c r="AT112" s="452" t="str">
        <f t="shared" si="165"/>
        <v/>
      </c>
      <c r="AU112" s="453" t="str">
        <f t="shared" si="165"/>
        <v/>
      </c>
      <c r="AV112" s="451" t="str">
        <f t="shared" si="165"/>
        <v/>
      </c>
      <c r="AW112" s="452" t="str">
        <f t="shared" si="165"/>
        <v/>
      </c>
      <c r="AX112" s="452" t="str">
        <f t="shared" si="165"/>
        <v/>
      </c>
      <c r="AY112" s="452" t="str">
        <f t="shared" si="165"/>
        <v/>
      </c>
      <c r="AZ112" s="453" t="str">
        <f t="shared" si="165"/>
        <v/>
      </c>
      <c r="BA112" s="451" t="str">
        <f t="shared" si="165"/>
        <v/>
      </c>
      <c r="BB112" s="452" t="str">
        <f t="shared" si="165"/>
        <v/>
      </c>
      <c r="BC112" s="452" t="str">
        <f t="shared" si="165"/>
        <v/>
      </c>
      <c r="BD112" s="452" t="str">
        <f t="shared" si="165"/>
        <v/>
      </c>
      <c r="BE112" s="453" t="str">
        <f t="shared" si="165"/>
        <v/>
      </c>
      <c r="BF112" s="451" t="str">
        <f t="shared" si="165"/>
        <v/>
      </c>
      <c r="BG112" s="452" t="str">
        <f t="shared" si="165"/>
        <v/>
      </c>
      <c r="BH112" s="452" t="str">
        <f t="shared" si="154"/>
        <v/>
      </c>
      <c r="BI112" s="452" t="str">
        <f t="shared" si="154"/>
        <v/>
      </c>
      <c r="BJ112" s="453" t="str">
        <f t="shared" si="154"/>
        <v/>
      </c>
      <c r="BK112" s="451" t="str">
        <f t="shared" si="154"/>
        <v/>
      </c>
      <c r="BL112" s="452" t="str">
        <f t="shared" si="154"/>
        <v/>
      </c>
      <c r="BM112" s="452" t="str">
        <f t="shared" si="154"/>
        <v/>
      </c>
      <c r="BN112" s="452" t="str">
        <f t="shared" si="154"/>
        <v/>
      </c>
      <c r="BO112" s="453" t="str">
        <f t="shared" si="154"/>
        <v/>
      </c>
      <c r="BP112" s="451" t="str">
        <f t="shared" si="154"/>
        <v/>
      </c>
      <c r="BQ112" s="452" t="str">
        <f t="shared" si="154"/>
        <v/>
      </c>
      <c r="BR112" s="452" t="str">
        <f t="shared" si="154"/>
        <v/>
      </c>
      <c r="BS112" s="452" t="str">
        <f t="shared" si="154"/>
        <v/>
      </c>
      <c r="BT112" s="453" t="str">
        <f t="shared" si="154"/>
        <v/>
      </c>
      <c r="BU112" s="451" t="str">
        <f t="shared" si="154"/>
        <v/>
      </c>
      <c r="BV112" s="452" t="str">
        <f t="shared" si="154"/>
        <v/>
      </c>
      <c r="BW112" s="452" t="str">
        <f t="shared" si="154"/>
        <v/>
      </c>
      <c r="BX112" s="452" t="str">
        <f t="shared" ref="BX112:CM127" si="166">IF(AND(BX$2&gt;=$J112,BX$2&lt;=$K112),1,"")</f>
        <v/>
      </c>
      <c r="BY112" s="453" t="str">
        <f t="shared" si="166"/>
        <v/>
      </c>
      <c r="BZ112" s="451" t="str">
        <f t="shared" si="166"/>
        <v/>
      </c>
      <c r="CA112" s="452" t="str">
        <f t="shared" si="166"/>
        <v/>
      </c>
      <c r="CB112" s="452" t="str">
        <f t="shared" si="166"/>
        <v/>
      </c>
      <c r="CC112" s="452" t="str">
        <f t="shared" si="166"/>
        <v/>
      </c>
      <c r="CD112" s="453" t="str">
        <f t="shared" si="166"/>
        <v/>
      </c>
      <c r="CE112" s="451" t="str">
        <f t="shared" si="166"/>
        <v/>
      </c>
      <c r="CF112" s="452" t="str">
        <f t="shared" si="166"/>
        <v/>
      </c>
      <c r="CG112" s="452" t="str">
        <f t="shared" si="166"/>
        <v/>
      </c>
      <c r="CH112" s="452" t="str">
        <f t="shared" si="166"/>
        <v/>
      </c>
      <c r="CI112" s="453" t="str">
        <f t="shared" si="166"/>
        <v/>
      </c>
      <c r="CJ112" s="451" t="str">
        <f t="shared" si="166"/>
        <v/>
      </c>
      <c r="CK112" s="452" t="str">
        <f t="shared" si="166"/>
        <v/>
      </c>
      <c r="CL112" s="452" t="str">
        <f t="shared" si="166"/>
        <v/>
      </c>
      <c r="CM112" s="452" t="str">
        <f t="shared" si="166"/>
        <v/>
      </c>
      <c r="CN112" s="453" t="str">
        <f t="shared" si="164"/>
        <v/>
      </c>
      <c r="CO112" s="451" t="str">
        <f t="shared" si="158"/>
        <v/>
      </c>
      <c r="CP112" s="452" t="str">
        <f t="shared" si="158"/>
        <v/>
      </c>
      <c r="CQ112" s="452" t="str">
        <f t="shared" si="158"/>
        <v/>
      </c>
      <c r="CR112" s="452" t="str">
        <f t="shared" si="158"/>
        <v/>
      </c>
      <c r="CS112" s="453" t="str">
        <f t="shared" si="158"/>
        <v/>
      </c>
      <c r="CT112" s="451" t="str">
        <f t="shared" si="158"/>
        <v/>
      </c>
      <c r="CU112" s="452" t="str">
        <f t="shared" si="158"/>
        <v/>
      </c>
      <c r="CV112" s="452" t="str">
        <f t="shared" si="158"/>
        <v/>
      </c>
      <c r="CW112" s="452" t="str">
        <f t="shared" si="158"/>
        <v/>
      </c>
      <c r="CX112" s="453" t="str">
        <f t="shared" si="158"/>
        <v/>
      </c>
      <c r="CY112" s="451" t="str">
        <f t="shared" si="158"/>
        <v/>
      </c>
      <c r="CZ112" s="452" t="str">
        <f t="shared" si="158"/>
        <v/>
      </c>
      <c r="DA112" s="452" t="str">
        <f t="shared" si="158"/>
        <v/>
      </c>
      <c r="DB112" s="452" t="str">
        <f t="shared" si="158"/>
        <v/>
      </c>
      <c r="DC112" s="453" t="str">
        <f t="shared" si="158"/>
        <v/>
      </c>
      <c r="DD112" s="451" t="str">
        <f t="shared" si="158"/>
        <v/>
      </c>
      <c r="DE112" s="452" t="str">
        <f t="shared" si="158"/>
        <v/>
      </c>
      <c r="DF112" s="452" t="str">
        <f t="shared" si="158"/>
        <v/>
      </c>
      <c r="DG112" s="452" t="str">
        <f t="shared" si="158"/>
        <v/>
      </c>
      <c r="DH112" s="453" t="str">
        <f t="shared" si="158"/>
        <v/>
      </c>
      <c r="DI112" s="451" t="str">
        <f t="shared" si="158"/>
        <v/>
      </c>
      <c r="DJ112" s="452" t="str">
        <f t="shared" si="158"/>
        <v/>
      </c>
      <c r="DK112" s="452" t="str">
        <f t="shared" si="158"/>
        <v/>
      </c>
      <c r="DL112" s="452" t="str">
        <f t="shared" si="158"/>
        <v/>
      </c>
      <c r="DM112" s="453" t="str">
        <f t="shared" si="158"/>
        <v/>
      </c>
      <c r="DN112" s="451" t="str">
        <f t="shared" si="158"/>
        <v/>
      </c>
      <c r="DO112" s="452" t="str">
        <f t="shared" si="158"/>
        <v/>
      </c>
      <c r="DP112" s="452" t="str">
        <f t="shared" si="158"/>
        <v/>
      </c>
      <c r="DQ112" s="452" t="str">
        <f t="shared" si="158"/>
        <v/>
      </c>
      <c r="DR112" s="453" t="str">
        <f t="shared" ref="DR112:EG127" si="167">IF(AND(DR$2&gt;=$J112,DR$2&lt;=$K112),1,"")</f>
        <v/>
      </c>
      <c r="DS112" s="451" t="str">
        <f t="shared" si="167"/>
        <v/>
      </c>
      <c r="DT112" s="452" t="str">
        <f t="shared" si="167"/>
        <v/>
      </c>
      <c r="DU112" s="452" t="str">
        <f t="shared" si="167"/>
        <v/>
      </c>
      <c r="DV112" s="452" t="str">
        <f t="shared" si="167"/>
        <v/>
      </c>
      <c r="DW112" s="453" t="str">
        <f t="shared" si="167"/>
        <v/>
      </c>
      <c r="DX112" s="451" t="str">
        <f t="shared" si="167"/>
        <v/>
      </c>
      <c r="DY112" s="452" t="str">
        <f t="shared" si="149"/>
        <v/>
      </c>
      <c r="DZ112" s="452" t="str">
        <f t="shared" si="149"/>
        <v/>
      </c>
      <c r="EA112" s="452" t="str">
        <f t="shared" si="149"/>
        <v/>
      </c>
      <c r="EB112" s="453" t="str">
        <f t="shared" si="149"/>
        <v/>
      </c>
      <c r="EC112" s="451" t="str">
        <f t="shared" si="149"/>
        <v/>
      </c>
      <c r="ED112" s="452" t="str">
        <f t="shared" si="149"/>
        <v/>
      </c>
      <c r="EE112" s="452" t="str">
        <f t="shared" si="149"/>
        <v/>
      </c>
      <c r="EF112" s="452" t="str">
        <f t="shared" si="149"/>
        <v/>
      </c>
      <c r="EG112" s="453" t="str">
        <f t="shared" si="149"/>
        <v/>
      </c>
      <c r="EH112" s="451" t="str">
        <f t="shared" si="149"/>
        <v/>
      </c>
      <c r="EI112" s="452" t="str">
        <f t="shared" si="149"/>
        <v/>
      </c>
      <c r="EJ112" s="452" t="str">
        <f t="shared" si="149"/>
        <v/>
      </c>
      <c r="EK112" s="452" t="str">
        <f t="shared" si="152"/>
        <v/>
      </c>
      <c r="EL112" s="453" t="str">
        <f t="shared" si="152"/>
        <v/>
      </c>
      <c r="EM112" s="451" t="str">
        <f t="shared" si="152"/>
        <v/>
      </c>
      <c r="EN112" s="452" t="str">
        <f t="shared" si="152"/>
        <v/>
      </c>
      <c r="EO112" s="452" t="str">
        <f t="shared" si="152"/>
        <v/>
      </c>
      <c r="EP112" s="452" t="str">
        <f t="shared" si="152"/>
        <v/>
      </c>
      <c r="EQ112" s="453" t="str">
        <f t="shared" si="152"/>
        <v/>
      </c>
      <c r="ER112" s="451" t="str">
        <f t="shared" si="152"/>
        <v/>
      </c>
      <c r="ES112" s="452" t="str">
        <f t="shared" si="152"/>
        <v/>
      </c>
      <c r="ET112" s="452" t="str">
        <f t="shared" si="152"/>
        <v/>
      </c>
      <c r="EU112" s="452" t="str">
        <f t="shared" si="152"/>
        <v/>
      </c>
      <c r="EV112" s="453" t="str">
        <f t="shared" si="152"/>
        <v/>
      </c>
      <c r="EW112" s="451" t="str">
        <f t="shared" si="152"/>
        <v/>
      </c>
      <c r="EX112" s="452" t="str">
        <f t="shared" si="152"/>
        <v/>
      </c>
      <c r="EY112" s="452" t="str">
        <f t="shared" si="152"/>
        <v/>
      </c>
      <c r="EZ112" s="452" t="str">
        <f t="shared" si="152"/>
        <v/>
      </c>
      <c r="FA112" s="453" t="str">
        <f t="shared" si="150"/>
        <v/>
      </c>
      <c r="FB112" s="451" t="str">
        <f t="shared" si="150"/>
        <v/>
      </c>
      <c r="FC112" s="452" t="str">
        <f t="shared" si="150"/>
        <v/>
      </c>
      <c r="FD112" s="452" t="str">
        <f t="shared" si="150"/>
        <v/>
      </c>
      <c r="FE112" s="452" t="str">
        <f t="shared" si="150"/>
        <v/>
      </c>
      <c r="FF112" s="453" t="str">
        <f t="shared" si="150"/>
        <v/>
      </c>
      <c r="FG112" s="451" t="str">
        <f t="shared" si="150"/>
        <v/>
      </c>
      <c r="FH112" s="452" t="str">
        <f t="shared" si="150"/>
        <v/>
      </c>
      <c r="FI112" s="452" t="str">
        <f t="shared" si="150"/>
        <v/>
      </c>
      <c r="FJ112" s="452" t="str">
        <f t="shared" si="150"/>
        <v/>
      </c>
      <c r="FK112" s="453" t="str">
        <f t="shared" si="150"/>
        <v/>
      </c>
      <c r="FL112" s="451" t="str">
        <f t="shared" si="150"/>
        <v/>
      </c>
      <c r="FM112" s="452" t="str">
        <f t="shared" si="150"/>
        <v/>
      </c>
      <c r="FN112" s="452" t="str">
        <f t="shared" si="150"/>
        <v/>
      </c>
      <c r="FO112" s="452" t="str">
        <f t="shared" si="150"/>
        <v/>
      </c>
      <c r="FP112" s="453" t="str">
        <f t="shared" si="160"/>
        <v/>
      </c>
      <c r="FQ112" s="451" t="str">
        <f t="shared" si="160"/>
        <v/>
      </c>
      <c r="FR112" s="452" t="str">
        <f t="shared" si="160"/>
        <v/>
      </c>
      <c r="FS112" s="452" t="str">
        <f t="shared" si="160"/>
        <v/>
      </c>
      <c r="FT112" s="452" t="str">
        <f t="shared" si="160"/>
        <v/>
      </c>
      <c r="FU112" s="453" t="str">
        <f t="shared" si="160"/>
        <v/>
      </c>
      <c r="FV112" s="451" t="str">
        <f t="shared" si="160"/>
        <v/>
      </c>
      <c r="FW112" s="452" t="str">
        <f t="shared" si="160"/>
        <v/>
      </c>
      <c r="FX112" s="452" t="str">
        <f t="shared" si="160"/>
        <v/>
      </c>
      <c r="FY112" s="452" t="str">
        <f t="shared" si="160"/>
        <v/>
      </c>
      <c r="FZ112" s="453" t="str">
        <f t="shared" si="160"/>
        <v/>
      </c>
      <c r="GA112" s="451" t="str">
        <f t="shared" si="160"/>
        <v/>
      </c>
      <c r="GB112" s="452" t="str">
        <f t="shared" si="153"/>
        <v/>
      </c>
      <c r="GC112" s="452" t="str">
        <f t="shared" si="153"/>
        <v/>
      </c>
      <c r="GD112" s="452" t="str">
        <f t="shared" si="153"/>
        <v/>
      </c>
      <c r="GE112" s="453" t="str">
        <f t="shared" si="153"/>
        <v/>
      </c>
      <c r="GF112" s="451" t="str">
        <f t="shared" si="153"/>
        <v/>
      </c>
      <c r="GG112" s="452" t="str">
        <f t="shared" si="153"/>
        <v/>
      </c>
      <c r="GH112" s="452" t="str">
        <f t="shared" si="153"/>
        <v/>
      </c>
      <c r="GI112" s="452" t="str">
        <f t="shared" si="153"/>
        <v/>
      </c>
      <c r="GJ112" s="453" t="str">
        <f t="shared" si="153"/>
        <v/>
      </c>
      <c r="GK112" s="451" t="str">
        <f t="shared" si="153"/>
        <v/>
      </c>
      <c r="GL112" s="452" t="str">
        <f t="shared" si="153"/>
        <v/>
      </c>
      <c r="GM112" s="452" t="str">
        <f t="shared" si="153"/>
        <v/>
      </c>
      <c r="GN112" s="452" t="str">
        <f t="shared" si="153"/>
        <v/>
      </c>
      <c r="GO112" s="453" t="str">
        <f t="shared" si="151"/>
        <v/>
      </c>
      <c r="GP112" s="451" t="str">
        <f t="shared" si="151"/>
        <v/>
      </c>
      <c r="GQ112" s="452" t="str">
        <f t="shared" si="151"/>
        <v/>
      </c>
      <c r="GR112" s="452" t="str">
        <f t="shared" si="151"/>
        <v/>
      </c>
      <c r="GS112" s="452" t="str">
        <f t="shared" si="151"/>
        <v/>
      </c>
      <c r="GT112" s="453" t="str">
        <f t="shared" si="151"/>
        <v/>
      </c>
      <c r="GU112" s="451" t="str">
        <f t="shared" si="151"/>
        <v/>
      </c>
      <c r="GV112" s="452" t="str">
        <f t="shared" si="151"/>
        <v/>
      </c>
      <c r="GW112" s="452" t="str">
        <f t="shared" si="151"/>
        <v/>
      </c>
      <c r="GX112" s="452" t="str">
        <f t="shared" si="151"/>
        <v/>
      </c>
      <c r="GY112" s="453" t="str">
        <f t="shared" si="151"/>
        <v/>
      </c>
      <c r="GZ112" s="451" t="str">
        <f t="shared" si="151"/>
        <v/>
      </c>
      <c r="HA112" s="452" t="str">
        <f t="shared" si="151"/>
        <v/>
      </c>
      <c r="HB112" s="452" t="str">
        <f t="shared" si="151"/>
        <v/>
      </c>
      <c r="HC112" s="452" t="str">
        <f t="shared" si="151"/>
        <v/>
      </c>
      <c r="HD112" s="453" t="str">
        <f t="shared" si="151"/>
        <v/>
      </c>
      <c r="HE112" s="451" t="str">
        <f t="shared" si="157"/>
        <v/>
      </c>
      <c r="HF112" s="452" t="str">
        <f t="shared" si="157"/>
        <v/>
      </c>
      <c r="HG112" s="452" t="str">
        <f t="shared" si="157"/>
        <v/>
      </c>
      <c r="HH112" s="452" t="str">
        <f t="shared" si="157"/>
        <v/>
      </c>
      <c r="HI112" s="453" t="str">
        <f t="shared" si="157"/>
        <v/>
      </c>
      <c r="HJ112" s="451" t="str">
        <f t="shared" si="157"/>
        <v/>
      </c>
      <c r="HK112" s="452" t="str">
        <f t="shared" si="157"/>
        <v/>
      </c>
      <c r="HL112" s="452" t="str">
        <f t="shared" si="157"/>
        <v/>
      </c>
      <c r="HM112" s="452" t="str">
        <f t="shared" si="157"/>
        <v/>
      </c>
      <c r="HN112" s="453" t="str">
        <f t="shared" si="157"/>
        <v/>
      </c>
      <c r="HO112" s="451" t="str">
        <f t="shared" si="157"/>
        <v/>
      </c>
      <c r="HP112" s="452" t="str">
        <f t="shared" si="157"/>
        <v/>
      </c>
      <c r="HQ112" s="452" t="str">
        <f t="shared" si="157"/>
        <v/>
      </c>
      <c r="HR112" s="452" t="str">
        <f t="shared" si="157"/>
        <v/>
      </c>
      <c r="HS112" s="453" t="str">
        <f t="shared" si="157"/>
        <v/>
      </c>
      <c r="HT112" s="451" t="str">
        <f t="shared" si="157"/>
        <v/>
      </c>
      <c r="HU112" s="452" t="str">
        <f t="shared" si="163"/>
        <v/>
      </c>
      <c r="HV112" s="452" t="str">
        <f t="shared" si="163"/>
        <v/>
      </c>
      <c r="HW112" s="452" t="str">
        <f t="shared" si="163"/>
        <v/>
      </c>
      <c r="HX112" s="453" t="str">
        <f t="shared" si="163"/>
        <v/>
      </c>
      <c r="HY112" s="451" t="str">
        <f t="shared" si="163"/>
        <v/>
      </c>
      <c r="HZ112" s="452" t="str">
        <f t="shared" si="163"/>
        <v/>
      </c>
      <c r="IA112" s="452" t="str">
        <f t="shared" si="163"/>
        <v/>
      </c>
      <c r="IB112" s="452" t="str">
        <f t="shared" si="163"/>
        <v/>
      </c>
      <c r="IC112" s="453" t="str">
        <f t="shared" si="162"/>
        <v/>
      </c>
      <c r="ID112" s="451" t="str">
        <f t="shared" si="162"/>
        <v/>
      </c>
      <c r="IE112" s="452" t="str">
        <f t="shared" si="162"/>
        <v/>
      </c>
      <c r="IF112" s="452" t="str">
        <f t="shared" si="162"/>
        <v/>
      </c>
      <c r="IG112" s="452" t="str">
        <f t="shared" si="162"/>
        <v/>
      </c>
      <c r="IH112" s="453" t="str">
        <f t="shared" si="162"/>
        <v/>
      </c>
      <c r="II112" s="451" t="str">
        <f t="shared" si="162"/>
        <v/>
      </c>
      <c r="IJ112" s="452" t="str">
        <f t="shared" si="162"/>
        <v/>
      </c>
      <c r="IK112" s="452" t="str">
        <f t="shared" si="162"/>
        <v/>
      </c>
      <c r="IL112" s="452" t="str">
        <f t="shared" si="162"/>
        <v/>
      </c>
      <c r="IM112" s="453" t="str">
        <f t="shared" si="162"/>
        <v/>
      </c>
      <c r="IN112" s="451" t="str">
        <f t="shared" si="162"/>
        <v/>
      </c>
      <c r="IO112" s="452" t="str">
        <f t="shared" si="162"/>
        <v/>
      </c>
      <c r="IP112" s="452" t="str">
        <f t="shared" ref="IM112:IR127" si="168">IF(AND(IP$2&gt;=$J112,IP$2&lt;=$K112),1,"")</f>
        <v/>
      </c>
      <c r="IQ112" s="452" t="str">
        <f t="shared" si="168"/>
        <v/>
      </c>
      <c r="IR112" s="453" t="str">
        <f t="shared" si="168"/>
        <v/>
      </c>
    </row>
    <row r="113" spans="1:252" x14ac:dyDescent="0.2">
      <c r="A113" s="462">
        <v>10.1</v>
      </c>
      <c r="B113" s="463"/>
      <c r="C113" s="464" t="s">
        <v>1360</v>
      </c>
      <c r="D113" s="464"/>
      <c r="E113" s="465"/>
      <c r="F113" s="465"/>
      <c r="G113" s="465"/>
      <c r="H113" s="465"/>
      <c r="I113" s="466"/>
      <c r="J113" s="467" t="str">
        <f t="shared" si="155"/>
        <v/>
      </c>
      <c r="K113" s="467" t="str">
        <f t="shared" si="156"/>
        <v/>
      </c>
      <c r="L113" s="468">
        <f t="shared" si="101"/>
        <v>0</v>
      </c>
      <c r="M113" s="469" t="str">
        <f t="shared" si="161"/>
        <v/>
      </c>
      <c r="N113" s="470" t="str">
        <f t="shared" si="161"/>
        <v/>
      </c>
      <c r="O113" s="470" t="str">
        <f t="shared" si="161"/>
        <v/>
      </c>
      <c r="P113" s="470" t="str">
        <f t="shared" si="161"/>
        <v/>
      </c>
      <c r="Q113" s="471" t="str">
        <f t="shared" si="161"/>
        <v/>
      </c>
      <c r="R113" s="469" t="str">
        <f t="shared" si="161"/>
        <v/>
      </c>
      <c r="S113" s="470" t="str">
        <f t="shared" si="161"/>
        <v/>
      </c>
      <c r="T113" s="470" t="str">
        <f t="shared" si="161"/>
        <v/>
      </c>
      <c r="U113" s="470" t="str">
        <f t="shared" si="161"/>
        <v/>
      </c>
      <c r="V113" s="471" t="str">
        <f t="shared" si="161"/>
        <v/>
      </c>
      <c r="W113" s="469" t="str">
        <f t="shared" si="161"/>
        <v/>
      </c>
      <c r="X113" s="470" t="str">
        <f t="shared" si="161"/>
        <v/>
      </c>
      <c r="Y113" s="470" t="str">
        <f t="shared" si="161"/>
        <v/>
      </c>
      <c r="Z113" s="470" t="str">
        <f t="shared" si="161"/>
        <v/>
      </c>
      <c r="AA113" s="471" t="str">
        <f t="shared" si="161"/>
        <v/>
      </c>
      <c r="AB113" s="469" t="str">
        <f t="shared" si="161"/>
        <v/>
      </c>
      <c r="AC113" s="470" t="str">
        <f t="shared" ref="AC113:AR128" si="169">IF(AND(AC$2&gt;=$J113,AC$2&lt;=$K113),1,"")</f>
        <v/>
      </c>
      <c r="AD113" s="470" t="str">
        <f t="shared" si="169"/>
        <v/>
      </c>
      <c r="AE113" s="470" t="str">
        <f t="shared" si="169"/>
        <v/>
      </c>
      <c r="AF113" s="471" t="str">
        <f t="shared" si="169"/>
        <v/>
      </c>
      <c r="AG113" s="469" t="str">
        <f t="shared" si="169"/>
        <v/>
      </c>
      <c r="AH113" s="470" t="str">
        <f t="shared" si="169"/>
        <v/>
      </c>
      <c r="AI113" s="470" t="str">
        <f t="shared" si="169"/>
        <v/>
      </c>
      <c r="AJ113" s="470" t="str">
        <f t="shared" si="169"/>
        <v/>
      </c>
      <c r="AK113" s="471" t="str">
        <f t="shared" si="169"/>
        <v/>
      </c>
      <c r="AL113" s="469" t="str">
        <f t="shared" si="169"/>
        <v/>
      </c>
      <c r="AM113" s="470" t="str">
        <f t="shared" si="169"/>
        <v/>
      </c>
      <c r="AN113" s="470" t="str">
        <f t="shared" si="169"/>
        <v/>
      </c>
      <c r="AO113" s="470" t="str">
        <f t="shared" si="169"/>
        <v/>
      </c>
      <c r="AP113" s="471" t="str">
        <f t="shared" si="169"/>
        <v/>
      </c>
      <c r="AQ113" s="469" t="str">
        <f t="shared" si="169"/>
        <v/>
      </c>
      <c r="AR113" s="470" t="str">
        <f t="shared" si="169"/>
        <v/>
      </c>
      <c r="AS113" s="470" t="str">
        <f t="shared" si="165"/>
        <v/>
      </c>
      <c r="AT113" s="470" t="str">
        <f t="shared" si="165"/>
        <v/>
      </c>
      <c r="AU113" s="471" t="str">
        <f t="shared" si="165"/>
        <v/>
      </c>
      <c r="AV113" s="469" t="str">
        <f t="shared" si="165"/>
        <v/>
      </c>
      <c r="AW113" s="470" t="str">
        <f t="shared" si="165"/>
        <v/>
      </c>
      <c r="AX113" s="470" t="str">
        <f t="shared" si="165"/>
        <v/>
      </c>
      <c r="AY113" s="470" t="str">
        <f t="shared" si="165"/>
        <v/>
      </c>
      <c r="AZ113" s="471" t="str">
        <f t="shared" si="165"/>
        <v/>
      </c>
      <c r="BA113" s="469" t="str">
        <f t="shared" si="165"/>
        <v/>
      </c>
      <c r="BB113" s="470" t="str">
        <f t="shared" si="165"/>
        <v/>
      </c>
      <c r="BC113" s="470" t="str">
        <f t="shared" si="165"/>
        <v/>
      </c>
      <c r="BD113" s="470" t="str">
        <f t="shared" si="165"/>
        <v/>
      </c>
      <c r="BE113" s="471" t="str">
        <f t="shared" si="165"/>
        <v/>
      </c>
      <c r="BF113" s="469" t="str">
        <f t="shared" si="165"/>
        <v/>
      </c>
      <c r="BG113" s="470" t="str">
        <f t="shared" si="165"/>
        <v/>
      </c>
      <c r="BH113" s="470" t="str">
        <f t="shared" si="154"/>
        <v/>
      </c>
      <c r="BI113" s="470" t="str">
        <f t="shared" si="154"/>
        <v/>
      </c>
      <c r="BJ113" s="471" t="str">
        <f t="shared" si="154"/>
        <v/>
      </c>
      <c r="BK113" s="469" t="str">
        <f t="shared" si="154"/>
        <v/>
      </c>
      <c r="BL113" s="470" t="str">
        <f t="shared" si="154"/>
        <v/>
      </c>
      <c r="BM113" s="470" t="str">
        <f t="shared" si="154"/>
        <v/>
      </c>
      <c r="BN113" s="470" t="str">
        <f t="shared" si="154"/>
        <v/>
      </c>
      <c r="BO113" s="471" t="str">
        <f t="shared" si="154"/>
        <v/>
      </c>
      <c r="BP113" s="469" t="str">
        <f t="shared" si="154"/>
        <v/>
      </c>
      <c r="BQ113" s="470" t="str">
        <f t="shared" si="154"/>
        <v/>
      </c>
      <c r="BR113" s="470" t="str">
        <f t="shared" si="154"/>
        <v/>
      </c>
      <c r="BS113" s="470" t="str">
        <f t="shared" si="154"/>
        <v/>
      </c>
      <c r="BT113" s="471" t="str">
        <f t="shared" si="154"/>
        <v/>
      </c>
      <c r="BU113" s="469" t="str">
        <f t="shared" si="154"/>
        <v/>
      </c>
      <c r="BV113" s="470" t="str">
        <f t="shared" si="154"/>
        <v/>
      </c>
      <c r="BW113" s="470" t="str">
        <f t="shared" si="154"/>
        <v/>
      </c>
      <c r="BX113" s="470" t="str">
        <f t="shared" si="166"/>
        <v/>
      </c>
      <c r="BY113" s="471" t="str">
        <f t="shared" si="166"/>
        <v/>
      </c>
      <c r="BZ113" s="469" t="str">
        <f t="shared" si="166"/>
        <v/>
      </c>
      <c r="CA113" s="470" t="str">
        <f t="shared" si="166"/>
        <v/>
      </c>
      <c r="CB113" s="470" t="str">
        <f t="shared" si="166"/>
        <v/>
      </c>
      <c r="CC113" s="470" t="str">
        <f t="shared" si="166"/>
        <v/>
      </c>
      <c r="CD113" s="471" t="str">
        <f t="shared" si="166"/>
        <v/>
      </c>
      <c r="CE113" s="469" t="str">
        <f t="shared" si="166"/>
        <v/>
      </c>
      <c r="CF113" s="470" t="str">
        <f t="shared" si="166"/>
        <v/>
      </c>
      <c r="CG113" s="470" t="str">
        <f t="shared" si="166"/>
        <v/>
      </c>
      <c r="CH113" s="470" t="str">
        <f t="shared" si="166"/>
        <v/>
      </c>
      <c r="CI113" s="471" t="str">
        <f t="shared" si="166"/>
        <v/>
      </c>
      <c r="CJ113" s="469" t="str">
        <f t="shared" si="166"/>
        <v/>
      </c>
      <c r="CK113" s="470" t="str">
        <f t="shared" si="166"/>
        <v/>
      </c>
      <c r="CL113" s="470" t="str">
        <f t="shared" si="166"/>
        <v/>
      </c>
      <c r="CM113" s="470" t="str">
        <f t="shared" si="166"/>
        <v/>
      </c>
      <c r="CN113" s="471" t="str">
        <f t="shared" si="164"/>
        <v/>
      </c>
      <c r="CO113" s="469" t="str">
        <f t="shared" si="164"/>
        <v/>
      </c>
      <c r="CP113" s="470" t="str">
        <f t="shared" si="164"/>
        <v/>
      </c>
      <c r="CQ113" s="470" t="str">
        <f t="shared" si="164"/>
        <v/>
      </c>
      <c r="CR113" s="470" t="str">
        <f t="shared" si="164"/>
        <v/>
      </c>
      <c r="CS113" s="471" t="str">
        <f t="shared" si="164"/>
        <v/>
      </c>
      <c r="CT113" s="469" t="str">
        <f t="shared" si="164"/>
        <v/>
      </c>
      <c r="CU113" s="470" t="str">
        <f t="shared" si="164"/>
        <v/>
      </c>
      <c r="CV113" s="470" t="str">
        <f t="shared" si="164"/>
        <v/>
      </c>
      <c r="CW113" s="470" t="str">
        <f t="shared" si="164"/>
        <v/>
      </c>
      <c r="CX113" s="471" t="str">
        <f t="shared" si="164"/>
        <v/>
      </c>
      <c r="CY113" s="469" t="str">
        <f t="shared" si="164"/>
        <v/>
      </c>
      <c r="CZ113" s="470" t="str">
        <f t="shared" si="164"/>
        <v/>
      </c>
      <c r="DA113" s="470" t="str">
        <f t="shared" si="164"/>
        <v/>
      </c>
      <c r="DB113" s="470" t="str">
        <f t="shared" si="164"/>
        <v/>
      </c>
      <c r="DC113" s="471" t="str">
        <f t="shared" ref="DC113:DR128" si="170">IF(AND(DC$2&gt;=$J113,DC$2&lt;=$K113),1,"")</f>
        <v/>
      </c>
      <c r="DD113" s="469" t="str">
        <f t="shared" si="170"/>
        <v/>
      </c>
      <c r="DE113" s="470" t="str">
        <f t="shared" si="170"/>
        <v/>
      </c>
      <c r="DF113" s="470" t="str">
        <f t="shared" si="170"/>
        <v/>
      </c>
      <c r="DG113" s="470" t="str">
        <f t="shared" si="170"/>
        <v/>
      </c>
      <c r="DH113" s="471" t="str">
        <f t="shared" si="170"/>
        <v/>
      </c>
      <c r="DI113" s="469" t="str">
        <f t="shared" si="170"/>
        <v/>
      </c>
      <c r="DJ113" s="470" t="str">
        <f t="shared" si="170"/>
        <v/>
      </c>
      <c r="DK113" s="470" t="str">
        <f t="shared" si="170"/>
        <v/>
      </c>
      <c r="DL113" s="470" t="str">
        <f t="shared" si="170"/>
        <v/>
      </c>
      <c r="DM113" s="471" t="str">
        <f t="shared" si="170"/>
        <v/>
      </c>
      <c r="DN113" s="469" t="str">
        <f t="shared" si="170"/>
        <v/>
      </c>
      <c r="DO113" s="470" t="str">
        <f t="shared" si="170"/>
        <v/>
      </c>
      <c r="DP113" s="470" t="str">
        <f t="shared" si="170"/>
        <v/>
      </c>
      <c r="DQ113" s="470" t="str">
        <f t="shared" si="170"/>
        <v/>
      </c>
      <c r="DR113" s="471" t="str">
        <f t="shared" si="170"/>
        <v/>
      </c>
      <c r="DS113" s="469" t="str">
        <f t="shared" si="167"/>
        <v/>
      </c>
      <c r="DT113" s="470" t="str">
        <f t="shared" si="167"/>
        <v/>
      </c>
      <c r="DU113" s="470" t="str">
        <f t="shared" si="167"/>
        <v/>
      </c>
      <c r="DV113" s="470" t="str">
        <f t="shared" si="167"/>
        <v/>
      </c>
      <c r="DW113" s="471" t="str">
        <f t="shared" si="167"/>
        <v/>
      </c>
      <c r="DX113" s="469" t="str">
        <f t="shared" si="167"/>
        <v/>
      </c>
      <c r="DY113" s="470" t="str">
        <f t="shared" si="167"/>
        <v/>
      </c>
      <c r="DZ113" s="470" t="str">
        <f t="shared" si="167"/>
        <v/>
      </c>
      <c r="EA113" s="470" t="str">
        <f t="shared" si="167"/>
        <v/>
      </c>
      <c r="EB113" s="471" t="str">
        <f t="shared" si="167"/>
        <v/>
      </c>
      <c r="EC113" s="469" t="str">
        <f t="shared" si="167"/>
        <v/>
      </c>
      <c r="ED113" s="470" t="str">
        <f t="shared" si="167"/>
        <v/>
      </c>
      <c r="EE113" s="470" t="str">
        <f t="shared" si="167"/>
        <v/>
      </c>
      <c r="EF113" s="470" t="str">
        <f t="shared" si="167"/>
        <v/>
      </c>
      <c r="EG113" s="471" t="str">
        <f t="shared" si="167"/>
        <v/>
      </c>
      <c r="EH113" s="469" t="str">
        <f t="shared" si="149"/>
        <v/>
      </c>
      <c r="EI113" s="470" t="str">
        <f t="shared" si="149"/>
        <v/>
      </c>
      <c r="EJ113" s="470" t="str">
        <f t="shared" si="149"/>
        <v/>
      </c>
      <c r="EK113" s="470" t="str">
        <f t="shared" si="152"/>
        <v/>
      </c>
      <c r="EL113" s="471" t="str">
        <f t="shared" si="152"/>
        <v/>
      </c>
      <c r="EM113" s="469" t="str">
        <f t="shared" si="152"/>
        <v/>
      </c>
      <c r="EN113" s="470" t="str">
        <f t="shared" si="152"/>
        <v/>
      </c>
      <c r="EO113" s="470" t="str">
        <f t="shared" si="152"/>
        <v/>
      </c>
      <c r="EP113" s="470" t="str">
        <f t="shared" si="152"/>
        <v/>
      </c>
      <c r="EQ113" s="471" t="str">
        <f t="shared" si="152"/>
        <v/>
      </c>
      <c r="ER113" s="469" t="str">
        <f t="shared" si="152"/>
        <v/>
      </c>
      <c r="ES113" s="470" t="str">
        <f t="shared" si="152"/>
        <v/>
      </c>
      <c r="ET113" s="470" t="str">
        <f t="shared" si="152"/>
        <v/>
      </c>
      <c r="EU113" s="470" t="str">
        <f t="shared" si="152"/>
        <v/>
      </c>
      <c r="EV113" s="471" t="str">
        <f t="shared" si="152"/>
        <v/>
      </c>
      <c r="EW113" s="469" t="str">
        <f t="shared" si="152"/>
        <v/>
      </c>
      <c r="EX113" s="470" t="str">
        <f t="shared" si="152"/>
        <v/>
      </c>
      <c r="EY113" s="470" t="str">
        <f t="shared" si="152"/>
        <v/>
      </c>
      <c r="EZ113" s="470" t="str">
        <f t="shared" si="150"/>
        <v/>
      </c>
      <c r="FA113" s="471" t="str">
        <f t="shared" si="150"/>
        <v/>
      </c>
      <c r="FB113" s="469" t="str">
        <f t="shared" si="150"/>
        <v/>
      </c>
      <c r="FC113" s="470" t="str">
        <f t="shared" si="150"/>
        <v/>
      </c>
      <c r="FD113" s="470" t="str">
        <f t="shared" si="150"/>
        <v/>
      </c>
      <c r="FE113" s="470" t="str">
        <f t="shared" si="150"/>
        <v/>
      </c>
      <c r="FF113" s="471" t="str">
        <f t="shared" si="150"/>
        <v/>
      </c>
      <c r="FG113" s="469" t="str">
        <f t="shared" si="150"/>
        <v/>
      </c>
      <c r="FH113" s="470" t="str">
        <f t="shared" si="150"/>
        <v/>
      </c>
      <c r="FI113" s="470" t="str">
        <f t="shared" si="150"/>
        <v/>
      </c>
      <c r="FJ113" s="470" t="str">
        <f t="shared" si="150"/>
        <v/>
      </c>
      <c r="FK113" s="471" t="str">
        <f t="shared" si="150"/>
        <v/>
      </c>
      <c r="FL113" s="469" t="str">
        <f t="shared" si="150"/>
        <v/>
      </c>
      <c r="FM113" s="470" t="str">
        <f t="shared" si="150"/>
        <v/>
      </c>
      <c r="FN113" s="470" t="str">
        <f t="shared" si="150"/>
        <v/>
      </c>
      <c r="FO113" s="470" t="str">
        <f t="shared" si="150"/>
        <v/>
      </c>
      <c r="FP113" s="471" t="str">
        <f t="shared" si="160"/>
        <v/>
      </c>
      <c r="FQ113" s="469" t="str">
        <f t="shared" si="160"/>
        <v/>
      </c>
      <c r="FR113" s="470" t="str">
        <f t="shared" si="160"/>
        <v/>
      </c>
      <c r="FS113" s="470" t="str">
        <f t="shared" si="160"/>
        <v/>
      </c>
      <c r="FT113" s="470" t="str">
        <f t="shared" si="160"/>
        <v/>
      </c>
      <c r="FU113" s="471" t="str">
        <f t="shared" si="160"/>
        <v/>
      </c>
      <c r="FV113" s="469" t="str">
        <f t="shared" si="160"/>
        <v/>
      </c>
      <c r="FW113" s="470" t="str">
        <f t="shared" si="160"/>
        <v/>
      </c>
      <c r="FX113" s="470" t="str">
        <f t="shared" si="160"/>
        <v/>
      </c>
      <c r="FY113" s="470" t="str">
        <f t="shared" si="160"/>
        <v/>
      </c>
      <c r="FZ113" s="471" t="str">
        <f t="shared" si="160"/>
        <v/>
      </c>
      <c r="GA113" s="469" t="str">
        <f t="shared" si="160"/>
        <v/>
      </c>
      <c r="GB113" s="470" t="str">
        <f t="shared" si="153"/>
        <v/>
      </c>
      <c r="GC113" s="470" t="str">
        <f t="shared" si="153"/>
        <v/>
      </c>
      <c r="GD113" s="470" t="str">
        <f t="shared" si="153"/>
        <v/>
      </c>
      <c r="GE113" s="471" t="str">
        <f t="shared" si="153"/>
        <v/>
      </c>
      <c r="GF113" s="469" t="str">
        <f t="shared" si="153"/>
        <v/>
      </c>
      <c r="GG113" s="470" t="str">
        <f t="shared" si="153"/>
        <v/>
      </c>
      <c r="GH113" s="470" t="str">
        <f t="shared" si="153"/>
        <v/>
      </c>
      <c r="GI113" s="470" t="str">
        <f t="shared" si="153"/>
        <v/>
      </c>
      <c r="GJ113" s="471" t="str">
        <f t="shared" si="153"/>
        <v/>
      </c>
      <c r="GK113" s="469" t="str">
        <f t="shared" si="153"/>
        <v/>
      </c>
      <c r="GL113" s="470" t="str">
        <f t="shared" si="153"/>
        <v/>
      </c>
      <c r="GM113" s="470" t="str">
        <f t="shared" si="153"/>
        <v/>
      </c>
      <c r="GN113" s="470" t="str">
        <f t="shared" si="153"/>
        <v/>
      </c>
      <c r="GO113" s="471" t="str">
        <f t="shared" si="151"/>
        <v/>
      </c>
      <c r="GP113" s="469" t="str">
        <f t="shared" si="151"/>
        <v/>
      </c>
      <c r="GQ113" s="470" t="str">
        <f t="shared" si="151"/>
        <v/>
      </c>
      <c r="GR113" s="470" t="str">
        <f t="shared" si="151"/>
        <v/>
      </c>
      <c r="GS113" s="470" t="str">
        <f t="shared" si="151"/>
        <v/>
      </c>
      <c r="GT113" s="471" t="str">
        <f t="shared" si="151"/>
        <v/>
      </c>
      <c r="GU113" s="469" t="str">
        <f t="shared" si="151"/>
        <v/>
      </c>
      <c r="GV113" s="470" t="str">
        <f t="shared" si="151"/>
        <v/>
      </c>
      <c r="GW113" s="470" t="str">
        <f t="shared" si="151"/>
        <v/>
      </c>
      <c r="GX113" s="470" t="str">
        <f t="shared" si="151"/>
        <v/>
      </c>
      <c r="GY113" s="471" t="str">
        <f t="shared" si="151"/>
        <v/>
      </c>
      <c r="GZ113" s="469" t="str">
        <f t="shared" si="151"/>
        <v/>
      </c>
      <c r="HA113" s="470" t="str">
        <f t="shared" si="151"/>
        <v/>
      </c>
      <c r="HB113" s="470" t="str">
        <f t="shared" si="151"/>
        <v/>
      </c>
      <c r="HC113" s="470" t="str">
        <f t="shared" si="151"/>
        <v/>
      </c>
      <c r="HD113" s="471" t="str">
        <f t="shared" si="151"/>
        <v/>
      </c>
      <c r="HE113" s="469" t="str">
        <f t="shared" si="157"/>
        <v/>
      </c>
      <c r="HF113" s="470" t="str">
        <f t="shared" si="157"/>
        <v/>
      </c>
      <c r="HG113" s="470" t="str">
        <f t="shared" si="157"/>
        <v/>
      </c>
      <c r="HH113" s="470" t="str">
        <f t="shared" si="157"/>
        <v/>
      </c>
      <c r="HI113" s="471" t="str">
        <f t="shared" si="157"/>
        <v/>
      </c>
      <c r="HJ113" s="469" t="str">
        <f t="shared" si="157"/>
        <v/>
      </c>
      <c r="HK113" s="470" t="str">
        <f t="shared" si="157"/>
        <v/>
      </c>
      <c r="HL113" s="470" t="str">
        <f t="shared" si="157"/>
        <v/>
      </c>
      <c r="HM113" s="470" t="str">
        <f t="shared" si="157"/>
        <v/>
      </c>
      <c r="HN113" s="471" t="str">
        <f t="shared" si="157"/>
        <v/>
      </c>
      <c r="HO113" s="469" t="str">
        <f t="shared" si="157"/>
        <v/>
      </c>
      <c r="HP113" s="470" t="str">
        <f t="shared" si="157"/>
        <v/>
      </c>
      <c r="HQ113" s="470" t="str">
        <f t="shared" si="157"/>
        <v/>
      </c>
      <c r="HR113" s="470" t="str">
        <f t="shared" si="157"/>
        <v/>
      </c>
      <c r="HS113" s="471" t="str">
        <f t="shared" si="157"/>
        <v/>
      </c>
      <c r="HT113" s="469" t="str">
        <f t="shared" si="157"/>
        <v/>
      </c>
      <c r="HU113" s="470" t="str">
        <f t="shared" si="163"/>
        <v/>
      </c>
      <c r="HV113" s="470" t="str">
        <f t="shared" si="163"/>
        <v/>
      </c>
      <c r="HW113" s="470" t="str">
        <f t="shared" si="163"/>
        <v/>
      </c>
      <c r="HX113" s="471" t="str">
        <f t="shared" si="163"/>
        <v/>
      </c>
      <c r="HY113" s="469" t="str">
        <f t="shared" si="163"/>
        <v/>
      </c>
      <c r="HZ113" s="470" t="str">
        <f t="shared" si="163"/>
        <v/>
      </c>
      <c r="IA113" s="470" t="str">
        <f t="shared" si="163"/>
        <v/>
      </c>
      <c r="IB113" s="470" t="str">
        <f t="shared" si="163"/>
        <v/>
      </c>
      <c r="IC113" s="471" t="str">
        <f t="shared" si="162"/>
        <v/>
      </c>
      <c r="ID113" s="469" t="str">
        <f t="shared" si="162"/>
        <v/>
      </c>
      <c r="IE113" s="470" t="str">
        <f t="shared" si="162"/>
        <v/>
      </c>
      <c r="IF113" s="470" t="str">
        <f t="shared" si="162"/>
        <v/>
      </c>
      <c r="IG113" s="470" t="str">
        <f t="shared" si="162"/>
        <v/>
      </c>
      <c r="IH113" s="471" t="str">
        <f t="shared" si="162"/>
        <v/>
      </c>
      <c r="II113" s="469" t="str">
        <f t="shared" si="162"/>
        <v/>
      </c>
      <c r="IJ113" s="470" t="str">
        <f t="shared" si="162"/>
        <v/>
      </c>
      <c r="IK113" s="470" t="str">
        <f t="shared" si="162"/>
        <v/>
      </c>
      <c r="IL113" s="470" t="str">
        <f t="shared" si="162"/>
        <v/>
      </c>
      <c r="IM113" s="471" t="str">
        <f t="shared" si="162"/>
        <v/>
      </c>
      <c r="IN113" s="469" t="str">
        <f t="shared" si="162"/>
        <v/>
      </c>
      <c r="IO113" s="470" t="str">
        <f t="shared" si="168"/>
        <v/>
      </c>
      <c r="IP113" s="470" t="str">
        <f t="shared" si="168"/>
        <v/>
      </c>
      <c r="IQ113" s="470" t="str">
        <f t="shared" si="168"/>
        <v/>
      </c>
      <c r="IR113" s="471" t="str">
        <f t="shared" si="168"/>
        <v/>
      </c>
    </row>
    <row r="114" spans="1:252" x14ac:dyDescent="0.2">
      <c r="A114" s="455">
        <v>11</v>
      </c>
      <c r="B114" s="456"/>
      <c r="C114" s="456" t="str">
        <f>Breakdown!$A19</f>
        <v/>
      </c>
      <c r="D114" s="457"/>
      <c r="E114" s="437" t="str">
        <f>IF(E115="","",MIN(E115:E124))</f>
        <v/>
      </c>
      <c r="F114" s="437" t="str">
        <f>IF(F115="","",MAX(F115:F124))</f>
        <v/>
      </c>
      <c r="G114" s="437"/>
      <c r="H114" s="437"/>
      <c r="I114" s="458"/>
      <c r="J114" s="459">
        <f>MIN(J115:J124)</f>
        <v>0</v>
      </c>
      <c r="K114" s="459">
        <f>MAX(K115:K124)</f>
        <v>0</v>
      </c>
      <c r="L114" s="460">
        <f t="shared" ref="L114:L124" si="171">SUM(M114:IR114)</f>
        <v>0</v>
      </c>
      <c r="M114" s="451" t="str">
        <f t="shared" si="161"/>
        <v/>
      </c>
      <c r="N114" s="452" t="str">
        <f t="shared" si="161"/>
        <v/>
      </c>
      <c r="O114" s="452" t="str">
        <f t="shared" si="161"/>
        <v/>
      </c>
      <c r="P114" s="452" t="str">
        <f t="shared" si="161"/>
        <v/>
      </c>
      <c r="Q114" s="453" t="str">
        <f t="shared" si="161"/>
        <v/>
      </c>
      <c r="R114" s="451" t="str">
        <f t="shared" si="161"/>
        <v/>
      </c>
      <c r="S114" s="452" t="str">
        <f t="shared" si="161"/>
        <v/>
      </c>
      <c r="T114" s="452" t="str">
        <f t="shared" si="161"/>
        <v/>
      </c>
      <c r="U114" s="452" t="str">
        <f t="shared" si="161"/>
        <v/>
      </c>
      <c r="V114" s="453" t="str">
        <f t="shared" si="161"/>
        <v/>
      </c>
      <c r="W114" s="451" t="str">
        <f t="shared" si="161"/>
        <v/>
      </c>
      <c r="X114" s="452" t="str">
        <f t="shared" si="161"/>
        <v/>
      </c>
      <c r="Y114" s="452" t="str">
        <f t="shared" si="161"/>
        <v/>
      </c>
      <c r="Z114" s="452" t="str">
        <f t="shared" si="161"/>
        <v/>
      </c>
      <c r="AA114" s="453" t="str">
        <f t="shared" si="161"/>
        <v/>
      </c>
      <c r="AB114" s="451" t="str">
        <f t="shared" si="161"/>
        <v/>
      </c>
      <c r="AC114" s="452" t="str">
        <f t="shared" si="169"/>
        <v/>
      </c>
      <c r="AD114" s="452" t="str">
        <f t="shared" si="169"/>
        <v/>
      </c>
      <c r="AE114" s="452" t="str">
        <f t="shared" si="169"/>
        <v/>
      </c>
      <c r="AF114" s="453" t="str">
        <f t="shared" si="169"/>
        <v/>
      </c>
      <c r="AG114" s="451" t="str">
        <f t="shared" si="169"/>
        <v/>
      </c>
      <c r="AH114" s="452" t="str">
        <f t="shared" si="169"/>
        <v/>
      </c>
      <c r="AI114" s="452" t="str">
        <f t="shared" si="169"/>
        <v/>
      </c>
      <c r="AJ114" s="452" t="str">
        <f t="shared" si="169"/>
        <v/>
      </c>
      <c r="AK114" s="453" t="str">
        <f t="shared" si="169"/>
        <v/>
      </c>
      <c r="AL114" s="451" t="str">
        <f t="shared" si="169"/>
        <v/>
      </c>
      <c r="AM114" s="452" t="str">
        <f t="shared" si="169"/>
        <v/>
      </c>
      <c r="AN114" s="452" t="str">
        <f t="shared" si="169"/>
        <v/>
      </c>
      <c r="AO114" s="452" t="str">
        <f t="shared" si="169"/>
        <v/>
      </c>
      <c r="AP114" s="453" t="str">
        <f t="shared" si="169"/>
        <v/>
      </c>
      <c r="AQ114" s="451" t="str">
        <f t="shared" si="169"/>
        <v/>
      </c>
      <c r="AR114" s="452" t="str">
        <f t="shared" si="169"/>
        <v/>
      </c>
      <c r="AS114" s="452" t="str">
        <f t="shared" si="165"/>
        <v/>
      </c>
      <c r="AT114" s="452" t="str">
        <f t="shared" si="165"/>
        <v/>
      </c>
      <c r="AU114" s="453" t="str">
        <f t="shared" si="165"/>
        <v/>
      </c>
      <c r="AV114" s="451" t="str">
        <f t="shared" si="165"/>
        <v/>
      </c>
      <c r="AW114" s="452" t="str">
        <f t="shared" si="165"/>
        <v/>
      </c>
      <c r="AX114" s="452" t="str">
        <f t="shared" si="165"/>
        <v/>
      </c>
      <c r="AY114" s="452" t="str">
        <f t="shared" si="165"/>
        <v/>
      </c>
      <c r="AZ114" s="453" t="str">
        <f t="shared" si="165"/>
        <v/>
      </c>
      <c r="BA114" s="451" t="str">
        <f t="shared" si="165"/>
        <v/>
      </c>
      <c r="BB114" s="452" t="str">
        <f t="shared" si="165"/>
        <v/>
      </c>
      <c r="BC114" s="452" t="str">
        <f t="shared" si="165"/>
        <v/>
      </c>
      <c r="BD114" s="452" t="str">
        <f t="shared" si="165"/>
        <v/>
      </c>
      <c r="BE114" s="453" t="str">
        <f t="shared" si="165"/>
        <v/>
      </c>
      <c r="BF114" s="451" t="str">
        <f t="shared" si="165"/>
        <v/>
      </c>
      <c r="BG114" s="452" t="str">
        <f t="shared" si="165"/>
        <v/>
      </c>
      <c r="BH114" s="452" t="str">
        <f t="shared" si="154"/>
        <v/>
      </c>
      <c r="BI114" s="452" t="str">
        <f t="shared" si="154"/>
        <v/>
      </c>
      <c r="BJ114" s="453" t="str">
        <f t="shared" si="154"/>
        <v/>
      </c>
      <c r="BK114" s="451" t="str">
        <f t="shared" si="154"/>
        <v/>
      </c>
      <c r="BL114" s="452" t="str">
        <f t="shared" si="154"/>
        <v/>
      </c>
      <c r="BM114" s="452" t="str">
        <f t="shared" si="154"/>
        <v/>
      </c>
      <c r="BN114" s="452" t="str">
        <f t="shared" si="154"/>
        <v/>
      </c>
      <c r="BO114" s="453" t="str">
        <f t="shared" si="154"/>
        <v/>
      </c>
      <c r="BP114" s="451" t="str">
        <f t="shared" si="154"/>
        <v/>
      </c>
      <c r="BQ114" s="452" t="str">
        <f t="shared" si="154"/>
        <v/>
      </c>
      <c r="BR114" s="452" t="str">
        <f t="shared" si="154"/>
        <v/>
      </c>
      <c r="BS114" s="452" t="str">
        <f t="shared" si="154"/>
        <v/>
      </c>
      <c r="BT114" s="453" t="str">
        <f t="shared" si="154"/>
        <v/>
      </c>
      <c r="BU114" s="451" t="str">
        <f t="shared" si="154"/>
        <v/>
      </c>
      <c r="BV114" s="452" t="str">
        <f t="shared" si="154"/>
        <v/>
      </c>
      <c r="BW114" s="452" t="str">
        <f t="shared" si="154"/>
        <v/>
      </c>
      <c r="BX114" s="452" t="str">
        <f t="shared" si="166"/>
        <v/>
      </c>
      <c r="BY114" s="453" t="str">
        <f t="shared" si="166"/>
        <v/>
      </c>
      <c r="BZ114" s="451" t="str">
        <f t="shared" si="166"/>
        <v/>
      </c>
      <c r="CA114" s="452" t="str">
        <f t="shared" si="166"/>
        <v/>
      </c>
      <c r="CB114" s="452" t="str">
        <f t="shared" si="166"/>
        <v/>
      </c>
      <c r="CC114" s="452" t="str">
        <f t="shared" si="166"/>
        <v/>
      </c>
      <c r="CD114" s="453" t="str">
        <f t="shared" si="166"/>
        <v/>
      </c>
      <c r="CE114" s="451" t="str">
        <f t="shared" si="166"/>
        <v/>
      </c>
      <c r="CF114" s="452" t="str">
        <f t="shared" si="166"/>
        <v/>
      </c>
      <c r="CG114" s="452" t="str">
        <f t="shared" si="166"/>
        <v/>
      </c>
      <c r="CH114" s="452" t="str">
        <f t="shared" si="166"/>
        <v/>
      </c>
      <c r="CI114" s="453" t="str">
        <f t="shared" si="166"/>
        <v/>
      </c>
      <c r="CJ114" s="451" t="str">
        <f t="shared" si="166"/>
        <v/>
      </c>
      <c r="CK114" s="452" t="str">
        <f t="shared" si="166"/>
        <v/>
      </c>
      <c r="CL114" s="452" t="str">
        <f t="shared" si="166"/>
        <v/>
      </c>
      <c r="CM114" s="452" t="str">
        <f t="shared" si="166"/>
        <v/>
      </c>
      <c r="CN114" s="453" t="str">
        <f t="shared" si="164"/>
        <v/>
      </c>
      <c r="CO114" s="451" t="str">
        <f t="shared" si="164"/>
        <v/>
      </c>
      <c r="CP114" s="452" t="str">
        <f t="shared" si="164"/>
        <v/>
      </c>
      <c r="CQ114" s="452" t="str">
        <f t="shared" si="164"/>
        <v/>
      </c>
      <c r="CR114" s="452" t="str">
        <f t="shared" si="164"/>
        <v/>
      </c>
      <c r="CS114" s="453" t="str">
        <f t="shared" si="164"/>
        <v/>
      </c>
      <c r="CT114" s="451" t="str">
        <f t="shared" si="164"/>
        <v/>
      </c>
      <c r="CU114" s="452" t="str">
        <f t="shared" si="164"/>
        <v/>
      </c>
      <c r="CV114" s="452" t="str">
        <f t="shared" si="164"/>
        <v/>
      </c>
      <c r="CW114" s="452" t="str">
        <f t="shared" si="164"/>
        <v/>
      </c>
      <c r="CX114" s="453" t="str">
        <f t="shared" si="164"/>
        <v/>
      </c>
      <c r="CY114" s="451" t="str">
        <f t="shared" si="164"/>
        <v/>
      </c>
      <c r="CZ114" s="452" t="str">
        <f t="shared" si="164"/>
        <v/>
      </c>
      <c r="DA114" s="452" t="str">
        <f t="shared" si="164"/>
        <v/>
      </c>
      <c r="DB114" s="452" t="str">
        <f t="shared" si="164"/>
        <v/>
      </c>
      <c r="DC114" s="453" t="str">
        <f t="shared" si="170"/>
        <v/>
      </c>
      <c r="DD114" s="451" t="str">
        <f t="shared" si="170"/>
        <v/>
      </c>
      <c r="DE114" s="452" t="str">
        <f t="shared" si="170"/>
        <v/>
      </c>
      <c r="DF114" s="452" t="str">
        <f t="shared" si="170"/>
        <v/>
      </c>
      <c r="DG114" s="452" t="str">
        <f t="shared" si="170"/>
        <v/>
      </c>
      <c r="DH114" s="453" t="str">
        <f t="shared" si="170"/>
        <v/>
      </c>
      <c r="DI114" s="451" t="str">
        <f t="shared" si="170"/>
        <v/>
      </c>
      <c r="DJ114" s="452" t="str">
        <f t="shared" si="170"/>
        <v/>
      </c>
      <c r="DK114" s="452" t="str">
        <f t="shared" si="170"/>
        <v/>
      </c>
      <c r="DL114" s="452" t="str">
        <f t="shared" si="170"/>
        <v/>
      </c>
      <c r="DM114" s="453" t="str">
        <f t="shared" si="170"/>
        <v/>
      </c>
      <c r="DN114" s="451" t="str">
        <f t="shared" si="170"/>
        <v/>
      </c>
      <c r="DO114" s="452" t="str">
        <f t="shared" si="170"/>
        <v/>
      </c>
      <c r="DP114" s="452" t="str">
        <f t="shared" si="170"/>
        <v/>
      </c>
      <c r="DQ114" s="452" t="str">
        <f t="shared" si="170"/>
        <v/>
      </c>
      <c r="DR114" s="453" t="str">
        <f t="shared" si="170"/>
        <v/>
      </c>
      <c r="DS114" s="451" t="str">
        <f t="shared" si="167"/>
        <v/>
      </c>
      <c r="DT114" s="452" t="str">
        <f t="shared" si="167"/>
        <v/>
      </c>
      <c r="DU114" s="452" t="str">
        <f t="shared" si="149"/>
        <v/>
      </c>
      <c r="DV114" s="452" t="str">
        <f t="shared" si="149"/>
        <v/>
      </c>
      <c r="DW114" s="453" t="str">
        <f t="shared" si="149"/>
        <v/>
      </c>
      <c r="DX114" s="451" t="str">
        <f t="shared" si="149"/>
        <v/>
      </c>
      <c r="DY114" s="452" t="str">
        <f t="shared" si="149"/>
        <v/>
      </c>
      <c r="DZ114" s="452" t="str">
        <f t="shared" si="149"/>
        <v/>
      </c>
      <c r="EA114" s="452" t="str">
        <f t="shared" si="149"/>
        <v/>
      </c>
      <c r="EB114" s="453" t="str">
        <f t="shared" si="149"/>
        <v/>
      </c>
      <c r="EC114" s="451" t="str">
        <f t="shared" si="149"/>
        <v/>
      </c>
      <c r="ED114" s="452" t="str">
        <f t="shared" si="149"/>
        <v/>
      </c>
      <c r="EE114" s="452" t="str">
        <f t="shared" si="149"/>
        <v/>
      </c>
      <c r="EF114" s="452" t="str">
        <f t="shared" si="149"/>
        <v/>
      </c>
      <c r="EG114" s="453" t="str">
        <f t="shared" si="149"/>
        <v/>
      </c>
      <c r="EH114" s="451" t="str">
        <f t="shared" si="149"/>
        <v/>
      </c>
      <c r="EI114" s="452" t="str">
        <f t="shared" si="149"/>
        <v/>
      </c>
      <c r="EJ114" s="452" t="str">
        <f t="shared" si="149"/>
        <v/>
      </c>
      <c r="EK114" s="452" t="str">
        <f t="shared" si="152"/>
        <v/>
      </c>
      <c r="EL114" s="453" t="str">
        <f t="shared" si="152"/>
        <v/>
      </c>
      <c r="EM114" s="451" t="str">
        <f t="shared" si="152"/>
        <v/>
      </c>
      <c r="EN114" s="452" t="str">
        <f t="shared" si="152"/>
        <v/>
      </c>
      <c r="EO114" s="452" t="str">
        <f t="shared" si="152"/>
        <v/>
      </c>
      <c r="EP114" s="452" t="str">
        <f t="shared" si="152"/>
        <v/>
      </c>
      <c r="EQ114" s="453" t="str">
        <f t="shared" si="152"/>
        <v/>
      </c>
      <c r="ER114" s="451" t="str">
        <f t="shared" si="152"/>
        <v/>
      </c>
      <c r="ES114" s="452" t="str">
        <f t="shared" si="152"/>
        <v/>
      </c>
      <c r="ET114" s="452" t="str">
        <f t="shared" si="152"/>
        <v/>
      </c>
      <c r="EU114" s="452" t="str">
        <f t="shared" si="152"/>
        <v/>
      </c>
      <c r="EV114" s="453" t="str">
        <f t="shared" si="152"/>
        <v/>
      </c>
      <c r="EW114" s="451" t="str">
        <f t="shared" si="152"/>
        <v/>
      </c>
      <c r="EX114" s="452" t="str">
        <f t="shared" si="152"/>
        <v/>
      </c>
      <c r="EY114" s="452" t="str">
        <f t="shared" si="152"/>
        <v/>
      </c>
      <c r="EZ114" s="452" t="str">
        <f t="shared" si="150"/>
        <v/>
      </c>
      <c r="FA114" s="453" t="str">
        <f t="shared" si="150"/>
        <v/>
      </c>
      <c r="FB114" s="451" t="str">
        <f t="shared" si="150"/>
        <v/>
      </c>
      <c r="FC114" s="452" t="str">
        <f t="shared" si="150"/>
        <v/>
      </c>
      <c r="FD114" s="452" t="str">
        <f t="shared" si="150"/>
        <v/>
      </c>
      <c r="FE114" s="452" t="str">
        <f t="shared" si="150"/>
        <v/>
      </c>
      <c r="FF114" s="453" t="str">
        <f t="shared" si="150"/>
        <v/>
      </c>
      <c r="FG114" s="451" t="str">
        <f t="shared" si="150"/>
        <v/>
      </c>
      <c r="FH114" s="452" t="str">
        <f t="shared" si="150"/>
        <v/>
      </c>
      <c r="FI114" s="452" t="str">
        <f t="shared" si="150"/>
        <v/>
      </c>
      <c r="FJ114" s="452" t="str">
        <f t="shared" si="150"/>
        <v/>
      </c>
      <c r="FK114" s="453" t="str">
        <f t="shared" si="150"/>
        <v/>
      </c>
      <c r="FL114" s="451" t="str">
        <f t="shared" si="150"/>
        <v/>
      </c>
      <c r="FM114" s="452" t="str">
        <f t="shared" si="150"/>
        <v/>
      </c>
      <c r="FN114" s="452" t="str">
        <f t="shared" si="150"/>
        <v/>
      </c>
      <c r="FO114" s="452" t="str">
        <f t="shared" si="150"/>
        <v/>
      </c>
      <c r="FP114" s="453" t="str">
        <f t="shared" si="160"/>
        <v/>
      </c>
      <c r="FQ114" s="451" t="str">
        <f t="shared" si="160"/>
        <v/>
      </c>
      <c r="FR114" s="452" t="str">
        <f t="shared" si="160"/>
        <v/>
      </c>
      <c r="FS114" s="452" t="str">
        <f t="shared" si="160"/>
        <v/>
      </c>
      <c r="FT114" s="452" t="str">
        <f t="shared" si="160"/>
        <v/>
      </c>
      <c r="FU114" s="453" t="str">
        <f t="shared" si="160"/>
        <v/>
      </c>
      <c r="FV114" s="451" t="str">
        <f t="shared" si="160"/>
        <v/>
      </c>
      <c r="FW114" s="452" t="str">
        <f t="shared" si="160"/>
        <v/>
      </c>
      <c r="FX114" s="452" t="str">
        <f t="shared" si="160"/>
        <v/>
      </c>
      <c r="FY114" s="452" t="str">
        <f t="shared" si="153"/>
        <v/>
      </c>
      <c r="FZ114" s="453" t="str">
        <f t="shared" si="153"/>
        <v/>
      </c>
      <c r="GA114" s="451" t="str">
        <f t="shared" si="153"/>
        <v/>
      </c>
      <c r="GB114" s="452" t="str">
        <f t="shared" si="153"/>
        <v/>
      </c>
      <c r="GC114" s="452" t="str">
        <f t="shared" si="153"/>
        <v/>
      </c>
      <c r="GD114" s="452" t="str">
        <f t="shared" si="153"/>
        <v/>
      </c>
      <c r="GE114" s="453" t="str">
        <f t="shared" si="153"/>
        <v/>
      </c>
      <c r="GF114" s="451" t="str">
        <f t="shared" si="153"/>
        <v/>
      </c>
      <c r="GG114" s="452" t="str">
        <f t="shared" si="153"/>
        <v/>
      </c>
      <c r="GH114" s="452" t="str">
        <f t="shared" si="153"/>
        <v/>
      </c>
      <c r="GI114" s="452" t="str">
        <f t="shared" si="153"/>
        <v/>
      </c>
      <c r="GJ114" s="453" t="str">
        <f t="shared" si="153"/>
        <v/>
      </c>
      <c r="GK114" s="451" t="str">
        <f t="shared" si="153"/>
        <v/>
      </c>
      <c r="GL114" s="452" t="str">
        <f t="shared" si="153"/>
        <v/>
      </c>
      <c r="GM114" s="452" t="str">
        <f t="shared" si="153"/>
        <v/>
      </c>
      <c r="GN114" s="452" t="str">
        <f t="shared" si="153"/>
        <v/>
      </c>
      <c r="GO114" s="453" t="str">
        <f t="shared" si="151"/>
        <v/>
      </c>
      <c r="GP114" s="451" t="str">
        <f t="shared" si="151"/>
        <v/>
      </c>
      <c r="GQ114" s="452" t="str">
        <f t="shared" si="151"/>
        <v/>
      </c>
      <c r="GR114" s="452" t="str">
        <f t="shared" si="151"/>
        <v/>
      </c>
      <c r="GS114" s="452" t="str">
        <f t="shared" si="151"/>
        <v/>
      </c>
      <c r="GT114" s="453" t="str">
        <f t="shared" si="151"/>
        <v/>
      </c>
      <c r="GU114" s="451" t="str">
        <f t="shared" si="151"/>
        <v/>
      </c>
      <c r="GV114" s="452" t="str">
        <f t="shared" si="151"/>
        <v/>
      </c>
      <c r="GW114" s="452" t="str">
        <f t="shared" si="151"/>
        <v/>
      </c>
      <c r="GX114" s="452" t="str">
        <f t="shared" si="151"/>
        <v/>
      </c>
      <c r="GY114" s="453" t="str">
        <f t="shared" si="151"/>
        <v/>
      </c>
      <c r="GZ114" s="451" t="str">
        <f t="shared" si="151"/>
        <v/>
      </c>
      <c r="HA114" s="452" t="str">
        <f t="shared" si="151"/>
        <v/>
      </c>
      <c r="HB114" s="452" t="str">
        <f t="shared" si="151"/>
        <v/>
      </c>
      <c r="HC114" s="452" t="str">
        <f t="shared" si="151"/>
        <v/>
      </c>
      <c r="HD114" s="453" t="str">
        <f t="shared" si="151"/>
        <v/>
      </c>
      <c r="HE114" s="451" t="str">
        <f t="shared" si="157"/>
        <v/>
      </c>
      <c r="HF114" s="452" t="str">
        <f t="shared" si="157"/>
        <v/>
      </c>
      <c r="HG114" s="452" t="str">
        <f t="shared" si="157"/>
        <v/>
      </c>
      <c r="HH114" s="452" t="str">
        <f t="shared" si="157"/>
        <v/>
      </c>
      <c r="HI114" s="453" t="str">
        <f t="shared" si="157"/>
        <v/>
      </c>
      <c r="HJ114" s="451" t="str">
        <f t="shared" si="157"/>
        <v/>
      </c>
      <c r="HK114" s="452" t="str">
        <f t="shared" si="157"/>
        <v/>
      </c>
      <c r="HL114" s="452" t="str">
        <f t="shared" si="157"/>
        <v/>
      </c>
      <c r="HM114" s="452" t="str">
        <f t="shared" si="157"/>
        <v/>
      </c>
      <c r="HN114" s="453" t="str">
        <f t="shared" si="157"/>
        <v/>
      </c>
      <c r="HO114" s="451" t="str">
        <f t="shared" si="157"/>
        <v/>
      </c>
      <c r="HP114" s="452" t="str">
        <f t="shared" si="157"/>
        <v/>
      </c>
      <c r="HQ114" s="452" t="str">
        <f t="shared" si="157"/>
        <v/>
      </c>
      <c r="HR114" s="452" t="str">
        <f t="shared" si="157"/>
        <v/>
      </c>
      <c r="HS114" s="453" t="str">
        <f t="shared" si="157"/>
        <v/>
      </c>
      <c r="HT114" s="451" t="str">
        <f t="shared" si="157"/>
        <v/>
      </c>
      <c r="HU114" s="452" t="str">
        <f t="shared" si="163"/>
        <v/>
      </c>
      <c r="HV114" s="452" t="str">
        <f t="shared" si="163"/>
        <v/>
      </c>
      <c r="HW114" s="452" t="str">
        <f t="shared" si="163"/>
        <v/>
      </c>
      <c r="HX114" s="453" t="str">
        <f t="shared" si="163"/>
        <v/>
      </c>
      <c r="HY114" s="451" t="str">
        <f t="shared" si="163"/>
        <v/>
      </c>
      <c r="HZ114" s="452" t="str">
        <f t="shared" si="163"/>
        <v/>
      </c>
      <c r="IA114" s="452" t="str">
        <f t="shared" si="163"/>
        <v/>
      </c>
      <c r="IB114" s="452" t="str">
        <f t="shared" si="163"/>
        <v/>
      </c>
      <c r="IC114" s="453" t="str">
        <f t="shared" si="163"/>
        <v/>
      </c>
      <c r="ID114" s="451" t="str">
        <f t="shared" si="163"/>
        <v/>
      </c>
      <c r="IE114" s="452" t="str">
        <f t="shared" si="163"/>
        <v/>
      </c>
      <c r="IF114" s="452" t="str">
        <f t="shared" si="163"/>
        <v/>
      </c>
      <c r="IG114" s="452" t="str">
        <f t="shared" si="163"/>
        <v/>
      </c>
      <c r="IH114" s="453" t="str">
        <f t="shared" si="163"/>
        <v/>
      </c>
      <c r="II114" s="451" t="str">
        <f t="shared" si="163"/>
        <v/>
      </c>
      <c r="IJ114" s="452" t="str">
        <f t="shared" si="163"/>
        <v/>
      </c>
      <c r="IK114" s="452" t="str">
        <f t="shared" si="162"/>
        <v/>
      </c>
      <c r="IL114" s="452" t="str">
        <f t="shared" si="162"/>
        <v/>
      </c>
      <c r="IM114" s="453" t="str">
        <f t="shared" si="162"/>
        <v/>
      </c>
      <c r="IN114" s="451" t="str">
        <f t="shared" si="162"/>
        <v/>
      </c>
      <c r="IO114" s="452" t="str">
        <f t="shared" si="162"/>
        <v/>
      </c>
      <c r="IP114" s="452" t="str">
        <f t="shared" si="168"/>
        <v/>
      </c>
      <c r="IQ114" s="452" t="str">
        <f t="shared" si="168"/>
        <v/>
      </c>
      <c r="IR114" s="453" t="str">
        <f t="shared" si="168"/>
        <v/>
      </c>
    </row>
    <row r="115" spans="1:252" x14ac:dyDescent="0.2">
      <c r="A115" s="461">
        <v>11.1</v>
      </c>
      <c r="C115" s="447" t="s">
        <v>1351</v>
      </c>
      <c r="D115" s="447"/>
      <c r="E115" s="448"/>
      <c r="F115" s="448"/>
      <c r="G115" s="448"/>
      <c r="H115" s="448"/>
      <c r="I115" s="448"/>
      <c r="J115" s="449" t="str">
        <f t="shared" ref="J115:J124" si="172">IF(E115="","",E115-$M$3+1)</f>
        <v/>
      </c>
      <c r="K115" s="449" t="str">
        <f t="shared" ref="K115:K124" si="173">IF(F115="","",F115-$M$3+1)</f>
        <v/>
      </c>
      <c r="L115" s="450">
        <f t="shared" si="171"/>
        <v>0</v>
      </c>
      <c r="M115" s="451" t="str">
        <f t="shared" si="161"/>
        <v/>
      </c>
      <c r="N115" s="452" t="str">
        <f t="shared" si="161"/>
        <v/>
      </c>
      <c r="O115" s="452" t="str">
        <f t="shared" si="161"/>
        <v/>
      </c>
      <c r="P115" s="452" t="str">
        <f t="shared" si="161"/>
        <v/>
      </c>
      <c r="Q115" s="453" t="str">
        <f t="shared" si="161"/>
        <v/>
      </c>
      <c r="R115" s="451" t="str">
        <f t="shared" si="161"/>
        <v/>
      </c>
      <c r="S115" s="452" t="str">
        <f t="shared" si="161"/>
        <v/>
      </c>
      <c r="T115" s="452" t="str">
        <f t="shared" si="161"/>
        <v/>
      </c>
      <c r="U115" s="452" t="str">
        <f t="shared" si="161"/>
        <v/>
      </c>
      <c r="V115" s="453" t="str">
        <f t="shared" si="161"/>
        <v/>
      </c>
      <c r="W115" s="451" t="str">
        <f t="shared" si="161"/>
        <v/>
      </c>
      <c r="X115" s="452" t="str">
        <f t="shared" si="161"/>
        <v/>
      </c>
      <c r="Y115" s="452" t="str">
        <f t="shared" si="161"/>
        <v/>
      </c>
      <c r="Z115" s="452" t="str">
        <f t="shared" si="161"/>
        <v/>
      </c>
      <c r="AA115" s="453" t="str">
        <f t="shared" si="161"/>
        <v/>
      </c>
      <c r="AB115" s="451" t="str">
        <f t="shared" si="161"/>
        <v/>
      </c>
      <c r="AC115" s="452" t="str">
        <f t="shared" si="169"/>
        <v/>
      </c>
      <c r="AD115" s="452" t="str">
        <f t="shared" si="169"/>
        <v/>
      </c>
      <c r="AE115" s="452" t="str">
        <f t="shared" si="169"/>
        <v/>
      </c>
      <c r="AF115" s="453" t="str">
        <f t="shared" si="169"/>
        <v/>
      </c>
      <c r="AG115" s="451" t="str">
        <f t="shared" si="169"/>
        <v/>
      </c>
      <c r="AH115" s="452" t="str">
        <f t="shared" si="169"/>
        <v/>
      </c>
      <c r="AI115" s="452" t="str">
        <f t="shared" si="169"/>
        <v/>
      </c>
      <c r="AJ115" s="452" t="str">
        <f t="shared" si="169"/>
        <v/>
      </c>
      <c r="AK115" s="453" t="str">
        <f t="shared" si="169"/>
        <v/>
      </c>
      <c r="AL115" s="451" t="str">
        <f t="shared" si="169"/>
        <v/>
      </c>
      <c r="AM115" s="452" t="str">
        <f t="shared" si="169"/>
        <v/>
      </c>
      <c r="AN115" s="452" t="str">
        <f t="shared" si="169"/>
        <v/>
      </c>
      <c r="AO115" s="452" t="str">
        <f t="shared" si="169"/>
        <v/>
      </c>
      <c r="AP115" s="453" t="str">
        <f t="shared" si="169"/>
        <v/>
      </c>
      <c r="AQ115" s="451" t="str">
        <f t="shared" si="169"/>
        <v/>
      </c>
      <c r="AR115" s="452" t="str">
        <f t="shared" si="169"/>
        <v/>
      </c>
      <c r="AS115" s="452" t="str">
        <f t="shared" si="165"/>
        <v/>
      </c>
      <c r="AT115" s="452" t="str">
        <f t="shared" si="165"/>
        <v/>
      </c>
      <c r="AU115" s="453" t="str">
        <f t="shared" si="165"/>
        <v/>
      </c>
      <c r="AV115" s="451" t="str">
        <f t="shared" si="165"/>
        <v/>
      </c>
      <c r="AW115" s="452" t="str">
        <f t="shared" si="165"/>
        <v/>
      </c>
      <c r="AX115" s="452" t="str">
        <f t="shared" si="165"/>
        <v/>
      </c>
      <c r="AY115" s="452" t="str">
        <f t="shared" si="165"/>
        <v/>
      </c>
      <c r="AZ115" s="453" t="str">
        <f t="shared" si="165"/>
        <v/>
      </c>
      <c r="BA115" s="451" t="str">
        <f t="shared" si="165"/>
        <v/>
      </c>
      <c r="BB115" s="452" t="str">
        <f t="shared" si="165"/>
        <v/>
      </c>
      <c r="BC115" s="452" t="str">
        <f t="shared" si="165"/>
        <v/>
      </c>
      <c r="BD115" s="452" t="str">
        <f t="shared" si="165"/>
        <v/>
      </c>
      <c r="BE115" s="453" t="str">
        <f t="shared" si="165"/>
        <v/>
      </c>
      <c r="BF115" s="451" t="str">
        <f t="shared" si="165"/>
        <v/>
      </c>
      <c r="BG115" s="452" t="str">
        <f t="shared" si="165"/>
        <v/>
      </c>
      <c r="BH115" s="452" t="str">
        <f t="shared" si="154"/>
        <v/>
      </c>
      <c r="BI115" s="452" t="str">
        <f t="shared" si="154"/>
        <v/>
      </c>
      <c r="BJ115" s="453" t="str">
        <f t="shared" si="154"/>
        <v/>
      </c>
      <c r="BK115" s="451" t="str">
        <f t="shared" si="154"/>
        <v/>
      </c>
      <c r="BL115" s="452" t="str">
        <f t="shared" si="154"/>
        <v/>
      </c>
      <c r="BM115" s="452" t="str">
        <f t="shared" si="154"/>
        <v/>
      </c>
      <c r="BN115" s="452" t="str">
        <f t="shared" si="154"/>
        <v/>
      </c>
      <c r="BO115" s="453" t="str">
        <f t="shared" si="154"/>
        <v/>
      </c>
      <c r="BP115" s="451" t="str">
        <f t="shared" si="154"/>
        <v/>
      </c>
      <c r="BQ115" s="452" t="str">
        <f t="shared" si="154"/>
        <v/>
      </c>
      <c r="BR115" s="452" t="str">
        <f t="shared" si="154"/>
        <v/>
      </c>
      <c r="BS115" s="452" t="str">
        <f t="shared" si="154"/>
        <v/>
      </c>
      <c r="BT115" s="453" t="str">
        <f t="shared" si="154"/>
        <v/>
      </c>
      <c r="BU115" s="451" t="str">
        <f t="shared" si="154"/>
        <v/>
      </c>
      <c r="BV115" s="452" t="str">
        <f t="shared" si="154"/>
        <v/>
      </c>
      <c r="BW115" s="452" t="str">
        <f t="shared" si="154"/>
        <v/>
      </c>
      <c r="BX115" s="452" t="str">
        <f t="shared" si="166"/>
        <v/>
      </c>
      <c r="BY115" s="453" t="str">
        <f t="shared" si="166"/>
        <v/>
      </c>
      <c r="BZ115" s="451" t="str">
        <f t="shared" si="166"/>
        <v/>
      </c>
      <c r="CA115" s="452" t="str">
        <f t="shared" si="166"/>
        <v/>
      </c>
      <c r="CB115" s="452" t="str">
        <f t="shared" si="166"/>
        <v/>
      </c>
      <c r="CC115" s="452" t="str">
        <f t="shared" si="166"/>
        <v/>
      </c>
      <c r="CD115" s="453" t="str">
        <f t="shared" si="166"/>
        <v/>
      </c>
      <c r="CE115" s="451" t="str">
        <f t="shared" si="166"/>
        <v/>
      </c>
      <c r="CF115" s="452" t="str">
        <f t="shared" si="166"/>
        <v/>
      </c>
      <c r="CG115" s="452" t="str">
        <f t="shared" si="166"/>
        <v/>
      </c>
      <c r="CH115" s="452" t="str">
        <f t="shared" si="166"/>
        <v/>
      </c>
      <c r="CI115" s="453" t="str">
        <f t="shared" si="166"/>
        <v/>
      </c>
      <c r="CJ115" s="451" t="str">
        <f t="shared" si="166"/>
        <v/>
      </c>
      <c r="CK115" s="452" t="str">
        <f t="shared" si="166"/>
        <v/>
      </c>
      <c r="CL115" s="452" t="str">
        <f t="shared" si="166"/>
        <v/>
      </c>
      <c r="CM115" s="452" t="str">
        <f t="shared" si="166"/>
        <v/>
      </c>
      <c r="CN115" s="453" t="str">
        <f t="shared" si="164"/>
        <v/>
      </c>
      <c r="CO115" s="451" t="str">
        <f t="shared" si="164"/>
        <v/>
      </c>
      <c r="CP115" s="452" t="str">
        <f t="shared" si="164"/>
        <v/>
      </c>
      <c r="CQ115" s="452" t="str">
        <f t="shared" si="164"/>
        <v/>
      </c>
      <c r="CR115" s="452" t="str">
        <f t="shared" si="164"/>
        <v/>
      </c>
      <c r="CS115" s="453" t="str">
        <f t="shared" si="164"/>
        <v/>
      </c>
      <c r="CT115" s="451" t="str">
        <f t="shared" si="164"/>
        <v/>
      </c>
      <c r="CU115" s="452" t="str">
        <f t="shared" si="164"/>
        <v/>
      </c>
      <c r="CV115" s="452" t="str">
        <f t="shared" si="164"/>
        <v/>
      </c>
      <c r="CW115" s="452" t="str">
        <f t="shared" si="164"/>
        <v/>
      </c>
      <c r="CX115" s="453" t="str">
        <f t="shared" si="164"/>
        <v/>
      </c>
      <c r="CY115" s="451" t="str">
        <f t="shared" si="164"/>
        <v/>
      </c>
      <c r="CZ115" s="452" t="str">
        <f t="shared" si="164"/>
        <v/>
      </c>
      <c r="DA115" s="452" t="str">
        <f t="shared" si="164"/>
        <v/>
      </c>
      <c r="DB115" s="452" t="str">
        <f t="shared" si="164"/>
        <v/>
      </c>
      <c r="DC115" s="453" t="str">
        <f t="shared" si="170"/>
        <v/>
      </c>
      <c r="DD115" s="451" t="str">
        <f t="shared" si="170"/>
        <v/>
      </c>
      <c r="DE115" s="452" t="str">
        <f t="shared" si="170"/>
        <v/>
      </c>
      <c r="DF115" s="452" t="str">
        <f t="shared" si="170"/>
        <v/>
      </c>
      <c r="DG115" s="452" t="str">
        <f t="shared" si="170"/>
        <v/>
      </c>
      <c r="DH115" s="453" t="str">
        <f t="shared" si="170"/>
        <v/>
      </c>
      <c r="DI115" s="451" t="str">
        <f t="shared" si="170"/>
        <v/>
      </c>
      <c r="DJ115" s="452" t="str">
        <f t="shared" si="170"/>
        <v/>
      </c>
      <c r="DK115" s="452" t="str">
        <f t="shared" si="170"/>
        <v/>
      </c>
      <c r="DL115" s="452" t="str">
        <f t="shared" si="170"/>
        <v/>
      </c>
      <c r="DM115" s="453" t="str">
        <f t="shared" si="170"/>
        <v/>
      </c>
      <c r="DN115" s="451" t="str">
        <f t="shared" si="170"/>
        <v/>
      </c>
      <c r="DO115" s="452" t="str">
        <f t="shared" si="170"/>
        <v/>
      </c>
      <c r="DP115" s="452" t="str">
        <f t="shared" si="170"/>
        <v/>
      </c>
      <c r="DQ115" s="452" t="str">
        <f t="shared" si="170"/>
        <v/>
      </c>
      <c r="DR115" s="453" t="str">
        <f t="shared" si="170"/>
        <v/>
      </c>
      <c r="DS115" s="451" t="str">
        <f t="shared" si="167"/>
        <v/>
      </c>
      <c r="DT115" s="452" t="str">
        <f t="shared" si="167"/>
        <v/>
      </c>
      <c r="DU115" s="452" t="str">
        <f t="shared" si="149"/>
        <v/>
      </c>
      <c r="DV115" s="452" t="str">
        <f t="shared" si="149"/>
        <v/>
      </c>
      <c r="DW115" s="453" t="str">
        <f t="shared" si="149"/>
        <v/>
      </c>
      <c r="DX115" s="451" t="str">
        <f t="shared" si="149"/>
        <v/>
      </c>
      <c r="DY115" s="452" t="str">
        <f t="shared" si="149"/>
        <v/>
      </c>
      <c r="DZ115" s="452" t="str">
        <f t="shared" si="149"/>
        <v/>
      </c>
      <c r="EA115" s="452" t="str">
        <f t="shared" si="149"/>
        <v/>
      </c>
      <c r="EB115" s="453" t="str">
        <f t="shared" si="149"/>
        <v/>
      </c>
      <c r="EC115" s="451" t="str">
        <f t="shared" si="149"/>
        <v/>
      </c>
      <c r="ED115" s="452" t="str">
        <f t="shared" si="149"/>
        <v/>
      </c>
      <c r="EE115" s="452" t="str">
        <f t="shared" si="149"/>
        <v/>
      </c>
      <c r="EF115" s="452" t="str">
        <f t="shared" si="149"/>
        <v/>
      </c>
      <c r="EG115" s="453" t="str">
        <f t="shared" si="149"/>
        <v/>
      </c>
      <c r="EH115" s="451" t="str">
        <f t="shared" si="149"/>
        <v/>
      </c>
      <c r="EI115" s="452" t="str">
        <f t="shared" si="149"/>
        <v/>
      </c>
      <c r="EJ115" s="452" t="str">
        <f t="shared" si="149"/>
        <v/>
      </c>
      <c r="EK115" s="452" t="str">
        <f t="shared" si="152"/>
        <v/>
      </c>
      <c r="EL115" s="453" t="str">
        <f t="shared" si="152"/>
        <v/>
      </c>
      <c r="EM115" s="451" t="str">
        <f t="shared" si="152"/>
        <v/>
      </c>
      <c r="EN115" s="452" t="str">
        <f t="shared" si="152"/>
        <v/>
      </c>
      <c r="EO115" s="452" t="str">
        <f t="shared" si="152"/>
        <v/>
      </c>
      <c r="EP115" s="452" t="str">
        <f t="shared" si="152"/>
        <v/>
      </c>
      <c r="EQ115" s="453" t="str">
        <f t="shared" si="152"/>
        <v/>
      </c>
      <c r="ER115" s="451" t="str">
        <f t="shared" si="152"/>
        <v/>
      </c>
      <c r="ES115" s="452" t="str">
        <f t="shared" si="152"/>
        <v/>
      </c>
      <c r="ET115" s="452" t="str">
        <f t="shared" si="152"/>
        <v/>
      </c>
      <c r="EU115" s="452" t="str">
        <f t="shared" si="152"/>
        <v/>
      </c>
      <c r="EV115" s="453" t="str">
        <f t="shared" si="152"/>
        <v/>
      </c>
      <c r="EW115" s="451" t="str">
        <f t="shared" si="152"/>
        <v/>
      </c>
      <c r="EX115" s="452" t="str">
        <f t="shared" si="152"/>
        <v/>
      </c>
      <c r="EY115" s="452" t="str">
        <f t="shared" si="152"/>
        <v/>
      </c>
      <c r="EZ115" s="452" t="str">
        <f t="shared" si="150"/>
        <v/>
      </c>
      <c r="FA115" s="453" t="str">
        <f t="shared" si="150"/>
        <v/>
      </c>
      <c r="FB115" s="451" t="str">
        <f t="shared" si="150"/>
        <v/>
      </c>
      <c r="FC115" s="452" t="str">
        <f t="shared" si="150"/>
        <v/>
      </c>
      <c r="FD115" s="452" t="str">
        <f t="shared" si="150"/>
        <v/>
      </c>
      <c r="FE115" s="452" t="str">
        <f t="shared" si="150"/>
        <v/>
      </c>
      <c r="FF115" s="453" t="str">
        <f t="shared" si="150"/>
        <v/>
      </c>
      <c r="FG115" s="451" t="str">
        <f t="shared" si="150"/>
        <v/>
      </c>
      <c r="FH115" s="452" t="str">
        <f t="shared" si="150"/>
        <v/>
      </c>
      <c r="FI115" s="452" t="str">
        <f t="shared" si="150"/>
        <v/>
      </c>
      <c r="FJ115" s="452" t="str">
        <f t="shared" si="150"/>
        <v/>
      </c>
      <c r="FK115" s="453" t="str">
        <f t="shared" si="150"/>
        <v/>
      </c>
      <c r="FL115" s="451" t="str">
        <f t="shared" si="150"/>
        <v/>
      </c>
      <c r="FM115" s="452" t="str">
        <f t="shared" si="150"/>
        <v/>
      </c>
      <c r="FN115" s="452" t="str">
        <f t="shared" si="150"/>
        <v/>
      </c>
      <c r="FO115" s="452" t="str">
        <f t="shared" si="150"/>
        <v/>
      </c>
      <c r="FP115" s="453" t="str">
        <f t="shared" si="160"/>
        <v/>
      </c>
      <c r="FQ115" s="451" t="str">
        <f t="shared" si="160"/>
        <v/>
      </c>
      <c r="FR115" s="452" t="str">
        <f t="shared" si="160"/>
        <v/>
      </c>
      <c r="FS115" s="452" t="str">
        <f t="shared" si="160"/>
        <v/>
      </c>
      <c r="FT115" s="452" t="str">
        <f t="shared" si="160"/>
        <v/>
      </c>
      <c r="FU115" s="453" t="str">
        <f t="shared" si="160"/>
        <v/>
      </c>
      <c r="FV115" s="451" t="str">
        <f t="shared" si="160"/>
        <v/>
      </c>
      <c r="FW115" s="452" t="str">
        <f t="shared" si="160"/>
        <v/>
      </c>
      <c r="FX115" s="452" t="str">
        <f t="shared" si="160"/>
        <v/>
      </c>
      <c r="FY115" s="452" t="str">
        <f t="shared" si="153"/>
        <v/>
      </c>
      <c r="FZ115" s="453" t="str">
        <f t="shared" si="153"/>
        <v/>
      </c>
      <c r="GA115" s="451" t="str">
        <f t="shared" si="153"/>
        <v/>
      </c>
      <c r="GB115" s="452" t="str">
        <f t="shared" si="153"/>
        <v/>
      </c>
      <c r="GC115" s="452" t="str">
        <f t="shared" si="153"/>
        <v/>
      </c>
      <c r="GD115" s="452" t="str">
        <f t="shared" si="153"/>
        <v/>
      </c>
      <c r="GE115" s="453" t="str">
        <f t="shared" si="153"/>
        <v/>
      </c>
      <c r="GF115" s="451" t="str">
        <f t="shared" si="153"/>
        <v/>
      </c>
      <c r="GG115" s="452" t="str">
        <f t="shared" si="153"/>
        <v/>
      </c>
      <c r="GH115" s="452" t="str">
        <f t="shared" si="153"/>
        <v/>
      </c>
      <c r="GI115" s="452" t="str">
        <f t="shared" si="153"/>
        <v/>
      </c>
      <c r="GJ115" s="453" t="str">
        <f t="shared" si="153"/>
        <v/>
      </c>
      <c r="GK115" s="451" t="str">
        <f t="shared" si="153"/>
        <v/>
      </c>
      <c r="GL115" s="452" t="str">
        <f t="shared" si="153"/>
        <v/>
      </c>
      <c r="GM115" s="452" t="str">
        <f t="shared" si="153"/>
        <v/>
      </c>
      <c r="GN115" s="452" t="str">
        <f t="shared" si="153"/>
        <v/>
      </c>
      <c r="GO115" s="453" t="str">
        <f t="shared" si="151"/>
        <v/>
      </c>
      <c r="GP115" s="451" t="str">
        <f t="shared" si="151"/>
        <v/>
      </c>
      <c r="GQ115" s="452" t="str">
        <f t="shared" si="151"/>
        <v/>
      </c>
      <c r="GR115" s="452" t="str">
        <f t="shared" si="151"/>
        <v/>
      </c>
      <c r="GS115" s="452" t="str">
        <f t="shared" si="151"/>
        <v/>
      </c>
      <c r="GT115" s="453" t="str">
        <f t="shared" si="151"/>
        <v/>
      </c>
      <c r="GU115" s="451" t="str">
        <f t="shared" si="151"/>
        <v/>
      </c>
      <c r="GV115" s="452" t="str">
        <f t="shared" si="151"/>
        <v/>
      </c>
      <c r="GW115" s="452" t="str">
        <f t="shared" si="151"/>
        <v/>
      </c>
      <c r="GX115" s="452" t="str">
        <f t="shared" si="151"/>
        <v/>
      </c>
      <c r="GY115" s="453" t="str">
        <f t="shared" si="151"/>
        <v/>
      </c>
      <c r="GZ115" s="451" t="str">
        <f t="shared" si="151"/>
        <v/>
      </c>
      <c r="HA115" s="452" t="str">
        <f t="shared" si="151"/>
        <v/>
      </c>
      <c r="HB115" s="452" t="str">
        <f t="shared" si="151"/>
        <v/>
      </c>
      <c r="HC115" s="452" t="str">
        <f t="shared" ref="HC115:HD126" si="174">IF(AND(HC$2&gt;=$J115,HC$2&lt;=$K115),1,"")</f>
        <v/>
      </c>
      <c r="HD115" s="453" t="str">
        <f t="shared" si="174"/>
        <v/>
      </c>
      <c r="HE115" s="451" t="str">
        <f t="shared" si="157"/>
        <v/>
      </c>
      <c r="HF115" s="452" t="str">
        <f t="shared" si="157"/>
        <v/>
      </c>
      <c r="HG115" s="452" t="str">
        <f t="shared" si="157"/>
        <v/>
      </c>
      <c r="HH115" s="452" t="str">
        <f t="shared" si="157"/>
        <v/>
      </c>
      <c r="HI115" s="453" t="str">
        <f t="shared" si="157"/>
        <v/>
      </c>
      <c r="HJ115" s="451" t="str">
        <f t="shared" si="157"/>
        <v/>
      </c>
      <c r="HK115" s="452" t="str">
        <f t="shared" si="157"/>
        <v/>
      </c>
      <c r="HL115" s="452" t="str">
        <f t="shared" si="157"/>
        <v/>
      </c>
      <c r="HM115" s="452" t="str">
        <f t="shared" si="157"/>
        <v/>
      </c>
      <c r="HN115" s="453" t="str">
        <f t="shared" si="157"/>
        <v/>
      </c>
      <c r="HO115" s="451" t="str">
        <f t="shared" si="157"/>
        <v/>
      </c>
      <c r="HP115" s="452" t="str">
        <f t="shared" si="157"/>
        <v/>
      </c>
      <c r="HQ115" s="452" t="str">
        <f t="shared" si="157"/>
        <v/>
      </c>
      <c r="HR115" s="452" t="str">
        <f t="shared" si="157"/>
        <v/>
      </c>
      <c r="HS115" s="453" t="str">
        <f t="shared" si="157"/>
        <v/>
      </c>
      <c r="HT115" s="451" t="str">
        <f t="shared" si="157"/>
        <v/>
      </c>
      <c r="HU115" s="452" t="str">
        <f t="shared" si="163"/>
        <v/>
      </c>
      <c r="HV115" s="452" t="str">
        <f t="shared" si="163"/>
        <v/>
      </c>
      <c r="HW115" s="452" t="str">
        <f t="shared" si="163"/>
        <v/>
      </c>
      <c r="HX115" s="453" t="str">
        <f t="shared" si="163"/>
        <v/>
      </c>
      <c r="HY115" s="451" t="str">
        <f t="shared" si="163"/>
        <v/>
      </c>
      <c r="HZ115" s="452" t="str">
        <f t="shared" si="163"/>
        <v/>
      </c>
      <c r="IA115" s="452" t="str">
        <f t="shared" si="163"/>
        <v/>
      </c>
      <c r="IB115" s="452" t="str">
        <f t="shared" si="163"/>
        <v/>
      </c>
      <c r="IC115" s="453" t="str">
        <f t="shared" si="163"/>
        <v/>
      </c>
      <c r="ID115" s="451" t="str">
        <f t="shared" si="163"/>
        <v/>
      </c>
      <c r="IE115" s="452" t="str">
        <f t="shared" si="163"/>
        <v/>
      </c>
      <c r="IF115" s="452" t="str">
        <f t="shared" si="163"/>
        <v/>
      </c>
      <c r="IG115" s="452" t="str">
        <f t="shared" si="163"/>
        <v/>
      </c>
      <c r="IH115" s="453" t="str">
        <f t="shared" si="163"/>
        <v/>
      </c>
      <c r="II115" s="451" t="str">
        <f t="shared" si="163"/>
        <v/>
      </c>
      <c r="IJ115" s="452" t="str">
        <f t="shared" si="163"/>
        <v/>
      </c>
      <c r="IK115" s="452" t="str">
        <f t="shared" si="162"/>
        <v/>
      </c>
      <c r="IL115" s="452" t="str">
        <f t="shared" si="162"/>
        <v/>
      </c>
      <c r="IM115" s="453" t="str">
        <f t="shared" si="168"/>
        <v/>
      </c>
      <c r="IN115" s="451" t="str">
        <f t="shared" si="168"/>
        <v/>
      </c>
      <c r="IO115" s="452" t="str">
        <f t="shared" si="168"/>
        <v/>
      </c>
      <c r="IP115" s="452" t="str">
        <f t="shared" si="168"/>
        <v/>
      </c>
      <c r="IQ115" s="452" t="str">
        <f t="shared" si="168"/>
        <v/>
      </c>
      <c r="IR115" s="453" t="str">
        <f t="shared" si="168"/>
        <v/>
      </c>
    </row>
    <row r="116" spans="1:252" x14ac:dyDescent="0.2">
      <c r="A116" s="461">
        <v>11.2</v>
      </c>
      <c r="C116" s="447" t="s">
        <v>1352</v>
      </c>
      <c r="D116" s="447"/>
      <c r="E116" s="448"/>
      <c r="F116" s="448"/>
      <c r="G116" s="448"/>
      <c r="H116" s="448"/>
      <c r="I116" s="448"/>
      <c r="J116" s="449" t="str">
        <f t="shared" si="172"/>
        <v/>
      </c>
      <c r="K116" s="449" t="str">
        <f t="shared" si="173"/>
        <v/>
      </c>
      <c r="L116" s="450">
        <f t="shared" si="171"/>
        <v>0</v>
      </c>
      <c r="M116" s="451" t="str">
        <f t="shared" si="161"/>
        <v/>
      </c>
      <c r="N116" s="452" t="str">
        <f t="shared" si="161"/>
        <v/>
      </c>
      <c r="O116" s="452" t="str">
        <f t="shared" si="161"/>
        <v/>
      </c>
      <c r="P116" s="452" t="str">
        <f t="shared" si="161"/>
        <v/>
      </c>
      <c r="Q116" s="453" t="str">
        <f t="shared" si="161"/>
        <v/>
      </c>
      <c r="R116" s="451" t="str">
        <f t="shared" si="161"/>
        <v/>
      </c>
      <c r="S116" s="452" t="str">
        <f t="shared" si="161"/>
        <v/>
      </c>
      <c r="T116" s="452" t="str">
        <f t="shared" si="161"/>
        <v/>
      </c>
      <c r="U116" s="452" t="str">
        <f t="shared" si="161"/>
        <v/>
      </c>
      <c r="V116" s="453" t="str">
        <f t="shared" si="161"/>
        <v/>
      </c>
      <c r="W116" s="451" t="str">
        <f t="shared" si="161"/>
        <v/>
      </c>
      <c r="X116" s="452" t="str">
        <f t="shared" si="161"/>
        <v/>
      </c>
      <c r="Y116" s="452" t="str">
        <f t="shared" si="161"/>
        <v/>
      </c>
      <c r="Z116" s="452" t="str">
        <f t="shared" si="161"/>
        <v/>
      </c>
      <c r="AA116" s="453" t="str">
        <f t="shared" si="161"/>
        <v/>
      </c>
      <c r="AB116" s="451" t="str">
        <f t="shared" si="161"/>
        <v/>
      </c>
      <c r="AC116" s="452" t="str">
        <f t="shared" si="169"/>
        <v/>
      </c>
      <c r="AD116" s="452" t="str">
        <f t="shared" si="169"/>
        <v/>
      </c>
      <c r="AE116" s="452" t="str">
        <f t="shared" si="169"/>
        <v/>
      </c>
      <c r="AF116" s="453" t="str">
        <f t="shared" si="169"/>
        <v/>
      </c>
      <c r="AG116" s="451" t="str">
        <f t="shared" si="169"/>
        <v/>
      </c>
      <c r="AH116" s="452" t="str">
        <f t="shared" si="169"/>
        <v/>
      </c>
      <c r="AI116" s="452" t="str">
        <f t="shared" si="169"/>
        <v/>
      </c>
      <c r="AJ116" s="452" t="str">
        <f t="shared" si="169"/>
        <v/>
      </c>
      <c r="AK116" s="453" t="str">
        <f t="shared" si="169"/>
        <v/>
      </c>
      <c r="AL116" s="451" t="str">
        <f t="shared" si="169"/>
        <v/>
      </c>
      <c r="AM116" s="452" t="str">
        <f t="shared" si="169"/>
        <v/>
      </c>
      <c r="AN116" s="452" t="str">
        <f t="shared" si="169"/>
        <v/>
      </c>
      <c r="AO116" s="452" t="str">
        <f t="shared" si="169"/>
        <v/>
      </c>
      <c r="AP116" s="453" t="str">
        <f t="shared" si="169"/>
        <v/>
      </c>
      <c r="AQ116" s="451" t="str">
        <f t="shared" si="169"/>
        <v/>
      </c>
      <c r="AR116" s="452" t="str">
        <f t="shared" si="169"/>
        <v/>
      </c>
      <c r="AS116" s="452" t="str">
        <f t="shared" si="165"/>
        <v/>
      </c>
      <c r="AT116" s="452" t="str">
        <f t="shared" si="165"/>
        <v/>
      </c>
      <c r="AU116" s="453" t="str">
        <f t="shared" si="165"/>
        <v/>
      </c>
      <c r="AV116" s="451" t="str">
        <f t="shared" si="165"/>
        <v/>
      </c>
      <c r="AW116" s="452" t="str">
        <f t="shared" si="165"/>
        <v/>
      </c>
      <c r="AX116" s="452" t="str">
        <f t="shared" si="165"/>
        <v/>
      </c>
      <c r="AY116" s="452" t="str">
        <f t="shared" si="165"/>
        <v/>
      </c>
      <c r="AZ116" s="453" t="str">
        <f t="shared" si="165"/>
        <v/>
      </c>
      <c r="BA116" s="451" t="str">
        <f t="shared" si="165"/>
        <v/>
      </c>
      <c r="BB116" s="452" t="str">
        <f t="shared" si="165"/>
        <v/>
      </c>
      <c r="BC116" s="452" t="str">
        <f t="shared" si="165"/>
        <v/>
      </c>
      <c r="BD116" s="452" t="str">
        <f t="shared" si="165"/>
        <v/>
      </c>
      <c r="BE116" s="453" t="str">
        <f t="shared" si="165"/>
        <v/>
      </c>
      <c r="BF116" s="451" t="str">
        <f t="shared" si="165"/>
        <v/>
      </c>
      <c r="BG116" s="452" t="str">
        <f t="shared" si="165"/>
        <v/>
      </c>
      <c r="BH116" s="452" t="str">
        <f t="shared" si="154"/>
        <v/>
      </c>
      <c r="BI116" s="452" t="str">
        <f t="shared" si="154"/>
        <v/>
      </c>
      <c r="BJ116" s="453" t="str">
        <f t="shared" si="154"/>
        <v/>
      </c>
      <c r="BK116" s="451" t="str">
        <f t="shared" si="154"/>
        <v/>
      </c>
      <c r="BL116" s="452" t="str">
        <f t="shared" si="154"/>
        <v/>
      </c>
      <c r="BM116" s="452" t="str">
        <f t="shared" si="154"/>
        <v/>
      </c>
      <c r="BN116" s="452" t="str">
        <f t="shared" si="154"/>
        <v/>
      </c>
      <c r="BO116" s="453" t="str">
        <f t="shared" si="154"/>
        <v/>
      </c>
      <c r="BP116" s="451" t="str">
        <f t="shared" si="154"/>
        <v/>
      </c>
      <c r="BQ116" s="452" t="str">
        <f t="shared" si="154"/>
        <v/>
      </c>
      <c r="BR116" s="452" t="str">
        <f t="shared" si="154"/>
        <v/>
      </c>
      <c r="BS116" s="452" t="str">
        <f t="shared" si="154"/>
        <v/>
      </c>
      <c r="BT116" s="453" t="str">
        <f t="shared" si="154"/>
        <v/>
      </c>
      <c r="BU116" s="451" t="str">
        <f t="shared" si="154"/>
        <v/>
      </c>
      <c r="BV116" s="452" t="str">
        <f t="shared" si="154"/>
        <v/>
      </c>
      <c r="BW116" s="452" t="str">
        <f t="shared" si="154"/>
        <v/>
      </c>
      <c r="BX116" s="452" t="str">
        <f t="shared" si="166"/>
        <v/>
      </c>
      <c r="BY116" s="453" t="str">
        <f t="shared" si="166"/>
        <v/>
      </c>
      <c r="BZ116" s="451" t="str">
        <f t="shared" si="166"/>
        <v/>
      </c>
      <c r="CA116" s="452" t="str">
        <f t="shared" si="166"/>
        <v/>
      </c>
      <c r="CB116" s="452" t="str">
        <f t="shared" si="166"/>
        <v/>
      </c>
      <c r="CC116" s="452" t="str">
        <f t="shared" si="166"/>
        <v/>
      </c>
      <c r="CD116" s="453" t="str">
        <f t="shared" si="166"/>
        <v/>
      </c>
      <c r="CE116" s="451" t="str">
        <f t="shared" si="166"/>
        <v/>
      </c>
      <c r="CF116" s="452" t="str">
        <f t="shared" si="166"/>
        <v/>
      </c>
      <c r="CG116" s="452" t="str">
        <f t="shared" si="166"/>
        <v/>
      </c>
      <c r="CH116" s="452" t="str">
        <f t="shared" si="166"/>
        <v/>
      </c>
      <c r="CI116" s="453" t="str">
        <f t="shared" si="166"/>
        <v/>
      </c>
      <c r="CJ116" s="451" t="str">
        <f t="shared" si="166"/>
        <v/>
      </c>
      <c r="CK116" s="452" t="str">
        <f t="shared" si="166"/>
        <v/>
      </c>
      <c r="CL116" s="452" t="str">
        <f t="shared" si="166"/>
        <v/>
      </c>
      <c r="CM116" s="452" t="str">
        <f t="shared" si="166"/>
        <v/>
      </c>
      <c r="CN116" s="453" t="str">
        <f t="shared" si="164"/>
        <v/>
      </c>
      <c r="CO116" s="451" t="str">
        <f t="shared" si="164"/>
        <v/>
      </c>
      <c r="CP116" s="452" t="str">
        <f t="shared" si="164"/>
        <v/>
      </c>
      <c r="CQ116" s="452" t="str">
        <f t="shared" si="164"/>
        <v/>
      </c>
      <c r="CR116" s="452" t="str">
        <f t="shared" si="164"/>
        <v/>
      </c>
      <c r="CS116" s="453" t="str">
        <f t="shared" si="164"/>
        <v/>
      </c>
      <c r="CT116" s="451" t="str">
        <f t="shared" si="164"/>
        <v/>
      </c>
      <c r="CU116" s="452" t="str">
        <f t="shared" si="164"/>
        <v/>
      </c>
      <c r="CV116" s="452" t="str">
        <f t="shared" si="164"/>
        <v/>
      </c>
      <c r="CW116" s="452" t="str">
        <f t="shared" si="164"/>
        <v/>
      </c>
      <c r="CX116" s="453" t="str">
        <f t="shared" si="164"/>
        <v/>
      </c>
      <c r="CY116" s="451" t="str">
        <f t="shared" si="164"/>
        <v/>
      </c>
      <c r="CZ116" s="452" t="str">
        <f t="shared" si="164"/>
        <v/>
      </c>
      <c r="DA116" s="452" t="str">
        <f t="shared" si="164"/>
        <v/>
      </c>
      <c r="DB116" s="452" t="str">
        <f t="shared" si="164"/>
        <v/>
      </c>
      <c r="DC116" s="453" t="str">
        <f t="shared" si="170"/>
        <v/>
      </c>
      <c r="DD116" s="451" t="str">
        <f t="shared" si="170"/>
        <v/>
      </c>
      <c r="DE116" s="452" t="str">
        <f t="shared" si="170"/>
        <v/>
      </c>
      <c r="DF116" s="452" t="str">
        <f t="shared" si="170"/>
        <v/>
      </c>
      <c r="DG116" s="452" t="str">
        <f t="shared" si="170"/>
        <v/>
      </c>
      <c r="DH116" s="453" t="str">
        <f t="shared" si="170"/>
        <v/>
      </c>
      <c r="DI116" s="451" t="str">
        <f t="shared" si="170"/>
        <v/>
      </c>
      <c r="DJ116" s="452" t="str">
        <f t="shared" si="170"/>
        <v/>
      </c>
      <c r="DK116" s="452" t="str">
        <f t="shared" si="170"/>
        <v/>
      </c>
      <c r="DL116" s="452" t="str">
        <f t="shared" si="170"/>
        <v/>
      </c>
      <c r="DM116" s="453" t="str">
        <f t="shared" si="170"/>
        <v/>
      </c>
      <c r="DN116" s="451" t="str">
        <f t="shared" si="170"/>
        <v/>
      </c>
      <c r="DO116" s="452" t="str">
        <f t="shared" si="170"/>
        <v/>
      </c>
      <c r="DP116" s="452" t="str">
        <f t="shared" si="170"/>
        <v/>
      </c>
      <c r="DQ116" s="452" t="str">
        <f t="shared" si="170"/>
        <v/>
      </c>
      <c r="DR116" s="453" t="str">
        <f t="shared" si="170"/>
        <v/>
      </c>
      <c r="DS116" s="451" t="str">
        <f t="shared" si="167"/>
        <v/>
      </c>
      <c r="DT116" s="452" t="str">
        <f t="shared" si="167"/>
        <v/>
      </c>
      <c r="DU116" s="452" t="str">
        <f t="shared" si="149"/>
        <v/>
      </c>
      <c r="DV116" s="452" t="str">
        <f t="shared" si="149"/>
        <v/>
      </c>
      <c r="DW116" s="453" t="str">
        <f t="shared" si="149"/>
        <v/>
      </c>
      <c r="DX116" s="451" t="str">
        <f t="shared" si="149"/>
        <v/>
      </c>
      <c r="DY116" s="452" t="str">
        <f t="shared" si="149"/>
        <v/>
      </c>
      <c r="DZ116" s="452" t="str">
        <f t="shared" si="149"/>
        <v/>
      </c>
      <c r="EA116" s="452" t="str">
        <f t="shared" si="149"/>
        <v/>
      </c>
      <c r="EB116" s="453" t="str">
        <f t="shared" si="149"/>
        <v/>
      </c>
      <c r="EC116" s="451" t="str">
        <f t="shared" si="149"/>
        <v/>
      </c>
      <c r="ED116" s="452" t="str">
        <f t="shared" si="149"/>
        <v/>
      </c>
      <c r="EE116" s="452" t="str">
        <f t="shared" si="149"/>
        <v/>
      </c>
      <c r="EF116" s="452" t="str">
        <f t="shared" si="149"/>
        <v/>
      </c>
      <c r="EG116" s="453" t="str">
        <f t="shared" si="149"/>
        <v/>
      </c>
      <c r="EH116" s="451" t="str">
        <f t="shared" si="149"/>
        <v/>
      </c>
      <c r="EI116" s="452" t="str">
        <f t="shared" si="149"/>
        <v/>
      </c>
      <c r="EJ116" s="452" t="str">
        <f t="shared" si="149"/>
        <v/>
      </c>
      <c r="EK116" s="452" t="str">
        <f t="shared" si="152"/>
        <v/>
      </c>
      <c r="EL116" s="453" t="str">
        <f t="shared" si="152"/>
        <v/>
      </c>
      <c r="EM116" s="451" t="str">
        <f t="shared" si="152"/>
        <v/>
      </c>
      <c r="EN116" s="452" t="str">
        <f t="shared" si="152"/>
        <v/>
      </c>
      <c r="EO116" s="452" t="str">
        <f t="shared" si="152"/>
        <v/>
      </c>
      <c r="EP116" s="452" t="str">
        <f t="shared" si="152"/>
        <v/>
      </c>
      <c r="EQ116" s="453" t="str">
        <f t="shared" si="152"/>
        <v/>
      </c>
      <c r="ER116" s="451" t="str">
        <f t="shared" si="152"/>
        <v/>
      </c>
      <c r="ES116" s="452" t="str">
        <f t="shared" si="152"/>
        <v/>
      </c>
      <c r="ET116" s="452" t="str">
        <f t="shared" si="152"/>
        <v/>
      </c>
      <c r="EU116" s="452" t="str">
        <f t="shared" si="152"/>
        <v/>
      </c>
      <c r="EV116" s="453" t="str">
        <f t="shared" si="152"/>
        <v/>
      </c>
      <c r="EW116" s="451" t="str">
        <f t="shared" si="152"/>
        <v/>
      </c>
      <c r="EX116" s="452" t="str">
        <f t="shared" si="152"/>
        <v/>
      </c>
      <c r="EY116" s="452" t="str">
        <f t="shared" si="152"/>
        <v/>
      </c>
      <c r="EZ116" s="452" t="str">
        <f t="shared" si="152"/>
        <v/>
      </c>
      <c r="FA116" s="453" t="str">
        <f t="shared" ref="FA116:FP131" si="175">IF(AND(FA$2&gt;=$J116,FA$2&lt;=$K116),1,"")</f>
        <v/>
      </c>
      <c r="FB116" s="451" t="str">
        <f t="shared" si="175"/>
        <v/>
      </c>
      <c r="FC116" s="452" t="str">
        <f t="shared" si="175"/>
        <v/>
      </c>
      <c r="FD116" s="452" t="str">
        <f t="shared" si="175"/>
        <v/>
      </c>
      <c r="FE116" s="452" t="str">
        <f t="shared" si="175"/>
        <v/>
      </c>
      <c r="FF116" s="453" t="str">
        <f t="shared" si="175"/>
        <v/>
      </c>
      <c r="FG116" s="451" t="str">
        <f t="shared" si="175"/>
        <v/>
      </c>
      <c r="FH116" s="452" t="str">
        <f t="shared" si="175"/>
        <v/>
      </c>
      <c r="FI116" s="452" t="str">
        <f t="shared" si="175"/>
        <v/>
      </c>
      <c r="FJ116" s="452" t="str">
        <f t="shared" si="175"/>
        <v/>
      </c>
      <c r="FK116" s="453" t="str">
        <f t="shared" si="175"/>
        <v/>
      </c>
      <c r="FL116" s="451" t="str">
        <f t="shared" si="175"/>
        <v/>
      </c>
      <c r="FM116" s="452" t="str">
        <f t="shared" si="175"/>
        <v/>
      </c>
      <c r="FN116" s="452" t="str">
        <f t="shared" si="175"/>
        <v/>
      </c>
      <c r="FO116" s="452" t="str">
        <f t="shared" si="175"/>
        <v/>
      </c>
      <c r="FP116" s="453" t="str">
        <f t="shared" si="160"/>
        <v/>
      </c>
      <c r="FQ116" s="451" t="str">
        <f t="shared" si="160"/>
        <v/>
      </c>
      <c r="FR116" s="452" t="str">
        <f t="shared" si="160"/>
        <v/>
      </c>
      <c r="FS116" s="452" t="str">
        <f t="shared" si="160"/>
        <v/>
      </c>
      <c r="FT116" s="452" t="str">
        <f t="shared" si="160"/>
        <v/>
      </c>
      <c r="FU116" s="453" t="str">
        <f t="shared" si="160"/>
        <v/>
      </c>
      <c r="FV116" s="451" t="str">
        <f t="shared" si="160"/>
        <v/>
      </c>
      <c r="FW116" s="452" t="str">
        <f t="shared" si="160"/>
        <v/>
      </c>
      <c r="FX116" s="452" t="str">
        <f t="shared" si="160"/>
        <v/>
      </c>
      <c r="FY116" s="452" t="str">
        <f t="shared" si="153"/>
        <v/>
      </c>
      <c r="FZ116" s="453" t="str">
        <f t="shared" si="153"/>
        <v/>
      </c>
      <c r="GA116" s="451" t="str">
        <f t="shared" si="153"/>
        <v/>
      </c>
      <c r="GB116" s="452" t="str">
        <f t="shared" si="153"/>
        <v/>
      </c>
      <c r="GC116" s="452" t="str">
        <f t="shared" si="153"/>
        <v/>
      </c>
      <c r="GD116" s="452" t="str">
        <f t="shared" si="153"/>
        <v/>
      </c>
      <c r="GE116" s="453" t="str">
        <f t="shared" si="153"/>
        <v/>
      </c>
      <c r="GF116" s="451" t="str">
        <f t="shared" si="153"/>
        <v/>
      </c>
      <c r="GG116" s="452" t="str">
        <f t="shared" si="153"/>
        <v/>
      </c>
      <c r="GH116" s="452" t="str">
        <f t="shared" si="153"/>
        <v/>
      </c>
      <c r="GI116" s="452" t="str">
        <f t="shared" si="153"/>
        <v/>
      </c>
      <c r="GJ116" s="453" t="str">
        <f t="shared" si="153"/>
        <v/>
      </c>
      <c r="GK116" s="451" t="str">
        <f t="shared" si="153"/>
        <v/>
      </c>
      <c r="GL116" s="452" t="str">
        <f t="shared" si="153"/>
        <v/>
      </c>
      <c r="GM116" s="452" t="str">
        <f t="shared" si="153"/>
        <v/>
      </c>
      <c r="GN116" s="452" t="str">
        <f t="shared" si="153"/>
        <v/>
      </c>
      <c r="GO116" s="453" t="str">
        <f t="shared" ref="GO116:HE131" si="176">IF(AND(GO$2&gt;=$J116,GO$2&lt;=$K116),1,"")</f>
        <v/>
      </c>
      <c r="GP116" s="451" t="str">
        <f t="shared" si="176"/>
        <v/>
      </c>
      <c r="GQ116" s="452" t="str">
        <f t="shared" si="176"/>
        <v/>
      </c>
      <c r="GR116" s="452" t="str">
        <f t="shared" si="176"/>
        <v/>
      </c>
      <c r="GS116" s="452" t="str">
        <f t="shared" si="176"/>
        <v/>
      </c>
      <c r="GT116" s="453" t="str">
        <f t="shared" si="176"/>
        <v/>
      </c>
      <c r="GU116" s="451" t="str">
        <f t="shared" si="176"/>
        <v/>
      </c>
      <c r="GV116" s="452" t="str">
        <f t="shared" si="176"/>
        <v/>
      </c>
      <c r="GW116" s="452" t="str">
        <f t="shared" si="176"/>
        <v/>
      </c>
      <c r="GX116" s="452" t="str">
        <f t="shared" si="176"/>
        <v/>
      </c>
      <c r="GY116" s="453" t="str">
        <f t="shared" si="176"/>
        <v/>
      </c>
      <c r="GZ116" s="451" t="str">
        <f t="shared" si="176"/>
        <v/>
      </c>
      <c r="HA116" s="452" t="str">
        <f t="shared" si="176"/>
        <v/>
      </c>
      <c r="HB116" s="452" t="str">
        <f t="shared" si="176"/>
        <v/>
      </c>
      <c r="HC116" s="452" t="str">
        <f t="shared" si="176"/>
        <v/>
      </c>
      <c r="HD116" s="453" t="str">
        <f t="shared" si="176"/>
        <v/>
      </c>
      <c r="HE116" s="451" t="str">
        <f t="shared" si="157"/>
        <v/>
      </c>
      <c r="HF116" s="452" t="str">
        <f t="shared" si="157"/>
        <v/>
      </c>
      <c r="HG116" s="452" t="str">
        <f t="shared" si="157"/>
        <v/>
      </c>
      <c r="HH116" s="452" t="str">
        <f t="shared" si="157"/>
        <v/>
      </c>
      <c r="HI116" s="453" t="str">
        <f t="shared" si="157"/>
        <v/>
      </c>
      <c r="HJ116" s="451" t="str">
        <f t="shared" si="157"/>
        <v/>
      </c>
      <c r="HK116" s="452" t="str">
        <f t="shared" si="157"/>
        <v/>
      </c>
      <c r="HL116" s="452" t="str">
        <f t="shared" si="157"/>
        <v/>
      </c>
      <c r="HM116" s="452" t="str">
        <f t="shared" si="157"/>
        <v/>
      </c>
      <c r="HN116" s="453" t="str">
        <f t="shared" si="157"/>
        <v/>
      </c>
      <c r="HO116" s="451" t="str">
        <f t="shared" si="157"/>
        <v/>
      </c>
      <c r="HP116" s="452" t="str">
        <f t="shared" si="157"/>
        <v/>
      </c>
      <c r="HQ116" s="452" t="str">
        <f t="shared" si="157"/>
        <v/>
      </c>
      <c r="HR116" s="452" t="str">
        <f t="shared" si="157"/>
        <v/>
      </c>
      <c r="HS116" s="453" t="str">
        <f t="shared" si="157"/>
        <v/>
      </c>
      <c r="HT116" s="451" t="str">
        <f t="shared" si="157"/>
        <v/>
      </c>
      <c r="HU116" s="452" t="str">
        <f t="shared" si="163"/>
        <v/>
      </c>
      <c r="HV116" s="452" t="str">
        <f t="shared" si="163"/>
        <v/>
      </c>
      <c r="HW116" s="452" t="str">
        <f t="shared" si="163"/>
        <v/>
      </c>
      <c r="HX116" s="453" t="str">
        <f t="shared" si="163"/>
        <v/>
      </c>
      <c r="HY116" s="451" t="str">
        <f t="shared" si="163"/>
        <v/>
      </c>
      <c r="HZ116" s="452" t="str">
        <f t="shared" si="162"/>
        <v/>
      </c>
      <c r="IA116" s="452" t="str">
        <f t="shared" si="162"/>
        <v/>
      </c>
      <c r="IB116" s="452" t="str">
        <f t="shared" si="162"/>
        <v/>
      </c>
      <c r="IC116" s="453" t="str">
        <f t="shared" si="162"/>
        <v/>
      </c>
      <c r="ID116" s="451" t="str">
        <f t="shared" si="162"/>
        <v/>
      </c>
      <c r="IE116" s="452" t="str">
        <f t="shared" si="162"/>
        <v/>
      </c>
      <c r="IF116" s="452" t="str">
        <f t="shared" si="162"/>
        <v/>
      </c>
      <c r="IG116" s="452" t="str">
        <f t="shared" si="162"/>
        <v/>
      </c>
      <c r="IH116" s="453" t="str">
        <f t="shared" si="162"/>
        <v/>
      </c>
      <c r="II116" s="451" t="str">
        <f t="shared" si="162"/>
        <v/>
      </c>
      <c r="IJ116" s="452" t="str">
        <f t="shared" si="162"/>
        <v/>
      </c>
      <c r="IK116" s="452" t="str">
        <f t="shared" si="162"/>
        <v/>
      </c>
      <c r="IL116" s="452" t="str">
        <f t="shared" si="162"/>
        <v/>
      </c>
      <c r="IM116" s="453" t="str">
        <f t="shared" si="168"/>
        <v/>
      </c>
      <c r="IN116" s="451" t="str">
        <f t="shared" si="168"/>
        <v/>
      </c>
      <c r="IO116" s="452" t="str">
        <f t="shared" si="168"/>
        <v/>
      </c>
      <c r="IP116" s="452" t="str">
        <f t="shared" si="168"/>
        <v/>
      </c>
      <c r="IQ116" s="452" t="str">
        <f t="shared" si="168"/>
        <v/>
      </c>
      <c r="IR116" s="453" t="str">
        <f t="shared" si="168"/>
        <v/>
      </c>
    </row>
    <row r="117" spans="1:252" x14ac:dyDescent="0.2">
      <c r="A117" s="461">
        <v>11.3</v>
      </c>
      <c r="C117" s="447" t="s">
        <v>1353</v>
      </c>
      <c r="D117" s="447"/>
      <c r="E117" s="448"/>
      <c r="F117" s="448"/>
      <c r="G117" s="448"/>
      <c r="H117" s="448"/>
      <c r="I117" s="448"/>
      <c r="J117" s="449" t="str">
        <f t="shared" si="172"/>
        <v/>
      </c>
      <c r="K117" s="449" t="str">
        <f t="shared" si="173"/>
        <v/>
      </c>
      <c r="L117" s="450">
        <f t="shared" si="171"/>
        <v>0</v>
      </c>
      <c r="M117" s="451" t="str">
        <f t="shared" si="161"/>
        <v/>
      </c>
      <c r="N117" s="452" t="str">
        <f t="shared" si="161"/>
        <v/>
      </c>
      <c r="O117" s="452" t="str">
        <f t="shared" si="161"/>
        <v/>
      </c>
      <c r="P117" s="452" t="str">
        <f t="shared" si="161"/>
        <v/>
      </c>
      <c r="Q117" s="453" t="str">
        <f t="shared" si="161"/>
        <v/>
      </c>
      <c r="R117" s="451" t="str">
        <f t="shared" si="161"/>
        <v/>
      </c>
      <c r="S117" s="452" t="str">
        <f t="shared" si="161"/>
        <v/>
      </c>
      <c r="T117" s="452" t="str">
        <f t="shared" si="161"/>
        <v/>
      </c>
      <c r="U117" s="452" t="str">
        <f t="shared" si="161"/>
        <v/>
      </c>
      <c r="V117" s="453" t="str">
        <f t="shared" si="161"/>
        <v/>
      </c>
      <c r="W117" s="451" t="str">
        <f t="shared" si="161"/>
        <v/>
      </c>
      <c r="X117" s="452" t="str">
        <f t="shared" si="161"/>
        <v/>
      </c>
      <c r="Y117" s="452" t="str">
        <f t="shared" si="161"/>
        <v/>
      </c>
      <c r="Z117" s="452" t="str">
        <f t="shared" si="161"/>
        <v/>
      </c>
      <c r="AA117" s="453" t="str">
        <f t="shared" si="161"/>
        <v/>
      </c>
      <c r="AB117" s="451" t="str">
        <f t="shared" si="161"/>
        <v/>
      </c>
      <c r="AC117" s="452" t="str">
        <f t="shared" si="169"/>
        <v/>
      </c>
      <c r="AD117" s="452" t="str">
        <f t="shared" si="169"/>
        <v/>
      </c>
      <c r="AE117" s="452" t="str">
        <f t="shared" si="169"/>
        <v/>
      </c>
      <c r="AF117" s="453" t="str">
        <f t="shared" si="169"/>
        <v/>
      </c>
      <c r="AG117" s="451" t="str">
        <f t="shared" si="169"/>
        <v/>
      </c>
      <c r="AH117" s="452" t="str">
        <f t="shared" si="169"/>
        <v/>
      </c>
      <c r="AI117" s="452" t="str">
        <f t="shared" si="169"/>
        <v/>
      </c>
      <c r="AJ117" s="452" t="str">
        <f t="shared" si="169"/>
        <v/>
      </c>
      <c r="AK117" s="453" t="str">
        <f t="shared" si="169"/>
        <v/>
      </c>
      <c r="AL117" s="451" t="str">
        <f t="shared" si="169"/>
        <v/>
      </c>
      <c r="AM117" s="452" t="str">
        <f t="shared" si="169"/>
        <v/>
      </c>
      <c r="AN117" s="452" t="str">
        <f t="shared" si="169"/>
        <v/>
      </c>
      <c r="AO117" s="452" t="str">
        <f t="shared" si="169"/>
        <v/>
      </c>
      <c r="AP117" s="453" t="str">
        <f t="shared" si="169"/>
        <v/>
      </c>
      <c r="AQ117" s="451" t="str">
        <f t="shared" si="169"/>
        <v/>
      </c>
      <c r="AR117" s="452" t="str">
        <f t="shared" si="169"/>
        <v/>
      </c>
      <c r="AS117" s="452" t="str">
        <f t="shared" si="165"/>
        <v/>
      </c>
      <c r="AT117" s="452" t="str">
        <f t="shared" si="165"/>
        <v/>
      </c>
      <c r="AU117" s="453" t="str">
        <f t="shared" si="165"/>
        <v/>
      </c>
      <c r="AV117" s="451" t="str">
        <f t="shared" si="165"/>
        <v/>
      </c>
      <c r="AW117" s="452" t="str">
        <f t="shared" si="165"/>
        <v/>
      </c>
      <c r="AX117" s="452" t="str">
        <f t="shared" si="165"/>
        <v/>
      </c>
      <c r="AY117" s="452" t="str">
        <f t="shared" si="165"/>
        <v/>
      </c>
      <c r="AZ117" s="453" t="str">
        <f t="shared" si="165"/>
        <v/>
      </c>
      <c r="BA117" s="451" t="str">
        <f t="shared" si="165"/>
        <v/>
      </c>
      <c r="BB117" s="452" t="str">
        <f t="shared" si="165"/>
        <v/>
      </c>
      <c r="BC117" s="452" t="str">
        <f t="shared" si="165"/>
        <v/>
      </c>
      <c r="BD117" s="452" t="str">
        <f t="shared" si="165"/>
        <v/>
      </c>
      <c r="BE117" s="453" t="str">
        <f t="shared" si="165"/>
        <v/>
      </c>
      <c r="BF117" s="451" t="str">
        <f t="shared" si="165"/>
        <v/>
      </c>
      <c r="BG117" s="452" t="str">
        <f t="shared" si="165"/>
        <v/>
      </c>
      <c r="BH117" s="452" t="str">
        <f t="shared" si="154"/>
        <v/>
      </c>
      <c r="BI117" s="452" t="str">
        <f t="shared" si="154"/>
        <v/>
      </c>
      <c r="BJ117" s="453" t="str">
        <f t="shared" si="154"/>
        <v/>
      </c>
      <c r="BK117" s="451" t="str">
        <f t="shared" si="154"/>
        <v/>
      </c>
      <c r="BL117" s="452" t="str">
        <f t="shared" si="154"/>
        <v/>
      </c>
      <c r="BM117" s="452" t="str">
        <f t="shared" si="154"/>
        <v/>
      </c>
      <c r="BN117" s="452" t="str">
        <f t="shared" si="154"/>
        <v/>
      </c>
      <c r="BO117" s="453" t="str">
        <f t="shared" si="154"/>
        <v/>
      </c>
      <c r="BP117" s="451" t="str">
        <f t="shared" si="154"/>
        <v/>
      </c>
      <c r="BQ117" s="452" t="str">
        <f t="shared" si="154"/>
        <v/>
      </c>
      <c r="BR117" s="452" t="str">
        <f t="shared" si="154"/>
        <v/>
      </c>
      <c r="BS117" s="452" t="str">
        <f t="shared" si="154"/>
        <v/>
      </c>
      <c r="BT117" s="453" t="str">
        <f t="shared" si="154"/>
        <v/>
      </c>
      <c r="BU117" s="451" t="str">
        <f t="shared" si="154"/>
        <v/>
      </c>
      <c r="BV117" s="452" t="str">
        <f t="shared" si="154"/>
        <v/>
      </c>
      <c r="BW117" s="452" t="str">
        <f t="shared" si="154"/>
        <v/>
      </c>
      <c r="BX117" s="452" t="str">
        <f t="shared" si="166"/>
        <v/>
      </c>
      <c r="BY117" s="453" t="str">
        <f t="shared" si="166"/>
        <v/>
      </c>
      <c r="BZ117" s="451" t="str">
        <f t="shared" si="166"/>
        <v/>
      </c>
      <c r="CA117" s="452" t="str">
        <f t="shared" si="166"/>
        <v/>
      </c>
      <c r="CB117" s="452" t="str">
        <f t="shared" si="166"/>
        <v/>
      </c>
      <c r="CC117" s="452" t="str">
        <f t="shared" si="166"/>
        <v/>
      </c>
      <c r="CD117" s="453" t="str">
        <f t="shared" si="166"/>
        <v/>
      </c>
      <c r="CE117" s="451" t="str">
        <f t="shared" si="166"/>
        <v/>
      </c>
      <c r="CF117" s="452" t="str">
        <f t="shared" si="166"/>
        <v/>
      </c>
      <c r="CG117" s="452" t="str">
        <f t="shared" si="166"/>
        <v/>
      </c>
      <c r="CH117" s="452" t="str">
        <f t="shared" si="166"/>
        <v/>
      </c>
      <c r="CI117" s="453" t="str">
        <f t="shared" si="166"/>
        <v/>
      </c>
      <c r="CJ117" s="451" t="str">
        <f t="shared" si="166"/>
        <v/>
      </c>
      <c r="CK117" s="452" t="str">
        <f t="shared" si="166"/>
        <v/>
      </c>
      <c r="CL117" s="452" t="str">
        <f t="shared" si="166"/>
        <v/>
      </c>
      <c r="CM117" s="452" t="str">
        <f t="shared" si="166"/>
        <v/>
      </c>
      <c r="CN117" s="453" t="str">
        <f t="shared" si="164"/>
        <v/>
      </c>
      <c r="CO117" s="451" t="str">
        <f t="shared" si="164"/>
        <v/>
      </c>
      <c r="CP117" s="452" t="str">
        <f t="shared" si="164"/>
        <v/>
      </c>
      <c r="CQ117" s="452" t="str">
        <f t="shared" si="164"/>
        <v/>
      </c>
      <c r="CR117" s="452" t="str">
        <f t="shared" si="164"/>
        <v/>
      </c>
      <c r="CS117" s="453" t="str">
        <f t="shared" si="164"/>
        <v/>
      </c>
      <c r="CT117" s="451" t="str">
        <f t="shared" si="164"/>
        <v/>
      </c>
      <c r="CU117" s="452" t="str">
        <f t="shared" si="164"/>
        <v/>
      </c>
      <c r="CV117" s="452" t="str">
        <f t="shared" si="164"/>
        <v/>
      </c>
      <c r="CW117" s="452" t="str">
        <f t="shared" si="164"/>
        <v/>
      </c>
      <c r="CX117" s="453" t="str">
        <f t="shared" si="164"/>
        <v/>
      </c>
      <c r="CY117" s="451" t="str">
        <f t="shared" si="164"/>
        <v/>
      </c>
      <c r="CZ117" s="452" t="str">
        <f t="shared" si="164"/>
        <v/>
      </c>
      <c r="DA117" s="452" t="str">
        <f t="shared" si="164"/>
        <v/>
      </c>
      <c r="DB117" s="452" t="str">
        <f t="shared" si="164"/>
        <v/>
      </c>
      <c r="DC117" s="453" t="str">
        <f t="shared" si="170"/>
        <v/>
      </c>
      <c r="DD117" s="451" t="str">
        <f t="shared" si="170"/>
        <v/>
      </c>
      <c r="DE117" s="452" t="str">
        <f t="shared" si="170"/>
        <v/>
      </c>
      <c r="DF117" s="452" t="str">
        <f t="shared" si="170"/>
        <v/>
      </c>
      <c r="DG117" s="452" t="str">
        <f t="shared" si="170"/>
        <v/>
      </c>
      <c r="DH117" s="453" t="str">
        <f t="shared" si="170"/>
        <v/>
      </c>
      <c r="DI117" s="451" t="str">
        <f t="shared" si="170"/>
        <v/>
      </c>
      <c r="DJ117" s="452" t="str">
        <f t="shared" si="170"/>
        <v/>
      </c>
      <c r="DK117" s="452" t="str">
        <f t="shared" si="170"/>
        <v/>
      </c>
      <c r="DL117" s="452" t="str">
        <f t="shared" si="170"/>
        <v/>
      </c>
      <c r="DM117" s="453" t="str">
        <f t="shared" si="170"/>
        <v/>
      </c>
      <c r="DN117" s="451" t="str">
        <f t="shared" si="170"/>
        <v/>
      </c>
      <c r="DO117" s="452" t="str">
        <f t="shared" si="170"/>
        <v/>
      </c>
      <c r="DP117" s="452" t="str">
        <f t="shared" si="170"/>
        <v/>
      </c>
      <c r="DQ117" s="452" t="str">
        <f t="shared" si="170"/>
        <v/>
      </c>
      <c r="DR117" s="453" t="str">
        <f t="shared" si="170"/>
        <v/>
      </c>
      <c r="DS117" s="451" t="str">
        <f t="shared" si="167"/>
        <v/>
      </c>
      <c r="DT117" s="452" t="str">
        <f t="shared" si="167"/>
        <v/>
      </c>
      <c r="DU117" s="452" t="str">
        <f t="shared" si="149"/>
        <v/>
      </c>
      <c r="DV117" s="452" t="str">
        <f t="shared" si="149"/>
        <v/>
      </c>
      <c r="DW117" s="453" t="str">
        <f t="shared" si="149"/>
        <v/>
      </c>
      <c r="DX117" s="451" t="str">
        <f t="shared" si="149"/>
        <v/>
      </c>
      <c r="DY117" s="452" t="str">
        <f t="shared" si="149"/>
        <v/>
      </c>
      <c r="DZ117" s="452" t="str">
        <f t="shared" si="149"/>
        <v/>
      </c>
      <c r="EA117" s="452" t="str">
        <f t="shared" si="149"/>
        <v/>
      </c>
      <c r="EB117" s="453" t="str">
        <f t="shared" si="149"/>
        <v/>
      </c>
      <c r="EC117" s="451" t="str">
        <f t="shared" si="149"/>
        <v/>
      </c>
      <c r="ED117" s="452" t="str">
        <f t="shared" si="149"/>
        <v/>
      </c>
      <c r="EE117" s="452" t="str">
        <f t="shared" si="149"/>
        <v/>
      </c>
      <c r="EF117" s="452" t="str">
        <f t="shared" si="149"/>
        <v/>
      </c>
      <c r="EG117" s="453" t="str">
        <f t="shared" si="149"/>
        <v/>
      </c>
      <c r="EH117" s="451" t="str">
        <f t="shared" ref="EH117:EW132" si="177">IF(AND(EH$2&gt;=$J117,EH$2&lt;=$K117),1,"")</f>
        <v/>
      </c>
      <c r="EI117" s="452" t="str">
        <f t="shared" si="177"/>
        <v/>
      </c>
      <c r="EJ117" s="452" t="str">
        <f t="shared" si="177"/>
        <v/>
      </c>
      <c r="EK117" s="452" t="str">
        <f t="shared" si="177"/>
        <v/>
      </c>
      <c r="EL117" s="453" t="str">
        <f t="shared" si="177"/>
        <v/>
      </c>
      <c r="EM117" s="451" t="str">
        <f t="shared" si="177"/>
        <v/>
      </c>
      <c r="EN117" s="452" t="str">
        <f t="shared" si="177"/>
        <v/>
      </c>
      <c r="EO117" s="452" t="str">
        <f t="shared" si="177"/>
        <v/>
      </c>
      <c r="EP117" s="452" t="str">
        <f t="shared" si="177"/>
        <v/>
      </c>
      <c r="EQ117" s="453" t="str">
        <f t="shared" si="177"/>
        <v/>
      </c>
      <c r="ER117" s="451" t="str">
        <f t="shared" si="177"/>
        <v/>
      </c>
      <c r="ES117" s="452" t="str">
        <f t="shared" si="177"/>
        <v/>
      </c>
      <c r="ET117" s="452" t="str">
        <f t="shared" si="177"/>
        <v/>
      </c>
      <c r="EU117" s="452" t="str">
        <f t="shared" si="177"/>
        <v/>
      </c>
      <c r="EV117" s="453" t="str">
        <f t="shared" si="177"/>
        <v/>
      </c>
      <c r="EW117" s="451" t="str">
        <f t="shared" si="177"/>
        <v/>
      </c>
      <c r="EX117" s="452" t="str">
        <f t="shared" ref="EX117:FM132" si="178">IF(AND(EX$2&gt;=$J117,EX$2&lt;=$K117),1,"")</f>
        <v/>
      </c>
      <c r="EY117" s="452" t="str">
        <f t="shared" si="178"/>
        <v/>
      </c>
      <c r="EZ117" s="452" t="str">
        <f t="shared" si="178"/>
        <v/>
      </c>
      <c r="FA117" s="453" t="str">
        <f t="shared" si="175"/>
        <v/>
      </c>
      <c r="FB117" s="451" t="str">
        <f t="shared" si="175"/>
        <v/>
      </c>
      <c r="FC117" s="452" t="str">
        <f t="shared" si="175"/>
        <v/>
      </c>
      <c r="FD117" s="452" t="str">
        <f t="shared" si="175"/>
        <v/>
      </c>
      <c r="FE117" s="452" t="str">
        <f t="shared" si="175"/>
        <v/>
      </c>
      <c r="FF117" s="453" t="str">
        <f t="shared" si="175"/>
        <v/>
      </c>
      <c r="FG117" s="451" t="str">
        <f t="shared" si="175"/>
        <v/>
      </c>
      <c r="FH117" s="452" t="str">
        <f t="shared" si="175"/>
        <v/>
      </c>
      <c r="FI117" s="452" t="str">
        <f t="shared" si="175"/>
        <v/>
      </c>
      <c r="FJ117" s="452" t="str">
        <f t="shared" si="175"/>
        <v/>
      </c>
      <c r="FK117" s="453" t="str">
        <f t="shared" si="175"/>
        <v/>
      </c>
      <c r="FL117" s="451" t="str">
        <f t="shared" si="175"/>
        <v/>
      </c>
      <c r="FM117" s="452" t="str">
        <f t="shared" si="175"/>
        <v/>
      </c>
      <c r="FN117" s="452" t="str">
        <f t="shared" si="175"/>
        <v/>
      </c>
      <c r="FO117" s="452" t="str">
        <f t="shared" si="175"/>
        <v/>
      </c>
      <c r="FP117" s="453" t="str">
        <f t="shared" si="160"/>
        <v/>
      </c>
      <c r="FQ117" s="451" t="str">
        <f t="shared" si="160"/>
        <v/>
      </c>
      <c r="FR117" s="452" t="str">
        <f t="shared" si="160"/>
        <v/>
      </c>
      <c r="FS117" s="452" t="str">
        <f t="shared" si="160"/>
        <v/>
      </c>
      <c r="FT117" s="452" t="str">
        <f t="shared" si="160"/>
        <v/>
      </c>
      <c r="FU117" s="453" t="str">
        <f t="shared" si="160"/>
        <v/>
      </c>
      <c r="FV117" s="451" t="str">
        <f t="shared" si="160"/>
        <v/>
      </c>
      <c r="FW117" s="452" t="str">
        <f t="shared" si="160"/>
        <v/>
      </c>
      <c r="FX117" s="452" t="str">
        <f t="shared" si="160"/>
        <v/>
      </c>
      <c r="FY117" s="452" t="str">
        <f t="shared" si="160"/>
        <v/>
      </c>
      <c r="FZ117" s="453" t="str">
        <f t="shared" si="160"/>
        <v/>
      </c>
      <c r="GA117" s="451" t="str">
        <f t="shared" si="160"/>
        <v/>
      </c>
      <c r="GB117" s="452" t="str">
        <f t="shared" si="160"/>
        <v/>
      </c>
      <c r="GC117" s="452" t="str">
        <f t="shared" si="160"/>
        <v/>
      </c>
      <c r="GD117" s="452" t="str">
        <f t="shared" si="160"/>
        <v/>
      </c>
      <c r="GE117" s="453" t="str">
        <f t="shared" si="160"/>
        <v/>
      </c>
      <c r="GF117" s="451" t="str">
        <f t="shared" ref="GF117:GU132" si="179">IF(AND(GF$2&gt;=$J117,GF$2&lt;=$K117),1,"")</f>
        <v/>
      </c>
      <c r="GG117" s="452" t="str">
        <f t="shared" si="179"/>
        <v/>
      </c>
      <c r="GH117" s="452" t="str">
        <f t="shared" si="179"/>
        <v/>
      </c>
      <c r="GI117" s="452" t="str">
        <f t="shared" si="179"/>
        <v/>
      </c>
      <c r="GJ117" s="453" t="str">
        <f t="shared" si="179"/>
        <v/>
      </c>
      <c r="GK117" s="451" t="str">
        <f t="shared" si="179"/>
        <v/>
      </c>
      <c r="GL117" s="452" t="str">
        <f t="shared" si="179"/>
        <v/>
      </c>
      <c r="GM117" s="452" t="str">
        <f t="shared" si="179"/>
        <v/>
      </c>
      <c r="GN117" s="452" t="str">
        <f t="shared" si="179"/>
        <v/>
      </c>
      <c r="GO117" s="453" t="str">
        <f t="shared" si="176"/>
        <v/>
      </c>
      <c r="GP117" s="451" t="str">
        <f t="shared" si="176"/>
        <v/>
      </c>
      <c r="GQ117" s="452" t="str">
        <f t="shared" si="176"/>
        <v/>
      </c>
      <c r="GR117" s="452" t="str">
        <f t="shared" si="176"/>
        <v/>
      </c>
      <c r="GS117" s="452" t="str">
        <f t="shared" si="176"/>
        <v/>
      </c>
      <c r="GT117" s="453" t="str">
        <f t="shared" si="176"/>
        <v/>
      </c>
      <c r="GU117" s="451" t="str">
        <f t="shared" si="176"/>
        <v/>
      </c>
      <c r="GV117" s="452" t="str">
        <f t="shared" si="176"/>
        <v/>
      </c>
      <c r="GW117" s="452" t="str">
        <f t="shared" si="176"/>
        <v/>
      </c>
      <c r="GX117" s="452" t="str">
        <f t="shared" si="176"/>
        <v/>
      </c>
      <c r="GY117" s="453" t="str">
        <f t="shared" si="176"/>
        <v/>
      </c>
      <c r="GZ117" s="451" t="str">
        <f t="shared" si="176"/>
        <v/>
      </c>
      <c r="HA117" s="452" t="str">
        <f t="shared" si="176"/>
        <v/>
      </c>
      <c r="HB117" s="452" t="str">
        <f t="shared" si="176"/>
        <v/>
      </c>
      <c r="HC117" s="452" t="str">
        <f t="shared" si="176"/>
        <v/>
      </c>
      <c r="HD117" s="453" t="str">
        <f t="shared" si="176"/>
        <v/>
      </c>
      <c r="HE117" s="451" t="str">
        <f t="shared" si="157"/>
        <v/>
      </c>
      <c r="HF117" s="452" t="str">
        <f t="shared" si="157"/>
        <v/>
      </c>
      <c r="HG117" s="452" t="str">
        <f t="shared" si="157"/>
        <v/>
      </c>
      <c r="HH117" s="452" t="str">
        <f t="shared" si="157"/>
        <v/>
      </c>
      <c r="HI117" s="453" t="str">
        <f t="shared" si="157"/>
        <v/>
      </c>
      <c r="HJ117" s="451" t="str">
        <f t="shared" si="157"/>
        <v/>
      </c>
      <c r="HK117" s="452" t="str">
        <f t="shared" si="157"/>
        <v/>
      </c>
      <c r="HL117" s="452" t="str">
        <f t="shared" si="157"/>
        <v/>
      </c>
      <c r="HM117" s="452" t="str">
        <f t="shared" si="157"/>
        <v/>
      </c>
      <c r="HN117" s="453" t="str">
        <f t="shared" si="157"/>
        <v/>
      </c>
      <c r="HO117" s="451" t="str">
        <f t="shared" si="157"/>
        <v/>
      </c>
      <c r="HP117" s="452" t="str">
        <f t="shared" si="157"/>
        <v/>
      </c>
      <c r="HQ117" s="452" t="str">
        <f t="shared" si="157"/>
        <v/>
      </c>
      <c r="HR117" s="452" t="str">
        <f t="shared" si="157"/>
        <v/>
      </c>
      <c r="HS117" s="453" t="str">
        <f t="shared" si="157"/>
        <v/>
      </c>
      <c r="HT117" s="451" t="str">
        <f t="shared" si="157"/>
        <v/>
      </c>
      <c r="HU117" s="452" t="str">
        <f t="shared" si="163"/>
        <v/>
      </c>
      <c r="HV117" s="452" t="str">
        <f t="shared" si="163"/>
        <v/>
      </c>
      <c r="HW117" s="452" t="str">
        <f t="shared" si="163"/>
        <v/>
      </c>
      <c r="HX117" s="453" t="str">
        <f t="shared" si="163"/>
        <v/>
      </c>
      <c r="HY117" s="451" t="str">
        <f t="shared" si="163"/>
        <v/>
      </c>
      <c r="HZ117" s="452" t="str">
        <f t="shared" si="162"/>
        <v/>
      </c>
      <c r="IA117" s="452" t="str">
        <f t="shared" si="162"/>
        <v/>
      </c>
      <c r="IB117" s="452" t="str">
        <f t="shared" si="162"/>
        <v/>
      </c>
      <c r="IC117" s="453" t="str">
        <f t="shared" si="162"/>
        <v/>
      </c>
      <c r="ID117" s="451" t="str">
        <f t="shared" si="162"/>
        <v/>
      </c>
      <c r="IE117" s="452" t="str">
        <f t="shared" si="162"/>
        <v/>
      </c>
      <c r="IF117" s="452" t="str">
        <f t="shared" si="162"/>
        <v/>
      </c>
      <c r="IG117" s="452" t="str">
        <f t="shared" si="162"/>
        <v/>
      </c>
      <c r="IH117" s="453" t="str">
        <f t="shared" si="162"/>
        <v/>
      </c>
      <c r="II117" s="451" t="str">
        <f t="shared" si="162"/>
        <v/>
      </c>
      <c r="IJ117" s="452" t="str">
        <f t="shared" si="162"/>
        <v/>
      </c>
      <c r="IK117" s="452" t="str">
        <f t="shared" si="162"/>
        <v/>
      </c>
      <c r="IL117" s="452" t="str">
        <f t="shared" si="162"/>
        <v/>
      </c>
      <c r="IM117" s="453" t="str">
        <f t="shared" si="168"/>
        <v/>
      </c>
      <c r="IN117" s="451" t="str">
        <f t="shared" si="168"/>
        <v/>
      </c>
      <c r="IO117" s="452" t="str">
        <f t="shared" si="168"/>
        <v/>
      </c>
      <c r="IP117" s="452" t="str">
        <f t="shared" si="168"/>
        <v/>
      </c>
      <c r="IQ117" s="452" t="str">
        <f t="shared" si="168"/>
        <v/>
      </c>
      <c r="IR117" s="453" t="str">
        <f t="shared" si="168"/>
        <v/>
      </c>
    </row>
    <row r="118" spans="1:252" x14ac:dyDescent="0.2">
      <c r="A118" s="461">
        <v>11.4</v>
      </c>
      <c r="C118" s="447" t="s">
        <v>1354</v>
      </c>
      <c r="D118" s="447"/>
      <c r="E118" s="448"/>
      <c r="F118" s="448"/>
      <c r="G118" s="448"/>
      <c r="H118" s="448"/>
      <c r="I118" s="448"/>
      <c r="J118" s="449" t="str">
        <f t="shared" si="172"/>
        <v/>
      </c>
      <c r="K118" s="449" t="str">
        <f t="shared" si="173"/>
        <v/>
      </c>
      <c r="L118" s="450">
        <f t="shared" si="171"/>
        <v>0</v>
      </c>
      <c r="M118" s="451" t="str">
        <f t="shared" si="161"/>
        <v/>
      </c>
      <c r="N118" s="452" t="str">
        <f t="shared" si="161"/>
        <v/>
      </c>
      <c r="O118" s="452" t="str">
        <f t="shared" si="161"/>
        <v/>
      </c>
      <c r="P118" s="452" t="str">
        <f t="shared" si="161"/>
        <v/>
      </c>
      <c r="Q118" s="453" t="str">
        <f t="shared" si="161"/>
        <v/>
      </c>
      <c r="R118" s="451" t="str">
        <f t="shared" si="161"/>
        <v/>
      </c>
      <c r="S118" s="452" t="str">
        <f t="shared" si="161"/>
        <v/>
      </c>
      <c r="T118" s="452" t="str">
        <f t="shared" si="161"/>
        <v/>
      </c>
      <c r="U118" s="452" t="str">
        <f t="shared" si="161"/>
        <v/>
      </c>
      <c r="V118" s="453" t="str">
        <f t="shared" si="161"/>
        <v/>
      </c>
      <c r="W118" s="451" t="str">
        <f t="shared" si="161"/>
        <v/>
      </c>
      <c r="X118" s="452" t="str">
        <f t="shared" si="161"/>
        <v/>
      </c>
      <c r="Y118" s="452" t="str">
        <f t="shared" si="161"/>
        <v/>
      </c>
      <c r="Z118" s="452" t="str">
        <f t="shared" si="161"/>
        <v/>
      </c>
      <c r="AA118" s="453" t="str">
        <f t="shared" si="161"/>
        <v/>
      </c>
      <c r="AB118" s="451" t="str">
        <f t="shared" si="161"/>
        <v/>
      </c>
      <c r="AC118" s="452" t="str">
        <f t="shared" si="169"/>
        <v/>
      </c>
      <c r="AD118" s="452" t="str">
        <f t="shared" si="169"/>
        <v/>
      </c>
      <c r="AE118" s="452" t="str">
        <f t="shared" si="169"/>
        <v/>
      </c>
      <c r="AF118" s="453" t="str">
        <f t="shared" si="169"/>
        <v/>
      </c>
      <c r="AG118" s="451" t="str">
        <f t="shared" si="169"/>
        <v/>
      </c>
      <c r="AH118" s="452" t="str">
        <f t="shared" si="169"/>
        <v/>
      </c>
      <c r="AI118" s="452" t="str">
        <f t="shared" si="169"/>
        <v/>
      </c>
      <c r="AJ118" s="452" t="str">
        <f t="shared" si="169"/>
        <v/>
      </c>
      <c r="AK118" s="453" t="str">
        <f t="shared" si="169"/>
        <v/>
      </c>
      <c r="AL118" s="451" t="str">
        <f t="shared" si="169"/>
        <v/>
      </c>
      <c r="AM118" s="452" t="str">
        <f t="shared" si="169"/>
        <v/>
      </c>
      <c r="AN118" s="452" t="str">
        <f t="shared" si="169"/>
        <v/>
      </c>
      <c r="AO118" s="452" t="str">
        <f t="shared" si="169"/>
        <v/>
      </c>
      <c r="AP118" s="453" t="str">
        <f t="shared" si="169"/>
        <v/>
      </c>
      <c r="AQ118" s="451" t="str">
        <f t="shared" si="169"/>
        <v/>
      </c>
      <c r="AR118" s="452" t="str">
        <f t="shared" si="169"/>
        <v/>
      </c>
      <c r="AS118" s="452" t="str">
        <f t="shared" si="165"/>
        <v/>
      </c>
      <c r="AT118" s="452" t="str">
        <f t="shared" si="165"/>
        <v/>
      </c>
      <c r="AU118" s="453" t="str">
        <f t="shared" si="165"/>
        <v/>
      </c>
      <c r="AV118" s="451" t="str">
        <f t="shared" si="165"/>
        <v/>
      </c>
      <c r="AW118" s="452" t="str">
        <f t="shared" si="165"/>
        <v/>
      </c>
      <c r="AX118" s="452" t="str">
        <f t="shared" si="165"/>
        <v/>
      </c>
      <c r="AY118" s="452" t="str">
        <f t="shared" si="165"/>
        <v/>
      </c>
      <c r="AZ118" s="453" t="str">
        <f t="shared" si="165"/>
        <v/>
      </c>
      <c r="BA118" s="451" t="str">
        <f t="shared" si="165"/>
        <v/>
      </c>
      <c r="BB118" s="452" t="str">
        <f t="shared" si="165"/>
        <v/>
      </c>
      <c r="BC118" s="452" t="str">
        <f t="shared" si="165"/>
        <v/>
      </c>
      <c r="BD118" s="452" t="str">
        <f t="shared" si="165"/>
        <v/>
      </c>
      <c r="BE118" s="453" t="str">
        <f t="shared" si="165"/>
        <v/>
      </c>
      <c r="BF118" s="451" t="str">
        <f t="shared" si="165"/>
        <v/>
      </c>
      <c r="BG118" s="452" t="str">
        <f t="shared" si="165"/>
        <v/>
      </c>
      <c r="BH118" s="452" t="str">
        <f t="shared" si="154"/>
        <v/>
      </c>
      <c r="BI118" s="452" t="str">
        <f t="shared" si="154"/>
        <v/>
      </c>
      <c r="BJ118" s="453" t="str">
        <f t="shared" si="154"/>
        <v/>
      </c>
      <c r="BK118" s="451" t="str">
        <f t="shared" si="154"/>
        <v/>
      </c>
      <c r="BL118" s="452" t="str">
        <f t="shared" si="154"/>
        <v/>
      </c>
      <c r="BM118" s="452" t="str">
        <f t="shared" si="154"/>
        <v/>
      </c>
      <c r="BN118" s="452" t="str">
        <f t="shared" si="154"/>
        <v/>
      </c>
      <c r="BO118" s="453" t="str">
        <f t="shared" si="154"/>
        <v/>
      </c>
      <c r="BP118" s="451" t="str">
        <f t="shared" si="154"/>
        <v/>
      </c>
      <c r="BQ118" s="452" t="str">
        <f t="shared" si="154"/>
        <v/>
      </c>
      <c r="BR118" s="452" t="str">
        <f t="shared" si="154"/>
        <v/>
      </c>
      <c r="BS118" s="452" t="str">
        <f t="shared" si="154"/>
        <v/>
      </c>
      <c r="BT118" s="453" t="str">
        <f t="shared" si="154"/>
        <v/>
      </c>
      <c r="BU118" s="451" t="str">
        <f t="shared" si="154"/>
        <v/>
      </c>
      <c r="BV118" s="452" t="str">
        <f t="shared" si="154"/>
        <v/>
      </c>
      <c r="BW118" s="452" t="str">
        <f t="shared" ref="BW118" si="180">IF(AND(BW$2&gt;=$J118,BW$2&lt;=$K118),1,"")</f>
        <v/>
      </c>
      <c r="BX118" s="452" t="str">
        <f t="shared" si="166"/>
        <v/>
      </c>
      <c r="BY118" s="453" t="str">
        <f t="shared" si="166"/>
        <v/>
      </c>
      <c r="BZ118" s="451" t="str">
        <f t="shared" si="166"/>
        <v/>
      </c>
      <c r="CA118" s="452" t="str">
        <f t="shared" si="166"/>
        <v/>
      </c>
      <c r="CB118" s="452" t="str">
        <f t="shared" si="166"/>
        <v/>
      </c>
      <c r="CC118" s="452" t="str">
        <f t="shared" si="166"/>
        <v/>
      </c>
      <c r="CD118" s="453" t="str">
        <f t="shared" si="166"/>
        <v/>
      </c>
      <c r="CE118" s="451" t="str">
        <f t="shared" si="166"/>
        <v/>
      </c>
      <c r="CF118" s="452" t="str">
        <f t="shared" si="166"/>
        <v/>
      </c>
      <c r="CG118" s="452" t="str">
        <f t="shared" si="166"/>
        <v/>
      </c>
      <c r="CH118" s="452" t="str">
        <f t="shared" si="166"/>
        <v/>
      </c>
      <c r="CI118" s="453" t="str">
        <f t="shared" si="166"/>
        <v/>
      </c>
      <c r="CJ118" s="451" t="str">
        <f t="shared" si="166"/>
        <v/>
      </c>
      <c r="CK118" s="452" t="str">
        <f t="shared" si="166"/>
        <v/>
      </c>
      <c r="CL118" s="452" t="str">
        <f t="shared" si="166"/>
        <v/>
      </c>
      <c r="CM118" s="452" t="str">
        <f t="shared" si="166"/>
        <v/>
      </c>
      <c r="CN118" s="453" t="str">
        <f t="shared" si="164"/>
        <v/>
      </c>
      <c r="CO118" s="451" t="str">
        <f t="shared" si="164"/>
        <v/>
      </c>
      <c r="CP118" s="452" t="str">
        <f t="shared" si="164"/>
        <v/>
      </c>
      <c r="CQ118" s="452" t="str">
        <f t="shared" si="164"/>
        <v/>
      </c>
      <c r="CR118" s="452" t="str">
        <f t="shared" si="164"/>
        <v/>
      </c>
      <c r="CS118" s="453" t="str">
        <f t="shared" si="164"/>
        <v/>
      </c>
      <c r="CT118" s="451" t="str">
        <f t="shared" si="164"/>
        <v/>
      </c>
      <c r="CU118" s="452" t="str">
        <f t="shared" si="164"/>
        <v/>
      </c>
      <c r="CV118" s="452" t="str">
        <f t="shared" si="164"/>
        <v/>
      </c>
      <c r="CW118" s="452" t="str">
        <f t="shared" si="164"/>
        <v/>
      </c>
      <c r="CX118" s="453" t="str">
        <f t="shared" si="164"/>
        <v/>
      </c>
      <c r="CY118" s="451" t="str">
        <f t="shared" si="164"/>
        <v/>
      </c>
      <c r="CZ118" s="452" t="str">
        <f t="shared" si="164"/>
        <v/>
      </c>
      <c r="DA118" s="452" t="str">
        <f t="shared" si="164"/>
        <v/>
      </c>
      <c r="DB118" s="452" t="str">
        <f t="shared" si="164"/>
        <v/>
      </c>
      <c r="DC118" s="453" t="str">
        <f t="shared" si="170"/>
        <v/>
      </c>
      <c r="DD118" s="451" t="str">
        <f t="shared" si="170"/>
        <v/>
      </c>
      <c r="DE118" s="452" t="str">
        <f t="shared" si="170"/>
        <v/>
      </c>
      <c r="DF118" s="452" t="str">
        <f t="shared" si="170"/>
        <v/>
      </c>
      <c r="DG118" s="452" t="str">
        <f t="shared" si="170"/>
        <v/>
      </c>
      <c r="DH118" s="453" t="str">
        <f t="shared" si="170"/>
        <v/>
      </c>
      <c r="DI118" s="451" t="str">
        <f t="shared" si="170"/>
        <v/>
      </c>
      <c r="DJ118" s="452" t="str">
        <f t="shared" si="170"/>
        <v/>
      </c>
      <c r="DK118" s="452" t="str">
        <f t="shared" si="170"/>
        <v/>
      </c>
      <c r="DL118" s="452" t="str">
        <f t="shared" si="170"/>
        <v/>
      </c>
      <c r="DM118" s="453" t="str">
        <f t="shared" si="170"/>
        <v/>
      </c>
      <c r="DN118" s="451" t="str">
        <f t="shared" si="170"/>
        <v/>
      </c>
      <c r="DO118" s="452" t="str">
        <f t="shared" si="170"/>
        <v/>
      </c>
      <c r="DP118" s="452" t="str">
        <f t="shared" si="170"/>
        <v/>
      </c>
      <c r="DQ118" s="452" t="str">
        <f t="shared" si="170"/>
        <v/>
      </c>
      <c r="DR118" s="453" t="str">
        <f t="shared" si="170"/>
        <v/>
      </c>
      <c r="DS118" s="451" t="str">
        <f t="shared" si="167"/>
        <v/>
      </c>
      <c r="DT118" s="452" t="str">
        <f t="shared" si="167"/>
        <v/>
      </c>
      <c r="DU118" s="452" t="str">
        <f t="shared" si="167"/>
        <v/>
      </c>
      <c r="DV118" s="452" t="str">
        <f t="shared" si="167"/>
        <v/>
      </c>
      <c r="DW118" s="453" t="str">
        <f t="shared" si="167"/>
        <v/>
      </c>
      <c r="DX118" s="451" t="str">
        <f t="shared" si="167"/>
        <v/>
      </c>
      <c r="DY118" s="452" t="str">
        <f t="shared" si="167"/>
        <v/>
      </c>
      <c r="DZ118" s="452" t="str">
        <f t="shared" si="167"/>
        <v/>
      </c>
      <c r="EA118" s="452" t="str">
        <f t="shared" si="167"/>
        <v/>
      </c>
      <c r="EB118" s="453" t="str">
        <f t="shared" si="167"/>
        <v/>
      </c>
      <c r="EC118" s="451" t="str">
        <f t="shared" si="167"/>
        <v/>
      </c>
      <c r="ED118" s="452" t="str">
        <f t="shared" si="167"/>
        <v/>
      </c>
      <c r="EE118" s="452" t="str">
        <f t="shared" si="167"/>
        <v/>
      </c>
      <c r="EF118" s="452" t="str">
        <f t="shared" si="167"/>
        <v/>
      </c>
      <c r="EG118" s="453" t="str">
        <f t="shared" si="167"/>
        <v/>
      </c>
      <c r="EH118" s="451" t="str">
        <f t="shared" si="177"/>
        <v/>
      </c>
      <c r="EI118" s="452" t="str">
        <f t="shared" si="177"/>
        <v/>
      </c>
      <c r="EJ118" s="452" t="str">
        <f t="shared" si="177"/>
        <v/>
      </c>
      <c r="EK118" s="452" t="str">
        <f t="shared" si="177"/>
        <v/>
      </c>
      <c r="EL118" s="453" t="str">
        <f t="shared" si="177"/>
        <v/>
      </c>
      <c r="EM118" s="451" t="str">
        <f t="shared" si="177"/>
        <v/>
      </c>
      <c r="EN118" s="452" t="str">
        <f t="shared" si="177"/>
        <v/>
      </c>
      <c r="EO118" s="452" t="str">
        <f t="shared" si="177"/>
        <v/>
      </c>
      <c r="EP118" s="452" t="str">
        <f t="shared" si="177"/>
        <v/>
      </c>
      <c r="EQ118" s="453" t="str">
        <f t="shared" si="177"/>
        <v/>
      </c>
      <c r="ER118" s="451" t="str">
        <f t="shared" si="177"/>
        <v/>
      </c>
      <c r="ES118" s="452" t="str">
        <f t="shared" si="177"/>
        <v/>
      </c>
      <c r="ET118" s="452" t="str">
        <f t="shared" si="177"/>
        <v/>
      </c>
      <c r="EU118" s="452" t="str">
        <f t="shared" si="177"/>
        <v/>
      </c>
      <c r="EV118" s="453" t="str">
        <f t="shared" si="177"/>
        <v/>
      </c>
      <c r="EW118" s="451" t="str">
        <f t="shared" si="177"/>
        <v/>
      </c>
      <c r="EX118" s="452" t="str">
        <f t="shared" si="178"/>
        <v/>
      </c>
      <c r="EY118" s="452" t="str">
        <f t="shared" si="178"/>
        <v/>
      </c>
      <c r="EZ118" s="452" t="str">
        <f t="shared" si="178"/>
        <v/>
      </c>
      <c r="FA118" s="453" t="str">
        <f t="shared" si="175"/>
        <v/>
      </c>
      <c r="FB118" s="451" t="str">
        <f t="shared" si="175"/>
        <v/>
      </c>
      <c r="FC118" s="452" t="str">
        <f t="shared" si="175"/>
        <v/>
      </c>
      <c r="FD118" s="452" t="str">
        <f t="shared" si="175"/>
        <v/>
      </c>
      <c r="FE118" s="452" t="str">
        <f t="shared" si="175"/>
        <v/>
      </c>
      <c r="FF118" s="453" t="str">
        <f t="shared" si="175"/>
        <v/>
      </c>
      <c r="FG118" s="451" t="str">
        <f t="shared" si="175"/>
        <v/>
      </c>
      <c r="FH118" s="452" t="str">
        <f t="shared" si="175"/>
        <v/>
      </c>
      <c r="FI118" s="452" t="str">
        <f t="shared" si="175"/>
        <v/>
      </c>
      <c r="FJ118" s="452" t="str">
        <f t="shared" si="175"/>
        <v/>
      </c>
      <c r="FK118" s="453" t="str">
        <f t="shared" si="175"/>
        <v/>
      </c>
      <c r="FL118" s="451" t="str">
        <f t="shared" si="175"/>
        <v/>
      </c>
      <c r="FM118" s="452" t="str">
        <f t="shared" si="175"/>
        <v/>
      </c>
      <c r="FN118" s="452" t="str">
        <f t="shared" si="175"/>
        <v/>
      </c>
      <c r="FO118" s="452" t="str">
        <f t="shared" si="175"/>
        <v/>
      </c>
      <c r="FP118" s="453" t="str">
        <f t="shared" si="160"/>
        <v/>
      </c>
      <c r="FQ118" s="451" t="str">
        <f t="shared" si="160"/>
        <v/>
      </c>
      <c r="FR118" s="452" t="str">
        <f t="shared" si="160"/>
        <v/>
      </c>
      <c r="FS118" s="452" t="str">
        <f t="shared" si="160"/>
        <v/>
      </c>
      <c r="FT118" s="452" t="str">
        <f t="shared" si="160"/>
        <v/>
      </c>
      <c r="FU118" s="453" t="str">
        <f t="shared" si="160"/>
        <v/>
      </c>
      <c r="FV118" s="451" t="str">
        <f t="shared" si="160"/>
        <v/>
      </c>
      <c r="FW118" s="452" t="str">
        <f t="shared" si="160"/>
        <v/>
      </c>
      <c r="FX118" s="452" t="str">
        <f t="shared" si="160"/>
        <v/>
      </c>
      <c r="FY118" s="452" t="str">
        <f t="shared" si="160"/>
        <v/>
      </c>
      <c r="FZ118" s="453" t="str">
        <f t="shared" si="160"/>
        <v/>
      </c>
      <c r="GA118" s="451" t="str">
        <f t="shared" si="160"/>
        <v/>
      </c>
      <c r="GB118" s="452" t="str">
        <f t="shared" si="160"/>
        <v/>
      </c>
      <c r="GC118" s="452" t="str">
        <f t="shared" si="160"/>
        <v/>
      </c>
      <c r="GD118" s="452" t="str">
        <f t="shared" si="160"/>
        <v/>
      </c>
      <c r="GE118" s="453" t="str">
        <f t="shared" si="160"/>
        <v/>
      </c>
      <c r="GF118" s="451" t="str">
        <f t="shared" si="179"/>
        <v/>
      </c>
      <c r="GG118" s="452" t="str">
        <f t="shared" si="179"/>
        <v/>
      </c>
      <c r="GH118" s="452" t="str">
        <f t="shared" si="179"/>
        <v/>
      </c>
      <c r="GI118" s="452" t="str">
        <f t="shared" si="179"/>
        <v/>
      </c>
      <c r="GJ118" s="453" t="str">
        <f t="shared" si="179"/>
        <v/>
      </c>
      <c r="GK118" s="451" t="str">
        <f t="shared" si="179"/>
        <v/>
      </c>
      <c r="GL118" s="452" t="str">
        <f t="shared" si="179"/>
        <v/>
      </c>
      <c r="GM118" s="452" t="str">
        <f t="shared" si="179"/>
        <v/>
      </c>
      <c r="GN118" s="452" t="str">
        <f t="shared" si="179"/>
        <v/>
      </c>
      <c r="GO118" s="453" t="str">
        <f t="shared" si="176"/>
        <v/>
      </c>
      <c r="GP118" s="451" t="str">
        <f t="shared" si="176"/>
        <v/>
      </c>
      <c r="GQ118" s="452" t="str">
        <f t="shared" si="176"/>
        <v/>
      </c>
      <c r="GR118" s="452" t="str">
        <f t="shared" si="176"/>
        <v/>
      </c>
      <c r="GS118" s="452" t="str">
        <f t="shared" si="176"/>
        <v/>
      </c>
      <c r="GT118" s="453" t="str">
        <f t="shared" si="176"/>
        <v/>
      </c>
      <c r="GU118" s="451" t="str">
        <f t="shared" si="176"/>
        <v/>
      </c>
      <c r="GV118" s="452" t="str">
        <f t="shared" si="176"/>
        <v/>
      </c>
      <c r="GW118" s="452" t="str">
        <f t="shared" si="176"/>
        <v/>
      </c>
      <c r="GX118" s="452" t="str">
        <f t="shared" si="176"/>
        <v/>
      </c>
      <c r="GY118" s="453" t="str">
        <f t="shared" si="176"/>
        <v/>
      </c>
      <c r="GZ118" s="451" t="str">
        <f t="shared" si="176"/>
        <v/>
      </c>
      <c r="HA118" s="452" t="str">
        <f t="shared" si="176"/>
        <v/>
      </c>
      <c r="HB118" s="452" t="str">
        <f t="shared" si="176"/>
        <v/>
      </c>
      <c r="HC118" s="452" t="str">
        <f t="shared" si="176"/>
        <v/>
      </c>
      <c r="HD118" s="453" t="str">
        <f t="shared" si="176"/>
        <v/>
      </c>
      <c r="HE118" s="451" t="str">
        <f t="shared" si="157"/>
        <v/>
      </c>
      <c r="HF118" s="452" t="str">
        <f t="shared" si="157"/>
        <v/>
      </c>
      <c r="HG118" s="452" t="str">
        <f t="shared" si="157"/>
        <v/>
      </c>
      <c r="HH118" s="452" t="str">
        <f t="shared" si="157"/>
        <v/>
      </c>
      <c r="HI118" s="453" t="str">
        <f t="shared" si="157"/>
        <v/>
      </c>
      <c r="HJ118" s="451" t="str">
        <f t="shared" si="157"/>
        <v/>
      </c>
      <c r="HK118" s="452" t="str">
        <f t="shared" si="157"/>
        <v/>
      </c>
      <c r="HL118" s="452" t="str">
        <f t="shared" si="157"/>
        <v/>
      </c>
      <c r="HM118" s="452" t="str">
        <f t="shared" si="157"/>
        <v/>
      </c>
      <c r="HN118" s="453" t="str">
        <f t="shared" si="157"/>
        <v/>
      </c>
      <c r="HO118" s="451" t="str">
        <f t="shared" si="157"/>
        <v/>
      </c>
      <c r="HP118" s="452" t="str">
        <f t="shared" si="157"/>
        <v/>
      </c>
      <c r="HQ118" s="452" t="str">
        <f t="shared" si="157"/>
        <v/>
      </c>
      <c r="HR118" s="452" t="str">
        <f t="shared" si="157"/>
        <v/>
      </c>
      <c r="HS118" s="453" t="str">
        <f t="shared" si="157"/>
        <v/>
      </c>
      <c r="HT118" s="451" t="str">
        <f t="shared" si="157"/>
        <v/>
      </c>
      <c r="HU118" s="452" t="str">
        <f t="shared" si="163"/>
        <v/>
      </c>
      <c r="HV118" s="452" t="str">
        <f t="shared" si="163"/>
        <v/>
      </c>
      <c r="HW118" s="452" t="str">
        <f t="shared" si="163"/>
        <v/>
      </c>
      <c r="HX118" s="453" t="str">
        <f t="shared" si="163"/>
        <v/>
      </c>
      <c r="HY118" s="451" t="str">
        <f t="shared" si="163"/>
        <v/>
      </c>
      <c r="HZ118" s="452" t="str">
        <f t="shared" si="162"/>
        <v/>
      </c>
      <c r="IA118" s="452" t="str">
        <f t="shared" si="162"/>
        <v/>
      </c>
      <c r="IB118" s="452" t="str">
        <f t="shared" si="162"/>
        <v/>
      </c>
      <c r="IC118" s="453" t="str">
        <f t="shared" si="162"/>
        <v/>
      </c>
      <c r="ID118" s="451" t="str">
        <f t="shared" si="162"/>
        <v/>
      </c>
      <c r="IE118" s="452" t="str">
        <f t="shared" si="162"/>
        <v/>
      </c>
      <c r="IF118" s="452" t="str">
        <f t="shared" si="162"/>
        <v/>
      </c>
      <c r="IG118" s="452" t="str">
        <f t="shared" si="162"/>
        <v/>
      </c>
      <c r="IH118" s="453" t="str">
        <f t="shared" si="162"/>
        <v/>
      </c>
      <c r="II118" s="451" t="str">
        <f t="shared" si="162"/>
        <v/>
      </c>
      <c r="IJ118" s="452" t="str">
        <f t="shared" si="162"/>
        <v/>
      </c>
      <c r="IK118" s="452" t="str">
        <f t="shared" si="162"/>
        <v/>
      </c>
      <c r="IL118" s="452" t="str">
        <f t="shared" si="162"/>
        <v/>
      </c>
      <c r="IM118" s="453" t="str">
        <f t="shared" si="168"/>
        <v/>
      </c>
      <c r="IN118" s="451" t="str">
        <f t="shared" si="168"/>
        <v/>
      </c>
      <c r="IO118" s="452" t="str">
        <f t="shared" si="168"/>
        <v/>
      </c>
      <c r="IP118" s="452" t="str">
        <f t="shared" si="168"/>
        <v/>
      </c>
      <c r="IQ118" s="452" t="str">
        <f t="shared" si="168"/>
        <v/>
      </c>
      <c r="IR118" s="453" t="str">
        <f t="shared" si="168"/>
        <v/>
      </c>
    </row>
    <row r="119" spans="1:252" x14ac:dyDescent="0.2">
      <c r="A119" s="461">
        <v>11.5</v>
      </c>
      <c r="C119" s="447" t="s">
        <v>1355</v>
      </c>
      <c r="D119" s="447"/>
      <c r="E119" s="448"/>
      <c r="F119" s="448"/>
      <c r="G119" s="448"/>
      <c r="H119" s="448"/>
      <c r="I119" s="448"/>
      <c r="J119" s="449" t="str">
        <f t="shared" si="172"/>
        <v/>
      </c>
      <c r="K119" s="449" t="str">
        <f t="shared" si="173"/>
        <v/>
      </c>
      <c r="L119" s="450">
        <f t="shared" si="171"/>
        <v>0</v>
      </c>
      <c r="M119" s="451" t="str">
        <f t="shared" si="161"/>
        <v/>
      </c>
      <c r="N119" s="452" t="str">
        <f t="shared" si="161"/>
        <v/>
      </c>
      <c r="O119" s="452" t="str">
        <f t="shared" si="161"/>
        <v/>
      </c>
      <c r="P119" s="452" t="str">
        <f t="shared" si="161"/>
        <v/>
      </c>
      <c r="Q119" s="453" t="str">
        <f t="shared" si="161"/>
        <v/>
      </c>
      <c r="R119" s="451" t="str">
        <f t="shared" si="161"/>
        <v/>
      </c>
      <c r="S119" s="452" t="str">
        <f t="shared" si="161"/>
        <v/>
      </c>
      <c r="T119" s="452" t="str">
        <f t="shared" si="161"/>
        <v/>
      </c>
      <c r="U119" s="452" t="str">
        <f t="shared" si="161"/>
        <v/>
      </c>
      <c r="V119" s="453" t="str">
        <f t="shared" si="161"/>
        <v/>
      </c>
      <c r="W119" s="451" t="str">
        <f t="shared" si="161"/>
        <v/>
      </c>
      <c r="X119" s="452" t="str">
        <f t="shared" si="161"/>
        <v/>
      </c>
      <c r="Y119" s="452" t="str">
        <f t="shared" si="161"/>
        <v/>
      </c>
      <c r="Z119" s="452" t="str">
        <f t="shared" si="161"/>
        <v/>
      </c>
      <c r="AA119" s="453" t="str">
        <f t="shared" si="161"/>
        <v/>
      </c>
      <c r="AB119" s="451" t="str">
        <f t="shared" si="161"/>
        <v/>
      </c>
      <c r="AC119" s="452" t="str">
        <f t="shared" si="169"/>
        <v/>
      </c>
      <c r="AD119" s="452" t="str">
        <f t="shared" si="169"/>
        <v/>
      </c>
      <c r="AE119" s="452" t="str">
        <f t="shared" si="169"/>
        <v/>
      </c>
      <c r="AF119" s="453" t="str">
        <f t="shared" si="169"/>
        <v/>
      </c>
      <c r="AG119" s="451" t="str">
        <f t="shared" si="169"/>
        <v/>
      </c>
      <c r="AH119" s="452" t="str">
        <f t="shared" si="169"/>
        <v/>
      </c>
      <c r="AI119" s="452" t="str">
        <f t="shared" si="169"/>
        <v/>
      </c>
      <c r="AJ119" s="452" t="str">
        <f t="shared" si="169"/>
        <v/>
      </c>
      <c r="AK119" s="453" t="str">
        <f t="shared" si="169"/>
        <v/>
      </c>
      <c r="AL119" s="451" t="str">
        <f t="shared" si="169"/>
        <v/>
      </c>
      <c r="AM119" s="452" t="str">
        <f t="shared" si="169"/>
        <v/>
      </c>
      <c r="AN119" s="452" t="str">
        <f t="shared" si="169"/>
        <v/>
      </c>
      <c r="AO119" s="452" t="str">
        <f t="shared" si="169"/>
        <v/>
      </c>
      <c r="AP119" s="453" t="str">
        <f t="shared" si="169"/>
        <v/>
      </c>
      <c r="AQ119" s="451" t="str">
        <f t="shared" si="169"/>
        <v/>
      </c>
      <c r="AR119" s="452" t="str">
        <f t="shared" si="169"/>
        <v/>
      </c>
      <c r="AS119" s="452" t="str">
        <f t="shared" si="165"/>
        <v/>
      </c>
      <c r="AT119" s="452" t="str">
        <f t="shared" si="165"/>
        <v/>
      </c>
      <c r="AU119" s="453" t="str">
        <f t="shared" si="165"/>
        <v/>
      </c>
      <c r="AV119" s="451" t="str">
        <f t="shared" si="165"/>
        <v/>
      </c>
      <c r="AW119" s="452" t="str">
        <f t="shared" si="165"/>
        <v/>
      </c>
      <c r="AX119" s="452" t="str">
        <f t="shared" si="165"/>
        <v/>
      </c>
      <c r="AY119" s="452" t="str">
        <f t="shared" si="165"/>
        <v/>
      </c>
      <c r="AZ119" s="453" t="str">
        <f t="shared" si="165"/>
        <v/>
      </c>
      <c r="BA119" s="451" t="str">
        <f t="shared" si="165"/>
        <v/>
      </c>
      <c r="BB119" s="452" t="str">
        <f t="shared" si="165"/>
        <v/>
      </c>
      <c r="BC119" s="452" t="str">
        <f t="shared" si="165"/>
        <v/>
      </c>
      <c r="BD119" s="452" t="str">
        <f t="shared" si="165"/>
        <v/>
      </c>
      <c r="BE119" s="453" t="str">
        <f t="shared" si="165"/>
        <v/>
      </c>
      <c r="BF119" s="451" t="str">
        <f t="shared" si="165"/>
        <v/>
      </c>
      <c r="BG119" s="452" t="str">
        <f t="shared" si="165"/>
        <v/>
      </c>
      <c r="BH119" s="452" t="str">
        <f t="shared" ref="BH119:BW134" si="181">IF(AND(BH$2&gt;=$J119,BH$2&lt;=$K119),1,"")</f>
        <v/>
      </c>
      <c r="BI119" s="452" t="str">
        <f t="shared" si="181"/>
        <v/>
      </c>
      <c r="BJ119" s="453" t="str">
        <f t="shared" si="181"/>
        <v/>
      </c>
      <c r="BK119" s="451" t="str">
        <f t="shared" si="181"/>
        <v/>
      </c>
      <c r="BL119" s="452" t="str">
        <f t="shared" si="181"/>
        <v/>
      </c>
      <c r="BM119" s="452" t="str">
        <f t="shared" si="181"/>
        <v/>
      </c>
      <c r="BN119" s="452" t="str">
        <f t="shared" si="181"/>
        <v/>
      </c>
      <c r="BO119" s="453" t="str">
        <f t="shared" si="181"/>
        <v/>
      </c>
      <c r="BP119" s="451" t="str">
        <f t="shared" si="181"/>
        <v/>
      </c>
      <c r="BQ119" s="452" t="str">
        <f t="shared" si="181"/>
        <v/>
      </c>
      <c r="BR119" s="452" t="str">
        <f t="shared" si="181"/>
        <v/>
      </c>
      <c r="BS119" s="452" t="str">
        <f t="shared" si="181"/>
        <v/>
      </c>
      <c r="BT119" s="453" t="str">
        <f t="shared" si="181"/>
        <v/>
      </c>
      <c r="BU119" s="451" t="str">
        <f t="shared" si="181"/>
        <v/>
      </c>
      <c r="BV119" s="452" t="str">
        <f t="shared" si="181"/>
        <v/>
      </c>
      <c r="BW119" s="452" t="str">
        <f t="shared" si="181"/>
        <v/>
      </c>
      <c r="BX119" s="452" t="str">
        <f t="shared" si="166"/>
        <v/>
      </c>
      <c r="BY119" s="453" t="str">
        <f t="shared" si="166"/>
        <v/>
      </c>
      <c r="BZ119" s="451" t="str">
        <f t="shared" si="166"/>
        <v/>
      </c>
      <c r="CA119" s="452" t="str">
        <f t="shared" si="166"/>
        <v/>
      </c>
      <c r="CB119" s="452" t="str">
        <f t="shared" si="166"/>
        <v/>
      </c>
      <c r="CC119" s="452" t="str">
        <f t="shared" si="166"/>
        <v/>
      </c>
      <c r="CD119" s="453" t="str">
        <f t="shared" si="166"/>
        <v/>
      </c>
      <c r="CE119" s="451" t="str">
        <f t="shared" si="166"/>
        <v/>
      </c>
      <c r="CF119" s="452" t="str">
        <f t="shared" si="166"/>
        <v/>
      </c>
      <c r="CG119" s="452" t="str">
        <f t="shared" si="166"/>
        <v/>
      </c>
      <c r="CH119" s="452" t="str">
        <f t="shared" si="166"/>
        <v/>
      </c>
      <c r="CI119" s="453" t="str">
        <f t="shared" si="166"/>
        <v/>
      </c>
      <c r="CJ119" s="451" t="str">
        <f t="shared" si="166"/>
        <v/>
      </c>
      <c r="CK119" s="452" t="str">
        <f t="shared" si="166"/>
        <v/>
      </c>
      <c r="CL119" s="452" t="str">
        <f t="shared" si="166"/>
        <v/>
      </c>
      <c r="CM119" s="452" t="str">
        <f t="shared" si="166"/>
        <v/>
      </c>
      <c r="CN119" s="453" t="str">
        <f t="shared" si="164"/>
        <v/>
      </c>
      <c r="CO119" s="451" t="str">
        <f t="shared" si="164"/>
        <v/>
      </c>
      <c r="CP119" s="452" t="str">
        <f t="shared" si="164"/>
        <v/>
      </c>
      <c r="CQ119" s="452" t="str">
        <f t="shared" si="164"/>
        <v/>
      </c>
      <c r="CR119" s="452" t="str">
        <f t="shared" si="164"/>
        <v/>
      </c>
      <c r="CS119" s="453" t="str">
        <f t="shared" si="164"/>
        <v/>
      </c>
      <c r="CT119" s="451" t="str">
        <f t="shared" si="164"/>
        <v/>
      </c>
      <c r="CU119" s="452" t="str">
        <f t="shared" si="164"/>
        <v/>
      </c>
      <c r="CV119" s="452" t="str">
        <f t="shared" si="164"/>
        <v/>
      </c>
      <c r="CW119" s="452" t="str">
        <f t="shared" si="164"/>
        <v/>
      </c>
      <c r="CX119" s="453" t="str">
        <f t="shared" si="164"/>
        <v/>
      </c>
      <c r="CY119" s="451" t="str">
        <f t="shared" si="164"/>
        <v/>
      </c>
      <c r="CZ119" s="452" t="str">
        <f t="shared" si="164"/>
        <v/>
      </c>
      <c r="DA119" s="452" t="str">
        <f t="shared" si="164"/>
        <v/>
      </c>
      <c r="DB119" s="452" t="str">
        <f t="shared" si="164"/>
        <v/>
      </c>
      <c r="DC119" s="453" t="str">
        <f t="shared" si="170"/>
        <v/>
      </c>
      <c r="DD119" s="451" t="str">
        <f t="shared" si="170"/>
        <v/>
      </c>
      <c r="DE119" s="452" t="str">
        <f t="shared" si="170"/>
        <v/>
      </c>
      <c r="DF119" s="452" t="str">
        <f t="shared" si="170"/>
        <v/>
      </c>
      <c r="DG119" s="452" t="str">
        <f t="shared" si="170"/>
        <v/>
      </c>
      <c r="DH119" s="453" t="str">
        <f t="shared" si="170"/>
        <v/>
      </c>
      <c r="DI119" s="451" t="str">
        <f t="shared" si="170"/>
        <v/>
      </c>
      <c r="DJ119" s="452" t="str">
        <f t="shared" si="170"/>
        <v/>
      </c>
      <c r="DK119" s="452" t="str">
        <f t="shared" si="170"/>
        <v/>
      </c>
      <c r="DL119" s="452" t="str">
        <f t="shared" si="170"/>
        <v/>
      </c>
      <c r="DM119" s="453" t="str">
        <f t="shared" si="170"/>
        <v/>
      </c>
      <c r="DN119" s="451" t="str">
        <f t="shared" si="170"/>
        <v/>
      </c>
      <c r="DO119" s="452" t="str">
        <f t="shared" si="170"/>
        <v/>
      </c>
      <c r="DP119" s="452" t="str">
        <f t="shared" si="170"/>
        <v/>
      </c>
      <c r="DQ119" s="452" t="str">
        <f t="shared" si="170"/>
        <v/>
      </c>
      <c r="DR119" s="453" t="str">
        <f t="shared" si="170"/>
        <v/>
      </c>
      <c r="DS119" s="451" t="str">
        <f t="shared" si="167"/>
        <v/>
      </c>
      <c r="DT119" s="452" t="str">
        <f t="shared" si="167"/>
        <v/>
      </c>
      <c r="DU119" s="452" t="str">
        <f t="shared" si="167"/>
        <v/>
      </c>
      <c r="DV119" s="452" t="str">
        <f t="shared" si="167"/>
        <v/>
      </c>
      <c r="DW119" s="453" t="str">
        <f t="shared" si="167"/>
        <v/>
      </c>
      <c r="DX119" s="451" t="str">
        <f t="shared" si="167"/>
        <v/>
      </c>
      <c r="DY119" s="452" t="str">
        <f t="shared" si="167"/>
        <v/>
      </c>
      <c r="DZ119" s="452" t="str">
        <f t="shared" si="167"/>
        <v/>
      </c>
      <c r="EA119" s="452" t="str">
        <f t="shared" si="167"/>
        <v/>
      </c>
      <c r="EB119" s="453" t="str">
        <f t="shared" si="167"/>
        <v/>
      </c>
      <c r="EC119" s="451" t="str">
        <f t="shared" si="167"/>
        <v/>
      </c>
      <c r="ED119" s="452" t="str">
        <f t="shared" si="167"/>
        <v/>
      </c>
      <c r="EE119" s="452" t="str">
        <f t="shared" si="167"/>
        <v/>
      </c>
      <c r="EF119" s="452" t="str">
        <f t="shared" si="167"/>
        <v/>
      </c>
      <c r="EG119" s="453" t="str">
        <f t="shared" si="167"/>
        <v/>
      </c>
      <c r="EH119" s="451" t="str">
        <f t="shared" si="177"/>
        <v/>
      </c>
      <c r="EI119" s="452" t="str">
        <f t="shared" si="177"/>
        <v/>
      </c>
      <c r="EJ119" s="452" t="str">
        <f t="shared" si="177"/>
        <v/>
      </c>
      <c r="EK119" s="452" t="str">
        <f t="shared" si="177"/>
        <v/>
      </c>
      <c r="EL119" s="453" t="str">
        <f t="shared" si="177"/>
        <v/>
      </c>
      <c r="EM119" s="451" t="str">
        <f t="shared" si="177"/>
        <v/>
      </c>
      <c r="EN119" s="452" t="str">
        <f t="shared" si="177"/>
        <v/>
      </c>
      <c r="EO119" s="452" t="str">
        <f t="shared" si="177"/>
        <v/>
      </c>
      <c r="EP119" s="452" t="str">
        <f t="shared" si="177"/>
        <v/>
      </c>
      <c r="EQ119" s="453" t="str">
        <f t="shared" si="177"/>
        <v/>
      </c>
      <c r="ER119" s="451" t="str">
        <f t="shared" si="177"/>
        <v/>
      </c>
      <c r="ES119" s="452" t="str">
        <f t="shared" si="177"/>
        <v/>
      </c>
      <c r="ET119" s="452" t="str">
        <f t="shared" si="177"/>
        <v/>
      </c>
      <c r="EU119" s="452" t="str">
        <f t="shared" si="177"/>
        <v/>
      </c>
      <c r="EV119" s="453" t="str">
        <f t="shared" si="177"/>
        <v/>
      </c>
      <c r="EW119" s="451" t="str">
        <f t="shared" si="177"/>
        <v/>
      </c>
      <c r="EX119" s="452" t="str">
        <f t="shared" si="178"/>
        <v/>
      </c>
      <c r="EY119" s="452" t="str">
        <f t="shared" si="178"/>
        <v/>
      </c>
      <c r="EZ119" s="452" t="str">
        <f t="shared" si="178"/>
        <v/>
      </c>
      <c r="FA119" s="453" t="str">
        <f t="shared" si="175"/>
        <v/>
      </c>
      <c r="FB119" s="451" t="str">
        <f t="shared" si="175"/>
        <v/>
      </c>
      <c r="FC119" s="452" t="str">
        <f t="shared" si="175"/>
        <v/>
      </c>
      <c r="FD119" s="452" t="str">
        <f t="shared" si="175"/>
        <v/>
      </c>
      <c r="FE119" s="452" t="str">
        <f t="shared" si="175"/>
        <v/>
      </c>
      <c r="FF119" s="453" t="str">
        <f t="shared" si="175"/>
        <v/>
      </c>
      <c r="FG119" s="451" t="str">
        <f t="shared" si="175"/>
        <v/>
      </c>
      <c r="FH119" s="452" t="str">
        <f t="shared" si="175"/>
        <v/>
      </c>
      <c r="FI119" s="452" t="str">
        <f t="shared" si="175"/>
        <v/>
      </c>
      <c r="FJ119" s="452" t="str">
        <f t="shared" si="175"/>
        <v/>
      </c>
      <c r="FK119" s="453" t="str">
        <f t="shared" si="175"/>
        <v/>
      </c>
      <c r="FL119" s="451" t="str">
        <f t="shared" si="175"/>
        <v/>
      </c>
      <c r="FM119" s="452" t="str">
        <f t="shared" si="175"/>
        <v/>
      </c>
      <c r="FN119" s="452" t="str">
        <f t="shared" si="175"/>
        <v/>
      </c>
      <c r="FO119" s="452" t="str">
        <f t="shared" si="175"/>
        <v/>
      </c>
      <c r="FP119" s="453" t="str">
        <f t="shared" si="160"/>
        <v/>
      </c>
      <c r="FQ119" s="451" t="str">
        <f t="shared" si="160"/>
        <v/>
      </c>
      <c r="FR119" s="452" t="str">
        <f t="shared" si="160"/>
        <v/>
      </c>
      <c r="FS119" s="452" t="str">
        <f t="shared" si="160"/>
        <v/>
      </c>
      <c r="FT119" s="452" t="str">
        <f t="shared" si="160"/>
        <v/>
      </c>
      <c r="FU119" s="453" t="str">
        <f t="shared" si="160"/>
        <v/>
      </c>
      <c r="FV119" s="451" t="str">
        <f t="shared" si="160"/>
        <v/>
      </c>
      <c r="FW119" s="452" t="str">
        <f t="shared" si="160"/>
        <v/>
      </c>
      <c r="FX119" s="452" t="str">
        <f t="shared" si="160"/>
        <v/>
      </c>
      <c r="FY119" s="452" t="str">
        <f t="shared" si="160"/>
        <v/>
      </c>
      <c r="FZ119" s="453" t="str">
        <f t="shared" si="160"/>
        <v/>
      </c>
      <c r="GA119" s="451" t="str">
        <f t="shared" si="160"/>
        <v/>
      </c>
      <c r="GB119" s="452" t="str">
        <f t="shared" si="160"/>
        <v/>
      </c>
      <c r="GC119" s="452" t="str">
        <f t="shared" si="160"/>
        <v/>
      </c>
      <c r="GD119" s="452" t="str">
        <f t="shared" si="160"/>
        <v/>
      </c>
      <c r="GE119" s="453" t="str">
        <f t="shared" si="160"/>
        <v/>
      </c>
      <c r="GF119" s="451" t="str">
        <f t="shared" si="179"/>
        <v/>
      </c>
      <c r="GG119" s="452" t="str">
        <f t="shared" si="179"/>
        <v/>
      </c>
      <c r="GH119" s="452" t="str">
        <f t="shared" si="179"/>
        <v/>
      </c>
      <c r="GI119" s="452" t="str">
        <f t="shared" si="179"/>
        <v/>
      </c>
      <c r="GJ119" s="453" t="str">
        <f t="shared" si="179"/>
        <v/>
      </c>
      <c r="GK119" s="451" t="str">
        <f t="shared" si="179"/>
        <v/>
      </c>
      <c r="GL119" s="452" t="str">
        <f t="shared" si="179"/>
        <v/>
      </c>
      <c r="GM119" s="452" t="str">
        <f t="shared" si="179"/>
        <v/>
      </c>
      <c r="GN119" s="452" t="str">
        <f t="shared" si="179"/>
        <v/>
      </c>
      <c r="GO119" s="453" t="str">
        <f t="shared" si="176"/>
        <v/>
      </c>
      <c r="GP119" s="451" t="str">
        <f t="shared" si="176"/>
        <v/>
      </c>
      <c r="GQ119" s="452" t="str">
        <f t="shared" si="176"/>
        <v/>
      </c>
      <c r="GR119" s="452" t="str">
        <f t="shared" si="176"/>
        <v/>
      </c>
      <c r="GS119" s="452" t="str">
        <f t="shared" si="176"/>
        <v/>
      </c>
      <c r="GT119" s="453" t="str">
        <f t="shared" si="176"/>
        <v/>
      </c>
      <c r="GU119" s="451" t="str">
        <f t="shared" si="176"/>
        <v/>
      </c>
      <c r="GV119" s="452" t="str">
        <f t="shared" si="176"/>
        <v/>
      </c>
      <c r="GW119" s="452" t="str">
        <f t="shared" si="176"/>
        <v/>
      </c>
      <c r="GX119" s="452" t="str">
        <f t="shared" si="176"/>
        <v/>
      </c>
      <c r="GY119" s="453" t="str">
        <f t="shared" si="176"/>
        <v/>
      </c>
      <c r="GZ119" s="451" t="str">
        <f t="shared" si="176"/>
        <v/>
      </c>
      <c r="HA119" s="452" t="str">
        <f t="shared" si="176"/>
        <v/>
      </c>
      <c r="HB119" s="452" t="str">
        <f t="shared" si="176"/>
        <v/>
      </c>
      <c r="HC119" s="452" t="str">
        <f t="shared" si="176"/>
        <v/>
      </c>
      <c r="HD119" s="453" t="str">
        <f t="shared" si="176"/>
        <v/>
      </c>
      <c r="HE119" s="451" t="str">
        <f t="shared" si="157"/>
        <v/>
      </c>
      <c r="HF119" s="452" t="str">
        <f t="shared" si="157"/>
        <v/>
      </c>
      <c r="HG119" s="452" t="str">
        <f t="shared" si="157"/>
        <v/>
      </c>
      <c r="HH119" s="452" t="str">
        <f t="shared" si="157"/>
        <v/>
      </c>
      <c r="HI119" s="453" t="str">
        <f t="shared" si="157"/>
        <v/>
      </c>
      <c r="HJ119" s="451" t="str">
        <f t="shared" si="157"/>
        <v/>
      </c>
      <c r="HK119" s="452" t="str">
        <f t="shared" si="157"/>
        <v/>
      </c>
      <c r="HL119" s="452" t="str">
        <f t="shared" si="157"/>
        <v/>
      </c>
      <c r="HM119" s="452" t="str">
        <f t="shared" si="157"/>
        <v/>
      </c>
      <c r="HN119" s="453" t="str">
        <f t="shared" si="157"/>
        <v/>
      </c>
      <c r="HO119" s="451" t="str">
        <f t="shared" si="157"/>
        <v/>
      </c>
      <c r="HP119" s="452" t="str">
        <f t="shared" si="157"/>
        <v/>
      </c>
      <c r="HQ119" s="452" t="str">
        <f t="shared" si="157"/>
        <v/>
      </c>
      <c r="HR119" s="452" t="str">
        <f t="shared" si="157"/>
        <v/>
      </c>
      <c r="HS119" s="453" t="str">
        <f t="shared" si="157"/>
        <v/>
      </c>
      <c r="HT119" s="451" t="str">
        <f t="shared" ref="HT119" si="182">IF(AND(HT$2&gt;=$J119,HT$2&lt;=$K119),1,"")</f>
        <v/>
      </c>
      <c r="HU119" s="452" t="str">
        <f t="shared" si="163"/>
        <v/>
      </c>
      <c r="HV119" s="452" t="str">
        <f t="shared" si="163"/>
        <v/>
      </c>
      <c r="HW119" s="452" t="str">
        <f t="shared" si="163"/>
        <v/>
      </c>
      <c r="HX119" s="453" t="str">
        <f t="shared" si="163"/>
        <v/>
      </c>
      <c r="HY119" s="451" t="str">
        <f t="shared" si="163"/>
        <v/>
      </c>
      <c r="HZ119" s="452" t="str">
        <f t="shared" si="162"/>
        <v/>
      </c>
      <c r="IA119" s="452" t="str">
        <f t="shared" si="162"/>
        <v/>
      </c>
      <c r="IB119" s="452" t="str">
        <f t="shared" si="162"/>
        <v/>
      </c>
      <c r="IC119" s="453" t="str">
        <f t="shared" si="162"/>
        <v/>
      </c>
      <c r="ID119" s="451" t="str">
        <f t="shared" si="162"/>
        <v/>
      </c>
      <c r="IE119" s="452" t="str">
        <f t="shared" si="162"/>
        <v/>
      </c>
      <c r="IF119" s="452" t="str">
        <f t="shared" si="162"/>
        <v/>
      </c>
      <c r="IG119" s="452" t="str">
        <f t="shared" si="162"/>
        <v/>
      </c>
      <c r="IH119" s="453" t="str">
        <f t="shared" si="162"/>
        <v/>
      </c>
      <c r="II119" s="451" t="str">
        <f t="shared" si="162"/>
        <v/>
      </c>
      <c r="IJ119" s="452" t="str">
        <f t="shared" si="162"/>
        <v/>
      </c>
      <c r="IK119" s="452" t="str">
        <f t="shared" si="162"/>
        <v/>
      </c>
      <c r="IL119" s="452" t="str">
        <f t="shared" si="162"/>
        <v/>
      </c>
      <c r="IM119" s="453" t="str">
        <f t="shared" si="168"/>
        <v/>
      </c>
      <c r="IN119" s="451" t="str">
        <f t="shared" si="168"/>
        <v/>
      </c>
      <c r="IO119" s="452" t="str">
        <f t="shared" si="168"/>
        <v/>
      </c>
      <c r="IP119" s="452" t="str">
        <f t="shared" si="168"/>
        <v/>
      </c>
      <c r="IQ119" s="452" t="str">
        <f t="shared" si="168"/>
        <v/>
      </c>
      <c r="IR119" s="453" t="str">
        <f t="shared" si="168"/>
        <v/>
      </c>
    </row>
    <row r="120" spans="1:252" x14ac:dyDescent="0.2">
      <c r="A120" s="461">
        <v>11.6</v>
      </c>
      <c r="C120" s="447" t="s">
        <v>1356</v>
      </c>
      <c r="D120" s="447"/>
      <c r="E120" s="448"/>
      <c r="F120" s="448"/>
      <c r="G120" s="448"/>
      <c r="H120" s="448"/>
      <c r="I120" s="448"/>
      <c r="J120" s="449" t="str">
        <f t="shared" si="172"/>
        <v/>
      </c>
      <c r="K120" s="449" t="str">
        <f t="shared" si="173"/>
        <v/>
      </c>
      <c r="L120" s="450">
        <f t="shared" si="171"/>
        <v>0</v>
      </c>
      <c r="M120" s="451" t="str">
        <f t="shared" si="161"/>
        <v/>
      </c>
      <c r="N120" s="452" t="str">
        <f t="shared" si="161"/>
        <v/>
      </c>
      <c r="O120" s="452" t="str">
        <f t="shared" si="161"/>
        <v/>
      </c>
      <c r="P120" s="452" t="str">
        <f t="shared" si="161"/>
        <v/>
      </c>
      <c r="Q120" s="453" t="str">
        <f t="shared" si="161"/>
        <v/>
      </c>
      <c r="R120" s="451" t="str">
        <f t="shared" si="161"/>
        <v/>
      </c>
      <c r="S120" s="452" t="str">
        <f t="shared" si="161"/>
        <v/>
      </c>
      <c r="T120" s="452" t="str">
        <f t="shared" si="161"/>
        <v/>
      </c>
      <c r="U120" s="452" t="str">
        <f t="shared" si="161"/>
        <v/>
      </c>
      <c r="V120" s="453" t="str">
        <f t="shared" si="161"/>
        <v/>
      </c>
      <c r="W120" s="451" t="str">
        <f t="shared" si="161"/>
        <v/>
      </c>
      <c r="X120" s="452" t="str">
        <f t="shared" si="161"/>
        <v/>
      </c>
      <c r="Y120" s="452" t="str">
        <f t="shared" si="161"/>
        <v/>
      </c>
      <c r="Z120" s="452" t="str">
        <f t="shared" si="161"/>
        <v/>
      </c>
      <c r="AA120" s="453" t="str">
        <f t="shared" si="161"/>
        <v/>
      </c>
      <c r="AB120" s="451" t="str">
        <f t="shared" si="161"/>
        <v/>
      </c>
      <c r="AC120" s="452" t="str">
        <f t="shared" si="169"/>
        <v/>
      </c>
      <c r="AD120" s="452" t="str">
        <f t="shared" si="169"/>
        <v/>
      </c>
      <c r="AE120" s="452" t="str">
        <f t="shared" si="169"/>
        <v/>
      </c>
      <c r="AF120" s="453" t="str">
        <f t="shared" si="169"/>
        <v/>
      </c>
      <c r="AG120" s="451" t="str">
        <f t="shared" si="169"/>
        <v/>
      </c>
      <c r="AH120" s="452" t="str">
        <f t="shared" si="169"/>
        <v/>
      </c>
      <c r="AI120" s="452" t="str">
        <f t="shared" si="169"/>
        <v/>
      </c>
      <c r="AJ120" s="452" t="str">
        <f t="shared" si="169"/>
        <v/>
      </c>
      <c r="AK120" s="453" t="str">
        <f t="shared" si="169"/>
        <v/>
      </c>
      <c r="AL120" s="451" t="str">
        <f t="shared" si="169"/>
        <v/>
      </c>
      <c r="AM120" s="452" t="str">
        <f t="shared" si="169"/>
        <v/>
      </c>
      <c r="AN120" s="452" t="str">
        <f t="shared" si="169"/>
        <v/>
      </c>
      <c r="AO120" s="452" t="str">
        <f t="shared" si="169"/>
        <v/>
      </c>
      <c r="AP120" s="453" t="str">
        <f t="shared" si="169"/>
        <v/>
      </c>
      <c r="AQ120" s="451" t="str">
        <f t="shared" si="169"/>
        <v/>
      </c>
      <c r="AR120" s="452" t="str">
        <f t="shared" si="169"/>
        <v/>
      </c>
      <c r="AS120" s="452" t="str">
        <f t="shared" si="165"/>
        <v/>
      </c>
      <c r="AT120" s="452" t="str">
        <f t="shared" si="165"/>
        <v/>
      </c>
      <c r="AU120" s="453" t="str">
        <f t="shared" si="165"/>
        <v/>
      </c>
      <c r="AV120" s="451" t="str">
        <f t="shared" si="165"/>
        <v/>
      </c>
      <c r="AW120" s="452" t="str">
        <f t="shared" si="165"/>
        <v/>
      </c>
      <c r="AX120" s="452" t="str">
        <f t="shared" si="165"/>
        <v/>
      </c>
      <c r="AY120" s="452" t="str">
        <f t="shared" si="165"/>
        <v/>
      </c>
      <c r="AZ120" s="453" t="str">
        <f t="shared" si="165"/>
        <v/>
      </c>
      <c r="BA120" s="451" t="str">
        <f t="shared" si="165"/>
        <v/>
      </c>
      <c r="BB120" s="452" t="str">
        <f t="shared" si="165"/>
        <v/>
      </c>
      <c r="BC120" s="452" t="str">
        <f t="shared" si="165"/>
        <v/>
      </c>
      <c r="BD120" s="452" t="str">
        <f t="shared" si="165"/>
        <v/>
      </c>
      <c r="BE120" s="453" t="str">
        <f t="shared" si="165"/>
        <v/>
      </c>
      <c r="BF120" s="451" t="str">
        <f t="shared" si="165"/>
        <v/>
      </c>
      <c r="BG120" s="452" t="str">
        <f t="shared" si="165"/>
        <v/>
      </c>
      <c r="BH120" s="452" t="str">
        <f t="shared" si="181"/>
        <v/>
      </c>
      <c r="BI120" s="452" t="str">
        <f t="shared" si="181"/>
        <v/>
      </c>
      <c r="BJ120" s="453" t="str">
        <f t="shared" si="181"/>
        <v/>
      </c>
      <c r="BK120" s="451" t="str">
        <f t="shared" si="181"/>
        <v/>
      </c>
      <c r="BL120" s="452" t="str">
        <f t="shared" si="181"/>
        <v/>
      </c>
      <c r="BM120" s="452" t="str">
        <f t="shared" si="181"/>
        <v/>
      </c>
      <c r="BN120" s="452" t="str">
        <f t="shared" si="181"/>
        <v/>
      </c>
      <c r="BO120" s="453" t="str">
        <f t="shared" si="181"/>
        <v/>
      </c>
      <c r="BP120" s="451" t="str">
        <f t="shared" si="181"/>
        <v/>
      </c>
      <c r="BQ120" s="452" t="str">
        <f t="shared" si="181"/>
        <v/>
      </c>
      <c r="BR120" s="452" t="str">
        <f t="shared" si="181"/>
        <v/>
      </c>
      <c r="BS120" s="452" t="str">
        <f t="shared" si="181"/>
        <v/>
      </c>
      <c r="BT120" s="453" t="str">
        <f t="shared" si="181"/>
        <v/>
      </c>
      <c r="BU120" s="451" t="str">
        <f t="shared" si="181"/>
        <v/>
      </c>
      <c r="BV120" s="452" t="str">
        <f t="shared" si="181"/>
        <v/>
      </c>
      <c r="BW120" s="452" t="str">
        <f t="shared" si="181"/>
        <v/>
      </c>
      <c r="BX120" s="452" t="str">
        <f t="shared" si="166"/>
        <v/>
      </c>
      <c r="BY120" s="453" t="str">
        <f t="shared" si="166"/>
        <v/>
      </c>
      <c r="BZ120" s="451" t="str">
        <f t="shared" si="166"/>
        <v/>
      </c>
      <c r="CA120" s="452" t="str">
        <f t="shared" si="166"/>
        <v/>
      </c>
      <c r="CB120" s="452" t="str">
        <f t="shared" si="166"/>
        <v/>
      </c>
      <c r="CC120" s="452" t="str">
        <f t="shared" si="166"/>
        <v/>
      </c>
      <c r="CD120" s="453" t="str">
        <f t="shared" si="166"/>
        <v/>
      </c>
      <c r="CE120" s="451" t="str">
        <f t="shared" si="166"/>
        <v/>
      </c>
      <c r="CF120" s="452" t="str">
        <f t="shared" si="166"/>
        <v/>
      </c>
      <c r="CG120" s="452" t="str">
        <f t="shared" si="166"/>
        <v/>
      </c>
      <c r="CH120" s="452" t="str">
        <f t="shared" si="166"/>
        <v/>
      </c>
      <c r="CI120" s="453" t="str">
        <f t="shared" si="166"/>
        <v/>
      </c>
      <c r="CJ120" s="451" t="str">
        <f t="shared" si="166"/>
        <v/>
      </c>
      <c r="CK120" s="452" t="str">
        <f t="shared" si="166"/>
        <v/>
      </c>
      <c r="CL120" s="452" t="str">
        <f t="shared" si="166"/>
        <v/>
      </c>
      <c r="CM120" s="452" t="str">
        <f t="shared" si="166"/>
        <v/>
      </c>
      <c r="CN120" s="453" t="str">
        <f t="shared" si="164"/>
        <v/>
      </c>
      <c r="CO120" s="451" t="str">
        <f t="shared" si="164"/>
        <v/>
      </c>
      <c r="CP120" s="452" t="str">
        <f t="shared" si="164"/>
        <v/>
      </c>
      <c r="CQ120" s="452" t="str">
        <f t="shared" si="164"/>
        <v/>
      </c>
      <c r="CR120" s="452" t="str">
        <f t="shared" si="164"/>
        <v/>
      </c>
      <c r="CS120" s="453" t="str">
        <f t="shared" si="164"/>
        <v/>
      </c>
      <c r="CT120" s="451" t="str">
        <f t="shared" si="164"/>
        <v/>
      </c>
      <c r="CU120" s="452" t="str">
        <f t="shared" si="164"/>
        <v/>
      </c>
      <c r="CV120" s="452" t="str">
        <f t="shared" si="164"/>
        <v/>
      </c>
      <c r="CW120" s="452" t="str">
        <f t="shared" si="164"/>
        <v/>
      </c>
      <c r="CX120" s="453" t="str">
        <f t="shared" si="164"/>
        <v/>
      </c>
      <c r="CY120" s="451" t="str">
        <f t="shared" si="164"/>
        <v/>
      </c>
      <c r="CZ120" s="452" t="str">
        <f t="shared" si="164"/>
        <v/>
      </c>
      <c r="DA120" s="452" t="str">
        <f t="shared" si="164"/>
        <v/>
      </c>
      <c r="DB120" s="452" t="str">
        <f t="shared" si="164"/>
        <v/>
      </c>
      <c r="DC120" s="453" t="str">
        <f t="shared" si="170"/>
        <v/>
      </c>
      <c r="DD120" s="451" t="str">
        <f t="shared" si="170"/>
        <v/>
      </c>
      <c r="DE120" s="452" t="str">
        <f t="shared" si="170"/>
        <v/>
      </c>
      <c r="DF120" s="452" t="str">
        <f t="shared" si="170"/>
        <v/>
      </c>
      <c r="DG120" s="452" t="str">
        <f t="shared" si="170"/>
        <v/>
      </c>
      <c r="DH120" s="453" t="str">
        <f t="shared" si="170"/>
        <v/>
      </c>
      <c r="DI120" s="451" t="str">
        <f t="shared" si="170"/>
        <v/>
      </c>
      <c r="DJ120" s="452" t="str">
        <f t="shared" si="170"/>
        <v/>
      </c>
      <c r="DK120" s="452" t="str">
        <f t="shared" si="170"/>
        <v/>
      </c>
      <c r="DL120" s="452" t="str">
        <f t="shared" si="170"/>
        <v/>
      </c>
      <c r="DM120" s="453" t="str">
        <f t="shared" si="170"/>
        <v/>
      </c>
      <c r="DN120" s="451" t="str">
        <f t="shared" si="170"/>
        <v/>
      </c>
      <c r="DO120" s="452" t="str">
        <f t="shared" si="170"/>
        <v/>
      </c>
      <c r="DP120" s="452" t="str">
        <f t="shared" si="170"/>
        <v/>
      </c>
      <c r="DQ120" s="452" t="str">
        <f t="shared" si="170"/>
        <v/>
      </c>
      <c r="DR120" s="453" t="str">
        <f t="shared" si="170"/>
        <v/>
      </c>
      <c r="DS120" s="451" t="str">
        <f t="shared" si="167"/>
        <v/>
      </c>
      <c r="DT120" s="452" t="str">
        <f t="shared" si="167"/>
        <v/>
      </c>
      <c r="DU120" s="452" t="str">
        <f t="shared" si="167"/>
        <v/>
      </c>
      <c r="DV120" s="452" t="str">
        <f t="shared" si="167"/>
        <v/>
      </c>
      <c r="DW120" s="453" t="str">
        <f t="shared" si="167"/>
        <v/>
      </c>
      <c r="DX120" s="451" t="str">
        <f t="shared" si="167"/>
        <v/>
      </c>
      <c r="DY120" s="452" t="str">
        <f t="shared" si="167"/>
        <v/>
      </c>
      <c r="DZ120" s="452" t="str">
        <f t="shared" si="167"/>
        <v/>
      </c>
      <c r="EA120" s="452" t="str">
        <f t="shared" si="167"/>
        <v/>
      </c>
      <c r="EB120" s="453" t="str">
        <f t="shared" si="167"/>
        <v/>
      </c>
      <c r="EC120" s="451" t="str">
        <f t="shared" si="167"/>
        <v/>
      </c>
      <c r="ED120" s="452" t="str">
        <f t="shared" si="167"/>
        <v/>
      </c>
      <c r="EE120" s="452" t="str">
        <f t="shared" si="167"/>
        <v/>
      </c>
      <c r="EF120" s="452" t="str">
        <f t="shared" si="167"/>
        <v/>
      </c>
      <c r="EG120" s="453" t="str">
        <f t="shared" si="167"/>
        <v/>
      </c>
      <c r="EH120" s="451" t="str">
        <f t="shared" si="177"/>
        <v/>
      </c>
      <c r="EI120" s="452" t="str">
        <f t="shared" si="177"/>
        <v/>
      </c>
      <c r="EJ120" s="452" t="str">
        <f t="shared" si="177"/>
        <v/>
      </c>
      <c r="EK120" s="452" t="str">
        <f t="shared" si="177"/>
        <v/>
      </c>
      <c r="EL120" s="453" t="str">
        <f t="shared" si="177"/>
        <v/>
      </c>
      <c r="EM120" s="451" t="str">
        <f t="shared" si="177"/>
        <v/>
      </c>
      <c r="EN120" s="452" t="str">
        <f t="shared" si="177"/>
        <v/>
      </c>
      <c r="EO120" s="452" t="str">
        <f t="shared" si="177"/>
        <v/>
      </c>
      <c r="EP120" s="452" t="str">
        <f t="shared" si="177"/>
        <v/>
      </c>
      <c r="EQ120" s="453" t="str">
        <f t="shared" si="177"/>
        <v/>
      </c>
      <c r="ER120" s="451" t="str">
        <f t="shared" si="177"/>
        <v/>
      </c>
      <c r="ES120" s="452" t="str">
        <f t="shared" si="177"/>
        <v/>
      </c>
      <c r="ET120" s="452" t="str">
        <f t="shared" si="177"/>
        <v/>
      </c>
      <c r="EU120" s="452" t="str">
        <f t="shared" si="177"/>
        <v/>
      </c>
      <c r="EV120" s="453" t="str">
        <f t="shared" si="177"/>
        <v/>
      </c>
      <c r="EW120" s="451" t="str">
        <f t="shared" si="177"/>
        <v/>
      </c>
      <c r="EX120" s="452" t="str">
        <f t="shared" si="178"/>
        <v/>
      </c>
      <c r="EY120" s="452" t="str">
        <f t="shared" si="178"/>
        <v/>
      </c>
      <c r="EZ120" s="452" t="str">
        <f t="shared" si="178"/>
        <v/>
      </c>
      <c r="FA120" s="453" t="str">
        <f t="shared" si="175"/>
        <v/>
      </c>
      <c r="FB120" s="451" t="str">
        <f t="shared" si="175"/>
        <v/>
      </c>
      <c r="FC120" s="452" t="str">
        <f t="shared" si="175"/>
        <v/>
      </c>
      <c r="FD120" s="452" t="str">
        <f t="shared" si="175"/>
        <v/>
      </c>
      <c r="FE120" s="452" t="str">
        <f t="shared" si="175"/>
        <v/>
      </c>
      <c r="FF120" s="453" t="str">
        <f t="shared" si="175"/>
        <v/>
      </c>
      <c r="FG120" s="451" t="str">
        <f t="shared" si="175"/>
        <v/>
      </c>
      <c r="FH120" s="452" t="str">
        <f t="shared" si="175"/>
        <v/>
      </c>
      <c r="FI120" s="452" t="str">
        <f t="shared" si="175"/>
        <v/>
      </c>
      <c r="FJ120" s="452" t="str">
        <f t="shared" si="175"/>
        <v/>
      </c>
      <c r="FK120" s="453" t="str">
        <f t="shared" si="175"/>
        <v/>
      </c>
      <c r="FL120" s="451" t="str">
        <f t="shared" si="175"/>
        <v/>
      </c>
      <c r="FM120" s="452" t="str">
        <f t="shared" si="175"/>
        <v/>
      </c>
      <c r="FN120" s="452" t="str">
        <f t="shared" si="175"/>
        <v/>
      </c>
      <c r="FO120" s="452" t="str">
        <f t="shared" si="175"/>
        <v/>
      </c>
      <c r="FP120" s="453" t="str">
        <f t="shared" si="160"/>
        <v/>
      </c>
      <c r="FQ120" s="451" t="str">
        <f t="shared" si="160"/>
        <v/>
      </c>
      <c r="FR120" s="452" t="str">
        <f t="shared" si="160"/>
        <v/>
      </c>
      <c r="FS120" s="452" t="str">
        <f t="shared" si="160"/>
        <v/>
      </c>
      <c r="FT120" s="452" t="str">
        <f t="shared" si="160"/>
        <v/>
      </c>
      <c r="FU120" s="453" t="str">
        <f t="shared" si="160"/>
        <v/>
      </c>
      <c r="FV120" s="451" t="str">
        <f t="shared" si="160"/>
        <v/>
      </c>
      <c r="FW120" s="452" t="str">
        <f t="shared" si="160"/>
        <v/>
      </c>
      <c r="FX120" s="452" t="str">
        <f t="shared" si="160"/>
        <v/>
      </c>
      <c r="FY120" s="452" t="str">
        <f t="shared" si="160"/>
        <v/>
      </c>
      <c r="FZ120" s="453" t="str">
        <f t="shared" si="160"/>
        <v/>
      </c>
      <c r="GA120" s="451" t="str">
        <f t="shared" si="160"/>
        <v/>
      </c>
      <c r="GB120" s="452" t="str">
        <f t="shared" si="160"/>
        <v/>
      </c>
      <c r="GC120" s="452" t="str">
        <f t="shared" si="160"/>
        <v/>
      </c>
      <c r="GD120" s="452" t="str">
        <f t="shared" si="160"/>
        <v/>
      </c>
      <c r="GE120" s="453" t="str">
        <f t="shared" si="160"/>
        <v/>
      </c>
      <c r="GF120" s="451" t="str">
        <f t="shared" si="179"/>
        <v/>
      </c>
      <c r="GG120" s="452" t="str">
        <f t="shared" si="179"/>
        <v/>
      </c>
      <c r="GH120" s="452" t="str">
        <f t="shared" si="179"/>
        <v/>
      </c>
      <c r="GI120" s="452" t="str">
        <f t="shared" si="179"/>
        <v/>
      </c>
      <c r="GJ120" s="453" t="str">
        <f t="shared" si="179"/>
        <v/>
      </c>
      <c r="GK120" s="451" t="str">
        <f t="shared" si="179"/>
        <v/>
      </c>
      <c r="GL120" s="452" t="str">
        <f t="shared" si="179"/>
        <v/>
      </c>
      <c r="GM120" s="452" t="str">
        <f t="shared" si="179"/>
        <v/>
      </c>
      <c r="GN120" s="452" t="str">
        <f t="shared" si="179"/>
        <v/>
      </c>
      <c r="GO120" s="453" t="str">
        <f t="shared" si="176"/>
        <v/>
      </c>
      <c r="GP120" s="451" t="str">
        <f t="shared" si="176"/>
        <v/>
      </c>
      <c r="GQ120" s="452" t="str">
        <f t="shared" si="176"/>
        <v/>
      </c>
      <c r="GR120" s="452" t="str">
        <f t="shared" si="176"/>
        <v/>
      </c>
      <c r="GS120" s="452" t="str">
        <f t="shared" si="176"/>
        <v/>
      </c>
      <c r="GT120" s="453" t="str">
        <f t="shared" si="176"/>
        <v/>
      </c>
      <c r="GU120" s="451" t="str">
        <f t="shared" si="176"/>
        <v/>
      </c>
      <c r="GV120" s="452" t="str">
        <f t="shared" si="176"/>
        <v/>
      </c>
      <c r="GW120" s="452" t="str">
        <f t="shared" si="176"/>
        <v/>
      </c>
      <c r="GX120" s="452" t="str">
        <f t="shared" si="176"/>
        <v/>
      </c>
      <c r="GY120" s="453" t="str">
        <f t="shared" si="176"/>
        <v/>
      </c>
      <c r="GZ120" s="451" t="str">
        <f t="shared" si="176"/>
        <v/>
      </c>
      <c r="HA120" s="452" t="str">
        <f t="shared" si="176"/>
        <v/>
      </c>
      <c r="HB120" s="452" t="str">
        <f t="shared" si="176"/>
        <v/>
      </c>
      <c r="HC120" s="452" t="str">
        <f t="shared" si="176"/>
        <v/>
      </c>
      <c r="HD120" s="453" t="str">
        <f t="shared" si="176"/>
        <v/>
      </c>
      <c r="HE120" s="451" t="str">
        <f t="shared" si="176"/>
        <v/>
      </c>
      <c r="HF120" s="452" t="str">
        <f t="shared" ref="HF120:HU136" si="183">IF(AND(HF$2&gt;=$J120,HF$2&lt;=$K120),1,"")</f>
        <v/>
      </c>
      <c r="HG120" s="452" t="str">
        <f t="shared" si="183"/>
        <v/>
      </c>
      <c r="HH120" s="452" t="str">
        <f t="shared" si="183"/>
        <v/>
      </c>
      <c r="HI120" s="453" t="str">
        <f t="shared" si="183"/>
        <v/>
      </c>
      <c r="HJ120" s="451" t="str">
        <f t="shared" si="183"/>
        <v/>
      </c>
      <c r="HK120" s="452" t="str">
        <f t="shared" si="183"/>
        <v/>
      </c>
      <c r="HL120" s="452" t="str">
        <f t="shared" si="183"/>
        <v/>
      </c>
      <c r="HM120" s="452" t="str">
        <f t="shared" si="183"/>
        <v/>
      </c>
      <c r="HN120" s="453" t="str">
        <f t="shared" si="183"/>
        <v/>
      </c>
      <c r="HO120" s="451" t="str">
        <f t="shared" si="183"/>
        <v/>
      </c>
      <c r="HP120" s="452" t="str">
        <f t="shared" si="183"/>
        <v/>
      </c>
      <c r="HQ120" s="452" t="str">
        <f t="shared" si="183"/>
        <v/>
      </c>
      <c r="HR120" s="452" t="str">
        <f t="shared" si="183"/>
        <v/>
      </c>
      <c r="HS120" s="453" t="str">
        <f t="shared" si="183"/>
        <v/>
      </c>
      <c r="HT120" s="451" t="str">
        <f t="shared" si="183"/>
        <v/>
      </c>
      <c r="HU120" s="452" t="str">
        <f t="shared" si="163"/>
        <v/>
      </c>
      <c r="HV120" s="452" t="str">
        <f t="shared" si="163"/>
        <v/>
      </c>
      <c r="HW120" s="452" t="str">
        <f t="shared" si="163"/>
        <v/>
      </c>
      <c r="HX120" s="453" t="str">
        <f t="shared" si="163"/>
        <v/>
      </c>
      <c r="HY120" s="451" t="str">
        <f t="shared" si="163"/>
        <v/>
      </c>
      <c r="HZ120" s="452" t="str">
        <f t="shared" si="162"/>
        <v/>
      </c>
      <c r="IA120" s="452" t="str">
        <f t="shared" si="162"/>
        <v/>
      </c>
      <c r="IB120" s="452" t="str">
        <f t="shared" si="162"/>
        <v/>
      </c>
      <c r="IC120" s="453" t="str">
        <f t="shared" si="162"/>
        <v/>
      </c>
      <c r="ID120" s="451" t="str">
        <f t="shared" si="162"/>
        <v/>
      </c>
      <c r="IE120" s="452" t="str">
        <f t="shared" si="162"/>
        <v/>
      </c>
      <c r="IF120" s="452" t="str">
        <f t="shared" si="162"/>
        <v/>
      </c>
      <c r="IG120" s="452" t="str">
        <f t="shared" si="162"/>
        <v/>
      </c>
      <c r="IH120" s="453" t="str">
        <f t="shared" si="162"/>
        <v/>
      </c>
      <c r="II120" s="451" t="str">
        <f t="shared" si="162"/>
        <v/>
      </c>
      <c r="IJ120" s="452" t="str">
        <f t="shared" si="162"/>
        <v/>
      </c>
      <c r="IK120" s="452" t="str">
        <f t="shared" si="162"/>
        <v/>
      </c>
      <c r="IL120" s="452" t="str">
        <f t="shared" si="162"/>
        <v/>
      </c>
      <c r="IM120" s="453" t="str">
        <f t="shared" si="162"/>
        <v/>
      </c>
      <c r="IN120" s="451" t="str">
        <f t="shared" si="162"/>
        <v/>
      </c>
      <c r="IO120" s="452" t="str">
        <f t="shared" si="168"/>
        <v/>
      </c>
      <c r="IP120" s="452" t="str">
        <f t="shared" si="168"/>
        <v/>
      </c>
      <c r="IQ120" s="452" t="str">
        <f t="shared" si="168"/>
        <v/>
      </c>
      <c r="IR120" s="453" t="str">
        <f t="shared" si="168"/>
        <v/>
      </c>
    </row>
    <row r="121" spans="1:252" x14ac:dyDescent="0.2">
      <c r="A121" s="461">
        <v>11.7</v>
      </c>
      <c r="C121" s="447" t="s">
        <v>1357</v>
      </c>
      <c r="D121" s="447"/>
      <c r="E121" s="448"/>
      <c r="F121" s="448"/>
      <c r="G121" s="448"/>
      <c r="H121" s="448"/>
      <c r="I121" s="448"/>
      <c r="J121" s="449" t="str">
        <f t="shared" si="172"/>
        <v/>
      </c>
      <c r="K121" s="449" t="str">
        <f t="shared" si="173"/>
        <v/>
      </c>
      <c r="L121" s="450">
        <f t="shared" si="171"/>
        <v>0</v>
      </c>
      <c r="M121" s="451" t="str">
        <f t="shared" si="161"/>
        <v/>
      </c>
      <c r="N121" s="452" t="str">
        <f t="shared" si="161"/>
        <v/>
      </c>
      <c r="O121" s="452" t="str">
        <f t="shared" si="161"/>
        <v/>
      </c>
      <c r="P121" s="452" t="str">
        <f t="shared" si="161"/>
        <v/>
      </c>
      <c r="Q121" s="453" t="str">
        <f t="shared" si="161"/>
        <v/>
      </c>
      <c r="R121" s="451" t="str">
        <f t="shared" si="161"/>
        <v/>
      </c>
      <c r="S121" s="452" t="str">
        <f t="shared" si="161"/>
        <v/>
      </c>
      <c r="T121" s="452" t="str">
        <f t="shared" si="161"/>
        <v/>
      </c>
      <c r="U121" s="452" t="str">
        <f t="shared" si="161"/>
        <v/>
      </c>
      <c r="V121" s="453" t="str">
        <f t="shared" si="161"/>
        <v/>
      </c>
      <c r="W121" s="451" t="str">
        <f t="shared" si="161"/>
        <v/>
      </c>
      <c r="X121" s="452" t="str">
        <f t="shared" si="161"/>
        <v/>
      </c>
      <c r="Y121" s="452" t="str">
        <f t="shared" si="161"/>
        <v/>
      </c>
      <c r="Z121" s="452" t="str">
        <f t="shared" si="161"/>
        <v/>
      </c>
      <c r="AA121" s="453" t="str">
        <f t="shared" si="161"/>
        <v/>
      </c>
      <c r="AB121" s="451" t="str">
        <f t="shared" si="161"/>
        <v/>
      </c>
      <c r="AC121" s="452" t="str">
        <f t="shared" si="169"/>
        <v/>
      </c>
      <c r="AD121" s="452" t="str">
        <f t="shared" si="169"/>
        <v/>
      </c>
      <c r="AE121" s="452" t="str">
        <f t="shared" si="169"/>
        <v/>
      </c>
      <c r="AF121" s="453" t="str">
        <f t="shared" si="169"/>
        <v/>
      </c>
      <c r="AG121" s="451" t="str">
        <f t="shared" si="169"/>
        <v/>
      </c>
      <c r="AH121" s="452" t="str">
        <f t="shared" si="169"/>
        <v/>
      </c>
      <c r="AI121" s="452" t="str">
        <f t="shared" si="169"/>
        <v/>
      </c>
      <c r="AJ121" s="452" t="str">
        <f t="shared" si="169"/>
        <v/>
      </c>
      <c r="AK121" s="453" t="str">
        <f t="shared" si="169"/>
        <v/>
      </c>
      <c r="AL121" s="451" t="str">
        <f t="shared" si="169"/>
        <v/>
      </c>
      <c r="AM121" s="452" t="str">
        <f t="shared" si="169"/>
        <v/>
      </c>
      <c r="AN121" s="452" t="str">
        <f t="shared" si="169"/>
        <v/>
      </c>
      <c r="AO121" s="452" t="str">
        <f t="shared" si="169"/>
        <v/>
      </c>
      <c r="AP121" s="453" t="str">
        <f t="shared" si="169"/>
        <v/>
      </c>
      <c r="AQ121" s="451" t="str">
        <f t="shared" si="169"/>
        <v/>
      </c>
      <c r="AR121" s="452" t="str">
        <f t="shared" si="169"/>
        <v/>
      </c>
      <c r="AS121" s="452" t="str">
        <f t="shared" si="165"/>
        <v/>
      </c>
      <c r="AT121" s="452" t="str">
        <f t="shared" si="165"/>
        <v/>
      </c>
      <c r="AU121" s="453" t="str">
        <f t="shared" si="165"/>
        <v/>
      </c>
      <c r="AV121" s="451" t="str">
        <f t="shared" si="165"/>
        <v/>
      </c>
      <c r="AW121" s="452" t="str">
        <f t="shared" si="165"/>
        <v/>
      </c>
      <c r="AX121" s="452" t="str">
        <f t="shared" si="165"/>
        <v/>
      </c>
      <c r="AY121" s="452" t="str">
        <f t="shared" si="165"/>
        <v/>
      </c>
      <c r="AZ121" s="453" t="str">
        <f t="shared" si="165"/>
        <v/>
      </c>
      <c r="BA121" s="451" t="str">
        <f t="shared" si="165"/>
        <v/>
      </c>
      <c r="BB121" s="452" t="str">
        <f t="shared" si="165"/>
        <v/>
      </c>
      <c r="BC121" s="452" t="str">
        <f t="shared" si="165"/>
        <v/>
      </c>
      <c r="BD121" s="452" t="str">
        <f t="shared" si="165"/>
        <v/>
      </c>
      <c r="BE121" s="453" t="str">
        <f t="shared" si="165"/>
        <v/>
      </c>
      <c r="BF121" s="451" t="str">
        <f t="shared" si="165"/>
        <v/>
      </c>
      <c r="BG121" s="452" t="str">
        <f t="shared" si="165"/>
        <v/>
      </c>
      <c r="BH121" s="452" t="str">
        <f t="shared" si="181"/>
        <v/>
      </c>
      <c r="BI121" s="452" t="str">
        <f t="shared" si="181"/>
        <v/>
      </c>
      <c r="BJ121" s="453" t="str">
        <f t="shared" si="181"/>
        <v/>
      </c>
      <c r="BK121" s="451" t="str">
        <f t="shared" si="181"/>
        <v/>
      </c>
      <c r="BL121" s="452" t="str">
        <f t="shared" si="181"/>
        <v/>
      </c>
      <c r="BM121" s="452" t="str">
        <f t="shared" si="181"/>
        <v/>
      </c>
      <c r="BN121" s="452" t="str">
        <f t="shared" si="181"/>
        <v/>
      </c>
      <c r="BO121" s="453" t="str">
        <f t="shared" si="181"/>
        <v/>
      </c>
      <c r="BP121" s="451" t="str">
        <f t="shared" si="181"/>
        <v/>
      </c>
      <c r="BQ121" s="452" t="str">
        <f t="shared" si="181"/>
        <v/>
      </c>
      <c r="BR121" s="452" t="str">
        <f t="shared" si="181"/>
        <v/>
      </c>
      <c r="BS121" s="452" t="str">
        <f t="shared" si="181"/>
        <v/>
      </c>
      <c r="BT121" s="453" t="str">
        <f t="shared" si="181"/>
        <v/>
      </c>
      <c r="BU121" s="451" t="str">
        <f t="shared" si="181"/>
        <v/>
      </c>
      <c r="BV121" s="452" t="str">
        <f t="shared" si="181"/>
        <v/>
      </c>
      <c r="BW121" s="452" t="str">
        <f t="shared" si="181"/>
        <v/>
      </c>
      <c r="BX121" s="452" t="str">
        <f t="shared" si="166"/>
        <v/>
      </c>
      <c r="BY121" s="453" t="str">
        <f t="shared" si="166"/>
        <v/>
      </c>
      <c r="BZ121" s="451" t="str">
        <f t="shared" si="166"/>
        <v/>
      </c>
      <c r="CA121" s="452" t="str">
        <f t="shared" si="166"/>
        <v/>
      </c>
      <c r="CB121" s="452" t="str">
        <f t="shared" si="166"/>
        <v/>
      </c>
      <c r="CC121" s="452" t="str">
        <f t="shared" si="166"/>
        <v/>
      </c>
      <c r="CD121" s="453" t="str">
        <f t="shared" si="166"/>
        <v/>
      </c>
      <c r="CE121" s="451" t="str">
        <f t="shared" si="166"/>
        <v/>
      </c>
      <c r="CF121" s="452" t="str">
        <f t="shared" si="166"/>
        <v/>
      </c>
      <c r="CG121" s="452" t="str">
        <f t="shared" si="166"/>
        <v/>
      </c>
      <c r="CH121" s="452" t="str">
        <f t="shared" si="166"/>
        <v/>
      </c>
      <c r="CI121" s="453" t="str">
        <f t="shared" si="166"/>
        <v/>
      </c>
      <c r="CJ121" s="451" t="str">
        <f t="shared" si="166"/>
        <v/>
      </c>
      <c r="CK121" s="452" t="str">
        <f t="shared" si="166"/>
        <v/>
      </c>
      <c r="CL121" s="452" t="str">
        <f t="shared" si="166"/>
        <v/>
      </c>
      <c r="CM121" s="452" t="str">
        <f t="shared" si="166"/>
        <v/>
      </c>
      <c r="CN121" s="453" t="str">
        <f t="shared" si="164"/>
        <v/>
      </c>
      <c r="CO121" s="451" t="str">
        <f t="shared" si="164"/>
        <v/>
      </c>
      <c r="CP121" s="452" t="str">
        <f t="shared" si="164"/>
        <v/>
      </c>
      <c r="CQ121" s="452" t="str">
        <f t="shared" si="164"/>
        <v/>
      </c>
      <c r="CR121" s="452" t="str">
        <f t="shared" si="164"/>
        <v/>
      </c>
      <c r="CS121" s="453" t="str">
        <f t="shared" si="164"/>
        <v/>
      </c>
      <c r="CT121" s="451" t="str">
        <f t="shared" si="164"/>
        <v/>
      </c>
      <c r="CU121" s="452" t="str">
        <f t="shared" si="164"/>
        <v/>
      </c>
      <c r="CV121" s="452" t="str">
        <f t="shared" si="164"/>
        <v/>
      </c>
      <c r="CW121" s="452" t="str">
        <f t="shared" si="164"/>
        <v/>
      </c>
      <c r="CX121" s="453" t="str">
        <f t="shared" si="164"/>
        <v/>
      </c>
      <c r="CY121" s="451" t="str">
        <f t="shared" si="164"/>
        <v/>
      </c>
      <c r="CZ121" s="452" t="str">
        <f t="shared" si="164"/>
        <v/>
      </c>
      <c r="DA121" s="452" t="str">
        <f t="shared" si="164"/>
        <v/>
      </c>
      <c r="DB121" s="452" t="str">
        <f t="shared" si="164"/>
        <v/>
      </c>
      <c r="DC121" s="453" t="str">
        <f t="shared" si="170"/>
        <v/>
      </c>
      <c r="DD121" s="451" t="str">
        <f t="shared" si="170"/>
        <v/>
      </c>
      <c r="DE121" s="452" t="str">
        <f t="shared" si="170"/>
        <v/>
      </c>
      <c r="DF121" s="452" t="str">
        <f t="shared" si="170"/>
        <v/>
      </c>
      <c r="DG121" s="452" t="str">
        <f t="shared" si="170"/>
        <v/>
      </c>
      <c r="DH121" s="453" t="str">
        <f t="shared" si="170"/>
        <v/>
      </c>
      <c r="DI121" s="451" t="str">
        <f t="shared" si="170"/>
        <v/>
      </c>
      <c r="DJ121" s="452" t="str">
        <f t="shared" si="170"/>
        <v/>
      </c>
      <c r="DK121" s="452" t="str">
        <f t="shared" si="170"/>
        <v/>
      </c>
      <c r="DL121" s="452" t="str">
        <f t="shared" si="170"/>
        <v/>
      </c>
      <c r="DM121" s="453" t="str">
        <f t="shared" si="170"/>
        <v/>
      </c>
      <c r="DN121" s="451" t="str">
        <f t="shared" si="170"/>
        <v/>
      </c>
      <c r="DO121" s="452" t="str">
        <f t="shared" si="170"/>
        <v/>
      </c>
      <c r="DP121" s="452" t="str">
        <f t="shared" si="170"/>
        <v/>
      </c>
      <c r="DQ121" s="452" t="str">
        <f t="shared" si="170"/>
        <v/>
      </c>
      <c r="DR121" s="453" t="str">
        <f t="shared" si="170"/>
        <v/>
      </c>
      <c r="DS121" s="451" t="str">
        <f t="shared" si="167"/>
        <v/>
      </c>
      <c r="DT121" s="452" t="str">
        <f t="shared" si="167"/>
        <v/>
      </c>
      <c r="DU121" s="452" t="str">
        <f t="shared" si="167"/>
        <v/>
      </c>
      <c r="DV121" s="452" t="str">
        <f t="shared" si="167"/>
        <v/>
      </c>
      <c r="DW121" s="453" t="str">
        <f t="shared" si="167"/>
        <v/>
      </c>
      <c r="DX121" s="451" t="str">
        <f t="shared" si="167"/>
        <v/>
      </c>
      <c r="DY121" s="452" t="str">
        <f t="shared" si="167"/>
        <v/>
      </c>
      <c r="DZ121" s="452" t="str">
        <f t="shared" si="167"/>
        <v/>
      </c>
      <c r="EA121" s="452" t="str">
        <f t="shared" si="167"/>
        <v/>
      </c>
      <c r="EB121" s="453" t="str">
        <f t="shared" si="167"/>
        <v/>
      </c>
      <c r="EC121" s="451" t="str">
        <f t="shared" si="167"/>
        <v/>
      </c>
      <c r="ED121" s="452" t="str">
        <f t="shared" si="167"/>
        <v/>
      </c>
      <c r="EE121" s="452" t="str">
        <f t="shared" si="167"/>
        <v/>
      </c>
      <c r="EF121" s="452" t="str">
        <f t="shared" si="167"/>
        <v/>
      </c>
      <c r="EG121" s="453" t="str">
        <f t="shared" si="167"/>
        <v/>
      </c>
      <c r="EH121" s="451" t="str">
        <f t="shared" si="177"/>
        <v/>
      </c>
      <c r="EI121" s="452" t="str">
        <f t="shared" si="177"/>
        <v/>
      </c>
      <c r="EJ121" s="452" t="str">
        <f t="shared" si="177"/>
        <v/>
      </c>
      <c r="EK121" s="452" t="str">
        <f t="shared" si="177"/>
        <v/>
      </c>
      <c r="EL121" s="453" t="str">
        <f t="shared" si="177"/>
        <v/>
      </c>
      <c r="EM121" s="451" t="str">
        <f t="shared" si="177"/>
        <v/>
      </c>
      <c r="EN121" s="452" t="str">
        <f t="shared" si="177"/>
        <v/>
      </c>
      <c r="EO121" s="452" t="str">
        <f t="shared" si="177"/>
        <v/>
      </c>
      <c r="EP121" s="452" t="str">
        <f t="shared" si="177"/>
        <v/>
      </c>
      <c r="EQ121" s="453" t="str">
        <f t="shared" si="177"/>
        <v/>
      </c>
      <c r="ER121" s="451" t="str">
        <f t="shared" si="177"/>
        <v/>
      </c>
      <c r="ES121" s="452" t="str">
        <f t="shared" si="177"/>
        <v/>
      </c>
      <c r="ET121" s="452" t="str">
        <f t="shared" si="177"/>
        <v/>
      </c>
      <c r="EU121" s="452" t="str">
        <f t="shared" si="177"/>
        <v/>
      </c>
      <c r="EV121" s="453" t="str">
        <f t="shared" si="177"/>
        <v/>
      </c>
      <c r="EW121" s="451" t="str">
        <f t="shared" si="177"/>
        <v/>
      </c>
      <c r="EX121" s="452" t="str">
        <f t="shared" si="178"/>
        <v/>
      </c>
      <c r="EY121" s="452" t="str">
        <f t="shared" si="178"/>
        <v/>
      </c>
      <c r="EZ121" s="452" t="str">
        <f t="shared" si="178"/>
        <v/>
      </c>
      <c r="FA121" s="453" t="str">
        <f t="shared" si="175"/>
        <v/>
      </c>
      <c r="FB121" s="451" t="str">
        <f t="shared" si="175"/>
        <v/>
      </c>
      <c r="FC121" s="452" t="str">
        <f t="shared" si="175"/>
        <v/>
      </c>
      <c r="FD121" s="452" t="str">
        <f t="shared" si="175"/>
        <v/>
      </c>
      <c r="FE121" s="452" t="str">
        <f t="shared" si="175"/>
        <v/>
      </c>
      <c r="FF121" s="453" t="str">
        <f t="shared" si="175"/>
        <v/>
      </c>
      <c r="FG121" s="451" t="str">
        <f t="shared" si="175"/>
        <v/>
      </c>
      <c r="FH121" s="452" t="str">
        <f t="shared" si="175"/>
        <v/>
      </c>
      <c r="FI121" s="452" t="str">
        <f t="shared" si="175"/>
        <v/>
      </c>
      <c r="FJ121" s="452" t="str">
        <f t="shared" si="175"/>
        <v/>
      </c>
      <c r="FK121" s="453" t="str">
        <f t="shared" si="175"/>
        <v/>
      </c>
      <c r="FL121" s="451" t="str">
        <f t="shared" si="175"/>
        <v/>
      </c>
      <c r="FM121" s="452" t="str">
        <f t="shared" si="175"/>
        <v/>
      </c>
      <c r="FN121" s="452" t="str">
        <f t="shared" si="175"/>
        <v/>
      </c>
      <c r="FO121" s="452" t="str">
        <f t="shared" si="175"/>
        <v/>
      </c>
      <c r="FP121" s="453" t="str">
        <f t="shared" si="160"/>
        <v/>
      </c>
      <c r="FQ121" s="451" t="str">
        <f t="shared" si="160"/>
        <v/>
      </c>
      <c r="FR121" s="452" t="str">
        <f t="shared" si="160"/>
        <v/>
      </c>
      <c r="FS121" s="452" t="str">
        <f t="shared" si="160"/>
        <v/>
      </c>
      <c r="FT121" s="452" t="str">
        <f t="shared" si="160"/>
        <v/>
      </c>
      <c r="FU121" s="453" t="str">
        <f t="shared" si="160"/>
        <v/>
      </c>
      <c r="FV121" s="451" t="str">
        <f t="shared" si="160"/>
        <v/>
      </c>
      <c r="FW121" s="452" t="str">
        <f t="shared" si="160"/>
        <v/>
      </c>
      <c r="FX121" s="452" t="str">
        <f t="shared" si="160"/>
        <v/>
      </c>
      <c r="FY121" s="452" t="str">
        <f t="shared" si="160"/>
        <v/>
      </c>
      <c r="FZ121" s="453" t="str">
        <f t="shared" si="160"/>
        <v/>
      </c>
      <c r="GA121" s="451" t="str">
        <f t="shared" si="160"/>
        <v/>
      </c>
      <c r="GB121" s="452" t="str">
        <f t="shared" si="160"/>
        <v/>
      </c>
      <c r="GC121" s="452" t="str">
        <f t="shared" si="160"/>
        <v/>
      </c>
      <c r="GD121" s="452" t="str">
        <f t="shared" si="160"/>
        <v/>
      </c>
      <c r="GE121" s="453" t="str">
        <f t="shared" si="160"/>
        <v/>
      </c>
      <c r="GF121" s="451" t="str">
        <f t="shared" si="179"/>
        <v/>
      </c>
      <c r="GG121" s="452" t="str">
        <f t="shared" si="179"/>
        <v/>
      </c>
      <c r="GH121" s="452" t="str">
        <f t="shared" si="179"/>
        <v/>
      </c>
      <c r="GI121" s="452" t="str">
        <f t="shared" si="179"/>
        <v/>
      </c>
      <c r="GJ121" s="453" t="str">
        <f t="shared" si="179"/>
        <v/>
      </c>
      <c r="GK121" s="451" t="str">
        <f t="shared" si="179"/>
        <v/>
      </c>
      <c r="GL121" s="452" t="str">
        <f t="shared" si="179"/>
        <v/>
      </c>
      <c r="GM121" s="452" t="str">
        <f t="shared" si="179"/>
        <v/>
      </c>
      <c r="GN121" s="452" t="str">
        <f t="shared" si="179"/>
        <v/>
      </c>
      <c r="GO121" s="453" t="str">
        <f t="shared" si="176"/>
        <v/>
      </c>
      <c r="GP121" s="451" t="str">
        <f t="shared" si="176"/>
        <v/>
      </c>
      <c r="GQ121" s="452" t="str">
        <f t="shared" si="176"/>
        <v/>
      </c>
      <c r="GR121" s="452" t="str">
        <f t="shared" si="176"/>
        <v/>
      </c>
      <c r="GS121" s="452" t="str">
        <f t="shared" si="176"/>
        <v/>
      </c>
      <c r="GT121" s="453" t="str">
        <f t="shared" si="176"/>
        <v/>
      </c>
      <c r="GU121" s="451" t="str">
        <f t="shared" si="176"/>
        <v/>
      </c>
      <c r="GV121" s="452" t="str">
        <f t="shared" si="176"/>
        <v/>
      </c>
      <c r="GW121" s="452" t="str">
        <f t="shared" si="176"/>
        <v/>
      </c>
      <c r="GX121" s="452" t="str">
        <f t="shared" si="176"/>
        <v/>
      </c>
      <c r="GY121" s="453" t="str">
        <f t="shared" si="176"/>
        <v/>
      </c>
      <c r="GZ121" s="451" t="str">
        <f t="shared" si="176"/>
        <v/>
      </c>
      <c r="HA121" s="452" t="str">
        <f t="shared" si="176"/>
        <v/>
      </c>
      <c r="HB121" s="452" t="str">
        <f t="shared" si="176"/>
        <v/>
      </c>
      <c r="HC121" s="452" t="str">
        <f t="shared" si="176"/>
        <v/>
      </c>
      <c r="HD121" s="453" t="str">
        <f t="shared" si="176"/>
        <v/>
      </c>
      <c r="HE121" s="451" t="str">
        <f t="shared" si="176"/>
        <v/>
      </c>
      <c r="HF121" s="452" t="str">
        <f t="shared" si="183"/>
        <v/>
      </c>
      <c r="HG121" s="452" t="str">
        <f t="shared" si="183"/>
        <v/>
      </c>
      <c r="HH121" s="452" t="str">
        <f t="shared" si="183"/>
        <v/>
      </c>
      <c r="HI121" s="453" t="str">
        <f t="shared" si="183"/>
        <v/>
      </c>
      <c r="HJ121" s="451" t="str">
        <f t="shared" si="183"/>
        <v/>
      </c>
      <c r="HK121" s="452" t="str">
        <f t="shared" si="183"/>
        <v/>
      </c>
      <c r="HL121" s="452" t="str">
        <f t="shared" si="183"/>
        <v/>
      </c>
      <c r="HM121" s="452" t="str">
        <f t="shared" si="183"/>
        <v/>
      </c>
      <c r="HN121" s="453" t="str">
        <f t="shared" si="183"/>
        <v/>
      </c>
      <c r="HO121" s="451" t="str">
        <f t="shared" si="183"/>
        <v/>
      </c>
      <c r="HP121" s="452" t="str">
        <f t="shared" si="183"/>
        <v/>
      </c>
      <c r="HQ121" s="452" t="str">
        <f t="shared" si="183"/>
        <v/>
      </c>
      <c r="HR121" s="452" t="str">
        <f t="shared" si="183"/>
        <v/>
      </c>
      <c r="HS121" s="453" t="str">
        <f t="shared" si="183"/>
        <v/>
      </c>
      <c r="HT121" s="451" t="str">
        <f t="shared" si="183"/>
        <v/>
      </c>
      <c r="HU121" s="452" t="str">
        <f t="shared" si="163"/>
        <v/>
      </c>
      <c r="HV121" s="452" t="str">
        <f t="shared" si="163"/>
        <v/>
      </c>
      <c r="HW121" s="452" t="str">
        <f t="shared" si="163"/>
        <v/>
      </c>
      <c r="HX121" s="453" t="str">
        <f t="shared" si="163"/>
        <v/>
      </c>
      <c r="HY121" s="451" t="str">
        <f t="shared" si="163"/>
        <v/>
      </c>
      <c r="HZ121" s="452" t="str">
        <f t="shared" si="163"/>
        <v/>
      </c>
      <c r="IA121" s="452" t="str">
        <f t="shared" si="163"/>
        <v/>
      </c>
      <c r="IB121" s="452" t="str">
        <f t="shared" si="163"/>
        <v/>
      </c>
      <c r="IC121" s="453" t="str">
        <f t="shared" si="162"/>
        <v/>
      </c>
      <c r="ID121" s="451" t="str">
        <f t="shared" si="162"/>
        <v/>
      </c>
      <c r="IE121" s="452" t="str">
        <f t="shared" si="162"/>
        <v/>
      </c>
      <c r="IF121" s="452" t="str">
        <f t="shared" si="162"/>
        <v/>
      </c>
      <c r="IG121" s="452" t="str">
        <f t="shared" si="162"/>
        <v/>
      </c>
      <c r="IH121" s="453" t="str">
        <f t="shared" si="162"/>
        <v/>
      </c>
      <c r="II121" s="451" t="str">
        <f t="shared" si="162"/>
        <v/>
      </c>
      <c r="IJ121" s="452" t="str">
        <f t="shared" si="162"/>
        <v/>
      </c>
      <c r="IK121" s="452" t="str">
        <f t="shared" si="162"/>
        <v/>
      </c>
      <c r="IL121" s="452" t="str">
        <f t="shared" si="162"/>
        <v/>
      </c>
      <c r="IM121" s="453" t="str">
        <f t="shared" si="162"/>
        <v/>
      </c>
      <c r="IN121" s="451" t="str">
        <f t="shared" si="162"/>
        <v/>
      </c>
      <c r="IO121" s="452" t="str">
        <f t="shared" si="168"/>
        <v/>
      </c>
      <c r="IP121" s="452" t="str">
        <f t="shared" si="168"/>
        <v/>
      </c>
      <c r="IQ121" s="452" t="str">
        <f t="shared" si="168"/>
        <v/>
      </c>
      <c r="IR121" s="453" t="str">
        <f t="shared" si="168"/>
        <v/>
      </c>
    </row>
    <row r="122" spans="1:252" x14ac:dyDescent="0.2">
      <c r="A122" s="461">
        <v>11.8</v>
      </c>
      <c r="C122" s="447" t="s">
        <v>1358</v>
      </c>
      <c r="D122" s="447"/>
      <c r="E122" s="448"/>
      <c r="F122" s="448"/>
      <c r="G122" s="448"/>
      <c r="H122" s="448"/>
      <c r="I122" s="448"/>
      <c r="J122" s="449" t="str">
        <f t="shared" si="172"/>
        <v/>
      </c>
      <c r="K122" s="449" t="str">
        <f t="shared" si="173"/>
        <v/>
      </c>
      <c r="L122" s="450">
        <f t="shared" si="171"/>
        <v>0</v>
      </c>
      <c r="M122" s="451" t="str">
        <f t="shared" si="161"/>
        <v/>
      </c>
      <c r="N122" s="452" t="str">
        <f t="shared" si="161"/>
        <v/>
      </c>
      <c r="O122" s="452" t="str">
        <f t="shared" si="161"/>
        <v/>
      </c>
      <c r="P122" s="452" t="str">
        <f t="shared" si="161"/>
        <v/>
      </c>
      <c r="Q122" s="453" t="str">
        <f t="shared" si="161"/>
        <v/>
      </c>
      <c r="R122" s="451" t="str">
        <f t="shared" si="161"/>
        <v/>
      </c>
      <c r="S122" s="452" t="str">
        <f t="shared" si="161"/>
        <v/>
      </c>
      <c r="T122" s="452" t="str">
        <f t="shared" si="161"/>
        <v/>
      </c>
      <c r="U122" s="452" t="str">
        <f t="shared" si="161"/>
        <v/>
      </c>
      <c r="V122" s="453" t="str">
        <f t="shared" si="161"/>
        <v/>
      </c>
      <c r="W122" s="451" t="str">
        <f t="shared" si="161"/>
        <v/>
      </c>
      <c r="X122" s="452" t="str">
        <f t="shared" si="161"/>
        <v/>
      </c>
      <c r="Y122" s="452" t="str">
        <f t="shared" si="161"/>
        <v/>
      </c>
      <c r="Z122" s="452" t="str">
        <f t="shared" si="161"/>
        <v/>
      </c>
      <c r="AA122" s="453" t="str">
        <f t="shared" si="161"/>
        <v/>
      </c>
      <c r="AB122" s="451" t="str">
        <f t="shared" si="161"/>
        <v/>
      </c>
      <c r="AC122" s="452" t="str">
        <f t="shared" si="169"/>
        <v/>
      </c>
      <c r="AD122" s="452" t="str">
        <f t="shared" si="169"/>
        <v/>
      </c>
      <c r="AE122" s="452" t="str">
        <f t="shared" si="169"/>
        <v/>
      </c>
      <c r="AF122" s="453" t="str">
        <f t="shared" si="169"/>
        <v/>
      </c>
      <c r="AG122" s="451" t="str">
        <f t="shared" si="169"/>
        <v/>
      </c>
      <c r="AH122" s="452" t="str">
        <f t="shared" si="169"/>
        <v/>
      </c>
      <c r="AI122" s="452" t="str">
        <f t="shared" si="169"/>
        <v/>
      </c>
      <c r="AJ122" s="452" t="str">
        <f t="shared" si="169"/>
        <v/>
      </c>
      <c r="AK122" s="453" t="str">
        <f t="shared" si="169"/>
        <v/>
      </c>
      <c r="AL122" s="451" t="str">
        <f t="shared" si="169"/>
        <v/>
      </c>
      <c r="AM122" s="452" t="str">
        <f t="shared" si="169"/>
        <v/>
      </c>
      <c r="AN122" s="452" t="str">
        <f t="shared" si="169"/>
        <v/>
      </c>
      <c r="AO122" s="452" t="str">
        <f t="shared" si="169"/>
        <v/>
      </c>
      <c r="AP122" s="453" t="str">
        <f t="shared" si="169"/>
        <v/>
      </c>
      <c r="AQ122" s="451" t="str">
        <f t="shared" si="169"/>
        <v/>
      </c>
      <c r="AR122" s="452" t="str">
        <f t="shared" si="169"/>
        <v/>
      </c>
      <c r="AS122" s="452" t="str">
        <f t="shared" si="165"/>
        <v/>
      </c>
      <c r="AT122" s="452" t="str">
        <f t="shared" si="165"/>
        <v/>
      </c>
      <c r="AU122" s="453" t="str">
        <f t="shared" si="165"/>
        <v/>
      </c>
      <c r="AV122" s="451" t="str">
        <f t="shared" si="165"/>
        <v/>
      </c>
      <c r="AW122" s="452" t="str">
        <f t="shared" si="165"/>
        <v/>
      </c>
      <c r="AX122" s="452" t="str">
        <f t="shared" si="165"/>
        <v/>
      </c>
      <c r="AY122" s="452" t="str">
        <f t="shared" si="165"/>
        <v/>
      </c>
      <c r="AZ122" s="453" t="str">
        <f t="shared" si="165"/>
        <v/>
      </c>
      <c r="BA122" s="451" t="str">
        <f t="shared" si="165"/>
        <v/>
      </c>
      <c r="BB122" s="452" t="str">
        <f t="shared" si="165"/>
        <v/>
      </c>
      <c r="BC122" s="452" t="str">
        <f t="shared" si="165"/>
        <v/>
      </c>
      <c r="BD122" s="452" t="str">
        <f t="shared" si="165"/>
        <v/>
      </c>
      <c r="BE122" s="453" t="str">
        <f t="shared" si="165"/>
        <v/>
      </c>
      <c r="BF122" s="451" t="str">
        <f t="shared" si="165"/>
        <v/>
      </c>
      <c r="BG122" s="452" t="str">
        <f t="shared" si="165"/>
        <v/>
      </c>
      <c r="BH122" s="452" t="str">
        <f t="shared" si="181"/>
        <v/>
      </c>
      <c r="BI122" s="452" t="str">
        <f t="shared" si="181"/>
        <v/>
      </c>
      <c r="BJ122" s="453" t="str">
        <f t="shared" si="181"/>
        <v/>
      </c>
      <c r="BK122" s="451" t="str">
        <f t="shared" si="181"/>
        <v/>
      </c>
      <c r="BL122" s="452" t="str">
        <f t="shared" si="181"/>
        <v/>
      </c>
      <c r="BM122" s="452" t="str">
        <f t="shared" si="181"/>
        <v/>
      </c>
      <c r="BN122" s="452" t="str">
        <f t="shared" si="181"/>
        <v/>
      </c>
      <c r="BO122" s="453" t="str">
        <f t="shared" si="181"/>
        <v/>
      </c>
      <c r="BP122" s="451" t="str">
        <f t="shared" si="181"/>
        <v/>
      </c>
      <c r="BQ122" s="452" t="str">
        <f t="shared" si="181"/>
        <v/>
      </c>
      <c r="BR122" s="452" t="str">
        <f t="shared" si="181"/>
        <v/>
      </c>
      <c r="BS122" s="452" t="str">
        <f t="shared" si="181"/>
        <v/>
      </c>
      <c r="BT122" s="453" t="str">
        <f t="shared" si="181"/>
        <v/>
      </c>
      <c r="BU122" s="451" t="str">
        <f t="shared" si="181"/>
        <v/>
      </c>
      <c r="BV122" s="452" t="str">
        <f t="shared" si="181"/>
        <v/>
      </c>
      <c r="BW122" s="452" t="str">
        <f t="shared" si="181"/>
        <v/>
      </c>
      <c r="BX122" s="452" t="str">
        <f t="shared" si="166"/>
        <v/>
      </c>
      <c r="BY122" s="453" t="str">
        <f t="shared" si="166"/>
        <v/>
      </c>
      <c r="BZ122" s="451" t="str">
        <f t="shared" si="166"/>
        <v/>
      </c>
      <c r="CA122" s="452" t="str">
        <f t="shared" si="166"/>
        <v/>
      </c>
      <c r="CB122" s="452" t="str">
        <f t="shared" si="166"/>
        <v/>
      </c>
      <c r="CC122" s="452" t="str">
        <f t="shared" si="166"/>
        <v/>
      </c>
      <c r="CD122" s="453" t="str">
        <f t="shared" si="166"/>
        <v/>
      </c>
      <c r="CE122" s="451" t="str">
        <f t="shared" si="166"/>
        <v/>
      </c>
      <c r="CF122" s="452" t="str">
        <f t="shared" si="166"/>
        <v/>
      </c>
      <c r="CG122" s="452" t="str">
        <f t="shared" si="166"/>
        <v/>
      </c>
      <c r="CH122" s="452" t="str">
        <f t="shared" si="166"/>
        <v/>
      </c>
      <c r="CI122" s="453" t="str">
        <f t="shared" si="166"/>
        <v/>
      </c>
      <c r="CJ122" s="451" t="str">
        <f t="shared" si="166"/>
        <v/>
      </c>
      <c r="CK122" s="452" t="str">
        <f t="shared" si="166"/>
        <v/>
      </c>
      <c r="CL122" s="452" t="str">
        <f t="shared" si="166"/>
        <v/>
      </c>
      <c r="CM122" s="452" t="str">
        <f t="shared" si="164"/>
        <v/>
      </c>
      <c r="CN122" s="453" t="str">
        <f t="shared" si="164"/>
        <v/>
      </c>
      <c r="CO122" s="451" t="str">
        <f t="shared" si="164"/>
        <v/>
      </c>
      <c r="CP122" s="452" t="str">
        <f t="shared" si="164"/>
        <v/>
      </c>
      <c r="CQ122" s="452" t="str">
        <f t="shared" si="164"/>
        <v/>
      </c>
      <c r="CR122" s="452" t="str">
        <f t="shared" si="164"/>
        <v/>
      </c>
      <c r="CS122" s="453" t="str">
        <f t="shared" si="164"/>
        <v/>
      </c>
      <c r="CT122" s="451" t="str">
        <f t="shared" si="164"/>
        <v/>
      </c>
      <c r="CU122" s="452" t="str">
        <f t="shared" si="164"/>
        <v/>
      </c>
      <c r="CV122" s="452" t="str">
        <f t="shared" si="164"/>
        <v/>
      </c>
      <c r="CW122" s="452" t="str">
        <f t="shared" si="164"/>
        <v/>
      </c>
      <c r="CX122" s="453" t="str">
        <f t="shared" si="164"/>
        <v/>
      </c>
      <c r="CY122" s="451" t="str">
        <f t="shared" si="164"/>
        <v/>
      </c>
      <c r="CZ122" s="452" t="str">
        <f t="shared" si="164"/>
        <v/>
      </c>
      <c r="DA122" s="452" t="str">
        <f t="shared" si="164"/>
        <v/>
      </c>
      <c r="DB122" s="452" t="str">
        <f t="shared" si="164"/>
        <v/>
      </c>
      <c r="DC122" s="453" t="str">
        <f t="shared" si="170"/>
        <v/>
      </c>
      <c r="DD122" s="451" t="str">
        <f t="shared" si="170"/>
        <v/>
      </c>
      <c r="DE122" s="452" t="str">
        <f t="shared" si="170"/>
        <v/>
      </c>
      <c r="DF122" s="452" t="str">
        <f t="shared" si="170"/>
        <v/>
      </c>
      <c r="DG122" s="452" t="str">
        <f t="shared" si="170"/>
        <v/>
      </c>
      <c r="DH122" s="453" t="str">
        <f t="shared" si="170"/>
        <v/>
      </c>
      <c r="DI122" s="451" t="str">
        <f t="shared" si="170"/>
        <v/>
      </c>
      <c r="DJ122" s="452" t="str">
        <f t="shared" si="170"/>
        <v/>
      </c>
      <c r="DK122" s="452" t="str">
        <f t="shared" si="170"/>
        <v/>
      </c>
      <c r="DL122" s="452" t="str">
        <f t="shared" si="170"/>
        <v/>
      </c>
      <c r="DM122" s="453" t="str">
        <f t="shared" si="170"/>
        <v/>
      </c>
      <c r="DN122" s="451" t="str">
        <f t="shared" si="170"/>
        <v/>
      </c>
      <c r="DO122" s="452" t="str">
        <f t="shared" si="170"/>
        <v/>
      </c>
      <c r="DP122" s="452" t="str">
        <f t="shared" si="170"/>
        <v/>
      </c>
      <c r="DQ122" s="452" t="str">
        <f t="shared" si="170"/>
        <v/>
      </c>
      <c r="DR122" s="453" t="str">
        <f t="shared" si="170"/>
        <v/>
      </c>
      <c r="DS122" s="451" t="str">
        <f t="shared" si="167"/>
        <v/>
      </c>
      <c r="DT122" s="452" t="str">
        <f t="shared" si="167"/>
        <v/>
      </c>
      <c r="DU122" s="452" t="str">
        <f t="shared" si="167"/>
        <v/>
      </c>
      <c r="DV122" s="452" t="str">
        <f t="shared" si="167"/>
        <v/>
      </c>
      <c r="DW122" s="453" t="str">
        <f t="shared" si="167"/>
        <v/>
      </c>
      <c r="DX122" s="451" t="str">
        <f t="shared" si="167"/>
        <v/>
      </c>
      <c r="DY122" s="452" t="str">
        <f t="shared" si="167"/>
        <v/>
      </c>
      <c r="DZ122" s="452" t="str">
        <f t="shared" si="167"/>
        <v/>
      </c>
      <c r="EA122" s="452" t="str">
        <f t="shared" si="167"/>
        <v/>
      </c>
      <c r="EB122" s="453" t="str">
        <f t="shared" si="167"/>
        <v/>
      </c>
      <c r="EC122" s="451" t="str">
        <f t="shared" si="167"/>
        <v/>
      </c>
      <c r="ED122" s="452" t="str">
        <f t="shared" si="167"/>
        <v/>
      </c>
      <c r="EE122" s="452" t="str">
        <f t="shared" si="167"/>
        <v/>
      </c>
      <c r="EF122" s="452" t="str">
        <f t="shared" si="167"/>
        <v/>
      </c>
      <c r="EG122" s="453" t="str">
        <f t="shared" si="167"/>
        <v/>
      </c>
      <c r="EH122" s="451" t="str">
        <f t="shared" si="177"/>
        <v/>
      </c>
      <c r="EI122" s="452" t="str">
        <f t="shared" si="177"/>
        <v/>
      </c>
      <c r="EJ122" s="452" t="str">
        <f t="shared" si="177"/>
        <v/>
      </c>
      <c r="EK122" s="452" t="str">
        <f t="shared" si="177"/>
        <v/>
      </c>
      <c r="EL122" s="453" t="str">
        <f t="shared" si="177"/>
        <v/>
      </c>
      <c r="EM122" s="451" t="str">
        <f t="shared" si="177"/>
        <v/>
      </c>
      <c r="EN122" s="452" t="str">
        <f t="shared" si="177"/>
        <v/>
      </c>
      <c r="EO122" s="452" t="str">
        <f t="shared" si="177"/>
        <v/>
      </c>
      <c r="EP122" s="452" t="str">
        <f t="shared" si="177"/>
        <v/>
      </c>
      <c r="EQ122" s="453" t="str">
        <f t="shared" si="177"/>
        <v/>
      </c>
      <c r="ER122" s="451" t="str">
        <f t="shared" si="177"/>
        <v/>
      </c>
      <c r="ES122" s="452" t="str">
        <f t="shared" si="177"/>
        <v/>
      </c>
      <c r="ET122" s="452" t="str">
        <f t="shared" si="177"/>
        <v/>
      </c>
      <c r="EU122" s="452" t="str">
        <f t="shared" si="177"/>
        <v/>
      </c>
      <c r="EV122" s="453" t="str">
        <f t="shared" si="177"/>
        <v/>
      </c>
      <c r="EW122" s="451" t="str">
        <f t="shared" si="177"/>
        <v/>
      </c>
      <c r="EX122" s="452" t="str">
        <f t="shared" si="178"/>
        <v/>
      </c>
      <c r="EY122" s="452" t="str">
        <f t="shared" si="178"/>
        <v/>
      </c>
      <c r="EZ122" s="452" t="str">
        <f t="shared" si="178"/>
        <v/>
      </c>
      <c r="FA122" s="453" t="str">
        <f t="shared" si="175"/>
        <v/>
      </c>
      <c r="FB122" s="451" t="str">
        <f t="shared" si="175"/>
        <v/>
      </c>
      <c r="FC122" s="452" t="str">
        <f t="shared" si="175"/>
        <v/>
      </c>
      <c r="FD122" s="452" t="str">
        <f t="shared" si="175"/>
        <v/>
      </c>
      <c r="FE122" s="452" t="str">
        <f t="shared" si="175"/>
        <v/>
      </c>
      <c r="FF122" s="453" t="str">
        <f t="shared" si="175"/>
        <v/>
      </c>
      <c r="FG122" s="451" t="str">
        <f t="shared" si="175"/>
        <v/>
      </c>
      <c r="FH122" s="452" t="str">
        <f t="shared" si="175"/>
        <v/>
      </c>
      <c r="FI122" s="452" t="str">
        <f t="shared" si="175"/>
        <v/>
      </c>
      <c r="FJ122" s="452" t="str">
        <f t="shared" si="175"/>
        <v/>
      </c>
      <c r="FK122" s="453" t="str">
        <f t="shared" si="175"/>
        <v/>
      </c>
      <c r="FL122" s="451" t="str">
        <f t="shared" si="175"/>
        <v/>
      </c>
      <c r="FM122" s="452" t="str">
        <f t="shared" si="175"/>
        <v/>
      </c>
      <c r="FN122" s="452" t="str">
        <f t="shared" si="175"/>
        <v/>
      </c>
      <c r="FO122" s="452" t="str">
        <f t="shared" si="175"/>
        <v/>
      </c>
      <c r="FP122" s="453" t="str">
        <f t="shared" si="160"/>
        <v/>
      </c>
      <c r="FQ122" s="451" t="str">
        <f t="shared" si="160"/>
        <v/>
      </c>
      <c r="FR122" s="452" t="str">
        <f t="shared" si="160"/>
        <v/>
      </c>
      <c r="FS122" s="452" t="str">
        <f t="shared" si="160"/>
        <v/>
      </c>
      <c r="FT122" s="452" t="str">
        <f t="shared" si="160"/>
        <v/>
      </c>
      <c r="FU122" s="453" t="str">
        <f t="shared" si="160"/>
        <v/>
      </c>
      <c r="FV122" s="451" t="str">
        <f t="shared" si="160"/>
        <v/>
      </c>
      <c r="FW122" s="452" t="str">
        <f t="shared" si="160"/>
        <v/>
      </c>
      <c r="FX122" s="452" t="str">
        <f t="shared" si="160"/>
        <v/>
      </c>
      <c r="FY122" s="452" t="str">
        <f t="shared" si="160"/>
        <v/>
      </c>
      <c r="FZ122" s="453" t="str">
        <f t="shared" si="160"/>
        <v/>
      </c>
      <c r="GA122" s="451" t="str">
        <f t="shared" si="160"/>
        <v/>
      </c>
      <c r="GB122" s="452" t="str">
        <f t="shared" si="160"/>
        <v/>
      </c>
      <c r="GC122" s="452" t="str">
        <f t="shared" si="160"/>
        <v/>
      </c>
      <c r="GD122" s="452" t="str">
        <f t="shared" si="160"/>
        <v/>
      </c>
      <c r="GE122" s="453" t="str">
        <f t="shared" si="160"/>
        <v/>
      </c>
      <c r="GF122" s="451" t="str">
        <f t="shared" si="179"/>
        <v/>
      </c>
      <c r="GG122" s="452" t="str">
        <f t="shared" si="179"/>
        <v/>
      </c>
      <c r="GH122" s="452" t="str">
        <f t="shared" si="179"/>
        <v/>
      </c>
      <c r="GI122" s="452" t="str">
        <f t="shared" si="179"/>
        <v/>
      </c>
      <c r="GJ122" s="453" t="str">
        <f t="shared" si="179"/>
        <v/>
      </c>
      <c r="GK122" s="451" t="str">
        <f t="shared" si="179"/>
        <v/>
      </c>
      <c r="GL122" s="452" t="str">
        <f t="shared" si="179"/>
        <v/>
      </c>
      <c r="GM122" s="452" t="str">
        <f t="shared" si="179"/>
        <v/>
      </c>
      <c r="GN122" s="452" t="str">
        <f t="shared" si="179"/>
        <v/>
      </c>
      <c r="GO122" s="453" t="str">
        <f t="shared" si="176"/>
        <v/>
      </c>
      <c r="GP122" s="451" t="str">
        <f t="shared" si="176"/>
        <v/>
      </c>
      <c r="GQ122" s="452" t="str">
        <f t="shared" si="176"/>
        <v/>
      </c>
      <c r="GR122" s="452" t="str">
        <f t="shared" si="176"/>
        <v/>
      </c>
      <c r="GS122" s="452" t="str">
        <f t="shared" si="176"/>
        <v/>
      </c>
      <c r="GT122" s="453" t="str">
        <f t="shared" si="176"/>
        <v/>
      </c>
      <c r="GU122" s="451" t="str">
        <f t="shared" si="176"/>
        <v/>
      </c>
      <c r="GV122" s="452" t="str">
        <f t="shared" si="176"/>
        <v/>
      </c>
      <c r="GW122" s="452" t="str">
        <f t="shared" si="176"/>
        <v/>
      </c>
      <c r="GX122" s="452" t="str">
        <f t="shared" si="176"/>
        <v/>
      </c>
      <c r="GY122" s="453" t="str">
        <f t="shared" si="176"/>
        <v/>
      </c>
      <c r="GZ122" s="451" t="str">
        <f t="shared" si="176"/>
        <v/>
      </c>
      <c r="HA122" s="452" t="str">
        <f t="shared" si="176"/>
        <v/>
      </c>
      <c r="HB122" s="452" t="str">
        <f t="shared" si="176"/>
        <v/>
      </c>
      <c r="HC122" s="452" t="str">
        <f t="shared" si="176"/>
        <v/>
      </c>
      <c r="HD122" s="453" t="str">
        <f t="shared" si="176"/>
        <v/>
      </c>
      <c r="HE122" s="451" t="str">
        <f t="shared" si="176"/>
        <v/>
      </c>
      <c r="HF122" s="452" t="str">
        <f t="shared" si="183"/>
        <v/>
      </c>
      <c r="HG122" s="452" t="str">
        <f t="shared" si="183"/>
        <v/>
      </c>
      <c r="HH122" s="452" t="str">
        <f t="shared" si="183"/>
        <v/>
      </c>
      <c r="HI122" s="453" t="str">
        <f t="shared" si="183"/>
        <v/>
      </c>
      <c r="HJ122" s="451" t="str">
        <f t="shared" si="183"/>
        <v/>
      </c>
      <c r="HK122" s="452" t="str">
        <f t="shared" si="183"/>
        <v/>
      </c>
      <c r="HL122" s="452" t="str">
        <f t="shared" si="183"/>
        <v/>
      </c>
      <c r="HM122" s="452" t="str">
        <f t="shared" si="183"/>
        <v/>
      </c>
      <c r="HN122" s="453" t="str">
        <f t="shared" si="183"/>
        <v/>
      </c>
      <c r="HO122" s="451" t="str">
        <f t="shared" si="183"/>
        <v/>
      </c>
      <c r="HP122" s="452" t="str">
        <f t="shared" si="183"/>
        <v/>
      </c>
      <c r="HQ122" s="452" t="str">
        <f t="shared" si="183"/>
        <v/>
      </c>
      <c r="HR122" s="452" t="str">
        <f t="shared" si="183"/>
        <v/>
      </c>
      <c r="HS122" s="453" t="str">
        <f t="shared" si="183"/>
        <v/>
      </c>
      <c r="HT122" s="451" t="str">
        <f t="shared" si="183"/>
        <v/>
      </c>
      <c r="HU122" s="452" t="str">
        <f t="shared" si="163"/>
        <v/>
      </c>
      <c r="HV122" s="452" t="str">
        <f t="shared" si="163"/>
        <v/>
      </c>
      <c r="HW122" s="452" t="str">
        <f t="shared" si="163"/>
        <v/>
      </c>
      <c r="HX122" s="453" t="str">
        <f t="shared" si="163"/>
        <v/>
      </c>
      <c r="HY122" s="451" t="str">
        <f t="shared" si="163"/>
        <v/>
      </c>
      <c r="HZ122" s="452" t="str">
        <f t="shared" si="163"/>
        <v/>
      </c>
      <c r="IA122" s="452" t="str">
        <f t="shared" si="163"/>
        <v/>
      </c>
      <c r="IB122" s="452" t="str">
        <f t="shared" si="163"/>
        <v/>
      </c>
      <c r="IC122" s="453" t="str">
        <f t="shared" si="162"/>
        <v/>
      </c>
      <c r="ID122" s="451" t="str">
        <f t="shared" si="162"/>
        <v/>
      </c>
      <c r="IE122" s="452" t="str">
        <f t="shared" si="162"/>
        <v/>
      </c>
      <c r="IF122" s="452" t="str">
        <f t="shared" si="162"/>
        <v/>
      </c>
      <c r="IG122" s="452" t="str">
        <f t="shared" si="162"/>
        <v/>
      </c>
      <c r="IH122" s="453" t="str">
        <f t="shared" si="162"/>
        <v/>
      </c>
      <c r="II122" s="451" t="str">
        <f t="shared" si="162"/>
        <v/>
      </c>
      <c r="IJ122" s="452" t="str">
        <f t="shared" si="162"/>
        <v/>
      </c>
      <c r="IK122" s="452" t="str">
        <f t="shared" si="162"/>
        <v/>
      </c>
      <c r="IL122" s="452" t="str">
        <f t="shared" si="162"/>
        <v/>
      </c>
      <c r="IM122" s="453" t="str">
        <f t="shared" si="162"/>
        <v/>
      </c>
      <c r="IN122" s="451" t="str">
        <f t="shared" si="162"/>
        <v/>
      </c>
      <c r="IO122" s="452" t="str">
        <f t="shared" si="168"/>
        <v/>
      </c>
      <c r="IP122" s="452" t="str">
        <f t="shared" si="168"/>
        <v/>
      </c>
      <c r="IQ122" s="452" t="str">
        <f t="shared" si="168"/>
        <v/>
      </c>
      <c r="IR122" s="453" t="str">
        <f t="shared" si="168"/>
        <v/>
      </c>
    </row>
    <row r="123" spans="1:252" x14ac:dyDescent="0.2">
      <c r="A123" s="461">
        <v>11.9</v>
      </c>
      <c r="C123" s="447" t="s">
        <v>1359</v>
      </c>
      <c r="D123" s="447"/>
      <c r="E123" s="448"/>
      <c r="F123" s="448"/>
      <c r="G123" s="448"/>
      <c r="H123" s="448"/>
      <c r="I123" s="448"/>
      <c r="J123" s="449" t="str">
        <f t="shared" si="172"/>
        <v/>
      </c>
      <c r="K123" s="449" t="str">
        <f t="shared" si="173"/>
        <v/>
      </c>
      <c r="L123" s="450">
        <f t="shared" si="171"/>
        <v>0</v>
      </c>
      <c r="M123" s="451" t="str">
        <f t="shared" si="161"/>
        <v/>
      </c>
      <c r="N123" s="452" t="str">
        <f t="shared" si="161"/>
        <v/>
      </c>
      <c r="O123" s="452" t="str">
        <f t="shared" si="161"/>
        <v/>
      </c>
      <c r="P123" s="452" t="str">
        <f t="shared" si="161"/>
        <v/>
      </c>
      <c r="Q123" s="453" t="str">
        <f t="shared" si="161"/>
        <v/>
      </c>
      <c r="R123" s="451" t="str">
        <f t="shared" si="161"/>
        <v/>
      </c>
      <c r="S123" s="452" t="str">
        <f t="shared" si="161"/>
        <v/>
      </c>
      <c r="T123" s="452" t="str">
        <f t="shared" si="161"/>
        <v/>
      </c>
      <c r="U123" s="452" t="str">
        <f t="shared" si="161"/>
        <v/>
      </c>
      <c r="V123" s="453" t="str">
        <f t="shared" si="161"/>
        <v/>
      </c>
      <c r="W123" s="451" t="str">
        <f t="shared" si="161"/>
        <v/>
      </c>
      <c r="X123" s="452" t="str">
        <f t="shared" si="161"/>
        <v/>
      </c>
      <c r="Y123" s="452" t="str">
        <f t="shared" si="161"/>
        <v/>
      </c>
      <c r="Z123" s="452" t="str">
        <f t="shared" si="161"/>
        <v/>
      </c>
      <c r="AA123" s="453" t="str">
        <f t="shared" si="161"/>
        <v/>
      </c>
      <c r="AB123" s="451" t="str">
        <f t="shared" ref="AB123" si="184">IF(AND(AB$2&gt;=$J123,AB$2&lt;=$K123),1,"")</f>
        <v/>
      </c>
      <c r="AC123" s="452" t="str">
        <f t="shared" si="169"/>
        <v/>
      </c>
      <c r="AD123" s="452" t="str">
        <f t="shared" si="169"/>
        <v/>
      </c>
      <c r="AE123" s="452" t="str">
        <f t="shared" si="169"/>
        <v/>
      </c>
      <c r="AF123" s="453" t="str">
        <f t="shared" si="169"/>
        <v/>
      </c>
      <c r="AG123" s="451" t="str">
        <f t="shared" si="169"/>
        <v/>
      </c>
      <c r="AH123" s="452" t="str">
        <f t="shared" si="169"/>
        <v/>
      </c>
      <c r="AI123" s="452" t="str">
        <f t="shared" si="169"/>
        <v/>
      </c>
      <c r="AJ123" s="452" t="str">
        <f t="shared" si="169"/>
        <v/>
      </c>
      <c r="AK123" s="453" t="str">
        <f t="shared" si="169"/>
        <v/>
      </c>
      <c r="AL123" s="451" t="str">
        <f t="shared" si="169"/>
        <v/>
      </c>
      <c r="AM123" s="452" t="str">
        <f t="shared" si="169"/>
        <v/>
      </c>
      <c r="AN123" s="452" t="str">
        <f t="shared" si="169"/>
        <v/>
      </c>
      <c r="AO123" s="452" t="str">
        <f t="shared" si="169"/>
        <v/>
      </c>
      <c r="AP123" s="453" t="str">
        <f t="shared" si="169"/>
        <v/>
      </c>
      <c r="AQ123" s="451" t="str">
        <f t="shared" si="169"/>
        <v/>
      </c>
      <c r="AR123" s="452" t="str">
        <f t="shared" si="165"/>
        <v/>
      </c>
      <c r="AS123" s="452" t="str">
        <f t="shared" si="165"/>
        <v/>
      </c>
      <c r="AT123" s="452" t="str">
        <f t="shared" si="165"/>
        <v/>
      </c>
      <c r="AU123" s="453" t="str">
        <f t="shared" si="165"/>
        <v/>
      </c>
      <c r="AV123" s="451" t="str">
        <f t="shared" si="165"/>
        <v/>
      </c>
      <c r="AW123" s="452" t="str">
        <f t="shared" si="165"/>
        <v/>
      </c>
      <c r="AX123" s="452" t="str">
        <f t="shared" si="165"/>
        <v/>
      </c>
      <c r="AY123" s="452" t="str">
        <f t="shared" si="165"/>
        <v/>
      </c>
      <c r="AZ123" s="453" t="str">
        <f t="shared" si="165"/>
        <v/>
      </c>
      <c r="BA123" s="451" t="str">
        <f t="shared" si="165"/>
        <v/>
      </c>
      <c r="BB123" s="452" t="str">
        <f t="shared" si="165"/>
        <v/>
      </c>
      <c r="BC123" s="452" t="str">
        <f t="shared" si="165"/>
        <v/>
      </c>
      <c r="BD123" s="452" t="str">
        <f t="shared" si="165"/>
        <v/>
      </c>
      <c r="BE123" s="453" t="str">
        <f t="shared" si="165"/>
        <v/>
      </c>
      <c r="BF123" s="451" t="str">
        <f t="shared" si="165"/>
        <v/>
      </c>
      <c r="BG123" s="452" t="str">
        <f t="shared" si="165"/>
        <v/>
      </c>
      <c r="BH123" s="452" t="str">
        <f t="shared" si="181"/>
        <v/>
      </c>
      <c r="BI123" s="452" t="str">
        <f t="shared" si="181"/>
        <v/>
      </c>
      <c r="BJ123" s="453" t="str">
        <f t="shared" si="181"/>
        <v/>
      </c>
      <c r="BK123" s="451" t="str">
        <f t="shared" si="181"/>
        <v/>
      </c>
      <c r="BL123" s="452" t="str">
        <f t="shared" si="181"/>
        <v/>
      </c>
      <c r="BM123" s="452" t="str">
        <f t="shared" si="181"/>
        <v/>
      </c>
      <c r="BN123" s="452" t="str">
        <f t="shared" si="181"/>
        <v/>
      </c>
      <c r="BO123" s="453" t="str">
        <f t="shared" si="181"/>
        <v/>
      </c>
      <c r="BP123" s="451" t="str">
        <f t="shared" si="181"/>
        <v/>
      </c>
      <c r="BQ123" s="452" t="str">
        <f t="shared" si="181"/>
        <v/>
      </c>
      <c r="BR123" s="452" t="str">
        <f t="shared" si="181"/>
        <v/>
      </c>
      <c r="BS123" s="452" t="str">
        <f t="shared" si="181"/>
        <v/>
      </c>
      <c r="BT123" s="453" t="str">
        <f t="shared" si="181"/>
        <v/>
      </c>
      <c r="BU123" s="451" t="str">
        <f t="shared" si="181"/>
        <v/>
      </c>
      <c r="BV123" s="452" t="str">
        <f t="shared" si="181"/>
        <v/>
      </c>
      <c r="BW123" s="452" t="str">
        <f t="shared" si="181"/>
        <v/>
      </c>
      <c r="BX123" s="452" t="str">
        <f t="shared" si="166"/>
        <v/>
      </c>
      <c r="BY123" s="453" t="str">
        <f t="shared" si="166"/>
        <v/>
      </c>
      <c r="BZ123" s="451" t="str">
        <f t="shared" si="166"/>
        <v/>
      </c>
      <c r="CA123" s="452" t="str">
        <f t="shared" si="166"/>
        <v/>
      </c>
      <c r="CB123" s="452" t="str">
        <f t="shared" si="166"/>
        <v/>
      </c>
      <c r="CC123" s="452" t="str">
        <f t="shared" si="166"/>
        <v/>
      </c>
      <c r="CD123" s="453" t="str">
        <f t="shared" si="166"/>
        <v/>
      </c>
      <c r="CE123" s="451" t="str">
        <f t="shared" si="166"/>
        <v/>
      </c>
      <c r="CF123" s="452" t="str">
        <f t="shared" si="166"/>
        <v/>
      </c>
      <c r="CG123" s="452" t="str">
        <f t="shared" si="166"/>
        <v/>
      </c>
      <c r="CH123" s="452" t="str">
        <f t="shared" si="166"/>
        <v/>
      </c>
      <c r="CI123" s="453" t="str">
        <f t="shared" si="166"/>
        <v/>
      </c>
      <c r="CJ123" s="451" t="str">
        <f t="shared" si="166"/>
        <v/>
      </c>
      <c r="CK123" s="452" t="str">
        <f t="shared" si="166"/>
        <v/>
      </c>
      <c r="CL123" s="452" t="str">
        <f t="shared" si="166"/>
        <v/>
      </c>
      <c r="CM123" s="452" t="str">
        <f t="shared" si="166"/>
        <v/>
      </c>
      <c r="CN123" s="453" t="str">
        <f t="shared" si="164"/>
        <v/>
      </c>
      <c r="CO123" s="451" t="str">
        <f t="shared" si="164"/>
        <v/>
      </c>
      <c r="CP123" s="452" t="str">
        <f t="shared" si="164"/>
        <v/>
      </c>
      <c r="CQ123" s="452" t="str">
        <f t="shared" si="164"/>
        <v/>
      </c>
      <c r="CR123" s="452" t="str">
        <f t="shared" si="164"/>
        <v/>
      </c>
      <c r="CS123" s="453" t="str">
        <f t="shared" si="164"/>
        <v/>
      </c>
      <c r="CT123" s="451" t="str">
        <f t="shared" si="164"/>
        <v/>
      </c>
      <c r="CU123" s="452" t="str">
        <f t="shared" si="164"/>
        <v/>
      </c>
      <c r="CV123" s="452" t="str">
        <f t="shared" si="164"/>
        <v/>
      </c>
      <c r="CW123" s="452" t="str">
        <f t="shared" si="164"/>
        <v/>
      </c>
      <c r="CX123" s="453" t="str">
        <f t="shared" si="164"/>
        <v/>
      </c>
      <c r="CY123" s="451" t="str">
        <f t="shared" si="164"/>
        <v/>
      </c>
      <c r="CZ123" s="452" t="str">
        <f t="shared" si="164"/>
        <v/>
      </c>
      <c r="DA123" s="452" t="str">
        <f t="shared" si="164"/>
        <v/>
      </c>
      <c r="DB123" s="452" t="str">
        <f t="shared" si="164"/>
        <v/>
      </c>
      <c r="DC123" s="453" t="str">
        <f t="shared" si="170"/>
        <v/>
      </c>
      <c r="DD123" s="451" t="str">
        <f t="shared" si="170"/>
        <v/>
      </c>
      <c r="DE123" s="452" t="str">
        <f t="shared" si="170"/>
        <v/>
      </c>
      <c r="DF123" s="452" t="str">
        <f t="shared" si="170"/>
        <v/>
      </c>
      <c r="DG123" s="452" t="str">
        <f t="shared" si="170"/>
        <v/>
      </c>
      <c r="DH123" s="453" t="str">
        <f t="shared" si="170"/>
        <v/>
      </c>
      <c r="DI123" s="451" t="str">
        <f t="shared" si="170"/>
        <v/>
      </c>
      <c r="DJ123" s="452" t="str">
        <f t="shared" si="170"/>
        <v/>
      </c>
      <c r="DK123" s="452" t="str">
        <f t="shared" si="170"/>
        <v/>
      </c>
      <c r="DL123" s="452" t="str">
        <f t="shared" si="170"/>
        <v/>
      </c>
      <c r="DM123" s="453" t="str">
        <f t="shared" si="170"/>
        <v/>
      </c>
      <c r="DN123" s="451" t="str">
        <f t="shared" si="170"/>
        <v/>
      </c>
      <c r="DO123" s="452" t="str">
        <f t="shared" si="170"/>
        <v/>
      </c>
      <c r="DP123" s="452" t="str">
        <f t="shared" si="170"/>
        <v/>
      </c>
      <c r="DQ123" s="452" t="str">
        <f t="shared" si="170"/>
        <v/>
      </c>
      <c r="DR123" s="453" t="str">
        <f t="shared" si="167"/>
        <v/>
      </c>
      <c r="DS123" s="451" t="str">
        <f t="shared" si="167"/>
        <v/>
      </c>
      <c r="DT123" s="452" t="str">
        <f t="shared" si="167"/>
        <v/>
      </c>
      <c r="DU123" s="452" t="str">
        <f t="shared" si="167"/>
        <v/>
      </c>
      <c r="DV123" s="452" t="str">
        <f t="shared" si="167"/>
        <v/>
      </c>
      <c r="DW123" s="453" t="str">
        <f t="shared" si="167"/>
        <v/>
      </c>
      <c r="DX123" s="451" t="str">
        <f t="shared" si="167"/>
        <v/>
      </c>
      <c r="DY123" s="452" t="str">
        <f t="shared" si="167"/>
        <v/>
      </c>
      <c r="DZ123" s="452" t="str">
        <f t="shared" si="167"/>
        <v/>
      </c>
      <c r="EA123" s="452" t="str">
        <f t="shared" si="167"/>
        <v/>
      </c>
      <c r="EB123" s="453" t="str">
        <f t="shared" si="167"/>
        <v/>
      </c>
      <c r="EC123" s="451" t="str">
        <f t="shared" si="167"/>
        <v/>
      </c>
      <c r="ED123" s="452" t="str">
        <f t="shared" si="167"/>
        <v/>
      </c>
      <c r="EE123" s="452" t="str">
        <f t="shared" si="167"/>
        <v/>
      </c>
      <c r="EF123" s="452" t="str">
        <f t="shared" si="167"/>
        <v/>
      </c>
      <c r="EG123" s="453" t="str">
        <f t="shared" si="167"/>
        <v/>
      </c>
      <c r="EH123" s="451" t="str">
        <f t="shared" si="177"/>
        <v/>
      </c>
      <c r="EI123" s="452" t="str">
        <f t="shared" si="177"/>
        <v/>
      </c>
      <c r="EJ123" s="452" t="str">
        <f t="shared" si="177"/>
        <v/>
      </c>
      <c r="EK123" s="452" t="str">
        <f t="shared" si="177"/>
        <v/>
      </c>
      <c r="EL123" s="453" t="str">
        <f t="shared" si="177"/>
        <v/>
      </c>
      <c r="EM123" s="451" t="str">
        <f t="shared" si="177"/>
        <v/>
      </c>
      <c r="EN123" s="452" t="str">
        <f t="shared" si="177"/>
        <v/>
      </c>
      <c r="EO123" s="452" t="str">
        <f t="shared" si="177"/>
        <v/>
      </c>
      <c r="EP123" s="452" t="str">
        <f t="shared" si="177"/>
        <v/>
      </c>
      <c r="EQ123" s="453" t="str">
        <f t="shared" si="177"/>
        <v/>
      </c>
      <c r="ER123" s="451" t="str">
        <f t="shared" si="177"/>
        <v/>
      </c>
      <c r="ES123" s="452" t="str">
        <f t="shared" si="177"/>
        <v/>
      </c>
      <c r="ET123" s="452" t="str">
        <f t="shared" si="177"/>
        <v/>
      </c>
      <c r="EU123" s="452" t="str">
        <f t="shared" si="177"/>
        <v/>
      </c>
      <c r="EV123" s="453" t="str">
        <f t="shared" si="177"/>
        <v/>
      </c>
      <c r="EW123" s="451" t="str">
        <f t="shared" si="177"/>
        <v/>
      </c>
      <c r="EX123" s="452" t="str">
        <f t="shared" si="178"/>
        <v/>
      </c>
      <c r="EY123" s="452" t="str">
        <f t="shared" si="178"/>
        <v/>
      </c>
      <c r="EZ123" s="452" t="str">
        <f t="shared" si="178"/>
        <v/>
      </c>
      <c r="FA123" s="453" t="str">
        <f t="shared" si="175"/>
        <v/>
      </c>
      <c r="FB123" s="451" t="str">
        <f t="shared" si="175"/>
        <v/>
      </c>
      <c r="FC123" s="452" t="str">
        <f t="shared" si="175"/>
        <v/>
      </c>
      <c r="FD123" s="452" t="str">
        <f t="shared" si="175"/>
        <v/>
      </c>
      <c r="FE123" s="452" t="str">
        <f t="shared" si="175"/>
        <v/>
      </c>
      <c r="FF123" s="453" t="str">
        <f t="shared" si="175"/>
        <v/>
      </c>
      <c r="FG123" s="451" t="str">
        <f t="shared" si="175"/>
        <v/>
      </c>
      <c r="FH123" s="452" t="str">
        <f t="shared" si="175"/>
        <v/>
      </c>
      <c r="FI123" s="452" t="str">
        <f t="shared" si="175"/>
        <v/>
      </c>
      <c r="FJ123" s="452" t="str">
        <f t="shared" si="175"/>
        <v/>
      </c>
      <c r="FK123" s="453" t="str">
        <f t="shared" si="175"/>
        <v/>
      </c>
      <c r="FL123" s="451" t="str">
        <f t="shared" si="175"/>
        <v/>
      </c>
      <c r="FM123" s="452" t="str">
        <f t="shared" si="175"/>
        <v/>
      </c>
      <c r="FN123" s="452" t="str">
        <f t="shared" si="175"/>
        <v/>
      </c>
      <c r="FO123" s="452" t="str">
        <f t="shared" si="175"/>
        <v/>
      </c>
      <c r="FP123" s="453" t="str">
        <f t="shared" si="175"/>
        <v/>
      </c>
      <c r="FQ123" s="451" t="str">
        <f t="shared" ref="FQ123:GF138" si="185">IF(AND(FQ$2&gt;=$J123,FQ$2&lt;=$K123),1,"")</f>
        <v/>
      </c>
      <c r="FR123" s="452" t="str">
        <f t="shared" si="185"/>
        <v/>
      </c>
      <c r="FS123" s="452" t="str">
        <f t="shared" si="185"/>
        <v/>
      </c>
      <c r="FT123" s="452" t="str">
        <f t="shared" si="185"/>
        <v/>
      </c>
      <c r="FU123" s="453" t="str">
        <f t="shared" si="185"/>
        <v/>
      </c>
      <c r="FV123" s="451" t="str">
        <f t="shared" si="185"/>
        <v/>
      </c>
      <c r="FW123" s="452" t="str">
        <f t="shared" si="185"/>
        <v/>
      </c>
      <c r="FX123" s="452" t="str">
        <f t="shared" si="185"/>
        <v/>
      </c>
      <c r="FY123" s="452" t="str">
        <f t="shared" si="185"/>
        <v/>
      </c>
      <c r="FZ123" s="453" t="str">
        <f t="shared" si="185"/>
        <v/>
      </c>
      <c r="GA123" s="451" t="str">
        <f t="shared" si="185"/>
        <v/>
      </c>
      <c r="GB123" s="452" t="str">
        <f t="shared" si="185"/>
        <v/>
      </c>
      <c r="GC123" s="452" t="str">
        <f t="shared" si="185"/>
        <v/>
      </c>
      <c r="GD123" s="452" t="str">
        <f t="shared" si="185"/>
        <v/>
      </c>
      <c r="GE123" s="453" t="str">
        <f t="shared" si="185"/>
        <v/>
      </c>
      <c r="GF123" s="451" t="str">
        <f t="shared" si="185"/>
        <v/>
      </c>
      <c r="GG123" s="452" t="str">
        <f t="shared" si="179"/>
        <v/>
      </c>
      <c r="GH123" s="452" t="str">
        <f t="shared" si="179"/>
        <v/>
      </c>
      <c r="GI123" s="452" t="str">
        <f t="shared" si="179"/>
        <v/>
      </c>
      <c r="GJ123" s="453" t="str">
        <f t="shared" si="179"/>
        <v/>
      </c>
      <c r="GK123" s="451" t="str">
        <f t="shared" si="179"/>
        <v/>
      </c>
      <c r="GL123" s="452" t="str">
        <f t="shared" si="179"/>
        <v/>
      </c>
      <c r="GM123" s="452" t="str">
        <f t="shared" si="179"/>
        <v/>
      </c>
      <c r="GN123" s="452" t="str">
        <f t="shared" si="179"/>
        <v/>
      </c>
      <c r="GO123" s="453" t="str">
        <f t="shared" si="176"/>
        <v/>
      </c>
      <c r="GP123" s="451" t="str">
        <f t="shared" si="176"/>
        <v/>
      </c>
      <c r="GQ123" s="452" t="str">
        <f t="shared" si="176"/>
        <v/>
      </c>
      <c r="GR123" s="452" t="str">
        <f t="shared" si="176"/>
        <v/>
      </c>
      <c r="GS123" s="452" t="str">
        <f t="shared" si="176"/>
        <v/>
      </c>
      <c r="GT123" s="453" t="str">
        <f t="shared" si="176"/>
        <v/>
      </c>
      <c r="GU123" s="451" t="str">
        <f t="shared" si="176"/>
        <v/>
      </c>
      <c r="GV123" s="452" t="str">
        <f t="shared" si="176"/>
        <v/>
      </c>
      <c r="GW123" s="452" t="str">
        <f t="shared" si="176"/>
        <v/>
      </c>
      <c r="GX123" s="452" t="str">
        <f t="shared" si="176"/>
        <v/>
      </c>
      <c r="GY123" s="453" t="str">
        <f t="shared" si="176"/>
        <v/>
      </c>
      <c r="GZ123" s="451" t="str">
        <f t="shared" si="176"/>
        <v/>
      </c>
      <c r="HA123" s="452" t="str">
        <f t="shared" si="176"/>
        <v/>
      </c>
      <c r="HB123" s="452" t="str">
        <f t="shared" si="176"/>
        <v/>
      </c>
      <c r="HC123" s="452" t="str">
        <f t="shared" si="176"/>
        <v/>
      </c>
      <c r="HD123" s="453" t="str">
        <f t="shared" si="176"/>
        <v/>
      </c>
      <c r="HE123" s="451" t="str">
        <f t="shared" si="176"/>
        <v/>
      </c>
      <c r="HF123" s="452" t="str">
        <f t="shared" si="183"/>
        <v/>
      </c>
      <c r="HG123" s="452" t="str">
        <f t="shared" si="183"/>
        <v/>
      </c>
      <c r="HH123" s="452" t="str">
        <f t="shared" si="183"/>
        <v/>
      </c>
      <c r="HI123" s="453" t="str">
        <f t="shared" si="183"/>
        <v/>
      </c>
      <c r="HJ123" s="451" t="str">
        <f t="shared" si="183"/>
        <v/>
      </c>
      <c r="HK123" s="452" t="str">
        <f t="shared" si="183"/>
        <v/>
      </c>
      <c r="HL123" s="452" t="str">
        <f t="shared" si="183"/>
        <v/>
      </c>
      <c r="HM123" s="452" t="str">
        <f t="shared" si="183"/>
        <v/>
      </c>
      <c r="HN123" s="453" t="str">
        <f t="shared" si="183"/>
        <v/>
      </c>
      <c r="HO123" s="451" t="str">
        <f t="shared" si="183"/>
        <v/>
      </c>
      <c r="HP123" s="452" t="str">
        <f t="shared" si="183"/>
        <v/>
      </c>
      <c r="HQ123" s="452" t="str">
        <f t="shared" si="183"/>
        <v/>
      </c>
      <c r="HR123" s="452" t="str">
        <f t="shared" si="183"/>
        <v/>
      </c>
      <c r="HS123" s="453" t="str">
        <f t="shared" si="183"/>
        <v/>
      </c>
      <c r="HT123" s="451" t="str">
        <f t="shared" si="183"/>
        <v/>
      </c>
      <c r="HU123" s="452" t="str">
        <f t="shared" si="163"/>
        <v/>
      </c>
      <c r="HV123" s="452" t="str">
        <f t="shared" si="163"/>
        <v/>
      </c>
      <c r="HW123" s="452" t="str">
        <f t="shared" si="163"/>
        <v/>
      </c>
      <c r="HX123" s="453" t="str">
        <f t="shared" si="163"/>
        <v/>
      </c>
      <c r="HY123" s="451" t="str">
        <f t="shared" si="163"/>
        <v/>
      </c>
      <c r="HZ123" s="452" t="str">
        <f t="shared" si="163"/>
        <v/>
      </c>
      <c r="IA123" s="452" t="str">
        <f t="shared" si="163"/>
        <v/>
      </c>
      <c r="IB123" s="452" t="str">
        <f t="shared" si="163"/>
        <v/>
      </c>
      <c r="IC123" s="453" t="str">
        <f t="shared" si="162"/>
        <v/>
      </c>
      <c r="ID123" s="451" t="str">
        <f t="shared" si="162"/>
        <v/>
      </c>
      <c r="IE123" s="452" t="str">
        <f t="shared" si="162"/>
        <v/>
      </c>
      <c r="IF123" s="452" t="str">
        <f t="shared" si="162"/>
        <v/>
      </c>
      <c r="IG123" s="452" t="str">
        <f t="shared" si="162"/>
        <v/>
      </c>
      <c r="IH123" s="453" t="str">
        <f t="shared" si="162"/>
        <v/>
      </c>
      <c r="II123" s="451" t="str">
        <f t="shared" si="162"/>
        <v/>
      </c>
      <c r="IJ123" s="452" t="str">
        <f t="shared" si="162"/>
        <v/>
      </c>
      <c r="IK123" s="452" t="str">
        <f t="shared" si="162"/>
        <v/>
      </c>
      <c r="IL123" s="452" t="str">
        <f t="shared" si="162"/>
        <v/>
      </c>
      <c r="IM123" s="453" t="str">
        <f t="shared" si="162"/>
        <v/>
      </c>
      <c r="IN123" s="451" t="str">
        <f t="shared" si="162"/>
        <v/>
      </c>
      <c r="IO123" s="452" t="str">
        <f t="shared" si="162"/>
        <v/>
      </c>
      <c r="IP123" s="452" t="str">
        <f t="shared" si="168"/>
        <v/>
      </c>
      <c r="IQ123" s="452" t="str">
        <f t="shared" si="168"/>
        <v/>
      </c>
      <c r="IR123" s="453" t="str">
        <f t="shared" si="168"/>
        <v/>
      </c>
    </row>
    <row r="124" spans="1:252" x14ac:dyDescent="0.2">
      <c r="A124" s="462">
        <v>11.1</v>
      </c>
      <c r="B124" s="463"/>
      <c r="C124" s="464" t="s">
        <v>1360</v>
      </c>
      <c r="D124" s="464"/>
      <c r="E124" s="465"/>
      <c r="F124" s="465"/>
      <c r="G124" s="465"/>
      <c r="H124" s="465"/>
      <c r="I124" s="466"/>
      <c r="J124" s="467" t="str">
        <f t="shared" si="172"/>
        <v/>
      </c>
      <c r="K124" s="467" t="str">
        <f t="shared" si="173"/>
        <v/>
      </c>
      <c r="L124" s="468">
        <f t="shared" si="171"/>
        <v>0</v>
      </c>
      <c r="M124" s="469" t="str">
        <f t="shared" ref="M124:AB139" si="186">IF(AND(M$2&gt;=$J124,M$2&lt;=$K124),1,"")</f>
        <v/>
      </c>
      <c r="N124" s="470" t="str">
        <f t="shared" si="186"/>
        <v/>
      </c>
      <c r="O124" s="470" t="str">
        <f t="shared" si="186"/>
        <v/>
      </c>
      <c r="P124" s="470" t="str">
        <f t="shared" si="186"/>
        <v/>
      </c>
      <c r="Q124" s="471" t="str">
        <f t="shared" si="186"/>
        <v/>
      </c>
      <c r="R124" s="469" t="str">
        <f t="shared" si="186"/>
        <v/>
      </c>
      <c r="S124" s="470" t="str">
        <f t="shared" si="186"/>
        <v/>
      </c>
      <c r="T124" s="470" t="str">
        <f t="shared" si="186"/>
        <v/>
      </c>
      <c r="U124" s="470" t="str">
        <f t="shared" si="186"/>
        <v/>
      </c>
      <c r="V124" s="471" t="str">
        <f t="shared" si="186"/>
        <v/>
      </c>
      <c r="W124" s="469" t="str">
        <f t="shared" si="186"/>
        <v/>
      </c>
      <c r="X124" s="470" t="str">
        <f t="shared" si="186"/>
        <v/>
      </c>
      <c r="Y124" s="470" t="str">
        <f t="shared" si="186"/>
        <v/>
      </c>
      <c r="Z124" s="470" t="str">
        <f t="shared" si="186"/>
        <v/>
      </c>
      <c r="AA124" s="471" t="str">
        <f t="shared" si="186"/>
        <v/>
      </c>
      <c r="AB124" s="469" t="str">
        <f t="shared" si="186"/>
        <v/>
      </c>
      <c r="AC124" s="470" t="str">
        <f t="shared" si="169"/>
        <v/>
      </c>
      <c r="AD124" s="470" t="str">
        <f t="shared" si="169"/>
        <v/>
      </c>
      <c r="AE124" s="470" t="str">
        <f t="shared" si="169"/>
        <v/>
      </c>
      <c r="AF124" s="471" t="str">
        <f t="shared" si="169"/>
        <v/>
      </c>
      <c r="AG124" s="469" t="str">
        <f t="shared" si="169"/>
        <v/>
      </c>
      <c r="AH124" s="470" t="str">
        <f t="shared" si="169"/>
        <v/>
      </c>
      <c r="AI124" s="470" t="str">
        <f t="shared" si="169"/>
        <v/>
      </c>
      <c r="AJ124" s="470" t="str">
        <f t="shared" si="169"/>
        <v/>
      </c>
      <c r="AK124" s="471" t="str">
        <f t="shared" si="169"/>
        <v/>
      </c>
      <c r="AL124" s="469" t="str">
        <f t="shared" si="169"/>
        <v/>
      </c>
      <c r="AM124" s="470" t="str">
        <f t="shared" si="169"/>
        <v/>
      </c>
      <c r="AN124" s="470" t="str">
        <f t="shared" si="169"/>
        <v/>
      </c>
      <c r="AO124" s="470" t="str">
        <f t="shared" si="169"/>
        <v/>
      </c>
      <c r="AP124" s="471" t="str">
        <f t="shared" si="169"/>
        <v/>
      </c>
      <c r="AQ124" s="469" t="str">
        <f t="shared" si="169"/>
        <v/>
      </c>
      <c r="AR124" s="470" t="str">
        <f t="shared" si="169"/>
        <v/>
      </c>
      <c r="AS124" s="470" t="str">
        <f t="shared" si="165"/>
        <v/>
      </c>
      <c r="AT124" s="470" t="str">
        <f t="shared" si="165"/>
        <v/>
      </c>
      <c r="AU124" s="471" t="str">
        <f t="shared" si="165"/>
        <v/>
      </c>
      <c r="AV124" s="469" t="str">
        <f t="shared" si="165"/>
        <v/>
      </c>
      <c r="AW124" s="470" t="str">
        <f t="shared" si="165"/>
        <v/>
      </c>
      <c r="AX124" s="470" t="str">
        <f t="shared" si="165"/>
        <v/>
      </c>
      <c r="AY124" s="470" t="str">
        <f t="shared" si="165"/>
        <v/>
      </c>
      <c r="AZ124" s="471" t="str">
        <f t="shared" si="165"/>
        <v/>
      </c>
      <c r="BA124" s="469" t="str">
        <f t="shared" si="165"/>
        <v/>
      </c>
      <c r="BB124" s="470" t="str">
        <f t="shared" si="165"/>
        <v/>
      </c>
      <c r="BC124" s="470" t="str">
        <f t="shared" si="165"/>
        <v/>
      </c>
      <c r="BD124" s="470" t="str">
        <f t="shared" si="165"/>
        <v/>
      </c>
      <c r="BE124" s="471" t="str">
        <f t="shared" si="165"/>
        <v/>
      </c>
      <c r="BF124" s="469" t="str">
        <f t="shared" si="165"/>
        <v/>
      </c>
      <c r="BG124" s="470" t="str">
        <f t="shared" si="165"/>
        <v/>
      </c>
      <c r="BH124" s="470" t="str">
        <f t="shared" si="181"/>
        <v/>
      </c>
      <c r="BI124" s="470" t="str">
        <f t="shared" si="181"/>
        <v/>
      </c>
      <c r="BJ124" s="471" t="str">
        <f t="shared" si="181"/>
        <v/>
      </c>
      <c r="BK124" s="469" t="str">
        <f t="shared" si="181"/>
        <v/>
      </c>
      <c r="BL124" s="470" t="str">
        <f t="shared" si="181"/>
        <v/>
      </c>
      <c r="BM124" s="470" t="str">
        <f t="shared" si="181"/>
        <v/>
      </c>
      <c r="BN124" s="470" t="str">
        <f t="shared" si="181"/>
        <v/>
      </c>
      <c r="BO124" s="471" t="str">
        <f t="shared" si="181"/>
        <v/>
      </c>
      <c r="BP124" s="469" t="str">
        <f t="shared" si="181"/>
        <v/>
      </c>
      <c r="BQ124" s="470" t="str">
        <f t="shared" si="181"/>
        <v/>
      </c>
      <c r="BR124" s="470" t="str">
        <f t="shared" si="181"/>
        <v/>
      </c>
      <c r="BS124" s="470" t="str">
        <f t="shared" si="181"/>
        <v/>
      </c>
      <c r="BT124" s="471" t="str">
        <f t="shared" si="181"/>
        <v/>
      </c>
      <c r="BU124" s="469" t="str">
        <f t="shared" si="181"/>
        <v/>
      </c>
      <c r="BV124" s="470" t="str">
        <f t="shared" si="181"/>
        <v/>
      </c>
      <c r="BW124" s="470" t="str">
        <f t="shared" si="181"/>
        <v/>
      </c>
      <c r="BX124" s="470" t="str">
        <f t="shared" si="166"/>
        <v/>
      </c>
      <c r="BY124" s="471" t="str">
        <f t="shared" si="166"/>
        <v/>
      </c>
      <c r="BZ124" s="469" t="str">
        <f t="shared" si="166"/>
        <v/>
      </c>
      <c r="CA124" s="470" t="str">
        <f t="shared" si="166"/>
        <v/>
      </c>
      <c r="CB124" s="470" t="str">
        <f t="shared" si="166"/>
        <v/>
      </c>
      <c r="CC124" s="470" t="str">
        <f t="shared" si="166"/>
        <v/>
      </c>
      <c r="CD124" s="471" t="str">
        <f t="shared" si="166"/>
        <v/>
      </c>
      <c r="CE124" s="469" t="str">
        <f t="shared" si="166"/>
        <v/>
      </c>
      <c r="CF124" s="470" t="str">
        <f t="shared" si="166"/>
        <v/>
      </c>
      <c r="CG124" s="470" t="str">
        <f t="shared" si="166"/>
        <v/>
      </c>
      <c r="CH124" s="470" t="str">
        <f t="shared" si="166"/>
        <v/>
      </c>
      <c r="CI124" s="471" t="str">
        <f t="shared" si="166"/>
        <v/>
      </c>
      <c r="CJ124" s="469" t="str">
        <f t="shared" si="166"/>
        <v/>
      </c>
      <c r="CK124" s="470" t="str">
        <f t="shared" si="166"/>
        <v/>
      </c>
      <c r="CL124" s="470" t="str">
        <f t="shared" si="166"/>
        <v/>
      </c>
      <c r="CM124" s="470" t="str">
        <f t="shared" si="166"/>
        <v/>
      </c>
      <c r="CN124" s="471" t="str">
        <f t="shared" si="164"/>
        <v/>
      </c>
      <c r="CO124" s="469" t="str">
        <f t="shared" si="164"/>
        <v/>
      </c>
      <c r="CP124" s="470" t="str">
        <f t="shared" si="164"/>
        <v/>
      </c>
      <c r="CQ124" s="470" t="str">
        <f t="shared" si="164"/>
        <v/>
      </c>
      <c r="CR124" s="470" t="str">
        <f t="shared" si="164"/>
        <v/>
      </c>
      <c r="CS124" s="471" t="str">
        <f t="shared" si="164"/>
        <v/>
      </c>
      <c r="CT124" s="469" t="str">
        <f t="shared" si="164"/>
        <v/>
      </c>
      <c r="CU124" s="470" t="str">
        <f t="shared" si="164"/>
        <v/>
      </c>
      <c r="CV124" s="470" t="str">
        <f t="shared" si="164"/>
        <v/>
      </c>
      <c r="CW124" s="470" t="str">
        <f t="shared" si="164"/>
        <v/>
      </c>
      <c r="CX124" s="471" t="str">
        <f t="shared" si="164"/>
        <v/>
      </c>
      <c r="CY124" s="469" t="str">
        <f t="shared" si="164"/>
        <v/>
      </c>
      <c r="CZ124" s="470" t="str">
        <f t="shared" si="164"/>
        <v/>
      </c>
      <c r="DA124" s="470" t="str">
        <f t="shared" si="164"/>
        <v/>
      </c>
      <c r="DB124" s="470" t="str">
        <f t="shared" si="164"/>
        <v/>
      </c>
      <c r="DC124" s="471" t="str">
        <f t="shared" si="170"/>
        <v/>
      </c>
      <c r="DD124" s="469" t="str">
        <f t="shared" si="170"/>
        <v/>
      </c>
      <c r="DE124" s="470" t="str">
        <f t="shared" si="170"/>
        <v/>
      </c>
      <c r="DF124" s="470" t="str">
        <f t="shared" si="170"/>
        <v/>
      </c>
      <c r="DG124" s="470" t="str">
        <f t="shared" si="170"/>
        <v/>
      </c>
      <c r="DH124" s="471" t="str">
        <f t="shared" si="170"/>
        <v/>
      </c>
      <c r="DI124" s="469" t="str">
        <f t="shared" si="170"/>
        <v/>
      </c>
      <c r="DJ124" s="470" t="str">
        <f t="shared" si="170"/>
        <v/>
      </c>
      <c r="DK124" s="470" t="str">
        <f t="shared" si="170"/>
        <v/>
      </c>
      <c r="DL124" s="470" t="str">
        <f t="shared" si="170"/>
        <v/>
      </c>
      <c r="DM124" s="471" t="str">
        <f t="shared" si="170"/>
        <v/>
      </c>
      <c r="DN124" s="469" t="str">
        <f t="shared" si="170"/>
        <v/>
      </c>
      <c r="DO124" s="470" t="str">
        <f t="shared" si="170"/>
        <v/>
      </c>
      <c r="DP124" s="470" t="str">
        <f t="shared" si="170"/>
        <v/>
      </c>
      <c r="DQ124" s="470" t="str">
        <f t="shared" si="170"/>
        <v/>
      </c>
      <c r="DR124" s="471" t="str">
        <f t="shared" si="170"/>
        <v/>
      </c>
      <c r="DS124" s="469" t="str">
        <f t="shared" si="167"/>
        <v/>
      </c>
      <c r="DT124" s="470" t="str">
        <f t="shared" si="167"/>
        <v/>
      </c>
      <c r="DU124" s="470" t="str">
        <f t="shared" si="167"/>
        <v/>
      </c>
      <c r="DV124" s="470" t="str">
        <f t="shared" si="167"/>
        <v/>
      </c>
      <c r="DW124" s="471" t="str">
        <f t="shared" si="167"/>
        <v/>
      </c>
      <c r="DX124" s="469" t="str">
        <f t="shared" si="167"/>
        <v/>
      </c>
      <c r="DY124" s="470" t="str">
        <f t="shared" si="167"/>
        <v/>
      </c>
      <c r="DZ124" s="470" t="str">
        <f t="shared" si="167"/>
        <v/>
      </c>
      <c r="EA124" s="470" t="str">
        <f t="shared" si="167"/>
        <v/>
      </c>
      <c r="EB124" s="471" t="str">
        <f t="shared" si="167"/>
        <v/>
      </c>
      <c r="EC124" s="469" t="str">
        <f t="shared" si="167"/>
        <v/>
      </c>
      <c r="ED124" s="470" t="str">
        <f t="shared" si="167"/>
        <v/>
      </c>
      <c r="EE124" s="470" t="str">
        <f t="shared" si="167"/>
        <v/>
      </c>
      <c r="EF124" s="470" t="str">
        <f t="shared" si="167"/>
        <v/>
      </c>
      <c r="EG124" s="471" t="str">
        <f t="shared" si="167"/>
        <v/>
      </c>
      <c r="EH124" s="469" t="str">
        <f t="shared" si="177"/>
        <v/>
      </c>
      <c r="EI124" s="470" t="str">
        <f t="shared" si="177"/>
        <v/>
      </c>
      <c r="EJ124" s="470" t="str">
        <f t="shared" si="177"/>
        <v/>
      </c>
      <c r="EK124" s="470" t="str">
        <f t="shared" si="177"/>
        <v/>
      </c>
      <c r="EL124" s="471" t="str">
        <f t="shared" si="177"/>
        <v/>
      </c>
      <c r="EM124" s="469" t="str">
        <f t="shared" si="177"/>
        <v/>
      </c>
      <c r="EN124" s="470" t="str">
        <f t="shared" si="177"/>
        <v/>
      </c>
      <c r="EO124" s="470" t="str">
        <f t="shared" si="177"/>
        <v/>
      </c>
      <c r="EP124" s="470" t="str">
        <f t="shared" si="177"/>
        <v/>
      </c>
      <c r="EQ124" s="471" t="str">
        <f t="shared" si="177"/>
        <v/>
      </c>
      <c r="ER124" s="469" t="str">
        <f t="shared" si="177"/>
        <v/>
      </c>
      <c r="ES124" s="470" t="str">
        <f t="shared" si="177"/>
        <v/>
      </c>
      <c r="ET124" s="470" t="str">
        <f t="shared" si="177"/>
        <v/>
      </c>
      <c r="EU124" s="470" t="str">
        <f t="shared" si="177"/>
        <v/>
      </c>
      <c r="EV124" s="471" t="str">
        <f t="shared" si="177"/>
        <v/>
      </c>
      <c r="EW124" s="469" t="str">
        <f t="shared" si="177"/>
        <v/>
      </c>
      <c r="EX124" s="470" t="str">
        <f t="shared" si="178"/>
        <v/>
      </c>
      <c r="EY124" s="470" t="str">
        <f t="shared" si="178"/>
        <v/>
      </c>
      <c r="EZ124" s="470" t="str">
        <f t="shared" si="178"/>
        <v/>
      </c>
      <c r="FA124" s="471" t="str">
        <f t="shared" si="178"/>
        <v/>
      </c>
      <c r="FB124" s="469" t="str">
        <f t="shared" si="178"/>
        <v/>
      </c>
      <c r="FC124" s="470" t="str">
        <f t="shared" si="178"/>
        <v/>
      </c>
      <c r="FD124" s="470" t="str">
        <f t="shared" si="178"/>
        <v/>
      </c>
      <c r="FE124" s="470" t="str">
        <f t="shared" si="178"/>
        <v/>
      </c>
      <c r="FF124" s="471" t="str">
        <f t="shared" si="178"/>
        <v/>
      </c>
      <c r="FG124" s="469" t="str">
        <f t="shared" si="178"/>
        <v/>
      </c>
      <c r="FH124" s="470" t="str">
        <f t="shared" si="178"/>
        <v/>
      </c>
      <c r="FI124" s="470" t="str">
        <f t="shared" si="178"/>
        <v/>
      </c>
      <c r="FJ124" s="470" t="str">
        <f t="shared" si="178"/>
        <v/>
      </c>
      <c r="FK124" s="471" t="str">
        <f t="shared" si="178"/>
        <v/>
      </c>
      <c r="FL124" s="469" t="str">
        <f t="shared" si="178"/>
        <v/>
      </c>
      <c r="FM124" s="470" t="str">
        <f t="shared" si="178"/>
        <v/>
      </c>
      <c r="FN124" s="470" t="str">
        <f t="shared" si="175"/>
        <v/>
      </c>
      <c r="FO124" s="470" t="str">
        <f t="shared" si="175"/>
        <v/>
      </c>
      <c r="FP124" s="471" t="str">
        <f t="shared" si="175"/>
        <v/>
      </c>
      <c r="FQ124" s="469" t="str">
        <f t="shared" si="185"/>
        <v/>
      </c>
      <c r="FR124" s="470" t="str">
        <f t="shared" si="185"/>
        <v/>
      </c>
      <c r="FS124" s="470" t="str">
        <f t="shared" si="185"/>
        <v/>
      </c>
      <c r="FT124" s="470" t="str">
        <f t="shared" si="185"/>
        <v/>
      </c>
      <c r="FU124" s="471" t="str">
        <f t="shared" si="185"/>
        <v/>
      </c>
      <c r="FV124" s="469" t="str">
        <f t="shared" si="185"/>
        <v/>
      </c>
      <c r="FW124" s="470" t="str">
        <f t="shared" si="185"/>
        <v/>
      </c>
      <c r="FX124" s="470" t="str">
        <f t="shared" si="185"/>
        <v/>
      </c>
      <c r="FY124" s="470" t="str">
        <f t="shared" si="185"/>
        <v/>
      </c>
      <c r="FZ124" s="471" t="str">
        <f t="shared" si="185"/>
        <v/>
      </c>
      <c r="GA124" s="469" t="str">
        <f t="shared" si="185"/>
        <v/>
      </c>
      <c r="GB124" s="470" t="str">
        <f t="shared" si="185"/>
        <v/>
      </c>
      <c r="GC124" s="470" t="str">
        <f t="shared" si="185"/>
        <v/>
      </c>
      <c r="GD124" s="470" t="str">
        <f t="shared" si="185"/>
        <v/>
      </c>
      <c r="GE124" s="471" t="str">
        <f t="shared" si="185"/>
        <v/>
      </c>
      <c r="GF124" s="469" t="str">
        <f t="shared" si="185"/>
        <v/>
      </c>
      <c r="GG124" s="470" t="str">
        <f t="shared" si="179"/>
        <v/>
      </c>
      <c r="GH124" s="470" t="str">
        <f t="shared" si="179"/>
        <v/>
      </c>
      <c r="GI124" s="470" t="str">
        <f t="shared" si="179"/>
        <v/>
      </c>
      <c r="GJ124" s="471" t="str">
        <f t="shared" si="179"/>
        <v/>
      </c>
      <c r="GK124" s="469" t="str">
        <f t="shared" si="179"/>
        <v/>
      </c>
      <c r="GL124" s="470" t="str">
        <f t="shared" si="179"/>
        <v/>
      </c>
      <c r="GM124" s="470" t="str">
        <f t="shared" si="179"/>
        <v/>
      </c>
      <c r="GN124" s="470" t="str">
        <f t="shared" si="179"/>
        <v/>
      </c>
      <c r="GO124" s="471" t="str">
        <f t="shared" si="176"/>
        <v/>
      </c>
      <c r="GP124" s="469" t="str">
        <f t="shared" si="176"/>
        <v/>
      </c>
      <c r="GQ124" s="470" t="str">
        <f t="shared" si="176"/>
        <v/>
      </c>
      <c r="GR124" s="470" t="str">
        <f t="shared" si="176"/>
        <v/>
      </c>
      <c r="GS124" s="470" t="str">
        <f t="shared" si="176"/>
        <v/>
      </c>
      <c r="GT124" s="471" t="str">
        <f t="shared" si="176"/>
        <v/>
      </c>
      <c r="GU124" s="469" t="str">
        <f t="shared" si="176"/>
        <v/>
      </c>
      <c r="GV124" s="470" t="str">
        <f t="shared" si="176"/>
        <v/>
      </c>
      <c r="GW124" s="470" t="str">
        <f t="shared" si="176"/>
        <v/>
      </c>
      <c r="GX124" s="470" t="str">
        <f t="shared" si="176"/>
        <v/>
      </c>
      <c r="GY124" s="471" t="str">
        <f t="shared" si="176"/>
        <v/>
      </c>
      <c r="GZ124" s="469" t="str">
        <f t="shared" si="176"/>
        <v/>
      </c>
      <c r="HA124" s="470" t="str">
        <f t="shared" si="176"/>
        <v/>
      </c>
      <c r="HB124" s="470" t="str">
        <f t="shared" si="176"/>
        <v/>
      </c>
      <c r="HC124" s="470" t="str">
        <f t="shared" si="176"/>
        <v/>
      </c>
      <c r="HD124" s="471" t="str">
        <f t="shared" si="176"/>
        <v/>
      </c>
      <c r="HE124" s="469" t="str">
        <f t="shared" si="176"/>
        <v/>
      </c>
      <c r="HF124" s="470" t="str">
        <f t="shared" si="183"/>
        <v/>
      </c>
      <c r="HG124" s="470" t="str">
        <f t="shared" si="183"/>
        <v/>
      </c>
      <c r="HH124" s="470" t="str">
        <f t="shared" si="183"/>
        <v/>
      </c>
      <c r="HI124" s="471" t="str">
        <f t="shared" si="183"/>
        <v/>
      </c>
      <c r="HJ124" s="469" t="str">
        <f t="shared" si="183"/>
        <v/>
      </c>
      <c r="HK124" s="470" t="str">
        <f t="shared" si="183"/>
        <v/>
      </c>
      <c r="HL124" s="470" t="str">
        <f t="shared" si="183"/>
        <v/>
      </c>
      <c r="HM124" s="470" t="str">
        <f t="shared" si="183"/>
        <v/>
      </c>
      <c r="HN124" s="471" t="str">
        <f t="shared" si="183"/>
        <v/>
      </c>
      <c r="HO124" s="469" t="str">
        <f t="shared" si="183"/>
        <v/>
      </c>
      <c r="HP124" s="470" t="str">
        <f t="shared" si="183"/>
        <v/>
      </c>
      <c r="HQ124" s="470" t="str">
        <f t="shared" si="183"/>
        <v/>
      </c>
      <c r="HR124" s="470" t="str">
        <f t="shared" si="183"/>
        <v/>
      </c>
      <c r="HS124" s="471" t="str">
        <f t="shared" si="183"/>
        <v/>
      </c>
      <c r="HT124" s="469" t="str">
        <f t="shared" si="183"/>
        <v/>
      </c>
      <c r="HU124" s="470" t="str">
        <f t="shared" si="163"/>
        <v/>
      </c>
      <c r="HV124" s="470" t="str">
        <f t="shared" si="163"/>
        <v/>
      </c>
      <c r="HW124" s="470" t="str">
        <f t="shared" si="163"/>
        <v/>
      </c>
      <c r="HX124" s="471" t="str">
        <f t="shared" si="163"/>
        <v/>
      </c>
      <c r="HY124" s="469" t="str">
        <f t="shared" si="163"/>
        <v/>
      </c>
      <c r="HZ124" s="470" t="str">
        <f t="shared" si="163"/>
        <v/>
      </c>
      <c r="IA124" s="470" t="str">
        <f t="shared" si="163"/>
        <v/>
      </c>
      <c r="IB124" s="470" t="str">
        <f t="shared" si="163"/>
        <v/>
      </c>
      <c r="IC124" s="471" t="str">
        <f t="shared" si="162"/>
        <v/>
      </c>
      <c r="ID124" s="469" t="str">
        <f t="shared" si="162"/>
        <v/>
      </c>
      <c r="IE124" s="470" t="str">
        <f t="shared" si="162"/>
        <v/>
      </c>
      <c r="IF124" s="470" t="str">
        <f t="shared" si="162"/>
        <v/>
      </c>
      <c r="IG124" s="470" t="str">
        <f t="shared" si="162"/>
        <v/>
      </c>
      <c r="IH124" s="471" t="str">
        <f t="shared" si="162"/>
        <v/>
      </c>
      <c r="II124" s="469" t="str">
        <f t="shared" si="162"/>
        <v/>
      </c>
      <c r="IJ124" s="470" t="str">
        <f t="shared" si="162"/>
        <v/>
      </c>
      <c r="IK124" s="470" t="str">
        <f t="shared" si="162"/>
        <v/>
      </c>
      <c r="IL124" s="470" t="str">
        <f t="shared" si="162"/>
        <v/>
      </c>
      <c r="IM124" s="471" t="str">
        <f t="shared" si="162"/>
        <v/>
      </c>
      <c r="IN124" s="469" t="str">
        <f t="shared" si="162"/>
        <v/>
      </c>
      <c r="IO124" s="470" t="str">
        <f t="shared" si="168"/>
        <v/>
      </c>
      <c r="IP124" s="470" t="str">
        <f t="shared" si="168"/>
        <v/>
      </c>
      <c r="IQ124" s="470" t="str">
        <f t="shared" si="168"/>
        <v/>
      </c>
      <c r="IR124" s="471" t="str">
        <f t="shared" si="168"/>
        <v/>
      </c>
    </row>
    <row r="125" spans="1:252" x14ac:dyDescent="0.2">
      <c r="A125" s="455">
        <v>12</v>
      </c>
      <c r="B125" s="456"/>
      <c r="C125" s="456" t="str">
        <f>Breakdown!$A20</f>
        <v/>
      </c>
      <c r="D125" s="457"/>
      <c r="E125" s="437" t="str">
        <f>IF(E126="","",MIN(E126:E135))</f>
        <v/>
      </c>
      <c r="F125" s="437" t="str">
        <f>IF(F126="","",MAX(F126:F135))</f>
        <v/>
      </c>
      <c r="G125" s="437"/>
      <c r="H125" s="437"/>
      <c r="I125" s="458"/>
      <c r="J125" s="459">
        <f>MIN(J126:J135)</f>
        <v>0</v>
      </c>
      <c r="K125" s="459">
        <f>MAX(K126:K135)</f>
        <v>0</v>
      </c>
      <c r="L125" s="460">
        <f t="shared" ref="L125:L135" si="187">SUM(M125:IR125)</f>
        <v>0</v>
      </c>
      <c r="M125" s="451" t="str">
        <f t="shared" si="186"/>
        <v/>
      </c>
      <c r="N125" s="452" t="str">
        <f t="shared" si="186"/>
        <v/>
      </c>
      <c r="O125" s="452" t="str">
        <f t="shared" si="186"/>
        <v/>
      </c>
      <c r="P125" s="452" t="str">
        <f t="shared" si="186"/>
        <v/>
      </c>
      <c r="Q125" s="453" t="str">
        <f t="shared" si="186"/>
        <v/>
      </c>
      <c r="R125" s="451" t="str">
        <f t="shared" si="186"/>
        <v/>
      </c>
      <c r="S125" s="452" t="str">
        <f t="shared" si="186"/>
        <v/>
      </c>
      <c r="T125" s="452" t="str">
        <f t="shared" si="186"/>
        <v/>
      </c>
      <c r="U125" s="452" t="str">
        <f t="shared" si="186"/>
        <v/>
      </c>
      <c r="V125" s="453" t="str">
        <f t="shared" si="186"/>
        <v/>
      </c>
      <c r="W125" s="451" t="str">
        <f t="shared" si="186"/>
        <v/>
      </c>
      <c r="X125" s="452" t="str">
        <f t="shared" si="186"/>
        <v/>
      </c>
      <c r="Y125" s="452" t="str">
        <f t="shared" si="186"/>
        <v/>
      </c>
      <c r="Z125" s="452" t="str">
        <f t="shared" si="186"/>
        <v/>
      </c>
      <c r="AA125" s="453" t="str">
        <f t="shared" si="186"/>
        <v/>
      </c>
      <c r="AB125" s="451" t="str">
        <f t="shared" si="186"/>
        <v/>
      </c>
      <c r="AC125" s="452" t="str">
        <f t="shared" si="169"/>
        <v/>
      </c>
      <c r="AD125" s="452" t="str">
        <f t="shared" si="169"/>
        <v/>
      </c>
      <c r="AE125" s="452" t="str">
        <f t="shared" si="169"/>
        <v/>
      </c>
      <c r="AF125" s="453" t="str">
        <f t="shared" si="169"/>
        <v/>
      </c>
      <c r="AG125" s="451" t="str">
        <f t="shared" si="169"/>
        <v/>
      </c>
      <c r="AH125" s="452" t="str">
        <f t="shared" si="169"/>
        <v/>
      </c>
      <c r="AI125" s="452" t="str">
        <f t="shared" si="169"/>
        <v/>
      </c>
      <c r="AJ125" s="452" t="str">
        <f t="shared" si="169"/>
        <v/>
      </c>
      <c r="AK125" s="453" t="str">
        <f t="shared" si="169"/>
        <v/>
      </c>
      <c r="AL125" s="451" t="str">
        <f t="shared" si="169"/>
        <v/>
      </c>
      <c r="AM125" s="452" t="str">
        <f t="shared" si="169"/>
        <v/>
      </c>
      <c r="AN125" s="452" t="str">
        <f t="shared" si="169"/>
        <v/>
      </c>
      <c r="AO125" s="452" t="str">
        <f t="shared" si="169"/>
        <v/>
      </c>
      <c r="AP125" s="453" t="str">
        <f t="shared" si="169"/>
        <v/>
      </c>
      <c r="AQ125" s="451" t="str">
        <f t="shared" si="169"/>
        <v/>
      </c>
      <c r="AR125" s="452" t="str">
        <f t="shared" si="169"/>
        <v/>
      </c>
      <c r="AS125" s="452" t="str">
        <f t="shared" si="165"/>
        <v/>
      </c>
      <c r="AT125" s="452" t="str">
        <f t="shared" si="165"/>
        <v/>
      </c>
      <c r="AU125" s="453" t="str">
        <f t="shared" si="165"/>
        <v/>
      </c>
      <c r="AV125" s="451" t="str">
        <f t="shared" si="165"/>
        <v/>
      </c>
      <c r="AW125" s="452" t="str">
        <f t="shared" si="165"/>
        <v/>
      </c>
      <c r="AX125" s="452" t="str">
        <f t="shared" si="165"/>
        <v/>
      </c>
      <c r="AY125" s="452" t="str">
        <f t="shared" si="165"/>
        <v/>
      </c>
      <c r="AZ125" s="453" t="str">
        <f t="shared" si="165"/>
        <v/>
      </c>
      <c r="BA125" s="451" t="str">
        <f t="shared" si="165"/>
        <v/>
      </c>
      <c r="BB125" s="452" t="str">
        <f t="shared" si="165"/>
        <v/>
      </c>
      <c r="BC125" s="452" t="str">
        <f t="shared" si="165"/>
        <v/>
      </c>
      <c r="BD125" s="452" t="str">
        <f t="shared" si="165"/>
        <v/>
      </c>
      <c r="BE125" s="453" t="str">
        <f t="shared" si="165"/>
        <v/>
      </c>
      <c r="BF125" s="451" t="str">
        <f t="shared" si="165"/>
        <v/>
      </c>
      <c r="BG125" s="452" t="str">
        <f t="shared" si="165"/>
        <v/>
      </c>
      <c r="BH125" s="452" t="str">
        <f t="shared" si="181"/>
        <v/>
      </c>
      <c r="BI125" s="452" t="str">
        <f t="shared" si="181"/>
        <v/>
      </c>
      <c r="BJ125" s="453" t="str">
        <f t="shared" si="181"/>
        <v/>
      </c>
      <c r="BK125" s="451" t="str">
        <f t="shared" si="181"/>
        <v/>
      </c>
      <c r="BL125" s="452" t="str">
        <f t="shared" si="181"/>
        <v/>
      </c>
      <c r="BM125" s="452" t="str">
        <f t="shared" si="181"/>
        <v/>
      </c>
      <c r="BN125" s="452" t="str">
        <f t="shared" si="181"/>
        <v/>
      </c>
      <c r="BO125" s="453" t="str">
        <f t="shared" si="181"/>
        <v/>
      </c>
      <c r="BP125" s="451" t="str">
        <f t="shared" si="181"/>
        <v/>
      </c>
      <c r="BQ125" s="452" t="str">
        <f t="shared" si="181"/>
        <v/>
      </c>
      <c r="BR125" s="452" t="str">
        <f t="shared" si="181"/>
        <v/>
      </c>
      <c r="BS125" s="452" t="str">
        <f t="shared" si="181"/>
        <v/>
      </c>
      <c r="BT125" s="453" t="str">
        <f t="shared" si="181"/>
        <v/>
      </c>
      <c r="BU125" s="451" t="str">
        <f t="shared" si="181"/>
        <v/>
      </c>
      <c r="BV125" s="452" t="str">
        <f t="shared" si="181"/>
        <v/>
      </c>
      <c r="BW125" s="452" t="str">
        <f t="shared" si="181"/>
        <v/>
      </c>
      <c r="BX125" s="452" t="str">
        <f t="shared" si="166"/>
        <v/>
      </c>
      <c r="BY125" s="453" t="str">
        <f t="shared" si="166"/>
        <v/>
      </c>
      <c r="BZ125" s="451" t="str">
        <f t="shared" si="166"/>
        <v/>
      </c>
      <c r="CA125" s="452" t="str">
        <f t="shared" si="166"/>
        <v/>
      </c>
      <c r="CB125" s="452" t="str">
        <f t="shared" si="166"/>
        <v/>
      </c>
      <c r="CC125" s="452" t="str">
        <f t="shared" si="166"/>
        <v/>
      </c>
      <c r="CD125" s="453" t="str">
        <f t="shared" si="166"/>
        <v/>
      </c>
      <c r="CE125" s="451" t="str">
        <f t="shared" si="166"/>
        <v/>
      </c>
      <c r="CF125" s="452" t="str">
        <f t="shared" si="166"/>
        <v/>
      </c>
      <c r="CG125" s="452" t="str">
        <f t="shared" si="166"/>
        <v/>
      </c>
      <c r="CH125" s="452" t="str">
        <f t="shared" si="166"/>
        <v/>
      </c>
      <c r="CI125" s="453" t="str">
        <f t="shared" si="166"/>
        <v/>
      </c>
      <c r="CJ125" s="451" t="str">
        <f t="shared" si="166"/>
        <v/>
      </c>
      <c r="CK125" s="452" t="str">
        <f t="shared" si="166"/>
        <v/>
      </c>
      <c r="CL125" s="452" t="str">
        <f t="shared" si="166"/>
        <v/>
      </c>
      <c r="CM125" s="452" t="str">
        <f t="shared" si="166"/>
        <v/>
      </c>
      <c r="CN125" s="453" t="str">
        <f t="shared" si="164"/>
        <v/>
      </c>
      <c r="CO125" s="451" t="str">
        <f t="shared" si="164"/>
        <v/>
      </c>
      <c r="CP125" s="452" t="str">
        <f t="shared" si="164"/>
        <v/>
      </c>
      <c r="CQ125" s="452" t="str">
        <f t="shared" si="164"/>
        <v/>
      </c>
      <c r="CR125" s="452" t="str">
        <f t="shared" si="164"/>
        <v/>
      </c>
      <c r="CS125" s="453" t="str">
        <f t="shared" si="164"/>
        <v/>
      </c>
      <c r="CT125" s="451" t="str">
        <f t="shared" si="164"/>
        <v/>
      </c>
      <c r="CU125" s="452" t="str">
        <f t="shared" si="164"/>
        <v/>
      </c>
      <c r="CV125" s="452" t="str">
        <f t="shared" si="164"/>
        <v/>
      </c>
      <c r="CW125" s="452" t="str">
        <f t="shared" si="164"/>
        <v/>
      </c>
      <c r="CX125" s="453" t="str">
        <f t="shared" si="164"/>
        <v/>
      </c>
      <c r="CY125" s="451" t="str">
        <f t="shared" si="164"/>
        <v/>
      </c>
      <c r="CZ125" s="452" t="str">
        <f t="shared" si="164"/>
        <v/>
      </c>
      <c r="DA125" s="452" t="str">
        <f t="shared" si="164"/>
        <v/>
      </c>
      <c r="DB125" s="452" t="str">
        <f t="shared" si="164"/>
        <v/>
      </c>
      <c r="DC125" s="453" t="str">
        <f t="shared" si="170"/>
        <v/>
      </c>
      <c r="DD125" s="451" t="str">
        <f t="shared" si="170"/>
        <v/>
      </c>
      <c r="DE125" s="452" t="str">
        <f t="shared" si="170"/>
        <v/>
      </c>
      <c r="DF125" s="452" t="str">
        <f t="shared" si="170"/>
        <v/>
      </c>
      <c r="DG125" s="452" t="str">
        <f t="shared" si="170"/>
        <v/>
      </c>
      <c r="DH125" s="453" t="str">
        <f t="shared" si="170"/>
        <v/>
      </c>
      <c r="DI125" s="451" t="str">
        <f t="shared" si="170"/>
        <v/>
      </c>
      <c r="DJ125" s="452" t="str">
        <f t="shared" si="170"/>
        <v/>
      </c>
      <c r="DK125" s="452" t="str">
        <f t="shared" si="170"/>
        <v/>
      </c>
      <c r="DL125" s="452" t="str">
        <f t="shared" si="170"/>
        <v/>
      </c>
      <c r="DM125" s="453" t="str">
        <f t="shared" si="170"/>
        <v/>
      </c>
      <c r="DN125" s="451" t="str">
        <f t="shared" si="170"/>
        <v/>
      </c>
      <c r="DO125" s="452" t="str">
        <f t="shared" si="170"/>
        <v/>
      </c>
      <c r="DP125" s="452" t="str">
        <f t="shared" si="170"/>
        <v/>
      </c>
      <c r="DQ125" s="452" t="str">
        <f t="shared" si="170"/>
        <v/>
      </c>
      <c r="DR125" s="453" t="str">
        <f t="shared" si="170"/>
        <v/>
      </c>
      <c r="DS125" s="451" t="str">
        <f t="shared" si="167"/>
        <v/>
      </c>
      <c r="DT125" s="452" t="str">
        <f t="shared" si="167"/>
        <v/>
      </c>
      <c r="DU125" s="452" t="str">
        <f t="shared" si="167"/>
        <v/>
      </c>
      <c r="DV125" s="452" t="str">
        <f t="shared" si="167"/>
        <v/>
      </c>
      <c r="DW125" s="453" t="str">
        <f t="shared" si="167"/>
        <v/>
      </c>
      <c r="DX125" s="451" t="str">
        <f t="shared" si="167"/>
        <v/>
      </c>
      <c r="DY125" s="452" t="str">
        <f t="shared" si="167"/>
        <v/>
      </c>
      <c r="DZ125" s="452" t="str">
        <f t="shared" si="167"/>
        <v/>
      </c>
      <c r="EA125" s="452" t="str">
        <f t="shared" si="167"/>
        <v/>
      </c>
      <c r="EB125" s="453" t="str">
        <f t="shared" si="167"/>
        <v/>
      </c>
      <c r="EC125" s="451" t="str">
        <f t="shared" si="167"/>
        <v/>
      </c>
      <c r="ED125" s="452" t="str">
        <f t="shared" si="167"/>
        <v/>
      </c>
      <c r="EE125" s="452" t="str">
        <f t="shared" si="167"/>
        <v/>
      </c>
      <c r="EF125" s="452" t="str">
        <f t="shared" si="167"/>
        <v/>
      </c>
      <c r="EG125" s="453" t="str">
        <f t="shared" si="167"/>
        <v/>
      </c>
      <c r="EH125" s="451" t="str">
        <f t="shared" si="177"/>
        <v/>
      </c>
      <c r="EI125" s="452" t="str">
        <f t="shared" si="177"/>
        <v/>
      </c>
      <c r="EJ125" s="452" t="str">
        <f t="shared" si="177"/>
        <v/>
      </c>
      <c r="EK125" s="452" t="str">
        <f t="shared" si="177"/>
        <v/>
      </c>
      <c r="EL125" s="453" t="str">
        <f t="shared" si="177"/>
        <v/>
      </c>
      <c r="EM125" s="451" t="str">
        <f t="shared" si="177"/>
        <v/>
      </c>
      <c r="EN125" s="452" t="str">
        <f t="shared" si="177"/>
        <v/>
      </c>
      <c r="EO125" s="452" t="str">
        <f t="shared" si="177"/>
        <v/>
      </c>
      <c r="EP125" s="452" t="str">
        <f t="shared" si="177"/>
        <v/>
      </c>
      <c r="EQ125" s="453" t="str">
        <f t="shared" si="177"/>
        <v/>
      </c>
      <c r="ER125" s="451" t="str">
        <f t="shared" si="177"/>
        <v/>
      </c>
      <c r="ES125" s="452" t="str">
        <f t="shared" si="177"/>
        <v/>
      </c>
      <c r="ET125" s="452" t="str">
        <f t="shared" si="177"/>
        <v/>
      </c>
      <c r="EU125" s="452" t="str">
        <f t="shared" si="177"/>
        <v/>
      </c>
      <c r="EV125" s="453" t="str">
        <f t="shared" si="177"/>
        <v/>
      </c>
      <c r="EW125" s="451" t="str">
        <f t="shared" si="177"/>
        <v/>
      </c>
      <c r="EX125" s="452" t="str">
        <f t="shared" si="178"/>
        <v/>
      </c>
      <c r="EY125" s="452" t="str">
        <f t="shared" si="178"/>
        <v/>
      </c>
      <c r="EZ125" s="452" t="str">
        <f t="shared" si="178"/>
        <v/>
      </c>
      <c r="FA125" s="453" t="str">
        <f t="shared" si="178"/>
        <v/>
      </c>
      <c r="FB125" s="451" t="str">
        <f t="shared" si="178"/>
        <v/>
      </c>
      <c r="FC125" s="452" t="str">
        <f t="shared" si="178"/>
        <v/>
      </c>
      <c r="FD125" s="452" t="str">
        <f t="shared" si="178"/>
        <v/>
      </c>
      <c r="FE125" s="452" t="str">
        <f t="shared" si="178"/>
        <v/>
      </c>
      <c r="FF125" s="453" t="str">
        <f t="shared" si="178"/>
        <v/>
      </c>
      <c r="FG125" s="451" t="str">
        <f t="shared" si="178"/>
        <v/>
      </c>
      <c r="FH125" s="452" t="str">
        <f t="shared" si="178"/>
        <v/>
      </c>
      <c r="FI125" s="452" t="str">
        <f t="shared" si="178"/>
        <v/>
      </c>
      <c r="FJ125" s="452" t="str">
        <f t="shared" si="178"/>
        <v/>
      </c>
      <c r="FK125" s="453" t="str">
        <f t="shared" si="178"/>
        <v/>
      </c>
      <c r="FL125" s="451" t="str">
        <f t="shared" si="178"/>
        <v/>
      </c>
      <c r="FM125" s="452" t="str">
        <f t="shared" si="178"/>
        <v/>
      </c>
      <c r="FN125" s="452" t="str">
        <f t="shared" si="175"/>
        <v/>
      </c>
      <c r="FO125" s="452" t="str">
        <f t="shared" si="175"/>
        <v/>
      </c>
      <c r="FP125" s="453" t="str">
        <f t="shared" si="175"/>
        <v/>
      </c>
      <c r="FQ125" s="451" t="str">
        <f t="shared" si="185"/>
        <v/>
      </c>
      <c r="FR125" s="452" t="str">
        <f t="shared" si="185"/>
        <v/>
      </c>
      <c r="FS125" s="452" t="str">
        <f t="shared" si="185"/>
        <v/>
      </c>
      <c r="FT125" s="452" t="str">
        <f t="shared" si="185"/>
        <v/>
      </c>
      <c r="FU125" s="453" t="str">
        <f t="shared" si="185"/>
        <v/>
      </c>
      <c r="FV125" s="451" t="str">
        <f t="shared" si="185"/>
        <v/>
      </c>
      <c r="FW125" s="452" t="str">
        <f t="shared" si="185"/>
        <v/>
      </c>
      <c r="FX125" s="452" t="str">
        <f t="shared" si="185"/>
        <v/>
      </c>
      <c r="FY125" s="452" t="str">
        <f t="shared" si="185"/>
        <v/>
      </c>
      <c r="FZ125" s="453" t="str">
        <f t="shared" si="185"/>
        <v/>
      </c>
      <c r="GA125" s="451" t="str">
        <f t="shared" si="185"/>
        <v/>
      </c>
      <c r="GB125" s="452" t="str">
        <f t="shared" si="185"/>
        <v/>
      </c>
      <c r="GC125" s="452" t="str">
        <f t="shared" si="185"/>
        <v/>
      </c>
      <c r="GD125" s="452" t="str">
        <f t="shared" si="185"/>
        <v/>
      </c>
      <c r="GE125" s="453" t="str">
        <f t="shared" si="185"/>
        <v/>
      </c>
      <c r="GF125" s="451" t="str">
        <f t="shared" si="185"/>
        <v/>
      </c>
      <c r="GG125" s="452" t="str">
        <f t="shared" si="179"/>
        <v/>
      </c>
      <c r="GH125" s="452" t="str">
        <f t="shared" si="179"/>
        <v/>
      </c>
      <c r="GI125" s="452" t="str">
        <f t="shared" si="179"/>
        <v/>
      </c>
      <c r="GJ125" s="453" t="str">
        <f t="shared" si="179"/>
        <v/>
      </c>
      <c r="GK125" s="451" t="str">
        <f t="shared" si="179"/>
        <v/>
      </c>
      <c r="GL125" s="452" t="str">
        <f t="shared" si="179"/>
        <v/>
      </c>
      <c r="GM125" s="452" t="str">
        <f t="shared" si="179"/>
        <v/>
      </c>
      <c r="GN125" s="452" t="str">
        <f t="shared" si="179"/>
        <v/>
      </c>
      <c r="GO125" s="453" t="str">
        <f t="shared" si="176"/>
        <v/>
      </c>
      <c r="GP125" s="451" t="str">
        <f t="shared" si="176"/>
        <v/>
      </c>
      <c r="GQ125" s="452" t="str">
        <f t="shared" si="176"/>
        <v/>
      </c>
      <c r="GR125" s="452" t="str">
        <f t="shared" si="176"/>
        <v/>
      </c>
      <c r="GS125" s="452" t="str">
        <f t="shared" si="176"/>
        <v/>
      </c>
      <c r="GT125" s="453" t="str">
        <f t="shared" si="176"/>
        <v/>
      </c>
      <c r="GU125" s="451" t="str">
        <f t="shared" si="176"/>
        <v/>
      </c>
      <c r="GV125" s="452" t="str">
        <f t="shared" si="176"/>
        <v/>
      </c>
      <c r="GW125" s="452" t="str">
        <f t="shared" si="176"/>
        <v/>
      </c>
      <c r="GX125" s="452" t="str">
        <f t="shared" si="176"/>
        <v/>
      </c>
      <c r="GY125" s="453" t="str">
        <f t="shared" si="176"/>
        <v/>
      </c>
      <c r="GZ125" s="451" t="str">
        <f t="shared" si="176"/>
        <v/>
      </c>
      <c r="HA125" s="452" t="str">
        <f t="shared" si="176"/>
        <v/>
      </c>
      <c r="HB125" s="452" t="str">
        <f t="shared" si="176"/>
        <v/>
      </c>
      <c r="HC125" s="452" t="str">
        <f t="shared" si="176"/>
        <v/>
      </c>
      <c r="HD125" s="453" t="str">
        <f t="shared" si="176"/>
        <v/>
      </c>
      <c r="HE125" s="451" t="str">
        <f t="shared" si="176"/>
        <v/>
      </c>
      <c r="HF125" s="452" t="str">
        <f t="shared" si="183"/>
        <v/>
      </c>
      <c r="HG125" s="452" t="str">
        <f t="shared" si="183"/>
        <v/>
      </c>
      <c r="HH125" s="452" t="str">
        <f t="shared" si="183"/>
        <v/>
      </c>
      <c r="HI125" s="453" t="str">
        <f t="shared" si="183"/>
        <v/>
      </c>
      <c r="HJ125" s="451" t="str">
        <f t="shared" si="183"/>
        <v/>
      </c>
      <c r="HK125" s="452" t="str">
        <f t="shared" si="183"/>
        <v/>
      </c>
      <c r="HL125" s="452" t="str">
        <f t="shared" si="183"/>
        <v/>
      </c>
      <c r="HM125" s="452" t="str">
        <f t="shared" si="183"/>
        <v/>
      </c>
      <c r="HN125" s="453" t="str">
        <f t="shared" si="183"/>
        <v/>
      </c>
      <c r="HO125" s="451" t="str">
        <f t="shared" si="183"/>
        <v/>
      </c>
      <c r="HP125" s="452" t="str">
        <f t="shared" si="183"/>
        <v/>
      </c>
      <c r="HQ125" s="452" t="str">
        <f t="shared" si="183"/>
        <v/>
      </c>
      <c r="HR125" s="452" t="str">
        <f t="shared" si="183"/>
        <v/>
      </c>
      <c r="HS125" s="453" t="str">
        <f t="shared" si="183"/>
        <v/>
      </c>
      <c r="HT125" s="451" t="str">
        <f t="shared" si="183"/>
        <v/>
      </c>
      <c r="HU125" s="452" t="str">
        <f t="shared" si="163"/>
        <v/>
      </c>
      <c r="HV125" s="452" t="str">
        <f t="shared" si="163"/>
        <v/>
      </c>
      <c r="HW125" s="452" t="str">
        <f t="shared" si="163"/>
        <v/>
      </c>
      <c r="HX125" s="453" t="str">
        <f t="shared" si="163"/>
        <v/>
      </c>
      <c r="HY125" s="451" t="str">
        <f t="shared" si="163"/>
        <v/>
      </c>
      <c r="HZ125" s="452" t="str">
        <f t="shared" si="163"/>
        <v/>
      </c>
      <c r="IA125" s="452" t="str">
        <f t="shared" si="163"/>
        <v/>
      </c>
      <c r="IB125" s="452" t="str">
        <f t="shared" si="163"/>
        <v/>
      </c>
      <c r="IC125" s="453" t="str">
        <f t="shared" si="163"/>
        <v/>
      </c>
      <c r="ID125" s="451" t="str">
        <f t="shared" si="163"/>
        <v/>
      </c>
      <c r="IE125" s="452" t="str">
        <f t="shared" si="163"/>
        <v/>
      </c>
      <c r="IF125" s="452" t="str">
        <f t="shared" si="163"/>
        <v/>
      </c>
      <c r="IG125" s="452" t="str">
        <f t="shared" si="163"/>
        <v/>
      </c>
      <c r="IH125" s="453" t="str">
        <f t="shared" si="163"/>
        <v/>
      </c>
      <c r="II125" s="451" t="str">
        <f t="shared" si="163"/>
        <v/>
      </c>
      <c r="IJ125" s="452" t="str">
        <f t="shared" si="163"/>
        <v/>
      </c>
      <c r="IK125" s="452" t="str">
        <f t="shared" si="162"/>
        <v/>
      </c>
      <c r="IL125" s="452" t="str">
        <f t="shared" si="162"/>
        <v/>
      </c>
      <c r="IM125" s="453" t="str">
        <f t="shared" si="162"/>
        <v/>
      </c>
      <c r="IN125" s="451" t="str">
        <f t="shared" si="162"/>
        <v/>
      </c>
      <c r="IO125" s="452" t="str">
        <f t="shared" si="162"/>
        <v/>
      </c>
      <c r="IP125" s="452" t="str">
        <f t="shared" si="168"/>
        <v/>
      </c>
      <c r="IQ125" s="452" t="str">
        <f t="shared" si="168"/>
        <v/>
      </c>
      <c r="IR125" s="453" t="str">
        <f t="shared" si="168"/>
        <v/>
      </c>
    </row>
    <row r="126" spans="1:252" x14ac:dyDescent="0.2">
      <c r="A126" s="461">
        <v>12.1</v>
      </c>
      <c r="C126" s="447" t="s">
        <v>1351</v>
      </c>
      <c r="D126" s="447"/>
      <c r="E126" s="448"/>
      <c r="F126" s="448"/>
      <c r="G126" s="448"/>
      <c r="H126" s="448"/>
      <c r="I126" s="448"/>
      <c r="J126" s="449" t="str">
        <f t="shared" ref="J126:J135" si="188">IF(E126="","",E126-$M$3+1)</f>
        <v/>
      </c>
      <c r="K126" s="449" t="str">
        <f t="shared" ref="K126:K135" si="189">IF(F126="","",F126-$M$3+1)</f>
        <v/>
      </c>
      <c r="L126" s="450">
        <f t="shared" si="187"/>
        <v>0</v>
      </c>
      <c r="M126" s="451" t="str">
        <f t="shared" si="186"/>
        <v/>
      </c>
      <c r="N126" s="452" t="str">
        <f t="shared" si="186"/>
        <v/>
      </c>
      <c r="O126" s="452" t="str">
        <f t="shared" si="186"/>
        <v/>
      </c>
      <c r="P126" s="452" t="str">
        <f t="shared" si="186"/>
        <v/>
      </c>
      <c r="Q126" s="453" t="str">
        <f t="shared" si="186"/>
        <v/>
      </c>
      <c r="R126" s="451" t="str">
        <f t="shared" si="186"/>
        <v/>
      </c>
      <c r="S126" s="452" t="str">
        <f t="shared" si="186"/>
        <v/>
      </c>
      <c r="T126" s="452" t="str">
        <f t="shared" si="186"/>
        <v/>
      </c>
      <c r="U126" s="452" t="str">
        <f t="shared" si="186"/>
        <v/>
      </c>
      <c r="V126" s="453" t="str">
        <f t="shared" si="186"/>
        <v/>
      </c>
      <c r="W126" s="451" t="str">
        <f t="shared" si="186"/>
        <v/>
      </c>
      <c r="X126" s="452" t="str">
        <f t="shared" si="186"/>
        <v/>
      </c>
      <c r="Y126" s="452" t="str">
        <f t="shared" si="186"/>
        <v/>
      </c>
      <c r="Z126" s="452" t="str">
        <f t="shared" si="186"/>
        <v/>
      </c>
      <c r="AA126" s="453" t="str">
        <f t="shared" si="186"/>
        <v/>
      </c>
      <c r="AB126" s="451" t="str">
        <f t="shared" si="186"/>
        <v/>
      </c>
      <c r="AC126" s="452" t="str">
        <f t="shared" si="169"/>
        <v/>
      </c>
      <c r="AD126" s="452" t="str">
        <f t="shared" si="169"/>
        <v/>
      </c>
      <c r="AE126" s="452" t="str">
        <f t="shared" si="169"/>
        <v/>
      </c>
      <c r="AF126" s="453" t="str">
        <f t="shared" si="169"/>
        <v/>
      </c>
      <c r="AG126" s="451" t="str">
        <f t="shared" si="169"/>
        <v/>
      </c>
      <c r="AH126" s="452" t="str">
        <f t="shared" si="169"/>
        <v/>
      </c>
      <c r="AI126" s="452" t="str">
        <f t="shared" si="169"/>
        <v/>
      </c>
      <c r="AJ126" s="452" t="str">
        <f t="shared" si="169"/>
        <v/>
      </c>
      <c r="AK126" s="453" t="str">
        <f t="shared" si="169"/>
        <v/>
      </c>
      <c r="AL126" s="451" t="str">
        <f t="shared" si="169"/>
        <v/>
      </c>
      <c r="AM126" s="452" t="str">
        <f t="shared" si="169"/>
        <v/>
      </c>
      <c r="AN126" s="452" t="str">
        <f t="shared" si="169"/>
        <v/>
      </c>
      <c r="AO126" s="452" t="str">
        <f t="shared" si="169"/>
        <v/>
      </c>
      <c r="AP126" s="453" t="str">
        <f t="shared" si="169"/>
        <v/>
      </c>
      <c r="AQ126" s="451" t="str">
        <f t="shared" si="169"/>
        <v/>
      </c>
      <c r="AR126" s="452" t="str">
        <f t="shared" si="169"/>
        <v/>
      </c>
      <c r="AS126" s="452" t="str">
        <f t="shared" si="165"/>
        <v/>
      </c>
      <c r="AT126" s="452" t="str">
        <f t="shared" si="165"/>
        <v/>
      </c>
      <c r="AU126" s="453" t="str">
        <f t="shared" si="165"/>
        <v/>
      </c>
      <c r="AV126" s="451" t="str">
        <f t="shared" si="165"/>
        <v/>
      </c>
      <c r="AW126" s="452" t="str">
        <f t="shared" si="165"/>
        <v/>
      </c>
      <c r="AX126" s="452" t="str">
        <f t="shared" si="165"/>
        <v/>
      </c>
      <c r="AY126" s="452" t="str">
        <f t="shared" si="165"/>
        <v/>
      </c>
      <c r="AZ126" s="453" t="str">
        <f t="shared" si="165"/>
        <v/>
      </c>
      <c r="BA126" s="451" t="str">
        <f t="shared" si="165"/>
        <v/>
      </c>
      <c r="BB126" s="452" t="str">
        <f t="shared" si="165"/>
        <v/>
      </c>
      <c r="BC126" s="452" t="str">
        <f t="shared" si="165"/>
        <v/>
      </c>
      <c r="BD126" s="452" t="str">
        <f t="shared" si="165"/>
        <v/>
      </c>
      <c r="BE126" s="453" t="str">
        <f t="shared" si="165"/>
        <v/>
      </c>
      <c r="BF126" s="451" t="str">
        <f t="shared" si="165"/>
        <v/>
      </c>
      <c r="BG126" s="452" t="str">
        <f t="shared" si="165"/>
        <v/>
      </c>
      <c r="BH126" s="452" t="str">
        <f t="shared" si="181"/>
        <v/>
      </c>
      <c r="BI126" s="452" t="str">
        <f t="shared" si="181"/>
        <v/>
      </c>
      <c r="BJ126" s="453" t="str">
        <f t="shared" si="181"/>
        <v/>
      </c>
      <c r="BK126" s="451" t="str">
        <f t="shared" si="181"/>
        <v/>
      </c>
      <c r="BL126" s="452" t="str">
        <f t="shared" si="181"/>
        <v/>
      </c>
      <c r="BM126" s="452" t="str">
        <f t="shared" si="181"/>
        <v/>
      </c>
      <c r="BN126" s="452" t="str">
        <f t="shared" si="181"/>
        <v/>
      </c>
      <c r="BO126" s="453" t="str">
        <f t="shared" si="181"/>
        <v/>
      </c>
      <c r="BP126" s="451" t="str">
        <f t="shared" si="181"/>
        <v/>
      </c>
      <c r="BQ126" s="452" t="str">
        <f t="shared" si="181"/>
        <v/>
      </c>
      <c r="BR126" s="452" t="str">
        <f t="shared" si="181"/>
        <v/>
      </c>
      <c r="BS126" s="452" t="str">
        <f t="shared" si="181"/>
        <v/>
      </c>
      <c r="BT126" s="453" t="str">
        <f t="shared" si="181"/>
        <v/>
      </c>
      <c r="BU126" s="451" t="str">
        <f t="shared" si="181"/>
        <v/>
      </c>
      <c r="BV126" s="452" t="str">
        <f t="shared" si="181"/>
        <v/>
      </c>
      <c r="BW126" s="452" t="str">
        <f t="shared" si="181"/>
        <v/>
      </c>
      <c r="BX126" s="452" t="str">
        <f t="shared" si="166"/>
        <v/>
      </c>
      <c r="BY126" s="453" t="str">
        <f t="shared" si="166"/>
        <v/>
      </c>
      <c r="BZ126" s="451" t="str">
        <f t="shared" si="166"/>
        <v/>
      </c>
      <c r="CA126" s="452" t="str">
        <f t="shared" si="166"/>
        <v/>
      </c>
      <c r="CB126" s="452" t="str">
        <f t="shared" si="166"/>
        <v/>
      </c>
      <c r="CC126" s="452" t="str">
        <f t="shared" si="166"/>
        <v/>
      </c>
      <c r="CD126" s="453" t="str">
        <f t="shared" si="166"/>
        <v/>
      </c>
      <c r="CE126" s="451" t="str">
        <f t="shared" si="166"/>
        <v/>
      </c>
      <c r="CF126" s="452" t="str">
        <f t="shared" si="166"/>
        <v/>
      </c>
      <c r="CG126" s="452" t="str">
        <f t="shared" si="166"/>
        <v/>
      </c>
      <c r="CH126" s="452" t="str">
        <f t="shared" si="166"/>
        <v/>
      </c>
      <c r="CI126" s="453" t="str">
        <f t="shared" si="166"/>
        <v/>
      </c>
      <c r="CJ126" s="451" t="str">
        <f t="shared" si="166"/>
        <v/>
      </c>
      <c r="CK126" s="452" t="str">
        <f t="shared" si="166"/>
        <v/>
      </c>
      <c r="CL126" s="452" t="str">
        <f t="shared" si="166"/>
        <v/>
      </c>
      <c r="CM126" s="452" t="str">
        <f t="shared" si="166"/>
        <v/>
      </c>
      <c r="CN126" s="453" t="str">
        <f t="shared" si="164"/>
        <v/>
      </c>
      <c r="CO126" s="451" t="str">
        <f t="shared" si="164"/>
        <v/>
      </c>
      <c r="CP126" s="452" t="str">
        <f t="shared" si="164"/>
        <v/>
      </c>
      <c r="CQ126" s="452" t="str">
        <f t="shared" si="164"/>
        <v/>
      </c>
      <c r="CR126" s="452" t="str">
        <f t="shared" si="164"/>
        <v/>
      </c>
      <c r="CS126" s="453" t="str">
        <f t="shared" si="164"/>
        <v/>
      </c>
      <c r="CT126" s="451" t="str">
        <f t="shared" si="164"/>
        <v/>
      </c>
      <c r="CU126" s="452" t="str">
        <f t="shared" si="164"/>
        <v/>
      </c>
      <c r="CV126" s="452" t="str">
        <f t="shared" si="164"/>
        <v/>
      </c>
      <c r="CW126" s="452" t="str">
        <f t="shared" si="164"/>
        <v/>
      </c>
      <c r="CX126" s="453" t="str">
        <f t="shared" si="164"/>
        <v/>
      </c>
      <c r="CY126" s="451" t="str">
        <f t="shared" si="164"/>
        <v/>
      </c>
      <c r="CZ126" s="452" t="str">
        <f t="shared" si="164"/>
        <v/>
      </c>
      <c r="DA126" s="452" t="str">
        <f t="shared" si="164"/>
        <v/>
      </c>
      <c r="DB126" s="452" t="str">
        <f t="shared" si="164"/>
        <v/>
      </c>
      <c r="DC126" s="453" t="str">
        <f t="shared" si="170"/>
        <v/>
      </c>
      <c r="DD126" s="451" t="str">
        <f t="shared" si="170"/>
        <v/>
      </c>
      <c r="DE126" s="452" t="str">
        <f t="shared" si="170"/>
        <v/>
      </c>
      <c r="DF126" s="452" t="str">
        <f t="shared" si="170"/>
        <v/>
      </c>
      <c r="DG126" s="452" t="str">
        <f t="shared" si="170"/>
        <v/>
      </c>
      <c r="DH126" s="453" t="str">
        <f t="shared" si="170"/>
        <v/>
      </c>
      <c r="DI126" s="451" t="str">
        <f t="shared" si="170"/>
        <v/>
      </c>
      <c r="DJ126" s="452" t="str">
        <f t="shared" si="170"/>
        <v/>
      </c>
      <c r="DK126" s="452" t="str">
        <f t="shared" si="170"/>
        <v/>
      </c>
      <c r="DL126" s="452" t="str">
        <f t="shared" si="170"/>
        <v/>
      </c>
      <c r="DM126" s="453" t="str">
        <f t="shared" si="170"/>
        <v/>
      </c>
      <c r="DN126" s="451" t="str">
        <f t="shared" si="170"/>
        <v/>
      </c>
      <c r="DO126" s="452" t="str">
        <f t="shared" si="170"/>
        <v/>
      </c>
      <c r="DP126" s="452" t="str">
        <f t="shared" si="170"/>
        <v/>
      </c>
      <c r="DQ126" s="452" t="str">
        <f t="shared" si="170"/>
        <v/>
      </c>
      <c r="DR126" s="453" t="str">
        <f t="shared" si="170"/>
        <v/>
      </c>
      <c r="DS126" s="451" t="str">
        <f t="shared" si="167"/>
        <v/>
      </c>
      <c r="DT126" s="452" t="str">
        <f t="shared" si="167"/>
        <v/>
      </c>
      <c r="DU126" s="452" t="str">
        <f t="shared" si="167"/>
        <v/>
      </c>
      <c r="DV126" s="452" t="str">
        <f t="shared" si="167"/>
        <v/>
      </c>
      <c r="DW126" s="453" t="str">
        <f t="shared" si="167"/>
        <v/>
      </c>
      <c r="DX126" s="451" t="str">
        <f t="shared" si="167"/>
        <v/>
      </c>
      <c r="DY126" s="452" t="str">
        <f t="shared" si="167"/>
        <v/>
      </c>
      <c r="DZ126" s="452" t="str">
        <f t="shared" si="167"/>
        <v/>
      </c>
      <c r="EA126" s="452" t="str">
        <f t="shared" si="167"/>
        <v/>
      </c>
      <c r="EB126" s="453" t="str">
        <f t="shared" si="167"/>
        <v/>
      </c>
      <c r="EC126" s="451" t="str">
        <f t="shared" si="167"/>
        <v/>
      </c>
      <c r="ED126" s="452" t="str">
        <f t="shared" si="167"/>
        <v/>
      </c>
      <c r="EE126" s="452" t="str">
        <f t="shared" si="167"/>
        <v/>
      </c>
      <c r="EF126" s="452" t="str">
        <f t="shared" si="167"/>
        <v/>
      </c>
      <c r="EG126" s="453" t="str">
        <f t="shared" si="167"/>
        <v/>
      </c>
      <c r="EH126" s="451" t="str">
        <f t="shared" si="177"/>
        <v/>
      </c>
      <c r="EI126" s="452" t="str">
        <f t="shared" si="177"/>
        <v/>
      </c>
      <c r="EJ126" s="452" t="str">
        <f t="shared" si="177"/>
        <v/>
      </c>
      <c r="EK126" s="452" t="str">
        <f t="shared" si="177"/>
        <v/>
      </c>
      <c r="EL126" s="453" t="str">
        <f t="shared" si="177"/>
        <v/>
      </c>
      <c r="EM126" s="451" t="str">
        <f t="shared" si="177"/>
        <v/>
      </c>
      <c r="EN126" s="452" t="str">
        <f t="shared" si="177"/>
        <v/>
      </c>
      <c r="EO126" s="452" t="str">
        <f t="shared" si="177"/>
        <v/>
      </c>
      <c r="EP126" s="452" t="str">
        <f t="shared" si="177"/>
        <v/>
      </c>
      <c r="EQ126" s="453" t="str">
        <f t="shared" si="177"/>
        <v/>
      </c>
      <c r="ER126" s="451" t="str">
        <f t="shared" si="177"/>
        <v/>
      </c>
      <c r="ES126" s="452" t="str">
        <f t="shared" si="177"/>
        <v/>
      </c>
      <c r="ET126" s="452" t="str">
        <f t="shared" si="177"/>
        <v/>
      </c>
      <c r="EU126" s="452" t="str">
        <f t="shared" si="177"/>
        <v/>
      </c>
      <c r="EV126" s="453" t="str">
        <f t="shared" si="177"/>
        <v/>
      </c>
      <c r="EW126" s="451" t="str">
        <f t="shared" si="177"/>
        <v/>
      </c>
      <c r="EX126" s="452" t="str">
        <f t="shared" si="178"/>
        <v/>
      </c>
      <c r="EY126" s="452" t="str">
        <f t="shared" si="178"/>
        <v/>
      </c>
      <c r="EZ126" s="452" t="str">
        <f t="shared" si="178"/>
        <v/>
      </c>
      <c r="FA126" s="453" t="str">
        <f t="shared" si="178"/>
        <v/>
      </c>
      <c r="FB126" s="451" t="str">
        <f t="shared" si="178"/>
        <v/>
      </c>
      <c r="FC126" s="452" t="str">
        <f t="shared" si="178"/>
        <v/>
      </c>
      <c r="FD126" s="452" t="str">
        <f t="shared" si="178"/>
        <v/>
      </c>
      <c r="FE126" s="452" t="str">
        <f t="shared" si="178"/>
        <v/>
      </c>
      <c r="FF126" s="453" t="str">
        <f t="shared" si="178"/>
        <v/>
      </c>
      <c r="FG126" s="451" t="str">
        <f t="shared" si="178"/>
        <v/>
      </c>
      <c r="FH126" s="452" t="str">
        <f t="shared" si="178"/>
        <v/>
      </c>
      <c r="FI126" s="452" t="str">
        <f t="shared" si="178"/>
        <v/>
      </c>
      <c r="FJ126" s="452" t="str">
        <f t="shared" si="178"/>
        <v/>
      </c>
      <c r="FK126" s="453" t="str">
        <f t="shared" si="178"/>
        <v/>
      </c>
      <c r="FL126" s="451" t="str">
        <f t="shared" si="178"/>
        <v/>
      </c>
      <c r="FM126" s="452" t="str">
        <f t="shared" si="178"/>
        <v/>
      </c>
      <c r="FN126" s="452" t="str">
        <f t="shared" si="175"/>
        <v/>
      </c>
      <c r="FO126" s="452" t="str">
        <f t="shared" si="175"/>
        <v/>
      </c>
      <c r="FP126" s="453" t="str">
        <f t="shared" si="175"/>
        <v/>
      </c>
      <c r="FQ126" s="451" t="str">
        <f t="shared" si="185"/>
        <v/>
      </c>
      <c r="FR126" s="452" t="str">
        <f t="shared" si="185"/>
        <v/>
      </c>
      <c r="FS126" s="452" t="str">
        <f t="shared" si="185"/>
        <v/>
      </c>
      <c r="FT126" s="452" t="str">
        <f t="shared" si="185"/>
        <v/>
      </c>
      <c r="FU126" s="453" t="str">
        <f t="shared" si="185"/>
        <v/>
      </c>
      <c r="FV126" s="451" t="str">
        <f t="shared" si="185"/>
        <v/>
      </c>
      <c r="FW126" s="452" t="str">
        <f t="shared" si="185"/>
        <v/>
      </c>
      <c r="FX126" s="452" t="str">
        <f t="shared" si="185"/>
        <v/>
      </c>
      <c r="FY126" s="452" t="str">
        <f t="shared" si="185"/>
        <v/>
      </c>
      <c r="FZ126" s="453" t="str">
        <f t="shared" si="185"/>
        <v/>
      </c>
      <c r="GA126" s="451" t="str">
        <f t="shared" si="185"/>
        <v/>
      </c>
      <c r="GB126" s="452" t="str">
        <f t="shared" si="185"/>
        <v/>
      </c>
      <c r="GC126" s="452" t="str">
        <f t="shared" si="185"/>
        <v/>
      </c>
      <c r="GD126" s="452" t="str">
        <f t="shared" si="185"/>
        <v/>
      </c>
      <c r="GE126" s="453" t="str">
        <f t="shared" si="185"/>
        <v/>
      </c>
      <c r="GF126" s="451" t="str">
        <f t="shared" si="185"/>
        <v/>
      </c>
      <c r="GG126" s="452" t="str">
        <f t="shared" si="179"/>
        <v/>
      </c>
      <c r="GH126" s="452" t="str">
        <f t="shared" si="179"/>
        <v/>
      </c>
      <c r="GI126" s="452" t="str">
        <f t="shared" si="179"/>
        <v/>
      </c>
      <c r="GJ126" s="453" t="str">
        <f t="shared" si="179"/>
        <v/>
      </c>
      <c r="GK126" s="451" t="str">
        <f t="shared" si="179"/>
        <v/>
      </c>
      <c r="GL126" s="452" t="str">
        <f t="shared" si="179"/>
        <v/>
      </c>
      <c r="GM126" s="452" t="str">
        <f t="shared" si="179"/>
        <v/>
      </c>
      <c r="GN126" s="452" t="str">
        <f t="shared" si="179"/>
        <v/>
      </c>
      <c r="GO126" s="453" t="str">
        <f t="shared" si="176"/>
        <v/>
      </c>
      <c r="GP126" s="451" t="str">
        <f t="shared" si="176"/>
        <v/>
      </c>
      <c r="GQ126" s="452" t="str">
        <f t="shared" si="176"/>
        <v/>
      </c>
      <c r="GR126" s="452" t="str">
        <f t="shared" si="176"/>
        <v/>
      </c>
      <c r="GS126" s="452" t="str">
        <f t="shared" si="176"/>
        <v/>
      </c>
      <c r="GT126" s="453" t="str">
        <f t="shared" si="176"/>
        <v/>
      </c>
      <c r="GU126" s="451" t="str">
        <f t="shared" si="176"/>
        <v/>
      </c>
      <c r="GV126" s="452" t="str">
        <f t="shared" si="176"/>
        <v/>
      </c>
      <c r="GW126" s="452" t="str">
        <f t="shared" si="176"/>
        <v/>
      </c>
      <c r="GX126" s="452" t="str">
        <f t="shared" si="176"/>
        <v/>
      </c>
      <c r="GY126" s="453" t="str">
        <f t="shared" si="176"/>
        <v/>
      </c>
      <c r="GZ126" s="451" t="str">
        <f t="shared" si="176"/>
        <v/>
      </c>
      <c r="HA126" s="452" t="str">
        <f t="shared" si="176"/>
        <v/>
      </c>
      <c r="HB126" s="452" t="str">
        <f t="shared" si="176"/>
        <v/>
      </c>
      <c r="HC126" s="452" t="str">
        <f t="shared" si="174"/>
        <v/>
      </c>
      <c r="HD126" s="453" t="str">
        <f t="shared" si="174"/>
        <v/>
      </c>
      <c r="HE126" s="451" t="str">
        <f t="shared" si="176"/>
        <v/>
      </c>
      <c r="HF126" s="452" t="str">
        <f t="shared" si="183"/>
        <v/>
      </c>
      <c r="HG126" s="452" t="str">
        <f t="shared" si="183"/>
        <v/>
      </c>
      <c r="HH126" s="452" t="str">
        <f t="shared" si="183"/>
        <v/>
      </c>
      <c r="HI126" s="453" t="str">
        <f t="shared" si="183"/>
        <v/>
      </c>
      <c r="HJ126" s="451" t="str">
        <f t="shared" si="183"/>
        <v/>
      </c>
      <c r="HK126" s="452" t="str">
        <f t="shared" si="183"/>
        <v/>
      </c>
      <c r="HL126" s="452" t="str">
        <f t="shared" si="183"/>
        <v/>
      </c>
      <c r="HM126" s="452" t="str">
        <f t="shared" si="183"/>
        <v/>
      </c>
      <c r="HN126" s="453" t="str">
        <f t="shared" si="183"/>
        <v/>
      </c>
      <c r="HO126" s="451" t="str">
        <f t="shared" si="183"/>
        <v/>
      </c>
      <c r="HP126" s="452" t="str">
        <f t="shared" si="183"/>
        <v/>
      </c>
      <c r="HQ126" s="452" t="str">
        <f t="shared" si="183"/>
        <v/>
      </c>
      <c r="HR126" s="452" t="str">
        <f t="shared" si="183"/>
        <v/>
      </c>
      <c r="HS126" s="453" t="str">
        <f t="shared" si="183"/>
        <v/>
      </c>
      <c r="HT126" s="451" t="str">
        <f t="shared" si="183"/>
        <v/>
      </c>
      <c r="HU126" s="452" t="str">
        <f t="shared" si="183"/>
        <v/>
      </c>
      <c r="HV126" s="452" t="str">
        <f t="shared" ref="HV126:IK141" si="190">IF(AND(HV$2&gt;=$J126,HV$2&lt;=$K126),1,"")</f>
        <v/>
      </c>
      <c r="HW126" s="452" t="str">
        <f t="shared" si="190"/>
        <v/>
      </c>
      <c r="HX126" s="453" t="str">
        <f t="shared" si="190"/>
        <v/>
      </c>
      <c r="HY126" s="451" t="str">
        <f t="shared" si="190"/>
        <v/>
      </c>
      <c r="HZ126" s="452" t="str">
        <f t="shared" si="190"/>
        <v/>
      </c>
      <c r="IA126" s="452" t="str">
        <f t="shared" si="190"/>
        <v/>
      </c>
      <c r="IB126" s="452" t="str">
        <f t="shared" si="190"/>
        <v/>
      </c>
      <c r="IC126" s="453" t="str">
        <f t="shared" si="190"/>
        <v/>
      </c>
      <c r="ID126" s="451" t="str">
        <f t="shared" si="190"/>
        <v/>
      </c>
      <c r="IE126" s="452" t="str">
        <f t="shared" si="190"/>
        <v/>
      </c>
      <c r="IF126" s="452" t="str">
        <f t="shared" si="190"/>
        <v/>
      </c>
      <c r="IG126" s="452" t="str">
        <f t="shared" si="190"/>
        <v/>
      </c>
      <c r="IH126" s="453" t="str">
        <f t="shared" si="190"/>
        <v/>
      </c>
      <c r="II126" s="451" t="str">
        <f t="shared" si="190"/>
        <v/>
      </c>
      <c r="IJ126" s="452" t="str">
        <f t="shared" si="190"/>
        <v/>
      </c>
      <c r="IK126" s="452" t="str">
        <f t="shared" si="190"/>
        <v/>
      </c>
      <c r="IL126" s="452" t="str">
        <f t="shared" ref="IL126:IR141" si="191">IF(AND(IL$2&gt;=$J126,IL$2&lt;=$K126),1,"")</f>
        <v/>
      </c>
      <c r="IM126" s="453" t="str">
        <f t="shared" si="168"/>
        <v/>
      </c>
      <c r="IN126" s="451" t="str">
        <f t="shared" si="168"/>
        <v/>
      </c>
      <c r="IO126" s="452" t="str">
        <f t="shared" si="168"/>
        <v/>
      </c>
      <c r="IP126" s="452" t="str">
        <f t="shared" si="168"/>
        <v/>
      </c>
      <c r="IQ126" s="452" t="str">
        <f t="shared" si="168"/>
        <v/>
      </c>
      <c r="IR126" s="453" t="str">
        <f t="shared" si="168"/>
        <v/>
      </c>
    </row>
    <row r="127" spans="1:252" x14ac:dyDescent="0.2">
      <c r="A127" s="461">
        <v>12.2</v>
      </c>
      <c r="C127" s="447" t="s">
        <v>1352</v>
      </c>
      <c r="D127" s="447"/>
      <c r="E127" s="448"/>
      <c r="F127" s="448"/>
      <c r="G127" s="448"/>
      <c r="H127" s="448"/>
      <c r="I127" s="448"/>
      <c r="J127" s="449" t="str">
        <f t="shared" si="188"/>
        <v/>
      </c>
      <c r="K127" s="449" t="str">
        <f t="shared" si="189"/>
        <v/>
      </c>
      <c r="L127" s="450">
        <f t="shared" si="187"/>
        <v>0</v>
      </c>
      <c r="M127" s="451" t="str">
        <f t="shared" si="186"/>
        <v/>
      </c>
      <c r="N127" s="452" t="str">
        <f t="shared" si="186"/>
        <v/>
      </c>
      <c r="O127" s="452" t="str">
        <f t="shared" si="186"/>
        <v/>
      </c>
      <c r="P127" s="452" t="str">
        <f t="shared" si="186"/>
        <v/>
      </c>
      <c r="Q127" s="453" t="str">
        <f t="shared" si="186"/>
        <v/>
      </c>
      <c r="R127" s="451" t="str">
        <f t="shared" si="186"/>
        <v/>
      </c>
      <c r="S127" s="452" t="str">
        <f t="shared" si="186"/>
        <v/>
      </c>
      <c r="T127" s="452" t="str">
        <f t="shared" si="186"/>
        <v/>
      </c>
      <c r="U127" s="452" t="str">
        <f t="shared" si="186"/>
        <v/>
      </c>
      <c r="V127" s="453" t="str">
        <f t="shared" si="186"/>
        <v/>
      </c>
      <c r="W127" s="451" t="str">
        <f t="shared" si="186"/>
        <v/>
      </c>
      <c r="X127" s="452" t="str">
        <f t="shared" si="186"/>
        <v/>
      </c>
      <c r="Y127" s="452" t="str">
        <f t="shared" si="186"/>
        <v/>
      </c>
      <c r="Z127" s="452" t="str">
        <f t="shared" si="186"/>
        <v/>
      </c>
      <c r="AA127" s="453" t="str">
        <f t="shared" si="186"/>
        <v/>
      </c>
      <c r="AB127" s="451" t="str">
        <f t="shared" si="186"/>
        <v/>
      </c>
      <c r="AC127" s="452" t="str">
        <f t="shared" si="169"/>
        <v/>
      </c>
      <c r="AD127" s="452" t="str">
        <f t="shared" si="169"/>
        <v/>
      </c>
      <c r="AE127" s="452" t="str">
        <f t="shared" si="169"/>
        <v/>
      </c>
      <c r="AF127" s="453" t="str">
        <f t="shared" si="169"/>
        <v/>
      </c>
      <c r="AG127" s="451" t="str">
        <f t="shared" si="169"/>
        <v/>
      </c>
      <c r="AH127" s="452" t="str">
        <f t="shared" si="169"/>
        <v/>
      </c>
      <c r="AI127" s="452" t="str">
        <f t="shared" si="169"/>
        <v/>
      </c>
      <c r="AJ127" s="452" t="str">
        <f t="shared" si="169"/>
        <v/>
      </c>
      <c r="AK127" s="453" t="str">
        <f t="shared" si="169"/>
        <v/>
      </c>
      <c r="AL127" s="451" t="str">
        <f t="shared" si="169"/>
        <v/>
      </c>
      <c r="AM127" s="452" t="str">
        <f t="shared" si="169"/>
        <v/>
      </c>
      <c r="AN127" s="452" t="str">
        <f t="shared" si="169"/>
        <v/>
      </c>
      <c r="AO127" s="452" t="str">
        <f t="shared" si="169"/>
        <v/>
      </c>
      <c r="AP127" s="453" t="str">
        <f t="shared" si="169"/>
        <v/>
      </c>
      <c r="AQ127" s="451" t="str">
        <f t="shared" si="169"/>
        <v/>
      </c>
      <c r="AR127" s="452" t="str">
        <f t="shared" si="169"/>
        <v/>
      </c>
      <c r="AS127" s="452" t="str">
        <f t="shared" si="165"/>
        <v/>
      </c>
      <c r="AT127" s="452" t="str">
        <f t="shared" si="165"/>
        <v/>
      </c>
      <c r="AU127" s="453" t="str">
        <f t="shared" si="165"/>
        <v/>
      </c>
      <c r="AV127" s="451" t="str">
        <f t="shared" si="165"/>
        <v/>
      </c>
      <c r="AW127" s="452" t="str">
        <f t="shared" si="165"/>
        <v/>
      </c>
      <c r="AX127" s="452" t="str">
        <f t="shared" si="165"/>
        <v/>
      </c>
      <c r="AY127" s="452" t="str">
        <f t="shared" si="165"/>
        <v/>
      </c>
      <c r="AZ127" s="453" t="str">
        <f t="shared" si="165"/>
        <v/>
      </c>
      <c r="BA127" s="451" t="str">
        <f t="shared" si="165"/>
        <v/>
      </c>
      <c r="BB127" s="452" t="str">
        <f t="shared" si="165"/>
        <v/>
      </c>
      <c r="BC127" s="452" t="str">
        <f t="shared" si="165"/>
        <v/>
      </c>
      <c r="BD127" s="452" t="str">
        <f t="shared" si="165"/>
        <v/>
      </c>
      <c r="BE127" s="453" t="str">
        <f t="shared" si="165"/>
        <v/>
      </c>
      <c r="BF127" s="451" t="str">
        <f t="shared" si="165"/>
        <v/>
      </c>
      <c r="BG127" s="452" t="str">
        <f t="shared" si="165"/>
        <v/>
      </c>
      <c r="BH127" s="452" t="str">
        <f t="shared" si="181"/>
        <v/>
      </c>
      <c r="BI127" s="452" t="str">
        <f t="shared" si="181"/>
        <v/>
      </c>
      <c r="BJ127" s="453" t="str">
        <f t="shared" si="181"/>
        <v/>
      </c>
      <c r="BK127" s="451" t="str">
        <f t="shared" si="181"/>
        <v/>
      </c>
      <c r="BL127" s="452" t="str">
        <f t="shared" si="181"/>
        <v/>
      </c>
      <c r="BM127" s="452" t="str">
        <f t="shared" si="181"/>
        <v/>
      </c>
      <c r="BN127" s="452" t="str">
        <f t="shared" si="181"/>
        <v/>
      </c>
      <c r="BO127" s="453" t="str">
        <f t="shared" si="181"/>
        <v/>
      </c>
      <c r="BP127" s="451" t="str">
        <f t="shared" si="181"/>
        <v/>
      </c>
      <c r="BQ127" s="452" t="str">
        <f t="shared" si="181"/>
        <v/>
      </c>
      <c r="BR127" s="452" t="str">
        <f t="shared" si="181"/>
        <v/>
      </c>
      <c r="BS127" s="452" t="str">
        <f t="shared" si="181"/>
        <v/>
      </c>
      <c r="BT127" s="453" t="str">
        <f t="shared" si="181"/>
        <v/>
      </c>
      <c r="BU127" s="451" t="str">
        <f t="shared" si="181"/>
        <v/>
      </c>
      <c r="BV127" s="452" t="str">
        <f t="shared" si="181"/>
        <v/>
      </c>
      <c r="BW127" s="452" t="str">
        <f t="shared" si="181"/>
        <v/>
      </c>
      <c r="BX127" s="452" t="str">
        <f t="shared" si="166"/>
        <v/>
      </c>
      <c r="BY127" s="453" t="str">
        <f t="shared" si="166"/>
        <v/>
      </c>
      <c r="BZ127" s="451" t="str">
        <f t="shared" si="166"/>
        <v/>
      </c>
      <c r="CA127" s="452" t="str">
        <f t="shared" si="166"/>
        <v/>
      </c>
      <c r="CB127" s="452" t="str">
        <f t="shared" si="166"/>
        <v/>
      </c>
      <c r="CC127" s="452" t="str">
        <f t="shared" si="166"/>
        <v/>
      </c>
      <c r="CD127" s="453" t="str">
        <f t="shared" si="166"/>
        <v/>
      </c>
      <c r="CE127" s="451" t="str">
        <f t="shared" si="166"/>
        <v/>
      </c>
      <c r="CF127" s="452" t="str">
        <f t="shared" si="166"/>
        <v/>
      </c>
      <c r="CG127" s="452" t="str">
        <f t="shared" si="166"/>
        <v/>
      </c>
      <c r="CH127" s="452" t="str">
        <f t="shared" si="166"/>
        <v/>
      </c>
      <c r="CI127" s="453" t="str">
        <f t="shared" si="166"/>
        <v/>
      </c>
      <c r="CJ127" s="451" t="str">
        <f t="shared" si="166"/>
        <v/>
      </c>
      <c r="CK127" s="452" t="str">
        <f t="shared" si="166"/>
        <v/>
      </c>
      <c r="CL127" s="452" t="str">
        <f t="shared" si="166"/>
        <v/>
      </c>
      <c r="CM127" s="452" t="str">
        <f t="shared" si="166"/>
        <v/>
      </c>
      <c r="CN127" s="453" t="str">
        <f t="shared" ref="CN127:DC142" si="192">IF(AND(CN$2&gt;=$J127,CN$2&lt;=$K127),1,"")</f>
        <v/>
      </c>
      <c r="CO127" s="451" t="str">
        <f t="shared" si="192"/>
        <v/>
      </c>
      <c r="CP127" s="452" t="str">
        <f t="shared" si="192"/>
        <v/>
      </c>
      <c r="CQ127" s="452" t="str">
        <f t="shared" si="192"/>
        <v/>
      </c>
      <c r="CR127" s="452" t="str">
        <f t="shared" si="192"/>
        <v/>
      </c>
      <c r="CS127" s="453" t="str">
        <f t="shared" si="192"/>
        <v/>
      </c>
      <c r="CT127" s="451" t="str">
        <f t="shared" si="192"/>
        <v/>
      </c>
      <c r="CU127" s="452" t="str">
        <f t="shared" si="192"/>
        <v/>
      </c>
      <c r="CV127" s="452" t="str">
        <f t="shared" si="192"/>
        <v/>
      </c>
      <c r="CW127" s="452" t="str">
        <f t="shared" si="192"/>
        <v/>
      </c>
      <c r="CX127" s="453" t="str">
        <f t="shared" si="192"/>
        <v/>
      </c>
      <c r="CY127" s="451" t="str">
        <f t="shared" si="192"/>
        <v/>
      </c>
      <c r="CZ127" s="452" t="str">
        <f t="shared" si="192"/>
        <v/>
      </c>
      <c r="DA127" s="452" t="str">
        <f t="shared" si="192"/>
        <v/>
      </c>
      <c r="DB127" s="452" t="str">
        <f t="shared" si="192"/>
        <v/>
      </c>
      <c r="DC127" s="453" t="str">
        <f t="shared" si="170"/>
        <v/>
      </c>
      <c r="DD127" s="451" t="str">
        <f t="shared" si="170"/>
        <v/>
      </c>
      <c r="DE127" s="452" t="str">
        <f t="shared" si="170"/>
        <v/>
      </c>
      <c r="DF127" s="452" t="str">
        <f t="shared" si="170"/>
        <v/>
      </c>
      <c r="DG127" s="452" t="str">
        <f t="shared" si="170"/>
        <v/>
      </c>
      <c r="DH127" s="453" t="str">
        <f t="shared" si="170"/>
        <v/>
      </c>
      <c r="DI127" s="451" t="str">
        <f t="shared" si="170"/>
        <v/>
      </c>
      <c r="DJ127" s="452" t="str">
        <f t="shared" si="170"/>
        <v/>
      </c>
      <c r="DK127" s="452" t="str">
        <f t="shared" si="170"/>
        <v/>
      </c>
      <c r="DL127" s="452" t="str">
        <f t="shared" si="170"/>
        <v/>
      </c>
      <c r="DM127" s="453" t="str">
        <f t="shared" si="170"/>
        <v/>
      </c>
      <c r="DN127" s="451" t="str">
        <f t="shared" si="170"/>
        <v/>
      </c>
      <c r="DO127" s="452" t="str">
        <f t="shared" si="170"/>
        <v/>
      </c>
      <c r="DP127" s="452" t="str">
        <f t="shared" si="170"/>
        <v/>
      </c>
      <c r="DQ127" s="452" t="str">
        <f t="shared" si="170"/>
        <v/>
      </c>
      <c r="DR127" s="453" t="str">
        <f t="shared" si="170"/>
        <v/>
      </c>
      <c r="DS127" s="451" t="str">
        <f t="shared" si="167"/>
        <v/>
      </c>
      <c r="DT127" s="452" t="str">
        <f t="shared" si="167"/>
        <v/>
      </c>
      <c r="DU127" s="452" t="str">
        <f t="shared" si="167"/>
        <v/>
      </c>
      <c r="DV127" s="452" t="str">
        <f t="shared" si="167"/>
        <v/>
      </c>
      <c r="DW127" s="453" t="str">
        <f t="shared" si="167"/>
        <v/>
      </c>
      <c r="DX127" s="451" t="str">
        <f t="shared" si="167"/>
        <v/>
      </c>
      <c r="DY127" s="452" t="str">
        <f t="shared" si="167"/>
        <v/>
      </c>
      <c r="DZ127" s="452" t="str">
        <f t="shared" si="167"/>
        <v/>
      </c>
      <c r="EA127" s="452" t="str">
        <f t="shared" si="167"/>
        <v/>
      </c>
      <c r="EB127" s="453" t="str">
        <f t="shared" si="167"/>
        <v/>
      </c>
      <c r="EC127" s="451" t="str">
        <f t="shared" si="167"/>
        <v/>
      </c>
      <c r="ED127" s="452" t="str">
        <f t="shared" si="167"/>
        <v/>
      </c>
      <c r="EE127" s="452" t="str">
        <f t="shared" si="167"/>
        <v/>
      </c>
      <c r="EF127" s="452" t="str">
        <f t="shared" si="167"/>
        <v/>
      </c>
      <c r="EG127" s="453" t="str">
        <f t="shared" si="167"/>
        <v/>
      </c>
      <c r="EH127" s="451" t="str">
        <f t="shared" si="177"/>
        <v/>
      </c>
      <c r="EI127" s="452" t="str">
        <f t="shared" si="177"/>
        <v/>
      </c>
      <c r="EJ127" s="452" t="str">
        <f t="shared" si="177"/>
        <v/>
      </c>
      <c r="EK127" s="452" t="str">
        <f t="shared" si="177"/>
        <v/>
      </c>
      <c r="EL127" s="453" t="str">
        <f t="shared" si="177"/>
        <v/>
      </c>
      <c r="EM127" s="451" t="str">
        <f t="shared" si="177"/>
        <v/>
      </c>
      <c r="EN127" s="452" t="str">
        <f t="shared" si="177"/>
        <v/>
      </c>
      <c r="EO127" s="452" t="str">
        <f t="shared" si="177"/>
        <v/>
      </c>
      <c r="EP127" s="452" t="str">
        <f t="shared" si="177"/>
        <v/>
      </c>
      <c r="EQ127" s="453" t="str">
        <f t="shared" si="177"/>
        <v/>
      </c>
      <c r="ER127" s="451" t="str">
        <f t="shared" si="177"/>
        <v/>
      </c>
      <c r="ES127" s="452" t="str">
        <f t="shared" si="177"/>
        <v/>
      </c>
      <c r="ET127" s="452" t="str">
        <f t="shared" si="177"/>
        <v/>
      </c>
      <c r="EU127" s="452" t="str">
        <f t="shared" si="177"/>
        <v/>
      </c>
      <c r="EV127" s="453" t="str">
        <f t="shared" si="177"/>
        <v/>
      </c>
      <c r="EW127" s="451" t="str">
        <f t="shared" si="177"/>
        <v/>
      </c>
      <c r="EX127" s="452" t="str">
        <f t="shared" si="178"/>
        <v/>
      </c>
      <c r="EY127" s="452" t="str">
        <f t="shared" si="178"/>
        <v/>
      </c>
      <c r="EZ127" s="452" t="str">
        <f t="shared" si="178"/>
        <v/>
      </c>
      <c r="FA127" s="453" t="str">
        <f t="shared" si="175"/>
        <v/>
      </c>
      <c r="FB127" s="451" t="str">
        <f t="shared" si="175"/>
        <v/>
      </c>
      <c r="FC127" s="452" t="str">
        <f t="shared" si="175"/>
        <v/>
      </c>
      <c r="FD127" s="452" t="str">
        <f t="shared" si="175"/>
        <v/>
      </c>
      <c r="FE127" s="452" t="str">
        <f t="shared" si="175"/>
        <v/>
      </c>
      <c r="FF127" s="453" t="str">
        <f t="shared" si="175"/>
        <v/>
      </c>
      <c r="FG127" s="451" t="str">
        <f t="shared" si="175"/>
        <v/>
      </c>
      <c r="FH127" s="452" t="str">
        <f t="shared" si="175"/>
        <v/>
      </c>
      <c r="FI127" s="452" t="str">
        <f t="shared" si="175"/>
        <v/>
      </c>
      <c r="FJ127" s="452" t="str">
        <f t="shared" si="175"/>
        <v/>
      </c>
      <c r="FK127" s="453" t="str">
        <f t="shared" si="175"/>
        <v/>
      </c>
      <c r="FL127" s="451" t="str">
        <f t="shared" si="175"/>
        <v/>
      </c>
      <c r="FM127" s="452" t="str">
        <f t="shared" si="175"/>
        <v/>
      </c>
      <c r="FN127" s="452" t="str">
        <f t="shared" si="175"/>
        <v/>
      </c>
      <c r="FO127" s="452" t="str">
        <f t="shared" si="175"/>
        <v/>
      </c>
      <c r="FP127" s="453" t="str">
        <f t="shared" si="175"/>
        <v/>
      </c>
      <c r="FQ127" s="451" t="str">
        <f t="shared" si="185"/>
        <v/>
      </c>
      <c r="FR127" s="452" t="str">
        <f t="shared" si="185"/>
        <v/>
      </c>
      <c r="FS127" s="452" t="str">
        <f t="shared" si="185"/>
        <v/>
      </c>
      <c r="FT127" s="452" t="str">
        <f t="shared" si="185"/>
        <v/>
      </c>
      <c r="FU127" s="453" t="str">
        <f t="shared" si="185"/>
        <v/>
      </c>
      <c r="FV127" s="451" t="str">
        <f t="shared" si="185"/>
        <v/>
      </c>
      <c r="FW127" s="452" t="str">
        <f t="shared" si="185"/>
        <v/>
      </c>
      <c r="FX127" s="452" t="str">
        <f t="shared" si="185"/>
        <v/>
      </c>
      <c r="FY127" s="452" t="str">
        <f t="shared" si="185"/>
        <v/>
      </c>
      <c r="FZ127" s="453" t="str">
        <f t="shared" si="185"/>
        <v/>
      </c>
      <c r="GA127" s="451" t="str">
        <f t="shared" si="185"/>
        <v/>
      </c>
      <c r="GB127" s="452" t="str">
        <f t="shared" si="185"/>
        <v/>
      </c>
      <c r="GC127" s="452" t="str">
        <f t="shared" si="185"/>
        <v/>
      </c>
      <c r="GD127" s="452" t="str">
        <f t="shared" si="185"/>
        <v/>
      </c>
      <c r="GE127" s="453" t="str">
        <f t="shared" si="185"/>
        <v/>
      </c>
      <c r="GF127" s="451" t="str">
        <f t="shared" si="185"/>
        <v/>
      </c>
      <c r="GG127" s="452" t="str">
        <f t="shared" si="179"/>
        <v/>
      </c>
      <c r="GH127" s="452" t="str">
        <f t="shared" si="179"/>
        <v/>
      </c>
      <c r="GI127" s="452" t="str">
        <f t="shared" si="179"/>
        <v/>
      </c>
      <c r="GJ127" s="453" t="str">
        <f t="shared" si="179"/>
        <v/>
      </c>
      <c r="GK127" s="451" t="str">
        <f t="shared" si="179"/>
        <v/>
      </c>
      <c r="GL127" s="452" t="str">
        <f t="shared" si="179"/>
        <v/>
      </c>
      <c r="GM127" s="452" t="str">
        <f t="shared" si="179"/>
        <v/>
      </c>
      <c r="GN127" s="452" t="str">
        <f t="shared" si="179"/>
        <v/>
      </c>
      <c r="GO127" s="453" t="str">
        <f t="shared" si="176"/>
        <v/>
      </c>
      <c r="GP127" s="451" t="str">
        <f t="shared" si="176"/>
        <v/>
      </c>
      <c r="GQ127" s="452" t="str">
        <f t="shared" si="176"/>
        <v/>
      </c>
      <c r="GR127" s="452" t="str">
        <f t="shared" si="176"/>
        <v/>
      </c>
      <c r="GS127" s="452" t="str">
        <f t="shared" si="176"/>
        <v/>
      </c>
      <c r="GT127" s="453" t="str">
        <f t="shared" si="176"/>
        <v/>
      </c>
      <c r="GU127" s="451" t="str">
        <f t="shared" si="176"/>
        <v/>
      </c>
      <c r="GV127" s="452" t="str">
        <f t="shared" si="176"/>
        <v/>
      </c>
      <c r="GW127" s="452" t="str">
        <f t="shared" si="176"/>
        <v/>
      </c>
      <c r="GX127" s="452" t="str">
        <f t="shared" si="176"/>
        <v/>
      </c>
      <c r="GY127" s="453" t="str">
        <f t="shared" si="176"/>
        <v/>
      </c>
      <c r="GZ127" s="451" t="str">
        <f t="shared" si="176"/>
        <v/>
      </c>
      <c r="HA127" s="452" t="str">
        <f t="shared" si="176"/>
        <v/>
      </c>
      <c r="HB127" s="452" t="str">
        <f t="shared" si="176"/>
        <v/>
      </c>
      <c r="HC127" s="452" t="str">
        <f t="shared" si="176"/>
        <v/>
      </c>
      <c r="HD127" s="453" t="str">
        <f t="shared" si="176"/>
        <v/>
      </c>
      <c r="HE127" s="451" t="str">
        <f t="shared" si="176"/>
        <v/>
      </c>
      <c r="HF127" s="452" t="str">
        <f t="shared" si="183"/>
        <v/>
      </c>
      <c r="HG127" s="452" t="str">
        <f t="shared" si="183"/>
        <v/>
      </c>
      <c r="HH127" s="452" t="str">
        <f t="shared" si="183"/>
        <v/>
      </c>
      <c r="HI127" s="453" t="str">
        <f t="shared" si="183"/>
        <v/>
      </c>
      <c r="HJ127" s="451" t="str">
        <f t="shared" si="183"/>
        <v/>
      </c>
      <c r="HK127" s="452" t="str">
        <f t="shared" si="183"/>
        <v/>
      </c>
      <c r="HL127" s="452" t="str">
        <f t="shared" si="183"/>
        <v/>
      </c>
      <c r="HM127" s="452" t="str">
        <f t="shared" si="183"/>
        <v/>
      </c>
      <c r="HN127" s="453" t="str">
        <f t="shared" si="183"/>
        <v/>
      </c>
      <c r="HO127" s="451" t="str">
        <f t="shared" si="183"/>
        <v/>
      </c>
      <c r="HP127" s="452" t="str">
        <f t="shared" si="183"/>
        <v/>
      </c>
      <c r="HQ127" s="452" t="str">
        <f t="shared" si="183"/>
        <v/>
      </c>
      <c r="HR127" s="452" t="str">
        <f t="shared" si="183"/>
        <v/>
      </c>
      <c r="HS127" s="453" t="str">
        <f t="shared" si="183"/>
        <v/>
      </c>
      <c r="HT127" s="451" t="str">
        <f t="shared" si="183"/>
        <v/>
      </c>
      <c r="HU127" s="452" t="str">
        <f t="shared" si="183"/>
        <v/>
      </c>
      <c r="HV127" s="452" t="str">
        <f t="shared" si="190"/>
        <v/>
      </c>
      <c r="HW127" s="452" t="str">
        <f t="shared" si="190"/>
        <v/>
      </c>
      <c r="HX127" s="453" t="str">
        <f t="shared" si="190"/>
        <v/>
      </c>
      <c r="HY127" s="451" t="str">
        <f t="shared" si="190"/>
        <v/>
      </c>
      <c r="HZ127" s="452" t="str">
        <f t="shared" si="190"/>
        <v/>
      </c>
      <c r="IA127" s="452" t="str">
        <f t="shared" si="190"/>
        <v/>
      </c>
      <c r="IB127" s="452" t="str">
        <f t="shared" si="190"/>
        <v/>
      </c>
      <c r="IC127" s="453" t="str">
        <f t="shared" si="190"/>
        <v/>
      </c>
      <c r="ID127" s="451" t="str">
        <f t="shared" si="190"/>
        <v/>
      </c>
      <c r="IE127" s="452" t="str">
        <f t="shared" si="190"/>
        <v/>
      </c>
      <c r="IF127" s="452" t="str">
        <f t="shared" si="190"/>
        <v/>
      </c>
      <c r="IG127" s="452" t="str">
        <f t="shared" si="190"/>
        <v/>
      </c>
      <c r="IH127" s="453" t="str">
        <f t="shared" si="190"/>
        <v/>
      </c>
      <c r="II127" s="451" t="str">
        <f t="shared" si="190"/>
        <v/>
      </c>
      <c r="IJ127" s="452" t="str">
        <f t="shared" si="190"/>
        <v/>
      </c>
      <c r="IK127" s="452" t="str">
        <f t="shared" si="190"/>
        <v/>
      </c>
      <c r="IL127" s="452" t="str">
        <f t="shared" si="191"/>
        <v/>
      </c>
      <c r="IM127" s="453" t="str">
        <f t="shared" si="168"/>
        <v/>
      </c>
      <c r="IN127" s="451" t="str">
        <f t="shared" si="168"/>
        <v/>
      </c>
      <c r="IO127" s="452" t="str">
        <f t="shared" si="168"/>
        <v/>
      </c>
      <c r="IP127" s="452" t="str">
        <f t="shared" si="168"/>
        <v/>
      </c>
      <c r="IQ127" s="452" t="str">
        <f t="shared" si="168"/>
        <v/>
      </c>
      <c r="IR127" s="453" t="str">
        <f t="shared" si="168"/>
        <v/>
      </c>
    </row>
    <row r="128" spans="1:252" x14ac:dyDescent="0.2">
      <c r="A128" s="461">
        <v>12.3</v>
      </c>
      <c r="C128" s="447" t="s">
        <v>1353</v>
      </c>
      <c r="D128" s="447"/>
      <c r="E128" s="448"/>
      <c r="F128" s="448"/>
      <c r="G128" s="448"/>
      <c r="H128" s="448"/>
      <c r="I128" s="448"/>
      <c r="J128" s="449" t="str">
        <f t="shared" si="188"/>
        <v/>
      </c>
      <c r="K128" s="449" t="str">
        <f t="shared" si="189"/>
        <v/>
      </c>
      <c r="L128" s="450">
        <f t="shared" si="187"/>
        <v>0</v>
      </c>
      <c r="M128" s="451" t="str">
        <f t="shared" si="186"/>
        <v/>
      </c>
      <c r="N128" s="452" t="str">
        <f t="shared" si="186"/>
        <v/>
      </c>
      <c r="O128" s="452" t="str">
        <f t="shared" si="186"/>
        <v/>
      </c>
      <c r="P128" s="452" t="str">
        <f t="shared" si="186"/>
        <v/>
      </c>
      <c r="Q128" s="453" t="str">
        <f t="shared" si="186"/>
        <v/>
      </c>
      <c r="R128" s="451" t="str">
        <f t="shared" si="186"/>
        <v/>
      </c>
      <c r="S128" s="452" t="str">
        <f t="shared" si="186"/>
        <v/>
      </c>
      <c r="T128" s="452" t="str">
        <f t="shared" si="186"/>
        <v/>
      </c>
      <c r="U128" s="452" t="str">
        <f t="shared" si="186"/>
        <v/>
      </c>
      <c r="V128" s="453" t="str">
        <f t="shared" si="186"/>
        <v/>
      </c>
      <c r="W128" s="451" t="str">
        <f t="shared" si="186"/>
        <v/>
      </c>
      <c r="X128" s="452" t="str">
        <f t="shared" si="186"/>
        <v/>
      </c>
      <c r="Y128" s="452" t="str">
        <f t="shared" si="186"/>
        <v/>
      </c>
      <c r="Z128" s="452" t="str">
        <f t="shared" si="186"/>
        <v/>
      </c>
      <c r="AA128" s="453" t="str">
        <f t="shared" si="186"/>
        <v/>
      </c>
      <c r="AB128" s="451" t="str">
        <f t="shared" si="186"/>
        <v/>
      </c>
      <c r="AC128" s="452" t="str">
        <f t="shared" si="169"/>
        <v/>
      </c>
      <c r="AD128" s="452" t="str">
        <f t="shared" si="169"/>
        <v/>
      </c>
      <c r="AE128" s="452" t="str">
        <f t="shared" si="169"/>
        <v/>
      </c>
      <c r="AF128" s="453" t="str">
        <f t="shared" si="169"/>
        <v/>
      </c>
      <c r="AG128" s="451" t="str">
        <f t="shared" si="169"/>
        <v/>
      </c>
      <c r="AH128" s="452" t="str">
        <f t="shared" si="169"/>
        <v/>
      </c>
      <c r="AI128" s="452" t="str">
        <f t="shared" si="169"/>
        <v/>
      </c>
      <c r="AJ128" s="452" t="str">
        <f t="shared" si="169"/>
        <v/>
      </c>
      <c r="AK128" s="453" t="str">
        <f t="shared" si="169"/>
        <v/>
      </c>
      <c r="AL128" s="451" t="str">
        <f t="shared" si="169"/>
        <v/>
      </c>
      <c r="AM128" s="452" t="str">
        <f t="shared" si="169"/>
        <v/>
      </c>
      <c r="AN128" s="452" t="str">
        <f t="shared" si="169"/>
        <v/>
      </c>
      <c r="AO128" s="452" t="str">
        <f t="shared" si="169"/>
        <v/>
      </c>
      <c r="AP128" s="453" t="str">
        <f t="shared" si="169"/>
        <v/>
      </c>
      <c r="AQ128" s="451" t="str">
        <f t="shared" si="169"/>
        <v/>
      </c>
      <c r="AR128" s="452" t="str">
        <f t="shared" si="169"/>
        <v/>
      </c>
      <c r="AS128" s="452" t="str">
        <f t="shared" ref="AS128:BH143" si="193">IF(AND(AS$2&gt;=$J128,AS$2&lt;=$K128),1,"")</f>
        <v/>
      </c>
      <c r="AT128" s="452" t="str">
        <f t="shared" si="193"/>
        <v/>
      </c>
      <c r="AU128" s="453" t="str">
        <f t="shared" si="193"/>
        <v/>
      </c>
      <c r="AV128" s="451" t="str">
        <f t="shared" si="193"/>
        <v/>
      </c>
      <c r="AW128" s="452" t="str">
        <f t="shared" si="193"/>
        <v/>
      </c>
      <c r="AX128" s="452" t="str">
        <f t="shared" si="193"/>
        <v/>
      </c>
      <c r="AY128" s="452" t="str">
        <f t="shared" si="193"/>
        <v/>
      </c>
      <c r="AZ128" s="453" t="str">
        <f t="shared" si="193"/>
        <v/>
      </c>
      <c r="BA128" s="451" t="str">
        <f t="shared" si="193"/>
        <v/>
      </c>
      <c r="BB128" s="452" t="str">
        <f t="shared" si="193"/>
        <v/>
      </c>
      <c r="BC128" s="452" t="str">
        <f t="shared" si="193"/>
        <v/>
      </c>
      <c r="BD128" s="452" t="str">
        <f t="shared" si="193"/>
        <v/>
      </c>
      <c r="BE128" s="453" t="str">
        <f t="shared" si="193"/>
        <v/>
      </c>
      <c r="BF128" s="451" t="str">
        <f t="shared" si="193"/>
        <v/>
      </c>
      <c r="BG128" s="452" t="str">
        <f t="shared" si="193"/>
        <v/>
      </c>
      <c r="BH128" s="452" t="str">
        <f t="shared" si="181"/>
        <v/>
      </c>
      <c r="BI128" s="452" t="str">
        <f t="shared" si="181"/>
        <v/>
      </c>
      <c r="BJ128" s="453" t="str">
        <f t="shared" si="181"/>
        <v/>
      </c>
      <c r="BK128" s="451" t="str">
        <f t="shared" si="181"/>
        <v/>
      </c>
      <c r="BL128" s="452" t="str">
        <f t="shared" si="181"/>
        <v/>
      </c>
      <c r="BM128" s="452" t="str">
        <f t="shared" si="181"/>
        <v/>
      </c>
      <c r="BN128" s="452" t="str">
        <f t="shared" si="181"/>
        <v/>
      </c>
      <c r="BO128" s="453" t="str">
        <f t="shared" si="181"/>
        <v/>
      </c>
      <c r="BP128" s="451" t="str">
        <f t="shared" si="181"/>
        <v/>
      </c>
      <c r="BQ128" s="452" t="str">
        <f t="shared" si="181"/>
        <v/>
      </c>
      <c r="BR128" s="452" t="str">
        <f t="shared" si="181"/>
        <v/>
      </c>
      <c r="BS128" s="452" t="str">
        <f t="shared" si="181"/>
        <v/>
      </c>
      <c r="BT128" s="453" t="str">
        <f t="shared" si="181"/>
        <v/>
      </c>
      <c r="BU128" s="451" t="str">
        <f t="shared" si="181"/>
        <v/>
      </c>
      <c r="BV128" s="452" t="str">
        <f t="shared" si="181"/>
        <v/>
      </c>
      <c r="BW128" s="452" t="str">
        <f t="shared" si="181"/>
        <v/>
      </c>
      <c r="BX128" s="452" t="str">
        <f t="shared" ref="BX128:CM143" si="194">IF(AND(BX$2&gt;=$J128,BX$2&lt;=$K128),1,"")</f>
        <v/>
      </c>
      <c r="BY128" s="453" t="str">
        <f t="shared" si="194"/>
        <v/>
      </c>
      <c r="BZ128" s="451" t="str">
        <f t="shared" si="194"/>
        <v/>
      </c>
      <c r="CA128" s="452" t="str">
        <f t="shared" si="194"/>
        <v/>
      </c>
      <c r="CB128" s="452" t="str">
        <f t="shared" si="194"/>
        <v/>
      </c>
      <c r="CC128" s="452" t="str">
        <f t="shared" si="194"/>
        <v/>
      </c>
      <c r="CD128" s="453" t="str">
        <f t="shared" si="194"/>
        <v/>
      </c>
      <c r="CE128" s="451" t="str">
        <f t="shared" si="194"/>
        <v/>
      </c>
      <c r="CF128" s="452" t="str">
        <f t="shared" si="194"/>
        <v/>
      </c>
      <c r="CG128" s="452" t="str">
        <f t="shared" si="194"/>
        <v/>
      </c>
      <c r="CH128" s="452" t="str">
        <f t="shared" si="194"/>
        <v/>
      </c>
      <c r="CI128" s="453" t="str">
        <f t="shared" si="194"/>
        <v/>
      </c>
      <c r="CJ128" s="451" t="str">
        <f t="shared" si="194"/>
        <v/>
      </c>
      <c r="CK128" s="452" t="str">
        <f t="shared" si="194"/>
        <v/>
      </c>
      <c r="CL128" s="452" t="str">
        <f t="shared" si="194"/>
        <v/>
      </c>
      <c r="CM128" s="452" t="str">
        <f t="shared" si="194"/>
        <v/>
      </c>
      <c r="CN128" s="453" t="str">
        <f t="shared" si="192"/>
        <v/>
      </c>
      <c r="CO128" s="451" t="str">
        <f t="shared" si="192"/>
        <v/>
      </c>
      <c r="CP128" s="452" t="str">
        <f t="shared" si="192"/>
        <v/>
      </c>
      <c r="CQ128" s="452" t="str">
        <f t="shared" si="192"/>
        <v/>
      </c>
      <c r="CR128" s="452" t="str">
        <f t="shared" si="192"/>
        <v/>
      </c>
      <c r="CS128" s="453" t="str">
        <f t="shared" si="192"/>
        <v/>
      </c>
      <c r="CT128" s="451" t="str">
        <f t="shared" si="192"/>
        <v/>
      </c>
      <c r="CU128" s="452" t="str">
        <f t="shared" si="192"/>
        <v/>
      </c>
      <c r="CV128" s="452" t="str">
        <f t="shared" si="192"/>
        <v/>
      </c>
      <c r="CW128" s="452" t="str">
        <f t="shared" si="192"/>
        <v/>
      </c>
      <c r="CX128" s="453" t="str">
        <f t="shared" si="192"/>
        <v/>
      </c>
      <c r="CY128" s="451" t="str">
        <f t="shared" si="192"/>
        <v/>
      </c>
      <c r="CZ128" s="452" t="str">
        <f t="shared" si="192"/>
        <v/>
      </c>
      <c r="DA128" s="452" t="str">
        <f t="shared" si="192"/>
        <v/>
      </c>
      <c r="DB128" s="452" t="str">
        <f t="shared" si="192"/>
        <v/>
      </c>
      <c r="DC128" s="453" t="str">
        <f t="shared" si="170"/>
        <v/>
      </c>
      <c r="DD128" s="451" t="str">
        <f t="shared" si="170"/>
        <v/>
      </c>
      <c r="DE128" s="452" t="str">
        <f t="shared" si="170"/>
        <v/>
      </c>
      <c r="DF128" s="452" t="str">
        <f t="shared" si="170"/>
        <v/>
      </c>
      <c r="DG128" s="452" t="str">
        <f t="shared" si="170"/>
        <v/>
      </c>
      <c r="DH128" s="453" t="str">
        <f t="shared" si="170"/>
        <v/>
      </c>
      <c r="DI128" s="451" t="str">
        <f t="shared" si="170"/>
        <v/>
      </c>
      <c r="DJ128" s="452" t="str">
        <f t="shared" si="170"/>
        <v/>
      </c>
      <c r="DK128" s="452" t="str">
        <f t="shared" si="170"/>
        <v/>
      </c>
      <c r="DL128" s="452" t="str">
        <f t="shared" si="170"/>
        <v/>
      </c>
      <c r="DM128" s="453" t="str">
        <f t="shared" si="170"/>
        <v/>
      </c>
      <c r="DN128" s="451" t="str">
        <f t="shared" si="170"/>
        <v/>
      </c>
      <c r="DO128" s="452" t="str">
        <f t="shared" si="170"/>
        <v/>
      </c>
      <c r="DP128" s="452" t="str">
        <f t="shared" si="170"/>
        <v/>
      </c>
      <c r="DQ128" s="452" t="str">
        <f t="shared" si="170"/>
        <v/>
      </c>
      <c r="DR128" s="453" t="str">
        <f t="shared" si="170"/>
        <v/>
      </c>
      <c r="DS128" s="451" t="str">
        <f t="shared" ref="DS128:EH143" si="195">IF(AND(DS$2&gt;=$J128,DS$2&lt;=$K128),1,"")</f>
        <v/>
      </c>
      <c r="DT128" s="452" t="str">
        <f t="shared" si="195"/>
        <v/>
      </c>
      <c r="DU128" s="452" t="str">
        <f t="shared" si="195"/>
        <v/>
      </c>
      <c r="DV128" s="452" t="str">
        <f t="shared" si="195"/>
        <v/>
      </c>
      <c r="DW128" s="453" t="str">
        <f t="shared" si="195"/>
        <v/>
      </c>
      <c r="DX128" s="451" t="str">
        <f t="shared" si="195"/>
        <v/>
      </c>
      <c r="DY128" s="452" t="str">
        <f t="shared" si="195"/>
        <v/>
      </c>
      <c r="DZ128" s="452" t="str">
        <f t="shared" si="195"/>
        <v/>
      </c>
      <c r="EA128" s="452" t="str">
        <f t="shared" si="195"/>
        <v/>
      </c>
      <c r="EB128" s="453" t="str">
        <f t="shared" si="195"/>
        <v/>
      </c>
      <c r="EC128" s="451" t="str">
        <f t="shared" si="195"/>
        <v/>
      </c>
      <c r="ED128" s="452" t="str">
        <f t="shared" si="195"/>
        <v/>
      </c>
      <c r="EE128" s="452" t="str">
        <f t="shared" si="195"/>
        <v/>
      </c>
      <c r="EF128" s="452" t="str">
        <f t="shared" si="195"/>
        <v/>
      </c>
      <c r="EG128" s="453" t="str">
        <f t="shared" si="195"/>
        <v/>
      </c>
      <c r="EH128" s="451" t="str">
        <f t="shared" si="177"/>
        <v/>
      </c>
      <c r="EI128" s="452" t="str">
        <f t="shared" si="177"/>
        <v/>
      </c>
      <c r="EJ128" s="452" t="str">
        <f t="shared" si="177"/>
        <v/>
      </c>
      <c r="EK128" s="452" t="str">
        <f t="shared" si="177"/>
        <v/>
      </c>
      <c r="EL128" s="453" t="str">
        <f t="shared" si="177"/>
        <v/>
      </c>
      <c r="EM128" s="451" t="str">
        <f t="shared" si="177"/>
        <v/>
      </c>
      <c r="EN128" s="452" t="str">
        <f t="shared" si="177"/>
        <v/>
      </c>
      <c r="EO128" s="452" t="str">
        <f t="shared" si="177"/>
        <v/>
      </c>
      <c r="EP128" s="452" t="str">
        <f t="shared" si="177"/>
        <v/>
      </c>
      <c r="EQ128" s="453" t="str">
        <f t="shared" si="177"/>
        <v/>
      </c>
      <c r="ER128" s="451" t="str">
        <f t="shared" si="177"/>
        <v/>
      </c>
      <c r="ES128" s="452" t="str">
        <f t="shared" si="177"/>
        <v/>
      </c>
      <c r="ET128" s="452" t="str">
        <f t="shared" si="177"/>
        <v/>
      </c>
      <c r="EU128" s="452" t="str">
        <f t="shared" si="177"/>
        <v/>
      </c>
      <c r="EV128" s="453" t="str">
        <f t="shared" si="177"/>
        <v/>
      </c>
      <c r="EW128" s="451" t="str">
        <f t="shared" si="177"/>
        <v/>
      </c>
      <c r="EX128" s="452" t="str">
        <f t="shared" si="178"/>
        <v/>
      </c>
      <c r="EY128" s="452" t="str">
        <f t="shared" si="178"/>
        <v/>
      </c>
      <c r="EZ128" s="452" t="str">
        <f t="shared" si="178"/>
        <v/>
      </c>
      <c r="FA128" s="453" t="str">
        <f t="shared" si="175"/>
        <v/>
      </c>
      <c r="FB128" s="451" t="str">
        <f t="shared" si="175"/>
        <v/>
      </c>
      <c r="FC128" s="452" t="str">
        <f t="shared" si="175"/>
        <v/>
      </c>
      <c r="FD128" s="452" t="str">
        <f t="shared" si="175"/>
        <v/>
      </c>
      <c r="FE128" s="452" t="str">
        <f t="shared" si="175"/>
        <v/>
      </c>
      <c r="FF128" s="453" t="str">
        <f t="shared" si="175"/>
        <v/>
      </c>
      <c r="FG128" s="451" t="str">
        <f t="shared" si="175"/>
        <v/>
      </c>
      <c r="FH128" s="452" t="str">
        <f t="shared" si="175"/>
        <v/>
      </c>
      <c r="FI128" s="452" t="str">
        <f t="shared" si="175"/>
        <v/>
      </c>
      <c r="FJ128" s="452" t="str">
        <f t="shared" si="175"/>
        <v/>
      </c>
      <c r="FK128" s="453" t="str">
        <f t="shared" si="175"/>
        <v/>
      </c>
      <c r="FL128" s="451" t="str">
        <f t="shared" si="175"/>
        <v/>
      </c>
      <c r="FM128" s="452" t="str">
        <f t="shared" si="175"/>
        <v/>
      </c>
      <c r="FN128" s="452" t="str">
        <f t="shared" si="175"/>
        <v/>
      </c>
      <c r="FO128" s="452" t="str">
        <f t="shared" si="175"/>
        <v/>
      </c>
      <c r="FP128" s="453" t="str">
        <f t="shared" si="175"/>
        <v/>
      </c>
      <c r="FQ128" s="451" t="str">
        <f t="shared" si="185"/>
        <v/>
      </c>
      <c r="FR128" s="452" t="str">
        <f t="shared" si="185"/>
        <v/>
      </c>
      <c r="FS128" s="452" t="str">
        <f t="shared" si="185"/>
        <v/>
      </c>
      <c r="FT128" s="452" t="str">
        <f t="shared" si="185"/>
        <v/>
      </c>
      <c r="FU128" s="453" t="str">
        <f t="shared" si="185"/>
        <v/>
      </c>
      <c r="FV128" s="451" t="str">
        <f t="shared" si="185"/>
        <v/>
      </c>
      <c r="FW128" s="452" t="str">
        <f t="shared" si="185"/>
        <v/>
      </c>
      <c r="FX128" s="452" t="str">
        <f t="shared" si="185"/>
        <v/>
      </c>
      <c r="FY128" s="452" t="str">
        <f t="shared" si="185"/>
        <v/>
      </c>
      <c r="FZ128" s="453" t="str">
        <f t="shared" si="185"/>
        <v/>
      </c>
      <c r="GA128" s="451" t="str">
        <f t="shared" si="185"/>
        <v/>
      </c>
      <c r="GB128" s="452" t="str">
        <f t="shared" si="185"/>
        <v/>
      </c>
      <c r="GC128" s="452" t="str">
        <f t="shared" si="185"/>
        <v/>
      </c>
      <c r="GD128" s="452" t="str">
        <f t="shared" si="185"/>
        <v/>
      </c>
      <c r="GE128" s="453" t="str">
        <f t="shared" si="185"/>
        <v/>
      </c>
      <c r="GF128" s="451" t="str">
        <f t="shared" si="179"/>
        <v/>
      </c>
      <c r="GG128" s="452" t="str">
        <f t="shared" si="179"/>
        <v/>
      </c>
      <c r="GH128" s="452" t="str">
        <f t="shared" si="179"/>
        <v/>
      </c>
      <c r="GI128" s="452" t="str">
        <f t="shared" si="179"/>
        <v/>
      </c>
      <c r="GJ128" s="453" t="str">
        <f t="shared" si="179"/>
        <v/>
      </c>
      <c r="GK128" s="451" t="str">
        <f t="shared" si="179"/>
        <v/>
      </c>
      <c r="GL128" s="452" t="str">
        <f t="shared" si="179"/>
        <v/>
      </c>
      <c r="GM128" s="452" t="str">
        <f t="shared" si="179"/>
        <v/>
      </c>
      <c r="GN128" s="452" t="str">
        <f t="shared" si="179"/>
        <v/>
      </c>
      <c r="GO128" s="453" t="str">
        <f t="shared" si="176"/>
        <v/>
      </c>
      <c r="GP128" s="451" t="str">
        <f t="shared" si="176"/>
        <v/>
      </c>
      <c r="GQ128" s="452" t="str">
        <f t="shared" si="176"/>
        <v/>
      </c>
      <c r="GR128" s="452" t="str">
        <f t="shared" si="176"/>
        <v/>
      </c>
      <c r="GS128" s="452" t="str">
        <f t="shared" si="176"/>
        <v/>
      </c>
      <c r="GT128" s="453" t="str">
        <f t="shared" si="176"/>
        <v/>
      </c>
      <c r="GU128" s="451" t="str">
        <f t="shared" si="176"/>
        <v/>
      </c>
      <c r="GV128" s="452" t="str">
        <f t="shared" si="176"/>
        <v/>
      </c>
      <c r="GW128" s="452" t="str">
        <f t="shared" si="176"/>
        <v/>
      </c>
      <c r="GX128" s="452" t="str">
        <f t="shared" si="176"/>
        <v/>
      </c>
      <c r="GY128" s="453" t="str">
        <f t="shared" si="176"/>
        <v/>
      </c>
      <c r="GZ128" s="451" t="str">
        <f t="shared" si="176"/>
        <v/>
      </c>
      <c r="HA128" s="452" t="str">
        <f t="shared" si="176"/>
        <v/>
      </c>
      <c r="HB128" s="452" t="str">
        <f t="shared" si="176"/>
        <v/>
      </c>
      <c r="HC128" s="452" t="str">
        <f t="shared" si="176"/>
        <v/>
      </c>
      <c r="HD128" s="453" t="str">
        <f t="shared" si="176"/>
        <v/>
      </c>
      <c r="HE128" s="451" t="str">
        <f t="shared" si="176"/>
        <v/>
      </c>
      <c r="HF128" s="452" t="str">
        <f t="shared" si="183"/>
        <v/>
      </c>
      <c r="HG128" s="452" t="str">
        <f t="shared" si="183"/>
        <v/>
      </c>
      <c r="HH128" s="452" t="str">
        <f t="shared" si="183"/>
        <v/>
      </c>
      <c r="HI128" s="453" t="str">
        <f t="shared" si="183"/>
        <v/>
      </c>
      <c r="HJ128" s="451" t="str">
        <f t="shared" si="183"/>
        <v/>
      </c>
      <c r="HK128" s="452" t="str">
        <f t="shared" si="183"/>
        <v/>
      </c>
      <c r="HL128" s="452" t="str">
        <f t="shared" si="183"/>
        <v/>
      </c>
      <c r="HM128" s="452" t="str">
        <f t="shared" si="183"/>
        <v/>
      </c>
      <c r="HN128" s="453" t="str">
        <f t="shared" si="183"/>
        <v/>
      </c>
      <c r="HO128" s="451" t="str">
        <f t="shared" si="183"/>
        <v/>
      </c>
      <c r="HP128" s="452" t="str">
        <f t="shared" si="183"/>
        <v/>
      </c>
      <c r="HQ128" s="452" t="str">
        <f t="shared" si="183"/>
        <v/>
      </c>
      <c r="HR128" s="452" t="str">
        <f t="shared" si="183"/>
        <v/>
      </c>
      <c r="HS128" s="453" t="str">
        <f t="shared" si="183"/>
        <v/>
      </c>
      <c r="HT128" s="451" t="str">
        <f t="shared" si="183"/>
        <v/>
      </c>
      <c r="HU128" s="452" t="str">
        <f t="shared" si="183"/>
        <v/>
      </c>
      <c r="HV128" s="452" t="str">
        <f t="shared" si="190"/>
        <v/>
      </c>
      <c r="HW128" s="452" t="str">
        <f t="shared" si="190"/>
        <v/>
      </c>
      <c r="HX128" s="453" t="str">
        <f t="shared" si="190"/>
        <v/>
      </c>
      <c r="HY128" s="451" t="str">
        <f t="shared" si="190"/>
        <v/>
      </c>
      <c r="HZ128" s="452" t="str">
        <f t="shared" si="190"/>
        <v/>
      </c>
      <c r="IA128" s="452" t="str">
        <f t="shared" si="190"/>
        <v/>
      </c>
      <c r="IB128" s="452" t="str">
        <f t="shared" si="190"/>
        <v/>
      </c>
      <c r="IC128" s="453" t="str">
        <f t="shared" si="190"/>
        <v/>
      </c>
      <c r="ID128" s="451" t="str">
        <f t="shared" si="190"/>
        <v/>
      </c>
      <c r="IE128" s="452" t="str">
        <f t="shared" si="190"/>
        <v/>
      </c>
      <c r="IF128" s="452" t="str">
        <f t="shared" si="190"/>
        <v/>
      </c>
      <c r="IG128" s="452" t="str">
        <f t="shared" si="190"/>
        <v/>
      </c>
      <c r="IH128" s="453" t="str">
        <f t="shared" si="190"/>
        <v/>
      </c>
      <c r="II128" s="451" t="str">
        <f t="shared" si="190"/>
        <v/>
      </c>
      <c r="IJ128" s="452" t="str">
        <f t="shared" si="190"/>
        <v/>
      </c>
      <c r="IK128" s="452" t="str">
        <f t="shared" si="190"/>
        <v/>
      </c>
      <c r="IL128" s="452" t="str">
        <f t="shared" si="191"/>
        <v/>
      </c>
      <c r="IM128" s="453" t="str">
        <f t="shared" si="191"/>
        <v/>
      </c>
      <c r="IN128" s="451" t="str">
        <f t="shared" si="191"/>
        <v/>
      </c>
      <c r="IO128" s="452" t="str">
        <f t="shared" si="191"/>
        <v/>
      </c>
      <c r="IP128" s="452" t="str">
        <f t="shared" si="191"/>
        <v/>
      </c>
      <c r="IQ128" s="452" t="str">
        <f t="shared" si="191"/>
        <v/>
      </c>
      <c r="IR128" s="453" t="str">
        <f t="shared" si="191"/>
        <v/>
      </c>
    </row>
    <row r="129" spans="1:252" x14ac:dyDescent="0.2">
      <c r="A129" s="461">
        <v>12.4</v>
      </c>
      <c r="C129" s="447" t="s">
        <v>1354</v>
      </c>
      <c r="D129" s="447"/>
      <c r="E129" s="448"/>
      <c r="F129" s="448"/>
      <c r="G129" s="448"/>
      <c r="H129" s="448"/>
      <c r="I129" s="448"/>
      <c r="J129" s="449" t="str">
        <f t="shared" si="188"/>
        <v/>
      </c>
      <c r="K129" s="449" t="str">
        <f t="shared" si="189"/>
        <v/>
      </c>
      <c r="L129" s="450">
        <f t="shared" si="187"/>
        <v>0</v>
      </c>
      <c r="M129" s="451" t="str">
        <f t="shared" si="186"/>
        <v/>
      </c>
      <c r="N129" s="452" t="str">
        <f t="shared" si="186"/>
        <v/>
      </c>
      <c r="O129" s="452" t="str">
        <f t="shared" si="186"/>
        <v/>
      </c>
      <c r="P129" s="452" t="str">
        <f t="shared" si="186"/>
        <v/>
      </c>
      <c r="Q129" s="453" t="str">
        <f t="shared" si="186"/>
        <v/>
      </c>
      <c r="R129" s="451" t="str">
        <f t="shared" si="186"/>
        <v/>
      </c>
      <c r="S129" s="452" t="str">
        <f t="shared" si="186"/>
        <v/>
      </c>
      <c r="T129" s="452" t="str">
        <f t="shared" si="186"/>
        <v/>
      </c>
      <c r="U129" s="452" t="str">
        <f t="shared" si="186"/>
        <v/>
      </c>
      <c r="V129" s="453" t="str">
        <f t="shared" si="186"/>
        <v/>
      </c>
      <c r="W129" s="451" t="str">
        <f t="shared" si="186"/>
        <v/>
      </c>
      <c r="X129" s="452" t="str">
        <f t="shared" si="186"/>
        <v/>
      </c>
      <c r="Y129" s="452" t="str">
        <f t="shared" si="186"/>
        <v/>
      </c>
      <c r="Z129" s="452" t="str">
        <f t="shared" si="186"/>
        <v/>
      </c>
      <c r="AA129" s="453" t="str">
        <f t="shared" si="186"/>
        <v/>
      </c>
      <c r="AB129" s="451" t="str">
        <f t="shared" si="186"/>
        <v/>
      </c>
      <c r="AC129" s="452" t="str">
        <f t="shared" ref="AC129:AR144" si="196">IF(AND(AC$2&gt;=$J129,AC$2&lt;=$K129),1,"")</f>
        <v/>
      </c>
      <c r="AD129" s="452" t="str">
        <f t="shared" si="196"/>
        <v/>
      </c>
      <c r="AE129" s="452" t="str">
        <f t="shared" si="196"/>
        <v/>
      </c>
      <c r="AF129" s="453" t="str">
        <f t="shared" si="196"/>
        <v/>
      </c>
      <c r="AG129" s="451" t="str">
        <f t="shared" si="196"/>
        <v/>
      </c>
      <c r="AH129" s="452" t="str">
        <f t="shared" si="196"/>
        <v/>
      </c>
      <c r="AI129" s="452" t="str">
        <f t="shared" si="196"/>
        <v/>
      </c>
      <c r="AJ129" s="452" t="str">
        <f t="shared" si="196"/>
        <v/>
      </c>
      <c r="AK129" s="453" t="str">
        <f t="shared" si="196"/>
        <v/>
      </c>
      <c r="AL129" s="451" t="str">
        <f t="shared" si="196"/>
        <v/>
      </c>
      <c r="AM129" s="452" t="str">
        <f t="shared" si="196"/>
        <v/>
      </c>
      <c r="AN129" s="452" t="str">
        <f t="shared" si="196"/>
        <v/>
      </c>
      <c r="AO129" s="452" t="str">
        <f t="shared" si="196"/>
        <v/>
      </c>
      <c r="AP129" s="453" t="str">
        <f t="shared" si="196"/>
        <v/>
      </c>
      <c r="AQ129" s="451" t="str">
        <f t="shared" si="196"/>
        <v/>
      </c>
      <c r="AR129" s="452" t="str">
        <f t="shared" si="196"/>
        <v/>
      </c>
      <c r="AS129" s="452" t="str">
        <f t="shared" si="193"/>
        <v/>
      </c>
      <c r="AT129" s="452" t="str">
        <f t="shared" si="193"/>
        <v/>
      </c>
      <c r="AU129" s="453" t="str">
        <f t="shared" si="193"/>
        <v/>
      </c>
      <c r="AV129" s="451" t="str">
        <f t="shared" si="193"/>
        <v/>
      </c>
      <c r="AW129" s="452" t="str">
        <f t="shared" si="193"/>
        <v/>
      </c>
      <c r="AX129" s="452" t="str">
        <f t="shared" si="193"/>
        <v/>
      </c>
      <c r="AY129" s="452" t="str">
        <f t="shared" si="193"/>
        <v/>
      </c>
      <c r="AZ129" s="453" t="str">
        <f t="shared" si="193"/>
        <v/>
      </c>
      <c r="BA129" s="451" t="str">
        <f t="shared" si="193"/>
        <v/>
      </c>
      <c r="BB129" s="452" t="str">
        <f t="shared" si="193"/>
        <v/>
      </c>
      <c r="BC129" s="452" t="str">
        <f t="shared" si="193"/>
        <v/>
      </c>
      <c r="BD129" s="452" t="str">
        <f t="shared" si="193"/>
        <v/>
      </c>
      <c r="BE129" s="453" t="str">
        <f t="shared" si="193"/>
        <v/>
      </c>
      <c r="BF129" s="451" t="str">
        <f t="shared" si="193"/>
        <v/>
      </c>
      <c r="BG129" s="452" t="str">
        <f t="shared" si="193"/>
        <v/>
      </c>
      <c r="BH129" s="452" t="str">
        <f t="shared" si="181"/>
        <v/>
      </c>
      <c r="BI129" s="452" t="str">
        <f t="shared" si="181"/>
        <v/>
      </c>
      <c r="BJ129" s="453" t="str">
        <f t="shared" si="181"/>
        <v/>
      </c>
      <c r="BK129" s="451" t="str">
        <f t="shared" si="181"/>
        <v/>
      </c>
      <c r="BL129" s="452" t="str">
        <f t="shared" si="181"/>
        <v/>
      </c>
      <c r="BM129" s="452" t="str">
        <f t="shared" si="181"/>
        <v/>
      </c>
      <c r="BN129" s="452" t="str">
        <f t="shared" si="181"/>
        <v/>
      </c>
      <c r="BO129" s="453" t="str">
        <f t="shared" si="181"/>
        <v/>
      </c>
      <c r="BP129" s="451" t="str">
        <f t="shared" si="181"/>
        <v/>
      </c>
      <c r="BQ129" s="452" t="str">
        <f t="shared" si="181"/>
        <v/>
      </c>
      <c r="BR129" s="452" t="str">
        <f t="shared" si="181"/>
        <v/>
      </c>
      <c r="BS129" s="452" t="str">
        <f t="shared" si="181"/>
        <v/>
      </c>
      <c r="BT129" s="453" t="str">
        <f t="shared" si="181"/>
        <v/>
      </c>
      <c r="BU129" s="451" t="str">
        <f t="shared" si="181"/>
        <v/>
      </c>
      <c r="BV129" s="452" t="str">
        <f t="shared" si="181"/>
        <v/>
      </c>
      <c r="BW129" s="452" t="str">
        <f t="shared" si="181"/>
        <v/>
      </c>
      <c r="BX129" s="452" t="str">
        <f t="shared" si="194"/>
        <v/>
      </c>
      <c r="BY129" s="453" t="str">
        <f t="shared" si="194"/>
        <v/>
      </c>
      <c r="BZ129" s="451" t="str">
        <f t="shared" si="194"/>
        <v/>
      </c>
      <c r="CA129" s="452" t="str">
        <f t="shared" si="194"/>
        <v/>
      </c>
      <c r="CB129" s="452" t="str">
        <f t="shared" si="194"/>
        <v/>
      </c>
      <c r="CC129" s="452" t="str">
        <f t="shared" si="194"/>
        <v/>
      </c>
      <c r="CD129" s="453" t="str">
        <f t="shared" si="194"/>
        <v/>
      </c>
      <c r="CE129" s="451" t="str">
        <f t="shared" si="194"/>
        <v/>
      </c>
      <c r="CF129" s="452" t="str">
        <f t="shared" si="194"/>
        <v/>
      </c>
      <c r="CG129" s="452" t="str">
        <f t="shared" si="194"/>
        <v/>
      </c>
      <c r="CH129" s="452" t="str">
        <f t="shared" si="194"/>
        <v/>
      </c>
      <c r="CI129" s="453" t="str">
        <f t="shared" si="194"/>
        <v/>
      </c>
      <c r="CJ129" s="451" t="str">
        <f t="shared" si="194"/>
        <v/>
      </c>
      <c r="CK129" s="452" t="str">
        <f t="shared" si="194"/>
        <v/>
      </c>
      <c r="CL129" s="452" t="str">
        <f t="shared" si="194"/>
        <v/>
      </c>
      <c r="CM129" s="452" t="str">
        <f t="shared" si="194"/>
        <v/>
      </c>
      <c r="CN129" s="453" t="str">
        <f t="shared" si="192"/>
        <v/>
      </c>
      <c r="CO129" s="451" t="str">
        <f t="shared" si="192"/>
        <v/>
      </c>
      <c r="CP129" s="452" t="str">
        <f t="shared" si="192"/>
        <v/>
      </c>
      <c r="CQ129" s="452" t="str">
        <f t="shared" si="192"/>
        <v/>
      </c>
      <c r="CR129" s="452" t="str">
        <f t="shared" si="192"/>
        <v/>
      </c>
      <c r="CS129" s="453" t="str">
        <f t="shared" si="192"/>
        <v/>
      </c>
      <c r="CT129" s="451" t="str">
        <f t="shared" si="192"/>
        <v/>
      </c>
      <c r="CU129" s="452" t="str">
        <f t="shared" si="192"/>
        <v/>
      </c>
      <c r="CV129" s="452" t="str">
        <f t="shared" si="192"/>
        <v/>
      </c>
      <c r="CW129" s="452" t="str">
        <f t="shared" si="192"/>
        <v/>
      </c>
      <c r="CX129" s="453" t="str">
        <f t="shared" si="192"/>
        <v/>
      </c>
      <c r="CY129" s="451" t="str">
        <f t="shared" si="192"/>
        <v/>
      </c>
      <c r="CZ129" s="452" t="str">
        <f t="shared" si="192"/>
        <v/>
      </c>
      <c r="DA129" s="452" t="str">
        <f t="shared" si="192"/>
        <v/>
      </c>
      <c r="DB129" s="452" t="str">
        <f t="shared" si="192"/>
        <v/>
      </c>
      <c r="DC129" s="453" t="str">
        <f t="shared" si="192"/>
        <v/>
      </c>
      <c r="DD129" s="451" t="str">
        <f t="shared" ref="DD129:DS144" si="197">IF(AND(DD$2&gt;=$J129,DD$2&lt;=$K129),1,"")</f>
        <v/>
      </c>
      <c r="DE129" s="452" t="str">
        <f t="shared" si="197"/>
        <v/>
      </c>
      <c r="DF129" s="452" t="str">
        <f t="shared" si="197"/>
        <v/>
      </c>
      <c r="DG129" s="452" t="str">
        <f t="shared" si="197"/>
        <v/>
      </c>
      <c r="DH129" s="453" t="str">
        <f t="shared" si="197"/>
        <v/>
      </c>
      <c r="DI129" s="451" t="str">
        <f t="shared" si="197"/>
        <v/>
      </c>
      <c r="DJ129" s="452" t="str">
        <f t="shared" si="197"/>
        <v/>
      </c>
      <c r="DK129" s="452" t="str">
        <f t="shared" si="197"/>
        <v/>
      </c>
      <c r="DL129" s="452" t="str">
        <f t="shared" si="197"/>
        <v/>
      </c>
      <c r="DM129" s="453" t="str">
        <f t="shared" si="197"/>
        <v/>
      </c>
      <c r="DN129" s="451" t="str">
        <f t="shared" si="197"/>
        <v/>
      </c>
      <c r="DO129" s="452" t="str">
        <f t="shared" si="197"/>
        <v/>
      </c>
      <c r="DP129" s="452" t="str">
        <f t="shared" si="197"/>
        <v/>
      </c>
      <c r="DQ129" s="452" t="str">
        <f t="shared" si="197"/>
        <v/>
      </c>
      <c r="DR129" s="453" t="str">
        <f t="shared" si="197"/>
        <v/>
      </c>
      <c r="DS129" s="451" t="str">
        <f t="shared" si="195"/>
        <v/>
      </c>
      <c r="DT129" s="452" t="str">
        <f t="shared" si="195"/>
        <v/>
      </c>
      <c r="DU129" s="452" t="str">
        <f t="shared" si="195"/>
        <v/>
      </c>
      <c r="DV129" s="452" t="str">
        <f t="shared" si="195"/>
        <v/>
      </c>
      <c r="DW129" s="453" t="str">
        <f t="shared" si="195"/>
        <v/>
      </c>
      <c r="DX129" s="451" t="str">
        <f t="shared" si="195"/>
        <v/>
      </c>
      <c r="DY129" s="452" t="str">
        <f t="shared" si="195"/>
        <v/>
      </c>
      <c r="DZ129" s="452" t="str">
        <f t="shared" si="195"/>
        <v/>
      </c>
      <c r="EA129" s="452" t="str">
        <f t="shared" si="195"/>
        <v/>
      </c>
      <c r="EB129" s="453" t="str">
        <f t="shared" si="195"/>
        <v/>
      </c>
      <c r="EC129" s="451" t="str">
        <f t="shared" si="195"/>
        <v/>
      </c>
      <c r="ED129" s="452" t="str">
        <f t="shared" si="195"/>
        <v/>
      </c>
      <c r="EE129" s="452" t="str">
        <f t="shared" si="195"/>
        <v/>
      </c>
      <c r="EF129" s="452" t="str">
        <f t="shared" si="195"/>
        <v/>
      </c>
      <c r="EG129" s="453" t="str">
        <f t="shared" si="195"/>
        <v/>
      </c>
      <c r="EH129" s="451" t="str">
        <f t="shared" si="177"/>
        <v/>
      </c>
      <c r="EI129" s="452" t="str">
        <f t="shared" si="177"/>
        <v/>
      </c>
      <c r="EJ129" s="452" t="str">
        <f t="shared" si="177"/>
        <v/>
      </c>
      <c r="EK129" s="452" t="str">
        <f t="shared" si="177"/>
        <v/>
      </c>
      <c r="EL129" s="453" t="str">
        <f t="shared" si="177"/>
        <v/>
      </c>
      <c r="EM129" s="451" t="str">
        <f t="shared" si="177"/>
        <v/>
      </c>
      <c r="EN129" s="452" t="str">
        <f t="shared" si="177"/>
        <v/>
      </c>
      <c r="EO129" s="452" t="str">
        <f t="shared" si="177"/>
        <v/>
      </c>
      <c r="EP129" s="452" t="str">
        <f t="shared" si="177"/>
        <v/>
      </c>
      <c r="EQ129" s="453" t="str">
        <f t="shared" si="177"/>
        <v/>
      </c>
      <c r="ER129" s="451" t="str">
        <f t="shared" si="177"/>
        <v/>
      </c>
      <c r="ES129" s="452" t="str">
        <f t="shared" si="177"/>
        <v/>
      </c>
      <c r="ET129" s="452" t="str">
        <f t="shared" si="177"/>
        <v/>
      </c>
      <c r="EU129" s="452" t="str">
        <f t="shared" si="177"/>
        <v/>
      </c>
      <c r="EV129" s="453" t="str">
        <f t="shared" si="177"/>
        <v/>
      </c>
      <c r="EW129" s="451" t="str">
        <f t="shared" si="177"/>
        <v/>
      </c>
      <c r="EX129" s="452" t="str">
        <f t="shared" si="178"/>
        <v/>
      </c>
      <c r="EY129" s="452" t="str">
        <f t="shared" si="178"/>
        <v/>
      </c>
      <c r="EZ129" s="452" t="str">
        <f t="shared" si="178"/>
        <v/>
      </c>
      <c r="FA129" s="453" t="str">
        <f t="shared" si="175"/>
        <v/>
      </c>
      <c r="FB129" s="451" t="str">
        <f t="shared" si="175"/>
        <v/>
      </c>
      <c r="FC129" s="452" t="str">
        <f t="shared" si="175"/>
        <v/>
      </c>
      <c r="FD129" s="452" t="str">
        <f t="shared" si="175"/>
        <v/>
      </c>
      <c r="FE129" s="452" t="str">
        <f t="shared" si="175"/>
        <v/>
      </c>
      <c r="FF129" s="453" t="str">
        <f t="shared" si="175"/>
        <v/>
      </c>
      <c r="FG129" s="451" t="str">
        <f t="shared" si="175"/>
        <v/>
      </c>
      <c r="FH129" s="452" t="str">
        <f t="shared" si="175"/>
        <v/>
      </c>
      <c r="FI129" s="452" t="str">
        <f t="shared" si="175"/>
        <v/>
      </c>
      <c r="FJ129" s="452" t="str">
        <f t="shared" si="175"/>
        <v/>
      </c>
      <c r="FK129" s="453" t="str">
        <f t="shared" si="175"/>
        <v/>
      </c>
      <c r="FL129" s="451" t="str">
        <f t="shared" si="175"/>
        <v/>
      </c>
      <c r="FM129" s="452" t="str">
        <f t="shared" si="175"/>
        <v/>
      </c>
      <c r="FN129" s="452" t="str">
        <f t="shared" si="175"/>
        <v/>
      </c>
      <c r="FO129" s="452" t="str">
        <f t="shared" si="175"/>
        <v/>
      </c>
      <c r="FP129" s="453" t="str">
        <f t="shared" si="175"/>
        <v/>
      </c>
      <c r="FQ129" s="451" t="str">
        <f t="shared" si="185"/>
        <v/>
      </c>
      <c r="FR129" s="452" t="str">
        <f t="shared" si="185"/>
        <v/>
      </c>
      <c r="FS129" s="452" t="str">
        <f t="shared" si="185"/>
        <v/>
      </c>
      <c r="FT129" s="452" t="str">
        <f t="shared" si="185"/>
        <v/>
      </c>
      <c r="FU129" s="453" t="str">
        <f t="shared" si="185"/>
        <v/>
      </c>
      <c r="FV129" s="451" t="str">
        <f t="shared" si="185"/>
        <v/>
      </c>
      <c r="FW129" s="452" t="str">
        <f t="shared" si="185"/>
        <v/>
      </c>
      <c r="FX129" s="452" t="str">
        <f t="shared" si="185"/>
        <v/>
      </c>
      <c r="FY129" s="452" t="str">
        <f t="shared" si="185"/>
        <v/>
      </c>
      <c r="FZ129" s="453" t="str">
        <f t="shared" si="185"/>
        <v/>
      </c>
      <c r="GA129" s="451" t="str">
        <f t="shared" si="185"/>
        <v/>
      </c>
      <c r="GB129" s="452" t="str">
        <f t="shared" si="185"/>
        <v/>
      </c>
      <c r="GC129" s="452" t="str">
        <f t="shared" si="185"/>
        <v/>
      </c>
      <c r="GD129" s="452" t="str">
        <f t="shared" si="185"/>
        <v/>
      </c>
      <c r="GE129" s="453" t="str">
        <f t="shared" si="185"/>
        <v/>
      </c>
      <c r="GF129" s="451" t="str">
        <f t="shared" si="179"/>
        <v/>
      </c>
      <c r="GG129" s="452" t="str">
        <f t="shared" si="179"/>
        <v/>
      </c>
      <c r="GH129" s="452" t="str">
        <f t="shared" si="179"/>
        <v/>
      </c>
      <c r="GI129" s="452" t="str">
        <f t="shared" si="179"/>
        <v/>
      </c>
      <c r="GJ129" s="453" t="str">
        <f t="shared" si="179"/>
        <v/>
      </c>
      <c r="GK129" s="451" t="str">
        <f t="shared" si="179"/>
        <v/>
      </c>
      <c r="GL129" s="452" t="str">
        <f t="shared" si="179"/>
        <v/>
      </c>
      <c r="GM129" s="452" t="str">
        <f t="shared" si="179"/>
        <v/>
      </c>
      <c r="GN129" s="452" t="str">
        <f t="shared" si="179"/>
        <v/>
      </c>
      <c r="GO129" s="453" t="str">
        <f t="shared" si="176"/>
        <v/>
      </c>
      <c r="GP129" s="451" t="str">
        <f t="shared" si="176"/>
        <v/>
      </c>
      <c r="GQ129" s="452" t="str">
        <f t="shared" si="176"/>
        <v/>
      </c>
      <c r="GR129" s="452" t="str">
        <f t="shared" si="176"/>
        <v/>
      </c>
      <c r="GS129" s="452" t="str">
        <f t="shared" si="176"/>
        <v/>
      </c>
      <c r="GT129" s="453" t="str">
        <f t="shared" si="176"/>
        <v/>
      </c>
      <c r="GU129" s="451" t="str">
        <f t="shared" si="176"/>
        <v/>
      </c>
      <c r="GV129" s="452" t="str">
        <f t="shared" si="176"/>
        <v/>
      </c>
      <c r="GW129" s="452" t="str">
        <f t="shared" si="176"/>
        <v/>
      </c>
      <c r="GX129" s="452" t="str">
        <f t="shared" si="176"/>
        <v/>
      </c>
      <c r="GY129" s="453" t="str">
        <f t="shared" si="176"/>
        <v/>
      </c>
      <c r="GZ129" s="451" t="str">
        <f t="shared" si="176"/>
        <v/>
      </c>
      <c r="HA129" s="452" t="str">
        <f t="shared" si="176"/>
        <v/>
      </c>
      <c r="HB129" s="452" t="str">
        <f t="shared" si="176"/>
        <v/>
      </c>
      <c r="HC129" s="452" t="str">
        <f t="shared" si="176"/>
        <v/>
      </c>
      <c r="HD129" s="453" t="str">
        <f t="shared" si="176"/>
        <v/>
      </c>
      <c r="HE129" s="451" t="str">
        <f t="shared" si="176"/>
        <v/>
      </c>
      <c r="HF129" s="452" t="str">
        <f t="shared" si="183"/>
        <v/>
      </c>
      <c r="HG129" s="452" t="str">
        <f t="shared" si="183"/>
        <v/>
      </c>
      <c r="HH129" s="452" t="str">
        <f t="shared" si="183"/>
        <v/>
      </c>
      <c r="HI129" s="453" t="str">
        <f t="shared" si="183"/>
        <v/>
      </c>
      <c r="HJ129" s="451" t="str">
        <f t="shared" si="183"/>
        <v/>
      </c>
      <c r="HK129" s="452" t="str">
        <f t="shared" si="183"/>
        <v/>
      </c>
      <c r="HL129" s="452" t="str">
        <f t="shared" si="183"/>
        <v/>
      </c>
      <c r="HM129" s="452" t="str">
        <f t="shared" si="183"/>
        <v/>
      </c>
      <c r="HN129" s="453" t="str">
        <f t="shared" si="183"/>
        <v/>
      </c>
      <c r="HO129" s="451" t="str">
        <f t="shared" si="183"/>
        <v/>
      </c>
      <c r="HP129" s="452" t="str">
        <f t="shared" si="183"/>
        <v/>
      </c>
      <c r="HQ129" s="452" t="str">
        <f t="shared" si="183"/>
        <v/>
      </c>
      <c r="HR129" s="452" t="str">
        <f t="shared" si="183"/>
        <v/>
      </c>
      <c r="HS129" s="453" t="str">
        <f t="shared" si="183"/>
        <v/>
      </c>
      <c r="HT129" s="451" t="str">
        <f t="shared" si="183"/>
        <v/>
      </c>
      <c r="HU129" s="452" t="str">
        <f t="shared" si="183"/>
        <v/>
      </c>
      <c r="HV129" s="452" t="str">
        <f t="shared" si="190"/>
        <v/>
      </c>
      <c r="HW129" s="452" t="str">
        <f t="shared" si="190"/>
        <v/>
      </c>
      <c r="HX129" s="453" t="str">
        <f t="shared" si="190"/>
        <v/>
      </c>
      <c r="HY129" s="451" t="str">
        <f t="shared" si="190"/>
        <v/>
      </c>
      <c r="HZ129" s="452" t="str">
        <f t="shared" si="190"/>
        <v/>
      </c>
      <c r="IA129" s="452" t="str">
        <f t="shared" si="190"/>
        <v/>
      </c>
      <c r="IB129" s="452" t="str">
        <f t="shared" si="190"/>
        <v/>
      </c>
      <c r="IC129" s="453" t="str">
        <f t="shared" si="190"/>
        <v/>
      </c>
      <c r="ID129" s="451" t="str">
        <f t="shared" si="190"/>
        <v/>
      </c>
      <c r="IE129" s="452" t="str">
        <f t="shared" si="190"/>
        <v/>
      </c>
      <c r="IF129" s="452" t="str">
        <f t="shared" si="190"/>
        <v/>
      </c>
      <c r="IG129" s="452" t="str">
        <f t="shared" si="190"/>
        <v/>
      </c>
      <c r="IH129" s="453" t="str">
        <f t="shared" si="190"/>
        <v/>
      </c>
      <c r="II129" s="451" t="str">
        <f t="shared" si="190"/>
        <v/>
      </c>
      <c r="IJ129" s="452" t="str">
        <f t="shared" si="190"/>
        <v/>
      </c>
      <c r="IK129" s="452" t="str">
        <f t="shared" si="190"/>
        <v/>
      </c>
      <c r="IL129" s="452" t="str">
        <f t="shared" si="191"/>
        <v/>
      </c>
      <c r="IM129" s="453" t="str">
        <f t="shared" si="191"/>
        <v/>
      </c>
      <c r="IN129" s="451" t="str">
        <f t="shared" si="191"/>
        <v/>
      </c>
      <c r="IO129" s="452" t="str">
        <f t="shared" si="191"/>
        <v/>
      </c>
      <c r="IP129" s="452" t="str">
        <f t="shared" si="191"/>
        <v/>
      </c>
      <c r="IQ129" s="452" t="str">
        <f t="shared" si="191"/>
        <v/>
      </c>
      <c r="IR129" s="453" t="str">
        <f t="shared" si="191"/>
        <v/>
      </c>
    </row>
    <row r="130" spans="1:252" x14ac:dyDescent="0.2">
      <c r="A130" s="461">
        <v>12.5</v>
      </c>
      <c r="C130" s="447" t="s">
        <v>1355</v>
      </c>
      <c r="D130" s="447"/>
      <c r="E130" s="448"/>
      <c r="F130" s="448"/>
      <c r="G130" s="448"/>
      <c r="H130" s="448"/>
      <c r="I130" s="448"/>
      <c r="J130" s="449" t="str">
        <f t="shared" si="188"/>
        <v/>
      </c>
      <c r="K130" s="449" t="str">
        <f t="shared" si="189"/>
        <v/>
      </c>
      <c r="L130" s="450">
        <f t="shared" si="187"/>
        <v>0</v>
      </c>
      <c r="M130" s="451" t="str">
        <f t="shared" si="186"/>
        <v/>
      </c>
      <c r="N130" s="452" t="str">
        <f t="shared" si="186"/>
        <v/>
      </c>
      <c r="O130" s="452" t="str">
        <f t="shared" si="186"/>
        <v/>
      </c>
      <c r="P130" s="452" t="str">
        <f t="shared" si="186"/>
        <v/>
      </c>
      <c r="Q130" s="453" t="str">
        <f t="shared" si="186"/>
        <v/>
      </c>
      <c r="R130" s="451" t="str">
        <f t="shared" si="186"/>
        <v/>
      </c>
      <c r="S130" s="452" t="str">
        <f t="shared" si="186"/>
        <v/>
      </c>
      <c r="T130" s="452" t="str">
        <f t="shared" si="186"/>
        <v/>
      </c>
      <c r="U130" s="452" t="str">
        <f t="shared" si="186"/>
        <v/>
      </c>
      <c r="V130" s="453" t="str">
        <f t="shared" si="186"/>
        <v/>
      </c>
      <c r="W130" s="451" t="str">
        <f t="shared" si="186"/>
        <v/>
      </c>
      <c r="X130" s="452" t="str">
        <f t="shared" si="186"/>
        <v/>
      </c>
      <c r="Y130" s="452" t="str">
        <f t="shared" si="186"/>
        <v/>
      </c>
      <c r="Z130" s="452" t="str">
        <f t="shared" si="186"/>
        <v/>
      </c>
      <c r="AA130" s="453" t="str">
        <f t="shared" si="186"/>
        <v/>
      </c>
      <c r="AB130" s="451" t="str">
        <f t="shared" si="186"/>
        <v/>
      </c>
      <c r="AC130" s="452" t="str">
        <f t="shared" si="196"/>
        <v/>
      </c>
      <c r="AD130" s="452" t="str">
        <f t="shared" si="196"/>
        <v/>
      </c>
      <c r="AE130" s="452" t="str">
        <f t="shared" si="196"/>
        <v/>
      </c>
      <c r="AF130" s="453" t="str">
        <f t="shared" si="196"/>
        <v/>
      </c>
      <c r="AG130" s="451" t="str">
        <f t="shared" si="196"/>
        <v/>
      </c>
      <c r="AH130" s="452" t="str">
        <f t="shared" si="196"/>
        <v/>
      </c>
      <c r="AI130" s="452" t="str">
        <f t="shared" si="196"/>
        <v/>
      </c>
      <c r="AJ130" s="452" t="str">
        <f t="shared" si="196"/>
        <v/>
      </c>
      <c r="AK130" s="453" t="str">
        <f t="shared" si="196"/>
        <v/>
      </c>
      <c r="AL130" s="451" t="str">
        <f t="shared" si="196"/>
        <v/>
      </c>
      <c r="AM130" s="452" t="str">
        <f t="shared" si="196"/>
        <v/>
      </c>
      <c r="AN130" s="452" t="str">
        <f t="shared" si="196"/>
        <v/>
      </c>
      <c r="AO130" s="452" t="str">
        <f t="shared" si="196"/>
        <v/>
      </c>
      <c r="AP130" s="453" t="str">
        <f t="shared" si="196"/>
        <v/>
      </c>
      <c r="AQ130" s="451" t="str">
        <f t="shared" si="196"/>
        <v/>
      </c>
      <c r="AR130" s="452" t="str">
        <f t="shared" si="196"/>
        <v/>
      </c>
      <c r="AS130" s="452" t="str">
        <f t="shared" si="193"/>
        <v/>
      </c>
      <c r="AT130" s="452" t="str">
        <f t="shared" si="193"/>
        <v/>
      </c>
      <c r="AU130" s="453" t="str">
        <f t="shared" si="193"/>
        <v/>
      </c>
      <c r="AV130" s="451" t="str">
        <f t="shared" si="193"/>
        <v/>
      </c>
      <c r="AW130" s="452" t="str">
        <f t="shared" si="193"/>
        <v/>
      </c>
      <c r="AX130" s="452" t="str">
        <f t="shared" si="193"/>
        <v/>
      </c>
      <c r="AY130" s="452" t="str">
        <f t="shared" si="193"/>
        <v/>
      </c>
      <c r="AZ130" s="453" t="str">
        <f t="shared" si="193"/>
        <v/>
      </c>
      <c r="BA130" s="451" t="str">
        <f t="shared" si="193"/>
        <v/>
      </c>
      <c r="BB130" s="452" t="str">
        <f t="shared" si="193"/>
        <v/>
      </c>
      <c r="BC130" s="452" t="str">
        <f t="shared" si="193"/>
        <v/>
      </c>
      <c r="BD130" s="452" t="str">
        <f t="shared" si="193"/>
        <v/>
      </c>
      <c r="BE130" s="453" t="str">
        <f t="shared" si="193"/>
        <v/>
      </c>
      <c r="BF130" s="451" t="str">
        <f t="shared" si="193"/>
        <v/>
      </c>
      <c r="BG130" s="452" t="str">
        <f t="shared" si="193"/>
        <v/>
      </c>
      <c r="BH130" s="452" t="str">
        <f t="shared" si="181"/>
        <v/>
      </c>
      <c r="BI130" s="452" t="str">
        <f t="shared" si="181"/>
        <v/>
      </c>
      <c r="BJ130" s="453" t="str">
        <f t="shared" si="181"/>
        <v/>
      </c>
      <c r="BK130" s="451" t="str">
        <f t="shared" si="181"/>
        <v/>
      </c>
      <c r="BL130" s="452" t="str">
        <f t="shared" si="181"/>
        <v/>
      </c>
      <c r="BM130" s="452" t="str">
        <f t="shared" si="181"/>
        <v/>
      </c>
      <c r="BN130" s="452" t="str">
        <f t="shared" si="181"/>
        <v/>
      </c>
      <c r="BO130" s="453" t="str">
        <f t="shared" si="181"/>
        <v/>
      </c>
      <c r="BP130" s="451" t="str">
        <f t="shared" si="181"/>
        <v/>
      </c>
      <c r="BQ130" s="452" t="str">
        <f t="shared" si="181"/>
        <v/>
      </c>
      <c r="BR130" s="452" t="str">
        <f t="shared" si="181"/>
        <v/>
      </c>
      <c r="BS130" s="452" t="str">
        <f t="shared" si="181"/>
        <v/>
      </c>
      <c r="BT130" s="453" t="str">
        <f t="shared" si="181"/>
        <v/>
      </c>
      <c r="BU130" s="451" t="str">
        <f t="shared" si="181"/>
        <v/>
      </c>
      <c r="BV130" s="452" t="str">
        <f t="shared" si="181"/>
        <v/>
      </c>
      <c r="BW130" s="452" t="str">
        <f t="shared" si="181"/>
        <v/>
      </c>
      <c r="BX130" s="452" t="str">
        <f t="shared" si="194"/>
        <v/>
      </c>
      <c r="BY130" s="453" t="str">
        <f t="shared" si="194"/>
        <v/>
      </c>
      <c r="BZ130" s="451" t="str">
        <f t="shared" si="194"/>
        <v/>
      </c>
      <c r="CA130" s="452" t="str">
        <f t="shared" si="194"/>
        <v/>
      </c>
      <c r="CB130" s="452" t="str">
        <f t="shared" si="194"/>
        <v/>
      </c>
      <c r="CC130" s="452" t="str">
        <f t="shared" si="194"/>
        <v/>
      </c>
      <c r="CD130" s="453" t="str">
        <f t="shared" si="194"/>
        <v/>
      </c>
      <c r="CE130" s="451" t="str">
        <f t="shared" si="194"/>
        <v/>
      </c>
      <c r="CF130" s="452" t="str">
        <f t="shared" si="194"/>
        <v/>
      </c>
      <c r="CG130" s="452" t="str">
        <f t="shared" si="194"/>
        <v/>
      </c>
      <c r="CH130" s="452" t="str">
        <f t="shared" si="194"/>
        <v/>
      </c>
      <c r="CI130" s="453" t="str">
        <f t="shared" si="194"/>
        <v/>
      </c>
      <c r="CJ130" s="451" t="str">
        <f t="shared" si="194"/>
        <v/>
      </c>
      <c r="CK130" s="452" t="str">
        <f t="shared" si="194"/>
        <v/>
      </c>
      <c r="CL130" s="452" t="str">
        <f t="shared" si="194"/>
        <v/>
      </c>
      <c r="CM130" s="452" t="str">
        <f t="shared" si="194"/>
        <v/>
      </c>
      <c r="CN130" s="453" t="str">
        <f t="shared" si="192"/>
        <v/>
      </c>
      <c r="CO130" s="451" t="str">
        <f t="shared" si="192"/>
        <v/>
      </c>
      <c r="CP130" s="452" t="str">
        <f t="shared" si="192"/>
        <v/>
      </c>
      <c r="CQ130" s="452" t="str">
        <f t="shared" si="192"/>
        <v/>
      </c>
      <c r="CR130" s="452" t="str">
        <f t="shared" si="192"/>
        <v/>
      </c>
      <c r="CS130" s="453" t="str">
        <f t="shared" si="192"/>
        <v/>
      </c>
      <c r="CT130" s="451" t="str">
        <f t="shared" si="192"/>
        <v/>
      </c>
      <c r="CU130" s="452" t="str">
        <f t="shared" si="192"/>
        <v/>
      </c>
      <c r="CV130" s="452" t="str">
        <f t="shared" si="192"/>
        <v/>
      </c>
      <c r="CW130" s="452" t="str">
        <f t="shared" si="192"/>
        <v/>
      </c>
      <c r="CX130" s="453" t="str">
        <f t="shared" si="192"/>
        <v/>
      </c>
      <c r="CY130" s="451" t="str">
        <f t="shared" si="192"/>
        <v/>
      </c>
      <c r="CZ130" s="452" t="str">
        <f t="shared" si="192"/>
        <v/>
      </c>
      <c r="DA130" s="452" t="str">
        <f t="shared" si="192"/>
        <v/>
      </c>
      <c r="DB130" s="452" t="str">
        <f t="shared" si="192"/>
        <v/>
      </c>
      <c r="DC130" s="453" t="str">
        <f t="shared" si="192"/>
        <v/>
      </c>
      <c r="DD130" s="451" t="str">
        <f t="shared" si="197"/>
        <v/>
      </c>
      <c r="DE130" s="452" t="str">
        <f t="shared" si="197"/>
        <v/>
      </c>
      <c r="DF130" s="452" t="str">
        <f t="shared" si="197"/>
        <v/>
      </c>
      <c r="DG130" s="452" t="str">
        <f t="shared" si="197"/>
        <v/>
      </c>
      <c r="DH130" s="453" t="str">
        <f t="shared" si="197"/>
        <v/>
      </c>
      <c r="DI130" s="451" t="str">
        <f t="shared" si="197"/>
        <v/>
      </c>
      <c r="DJ130" s="452" t="str">
        <f t="shared" si="197"/>
        <v/>
      </c>
      <c r="DK130" s="452" t="str">
        <f t="shared" si="197"/>
        <v/>
      </c>
      <c r="DL130" s="452" t="str">
        <f t="shared" si="197"/>
        <v/>
      </c>
      <c r="DM130" s="453" t="str">
        <f t="shared" si="197"/>
        <v/>
      </c>
      <c r="DN130" s="451" t="str">
        <f t="shared" si="197"/>
        <v/>
      </c>
      <c r="DO130" s="452" t="str">
        <f t="shared" si="197"/>
        <v/>
      </c>
      <c r="DP130" s="452" t="str">
        <f t="shared" si="197"/>
        <v/>
      </c>
      <c r="DQ130" s="452" t="str">
        <f t="shared" si="197"/>
        <v/>
      </c>
      <c r="DR130" s="453" t="str">
        <f t="shared" si="197"/>
        <v/>
      </c>
      <c r="DS130" s="451" t="str">
        <f t="shared" si="195"/>
        <v/>
      </c>
      <c r="DT130" s="452" t="str">
        <f t="shared" si="195"/>
        <v/>
      </c>
      <c r="DU130" s="452" t="str">
        <f t="shared" si="195"/>
        <v/>
      </c>
      <c r="DV130" s="452" t="str">
        <f t="shared" si="195"/>
        <v/>
      </c>
      <c r="DW130" s="453" t="str">
        <f t="shared" si="195"/>
        <v/>
      </c>
      <c r="DX130" s="451" t="str">
        <f t="shared" si="195"/>
        <v/>
      </c>
      <c r="DY130" s="452" t="str">
        <f t="shared" si="195"/>
        <v/>
      </c>
      <c r="DZ130" s="452" t="str">
        <f t="shared" si="195"/>
        <v/>
      </c>
      <c r="EA130" s="452" t="str">
        <f t="shared" si="195"/>
        <v/>
      </c>
      <c r="EB130" s="453" t="str">
        <f t="shared" si="195"/>
        <v/>
      </c>
      <c r="EC130" s="451" t="str">
        <f t="shared" si="195"/>
        <v/>
      </c>
      <c r="ED130" s="452" t="str">
        <f t="shared" si="195"/>
        <v/>
      </c>
      <c r="EE130" s="452" t="str">
        <f t="shared" si="195"/>
        <v/>
      </c>
      <c r="EF130" s="452" t="str">
        <f t="shared" si="195"/>
        <v/>
      </c>
      <c r="EG130" s="453" t="str">
        <f t="shared" si="195"/>
        <v/>
      </c>
      <c r="EH130" s="451" t="str">
        <f t="shared" si="177"/>
        <v/>
      </c>
      <c r="EI130" s="452" t="str">
        <f t="shared" si="177"/>
        <v/>
      </c>
      <c r="EJ130" s="452" t="str">
        <f t="shared" si="177"/>
        <v/>
      </c>
      <c r="EK130" s="452" t="str">
        <f t="shared" si="177"/>
        <v/>
      </c>
      <c r="EL130" s="453" t="str">
        <f t="shared" si="177"/>
        <v/>
      </c>
      <c r="EM130" s="451" t="str">
        <f t="shared" si="177"/>
        <v/>
      </c>
      <c r="EN130" s="452" t="str">
        <f t="shared" si="177"/>
        <v/>
      </c>
      <c r="EO130" s="452" t="str">
        <f t="shared" si="177"/>
        <v/>
      </c>
      <c r="EP130" s="452" t="str">
        <f t="shared" si="177"/>
        <v/>
      </c>
      <c r="EQ130" s="453" t="str">
        <f t="shared" si="177"/>
        <v/>
      </c>
      <c r="ER130" s="451" t="str">
        <f t="shared" si="177"/>
        <v/>
      </c>
      <c r="ES130" s="452" t="str">
        <f t="shared" si="177"/>
        <v/>
      </c>
      <c r="ET130" s="452" t="str">
        <f t="shared" si="177"/>
        <v/>
      </c>
      <c r="EU130" s="452" t="str">
        <f t="shared" si="177"/>
        <v/>
      </c>
      <c r="EV130" s="453" t="str">
        <f t="shared" si="177"/>
        <v/>
      </c>
      <c r="EW130" s="451" t="str">
        <f t="shared" si="177"/>
        <v/>
      </c>
      <c r="EX130" s="452" t="str">
        <f t="shared" si="178"/>
        <v/>
      </c>
      <c r="EY130" s="452" t="str">
        <f t="shared" si="178"/>
        <v/>
      </c>
      <c r="EZ130" s="452" t="str">
        <f t="shared" si="178"/>
        <v/>
      </c>
      <c r="FA130" s="453" t="str">
        <f t="shared" si="175"/>
        <v/>
      </c>
      <c r="FB130" s="451" t="str">
        <f t="shared" si="175"/>
        <v/>
      </c>
      <c r="FC130" s="452" t="str">
        <f t="shared" si="175"/>
        <v/>
      </c>
      <c r="FD130" s="452" t="str">
        <f t="shared" si="175"/>
        <v/>
      </c>
      <c r="FE130" s="452" t="str">
        <f t="shared" si="175"/>
        <v/>
      </c>
      <c r="FF130" s="453" t="str">
        <f t="shared" si="175"/>
        <v/>
      </c>
      <c r="FG130" s="451" t="str">
        <f t="shared" si="175"/>
        <v/>
      </c>
      <c r="FH130" s="452" t="str">
        <f t="shared" si="175"/>
        <v/>
      </c>
      <c r="FI130" s="452" t="str">
        <f t="shared" si="175"/>
        <v/>
      </c>
      <c r="FJ130" s="452" t="str">
        <f t="shared" si="175"/>
        <v/>
      </c>
      <c r="FK130" s="453" t="str">
        <f t="shared" si="175"/>
        <v/>
      </c>
      <c r="FL130" s="451" t="str">
        <f t="shared" si="175"/>
        <v/>
      </c>
      <c r="FM130" s="452" t="str">
        <f t="shared" si="175"/>
        <v/>
      </c>
      <c r="FN130" s="452" t="str">
        <f t="shared" si="175"/>
        <v/>
      </c>
      <c r="FO130" s="452" t="str">
        <f t="shared" si="175"/>
        <v/>
      </c>
      <c r="FP130" s="453" t="str">
        <f t="shared" si="175"/>
        <v/>
      </c>
      <c r="FQ130" s="451" t="str">
        <f t="shared" si="185"/>
        <v/>
      </c>
      <c r="FR130" s="452" t="str">
        <f t="shared" si="185"/>
        <v/>
      </c>
      <c r="FS130" s="452" t="str">
        <f t="shared" si="185"/>
        <v/>
      </c>
      <c r="FT130" s="452" t="str">
        <f t="shared" si="185"/>
        <v/>
      </c>
      <c r="FU130" s="453" t="str">
        <f t="shared" si="185"/>
        <v/>
      </c>
      <c r="FV130" s="451" t="str">
        <f t="shared" si="185"/>
        <v/>
      </c>
      <c r="FW130" s="452" t="str">
        <f t="shared" si="185"/>
        <v/>
      </c>
      <c r="FX130" s="452" t="str">
        <f t="shared" si="185"/>
        <v/>
      </c>
      <c r="FY130" s="452" t="str">
        <f t="shared" si="185"/>
        <v/>
      </c>
      <c r="FZ130" s="453" t="str">
        <f t="shared" si="185"/>
        <v/>
      </c>
      <c r="GA130" s="451" t="str">
        <f t="shared" si="185"/>
        <v/>
      </c>
      <c r="GB130" s="452" t="str">
        <f t="shared" si="185"/>
        <v/>
      </c>
      <c r="GC130" s="452" t="str">
        <f t="shared" si="185"/>
        <v/>
      </c>
      <c r="GD130" s="452" t="str">
        <f t="shared" si="185"/>
        <v/>
      </c>
      <c r="GE130" s="453" t="str">
        <f t="shared" si="185"/>
        <v/>
      </c>
      <c r="GF130" s="451" t="str">
        <f t="shared" si="179"/>
        <v/>
      </c>
      <c r="GG130" s="452" t="str">
        <f t="shared" si="179"/>
        <v/>
      </c>
      <c r="GH130" s="452" t="str">
        <f t="shared" si="179"/>
        <v/>
      </c>
      <c r="GI130" s="452" t="str">
        <f t="shared" si="179"/>
        <v/>
      </c>
      <c r="GJ130" s="453" t="str">
        <f t="shared" si="179"/>
        <v/>
      </c>
      <c r="GK130" s="451" t="str">
        <f t="shared" si="179"/>
        <v/>
      </c>
      <c r="GL130" s="452" t="str">
        <f t="shared" si="179"/>
        <v/>
      </c>
      <c r="GM130" s="452" t="str">
        <f t="shared" si="179"/>
        <v/>
      </c>
      <c r="GN130" s="452" t="str">
        <f t="shared" si="179"/>
        <v/>
      </c>
      <c r="GO130" s="453" t="str">
        <f t="shared" si="176"/>
        <v/>
      </c>
      <c r="GP130" s="451" t="str">
        <f t="shared" si="176"/>
        <v/>
      </c>
      <c r="GQ130" s="452" t="str">
        <f t="shared" si="176"/>
        <v/>
      </c>
      <c r="GR130" s="452" t="str">
        <f t="shared" si="176"/>
        <v/>
      </c>
      <c r="GS130" s="452" t="str">
        <f t="shared" si="176"/>
        <v/>
      </c>
      <c r="GT130" s="453" t="str">
        <f t="shared" si="176"/>
        <v/>
      </c>
      <c r="GU130" s="451" t="str">
        <f t="shared" si="176"/>
        <v/>
      </c>
      <c r="GV130" s="452" t="str">
        <f t="shared" si="176"/>
        <v/>
      </c>
      <c r="GW130" s="452" t="str">
        <f t="shared" si="176"/>
        <v/>
      </c>
      <c r="GX130" s="452" t="str">
        <f t="shared" si="176"/>
        <v/>
      </c>
      <c r="GY130" s="453" t="str">
        <f t="shared" si="176"/>
        <v/>
      </c>
      <c r="GZ130" s="451" t="str">
        <f t="shared" si="176"/>
        <v/>
      </c>
      <c r="HA130" s="452" t="str">
        <f t="shared" si="176"/>
        <v/>
      </c>
      <c r="HB130" s="452" t="str">
        <f t="shared" si="176"/>
        <v/>
      </c>
      <c r="HC130" s="452" t="str">
        <f t="shared" si="176"/>
        <v/>
      </c>
      <c r="HD130" s="453" t="str">
        <f t="shared" si="176"/>
        <v/>
      </c>
      <c r="HE130" s="451" t="str">
        <f t="shared" si="176"/>
        <v/>
      </c>
      <c r="HF130" s="452" t="str">
        <f t="shared" si="183"/>
        <v/>
      </c>
      <c r="HG130" s="452" t="str">
        <f t="shared" si="183"/>
        <v/>
      </c>
      <c r="HH130" s="452" t="str">
        <f t="shared" si="183"/>
        <v/>
      </c>
      <c r="HI130" s="453" t="str">
        <f t="shared" si="183"/>
        <v/>
      </c>
      <c r="HJ130" s="451" t="str">
        <f t="shared" si="183"/>
        <v/>
      </c>
      <c r="HK130" s="452" t="str">
        <f t="shared" si="183"/>
        <v/>
      </c>
      <c r="HL130" s="452" t="str">
        <f t="shared" si="183"/>
        <v/>
      </c>
      <c r="HM130" s="452" t="str">
        <f t="shared" si="183"/>
        <v/>
      </c>
      <c r="HN130" s="453" t="str">
        <f t="shared" si="183"/>
        <v/>
      </c>
      <c r="HO130" s="451" t="str">
        <f t="shared" si="183"/>
        <v/>
      </c>
      <c r="HP130" s="452" t="str">
        <f t="shared" si="183"/>
        <v/>
      </c>
      <c r="HQ130" s="452" t="str">
        <f t="shared" si="183"/>
        <v/>
      </c>
      <c r="HR130" s="452" t="str">
        <f t="shared" si="183"/>
        <v/>
      </c>
      <c r="HS130" s="453" t="str">
        <f t="shared" si="183"/>
        <v/>
      </c>
      <c r="HT130" s="451" t="str">
        <f t="shared" si="183"/>
        <v/>
      </c>
      <c r="HU130" s="452" t="str">
        <f t="shared" si="183"/>
        <v/>
      </c>
      <c r="HV130" s="452" t="str">
        <f t="shared" si="190"/>
        <v/>
      </c>
      <c r="HW130" s="452" t="str">
        <f t="shared" si="190"/>
        <v/>
      </c>
      <c r="HX130" s="453" t="str">
        <f t="shared" si="190"/>
        <v/>
      </c>
      <c r="HY130" s="451" t="str">
        <f t="shared" si="190"/>
        <v/>
      </c>
      <c r="HZ130" s="452" t="str">
        <f t="shared" si="190"/>
        <v/>
      </c>
      <c r="IA130" s="452" t="str">
        <f t="shared" si="190"/>
        <v/>
      </c>
      <c r="IB130" s="452" t="str">
        <f t="shared" si="190"/>
        <v/>
      </c>
      <c r="IC130" s="453" t="str">
        <f t="shared" si="190"/>
        <v/>
      </c>
      <c r="ID130" s="451" t="str">
        <f t="shared" si="190"/>
        <v/>
      </c>
      <c r="IE130" s="452" t="str">
        <f t="shared" si="190"/>
        <v/>
      </c>
      <c r="IF130" s="452" t="str">
        <f t="shared" si="190"/>
        <v/>
      </c>
      <c r="IG130" s="452" t="str">
        <f t="shared" si="190"/>
        <v/>
      </c>
      <c r="IH130" s="453" t="str">
        <f t="shared" si="190"/>
        <v/>
      </c>
      <c r="II130" s="451" t="str">
        <f t="shared" si="190"/>
        <v/>
      </c>
      <c r="IJ130" s="452" t="str">
        <f t="shared" si="190"/>
        <v/>
      </c>
      <c r="IK130" s="452" t="str">
        <f t="shared" si="190"/>
        <v/>
      </c>
      <c r="IL130" s="452" t="str">
        <f t="shared" si="191"/>
        <v/>
      </c>
      <c r="IM130" s="453" t="str">
        <f t="shared" si="191"/>
        <v/>
      </c>
      <c r="IN130" s="451" t="str">
        <f t="shared" si="191"/>
        <v/>
      </c>
      <c r="IO130" s="452" t="str">
        <f t="shared" si="191"/>
        <v/>
      </c>
      <c r="IP130" s="452" t="str">
        <f t="shared" si="191"/>
        <v/>
      </c>
      <c r="IQ130" s="452" t="str">
        <f t="shared" si="191"/>
        <v/>
      </c>
      <c r="IR130" s="453" t="str">
        <f t="shared" si="191"/>
        <v/>
      </c>
    </row>
    <row r="131" spans="1:252" x14ac:dyDescent="0.2">
      <c r="A131" s="461">
        <v>12.6</v>
      </c>
      <c r="C131" s="447" t="s">
        <v>1356</v>
      </c>
      <c r="D131" s="447"/>
      <c r="E131" s="448"/>
      <c r="F131" s="448"/>
      <c r="G131" s="448"/>
      <c r="H131" s="448"/>
      <c r="I131" s="448"/>
      <c r="J131" s="449" t="str">
        <f t="shared" si="188"/>
        <v/>
      </c>
      <c r="K131" s="449" t="str">
        <f t="shared" si="189"/>
        <v/>
      </c>
      <c r="L131" s="450">
        <f t="shared" si="187"/>
        <v>0</v>
      </c>
      <c r="M131" s="451" t="str">
        <f t="shared" si="186"/>
        <v/>
      </c>
      <c r="N131" s="452" t="str">
        <f t="shared" si="186"/>
        <v/>
      </c>
      <c r="O131" s="452" t="str">
        <f t="shared" si="186"/>
        <v/>
      </c>
      <c r="P131" s="452" t="str">
        <f t="shared" si="186"/>
        <v/>
      </c>
      <c r="Q131" s="453" t="str">
        <f t="shared" si="186"/>
        <v/>
      </c>
      <c r="R131" s="451" t="str">
        <f t="shared" si="186"/>
        <v/>
      </c>
      <c r="S131" s="452" t="str">
        <f t="shared" si="186"/>
        <v/>
      </c>
      <c r="T131" s="452" t="str">
        <f t="shared" si="186"/>
        <v/>
      </c>
      <c r="U131" s="452" t="str">
        <f t="shared" si="186"/>
        <v/>
      </c>
      <c r="V131" s="453" t="str">
        <f t="shared" si="186"/>
        <v/>
      </c>
      <c r="W131" s="451" t="str">
        <f t="shared" si="186"/>
        <v/>
      </c>
      <c r="X131" s="452" t="str">
        <f t="shared" si="186"/>
        <v/>
      </c>
      <c r="Y131" s="452" t="str">
        <f t="shared" si="186"/>
        <v/>
      </c>
      <c r="Z131" s="452" t="str">
        <f t="shared" si="186"/>
        <v/>
      </c>
      <c r="AA131" s="453" t="str">
        <f t="shared" si="186"/>
        <v/>
      </c>
      <c r="AB131" s="451" t="str">
        <f t="shared" si="186"/>
        <v/>
      </c>
      <c r="AC131" s="452" t="str">
        <f t="shared" si="196"/>
        <v/>
      </c>
      <c r="AD131" s="452" t="str">
        <f t="shared" si="196"/>
        <v/>
      </c>
      <c r="AE131" s="452" t="str">
        <f t="shared" si="196"/>
        <v/>
      </c>
      <c r="AF131" s="453" t="str">
        <f t="shared" si="196"/>
        <v/>
      </c>
      <c r="AG131" s="451" t="str">
        <f t="shared" si="196"/>
        <v/>
      </c>
      <c r="AH131" s="452" t="str">
        <f t="shared" si="196"/>
        <v/>
      </c>
      <c r="AI131" s="452" t="str">
        <f t="shared" si="196"/>
        <v/>
      </c>
      <c r="AJ131" s="452" t="str">
        <f t="shared" si="196"/>
        <v/>
      </c>
      <c r="AK131" s="453" t="str">
        <f t="shared" si="196"/>
        <v/>
      </c>
      <c r="AL131" s="451" t="str">
        <f t="shared" si="196"/>
        <v/>
      </c>
      <c r="AM131" s="452" t="str">
        <f t="shared" si="196"/>
        <v/>
      </c>
      <c r="AN131" s="452" t="str">
        <f t="shared" si="196"/>
        <v/>
      </c>
      <c r="AO131" s="452" t="str">
        <f t="shared" si="196"/>
        <v/>
      </c>
      <c r="AP131" s="453" t="str">
        <f t="shared" si="196"/>
        <v/>
      </c>
      <c r="AQ131" s="451" t="str">
        <f t="shared" si="196"/>
        <v/>
      </c>
      <c r="AR131" s="452" t="str">
        <f t="shared" si="196"/>
        <v/>
      </c>
      <c r="AS131" s="452" t="str">
        <f t="shared" si="193"/>
        <v/>
      </c>
      <c r="AT131" s="452" t="str">
        <f t="shared" si="193"/>
        <v/>
      </c>
      <c r="AU131" s="453" t="str">
        <f t="shared" si="193"/>
        <v/>
      </c>
      <c r="AV131" s="451" t="str">
        <f t="shared" si="193"/>
        <v/>
      </c>
      <c r="AW131" s="452" t="str">
        <f t="shared" si="193"/>
        <v/>
      </c>
      <c r="AX131" s="452" t="str">
        <f t="shared" si="193"/>
        <v/>
      </c>
      <c r="AY131" s="452" t="str">
        <f t="shared" si="193"/>
        <v/>
      </c>
      <c r="AZ131" s="453" t="str">
        <f t="shared" si="193"/>
        <v/>
      </c>
      <c r="BA131" s="451" t="str">
        <f t="shared" si="193"/>
        <v/>
      </c>
      <c r="BB131" s="452" t="str">
        <f t="shared" si="193"/>
        <v/>
      </c>
      <c r="BC131" s="452" t="str">
        <f t="shared" si="193"/>
        <v/>
      </c>
      <c r="BD131" s="452" t="str">
        <f t="shared" si="193"/>
        <v/>
      </c>
      <c r="BE131" s="453" t="str">
        <f t="shared" si="193"/>
        <v/>
      </c>
      <c r="BF131" s="451" t="str">
        <f t="shared" si="193"/>
        <v/>
      </c>
      <c r="BG131" s="452" t="str">
        <f t="shared" si="193"/>
        <v/>
      </c>
      <c r="BH131" s="452" t="str">
        <f t="shared" si="181"/>
        <v/>
      </c>
      <c r="BI131" s="452" t="str">
        <f t="shared" si="181"/>
        <v/>
      </c>
      <c r="BJ131" s="453" t="str">
        <f t="shared" si="181"/>
        <v/>
      </c>
      <c r="BK131" s="451" t="str">
        <f t="shared" si="181"/>
        <v/>
      </c>
      <c r="BL131" s="452" t="str">
        <f t="shared" si="181"/>
        <v/>
      </c>
      <c r="BM131" s="452" t="str">
        <f t="shared" si="181"/>
        <v/>
      </c>
      <c r="BN131" s="452" t="str">
        <f t="shared" si="181"/>
        <v/>
      </c>
      <c r="BO131" s="453" t="str">
        <f t="shared" si="181"/>
        <v/>
      </c>
      <c r="BP131" s="451" t="str">
        <f t="shared" si="181"/>
        <v/>
      </c>
      <c r="BQ131" s="452" t="str">
        <f t="shared" si="181"/>
        <v/>
      </c>
      <c r="BR131" s="452" t="str">
        <f t="shared" si="181"/>
        <v/>
      </c>
      <c r="BS131" s="452" t="str">
        <f t="shared" si="181"/>
        <v/>
      </c>
      <c r="BT131" s="453" t="str">
        <f t="shared" si="181"/>
        <v/>
      </c>
      <c r="BU131" s="451" t="str">
        <f t="shared" si="181"/>
        <v/>
      </c>
      <c r="BV131" s="452" t="str">
        <f t="shared" si="181"/>
        <v/>
      </c>
      <c r="BW131" s="452" t="str">
        <f t="shared" si="181"/>
        <v/>
      </c>
      <c r="BX131" s="452" t="str">
        <f t="shared" si="194"/>
        <v/>
      </c>
      <c r="BY131" s="453" t="str">
        <f t="shared" si="194"/>
        <v/>
      </c>
      <c r="BZ131" s="451" t="str">
        <f t="shared" si="194"/>
        <v/>
      </c>
      <c r="CA131" s="452" t="str">
        <f t="shared" si="194"/>
        <v/>
      </c>
      <c r="CB131" s="452" t="str">
        <f t="shared" si="194"/>
        <v/>
      </c>
      <c r="CC131" s="452" t="str">
        <f t="shared" si="194"/>
        <v/>
      </c>
      <c r="CD131" s="453" t="str">
        <f t="shared" si="194"/>
        <v/>
      </c>
      <c r="CE131" s="451" t="str">
        <f t="shared" si="194"/>
        <v/>
      </c>
      <c r="CF131" s="452" t="str">
        <f t="shared" si="194"/>
        <v/>
      </c>
      <c r="CG131" s="452" t="str">
        <f t="shared" si="194"/>
        <v/>
      </c>
      <c r="CH131" s="452" t="str">
        <f t="shared" si="194"/>
        <v/>
      </c>
      <c r="CI131" s="453" t="str">
        <f t="shared" si="194"/>
        <v/>
      </c>
      <c r="CJ131" s="451" t="str">
        <f t="shared" si="194"/>
        <v/>
      </c>
      <c r="CK131" s="452" t="str">
        <f t="shared" si="194"/>
        <v/>
      </c>
      <c r="CL131" s="452" t="str">
        <f t="shared" si="194"/>
        <v/>
      </c>
      <c r="CM131" s="452" t="str">
        <f t="shared" si="194"/>
        <v/>
      </c>
      <c r="CN131" s="453" t="str">
        <f t="shared" si="192"/>
        <v/>
      </c>
      <c r="CO131" s="451" t="str">
        <f t="shared" si="192"/>
        <v/>
      </c>
      <c r="CP131" s="452" t="str">
        <f t="shared" si="192"/>
        <v/>
      </c>
      <c r="CQ131" s="452" t="str">
        <f t="shared" si="192"/>
        <v/>
      </c>
      <c r="CR131" s="452" t="str">
        <f t="shared" si="192"/>
        <v/>
      </c>
      <c r="CS131" s="453" t="str">
        <f t="shared" si="192"/>
        <v/>
      </c>
      <c r="CT131" s="451" t="str">
        <f t="shared" si="192"/>
        <v/>
      </c>
      <c r="CU131" s="452" t="str">
        <f t="shared" si="192"/>
        <v/>
      </c>
      <c r="CV131" s="452" t="str">
        <f t="shared" si="192"/>
        <v/>
      </c>
      <c r="CW131" s="452" t="str">
        <f t="shared" si="192"/>
        <v/>
      </c>
      <c r="CX131" s="453" t="str">
        <f t="shared" si="192"/>
        <v/>
      </c>
      <c r="CY131" s="451" t="str">
        <f t="shared" si="192"/>
        <v/>
      </c>
      <c r="CZ131" s="452" t="str">
        <f t="shared" si="192"/>
        <v/>
      </c>
      <c r="DA131" s="452" t="str">
        <f t="shared" si="192"/>
        <v/>
      </c>
      <c r="DB131" s="452" t="str">
        <f t="shared" si="192"/>
        <v/>
      </c>
      <c r="DC131" s="453" t="str">
        <f t="shared" si="192"/>
        <v/>
      </c>
      <c r="DD131" s="451" t="str">
        <f t="shared" si="197"/>
        <v/>
      </c>
      <c r="DE131" s="452" t="str">
        <f t="shared" si="197"/>
        <v/>
      </c>
      <c r="DF131" s="452" t="str">
        <f t="shared" si="197"/>
        <v/>
      </c>
      <c r="DG131" s="452" t="str">
        <f t="shared" si="197"/>
        <v/>
      </c>
      <c r="DH131" s="453" t="str">
        <f t="shared" si="197"/>
        <v/>
      </c>
      <c r="DI131" s="451" t="str">
        <f t="shared" si="197"/>
        <v/>
      </c>
      <c r="DJ131" s="452" t="str">
        <f t="shared" si="197"/>
        <v/>
      </c>
      <c r="DK131" s="452" t="str">
        <f t="shared" si="197"/>
        <v/>
      </c>
      <c r="DL131" s="452" t="str">
        <f t="shared" si="197"/>
        <v/>
      </c>
      <c r="DM131" s="453" t="str">
        <f t="shared" si="197"/>
        <v/>
      </c>
      <c r="DN131" s="451" t="str">
        <f t="shared" si="197"/>
        <v/>
      </c>
      <c r="DO131" s="452" t="str">
        <f t="shared" si="197"/>
        <v/>
      </c>
      <c r="DP131" s="452" t="str">
        <f t="shared" si="197"/>
        <v/>
      </c>
      <c r="DQ131" s="452" t="str">
        <f t="shared" si="197"/>
        <v/>
      </c>
      <c r="DR131" s="453" t="str">
        <f t="shared" si="197"/>
        <v/>
      </c>
      <c r="DS131" s="451" t="str">
        <f t="shared" si="195"/>
        <v/>
      </c>
      <c r="DT131" s="452" t="str">
        <f t="shared" si="195"/>
        <v/>
      </c>
      <c r="DU131" s="452" t="str">
        <f t="shared" si="195"/>
        <v/>
      </c>
      <c r="DV131" s="452" t="str">
        <f t="shared" si="195"/>
        <v/>
      </c>
      <c r="DW131" s="453" t="str">
        <f t="shared" si="195"/>
        <v/>
      </c>
      <c r="DX131" s="451" t="str">
        <f t="shared" si="195"/>
        <v/>
      </c>
      <c r="DY131" s="452" t="str">
        <f t="shared" si="195"/>
        <v/>
      </c>
      <c r="DZ131" s="452" t="str">
        <f t="shared" si="195"/>
        <v/>
      </c>
      <c r="EA131" s="452" t="str">
        <f t="shared" si="195"/>
        <v/>
      </c>
      <c r="EB131" s="453" t="str">
        <f t="shared" si="195"/>
        <v/>
      </c>
      <c r="EC131" s="451" t="str">
        <f t="shared" si="195"/>
        <v/>
      </c>
      <c r="ED131" s="452" t="str">
        <f t="shared" si="195"/>
        <v/>
      </c>
      <c r="EE131" s="452" t="str">
        <f t="shared" si="195"/>
        <v/>
      </c>
      <c r="EF131" s="452" t="str">
        <f t="shared" si="195"/>
        <v/>
      </c>
      <c r="EG131" s="453" t="str">
        <f t="shared" si="195"/>
        <v/>
      </c>
      <c r="EH131" s="451" t="str">
        <f t="shared" si="177"/>
        <v/>
      </c>
      <c r="EI131" s="452" t="str">
        <f t="shared" si="177"/>
        <v/>
      </c>
      <c r="EJ131" s="452" t="str">
        <f t="shared" si="177"/>
        <v/>
      </c>
      <c r="EK131" s="452" t="str">
        <f t="shared" si="177"/>
        <v/>
      </c>
      <c r="EL131" s="453" t="str">
        <f t="shared" si="177"/>
        <v/>
      </c>
      <c r="EM131" s="451" t="str">
        <f t="shared" si="177"/>
        <v/>
      </c>
      <c r="EN131" s="452" t="str">
        <f t="shared" si="177"/>
        <v/>
      </c>
      <c r="EO131" s="452" t="str">
        <f t="shared" si="177"/>
        <v/>
      </c>
      <c r="EP131" s="452" t="str">
        <f t="shared" si="177"/>
        <v/>
      </c>
      <c r="EQ131" s="453" t="str">
        <f t="shared" si="177"/>
        <v/>
      </c>
      <c r="ER131" s="451" t="str">
        <f t="shared" si="177"/>
        <v/>
      </c>
      <c r="ES131" s="452" t="str">
        <f t="shared" si="177"/>
        <v/>
      </c>
      <c r="ET131" s="452" t="str">
        <f t="shared" si="177"/>
        <v/>
      </c>
      <c r="EU131" s="452" t="str">
        <f t="shared" si="177"/>
        <v/>
      </c>
      <c r="EV131" s="453" t="str">
        <f t="shared" si="177"/>
        <v/>
      </c>
      <c r="EW131" s="451" t="str">
        <f t="shared" si="177"/>
        <v/>
      </c>
      <c r="EX131" s="452" t="str">
        <f t="shared" si="178"/>
        <v/>
      </c>
      <c r="EY131" s="452" t="str">
        <f t="shared" si="178"/>
        <v/>
      </c>
      <c r="EZ131" s="452" t="str">
        <f t="shared" si="178"/>
        <v/>
      </c>
      <c r="FA131" s="453" t="str">
        <f t="shared" si="175"/>
        <v/>
      </c>
      <c r="FB131" s="451" t="str">
        <f t="shared" si="175"/>
        <v/>
      </c>
      <c r="FC131" s="452" t="str">
        <f t="shared" si="175"/>
        <v/>
      </c>
      <c r="FD131" s="452" t="str">
        <f t="shared" si="175"/>
        <v/>
      </c>
      <c r="FE131" s="452" t="str">
        <f t="shared" si="175"/>
        <v/>
      </c>
      <c r="FF131" s="453" t="str">
        <f t="shared" si="175"/>
        <v/>
      </c>
      <c r="FG131" s="451" t="str">
        <f t="shared" si="175"/>
        <v/>
      </c>
      <c r="FH131" s="452" t="str">
        <f t="shared" si="175"/>
        <v/>
      </c>
      <c r="FI131" s="452" t="str">
        <f t="shared" si="175"/>
        <v/>
      </c>
      <c r="FJ131" s="452" t="str">
        <f t="shared" si="175"/>
        <v/>
      </c>
      <c r="FK131" s="453" t="str">
        <f t="shared" si="175"/>
        <v/>
      </c>
      <c r="FL131" s="451" t="str">
        <f t="shared" si="175"/>
        <v/>
      </c>
      <c r="FM131" s="452" t="str">
        <f t="shared" si="175"/>
        <v/>
      </c>
      <c r="FN131" s="452" t="str">
        <f t="shared" si="175"/>
        <v/>
      </c>
      <c r="FO131" s="452" t="str">
        <f t="shared" si="175"/>
        <v/>
      </c>
      <c r="FP131" s="453" t="str">
        <f t="shared" si="175"/>
        <v/>
      </c>
      <c r="FQ131" s="451" t="str">
        <f t="shared" si="185"/>
        <v/>
      </c>
      <c r="FR131" s="452" t="str">
        <f t="shared" si="185"/>
        <v/>
      </c>
      <c r="FS131" s="452" t="str">
        <f t="shared" si="185"/>
        <v/>
      </c>
      <c r="FT131" s="452" t="str">
        <f t="shared" si="185"/>
        <v/>
      </c>
      <c r="FU131" s="453" t="str">
        <f t="shared" si="185"/>
        <v/>
      </c>
      <c r="FV131" s="451" t="str">
        <f t="shared" si="185"/>
        <v/>
      </c>
      <c r="FW131" s="452" t="str">
        <f t="shared" si="185"/>
        <v/>
      </c>
      <c r="FX131" s="452" t="str">
        <f t="shared" si="185"/>
        <v/>
      </c>
      <c r="FY131" s="452" t="str">
        <f t="shared" si="185"/>
        <v/>
      </c>
      <c r="FZ131" s="453" t="str">
        <f t="shared" si="185"/>
        <v/>
      </c>
      <c r="GA131" s="451" t="str">
        <f t="shared" si="185"/>
        <v/>
      </c>
      <c r="GB131" s="452" t="str">
        <f t="shared" si="185"/>
        <v/>
      </c>
      <c r="GC131" s="452" t="str">
        <f t="shared" si="185"/>
        <v/>
      </c>
      <c r="GD131" s="452" t="str">
        <f t="shared" si="185"/>
        <v/>
      </c>
      <c r="GE131" s="453" t="str">
        <f t="shared" si="185"/>
        <v/>
      </c>
      <c r="GF131" s="451" t="str">
        <f t="shared" si="179"/>
        <v/>
      </c>
      <c r="GG131" s="452" t="str">
        <f t="shared" si="179"/>
        <v/>
      </c>
      <c r="GH131" s="452" t="str">
        <f t="shared" si="179"/>
        <v/>
      </c>
      <c r="GI131" s="452" t="str">
        <f t="shared" si="179"/>
        <v/>
      </c>
      <c r="GJ131" s="453" t="str">
        <f t="shared" si="179"/>
        <v/>
      </c>
      <c r="GK131" s="451" t="str">
        <f t="shared" si="179"/>
        <v/>
      </c>
      <c r="GL131" s="452" t="str">
        <f t="shared" si="179"/>
        <v/>
      </c>
      <c r="GM131" s="452" t="str">
        <f t="shared" si="179"/>
        <v/>
      </c>
      <c r="GN131" s="452" t="str">
        <f t="shared" si="179"/>
        <v/>
      </c>
      <c r="GO131" s="453" t="str">
        <f t="shared" si="176"/>
        <v/>
      </c>
      <c r="GP131" s="451" t="str">
        <f t="shared" si="176"/>
        <v/>
      </c>
      <c r="GQ131" s="452" t="str">
        <f t="shared" si="176"/>
        <v/>
      </c>
      <c r="GR131" s="452" t="str">
        <f t="shared" si="176"/>
        <v/>
      </c>
      <c r="GS131" s="452" t="str">
        <f t="shared" si="176"/>
        <v/>
      </c>
      <c r="GT131" s="453" t="str">
        <f t="shared" si="176"/>
        <v/>
      </c>
      <c r="GU131" s="451" t="str">
        <f t="shared" ref="GU131:HK147" si="198">IF(AND(GU$2&gt;=$J131,GU$2&lt;=$K131),1,"")</f>
        <v/>
      </c>
      <c r="GV131" s="452" t="str">
        <f t="shared" si="198"/>
        <v/>
      </c>
      <c r="GW131" s="452" t="str">
        <f t="shared" si="198"/>
        <v/>
      </c>
      <c r="GX131" s="452" t="str">
        <f t="shared" si="198"/>
        <v/>
      </c>
      <c r="GY131" s="453" t="str">
        <f t="shared" si="198"/>
        <v/>
      </c>
      <c r="GZ131" s="451" t="str">
        <f t="shared" si="198"/>
        <v/>
      </c>
      <c r="HA131" s="452" t="str">
        <f t="shared" si="198"/>
        <v/>
      </c>
      <c r="HB131" s="452" t="str">
        <f t="shared" si="198"/>
        <v/>
      </c>
      <c r="HC131" s="452" t="str">
        <f t="shared" si="198"/>
        <v/>
      </c>
      <c r="HD131" s="453" t="str">
        <f t="shared" si="198"/>
        <v/>
      </c>
      <c r="HE131" s="451" t="str">
        <f t="shared" si="198"/>
        <v/>
      </c>
      <c r="HF131" s="452" t="str">
        <f t="shared" si="183"/>
        <v/>
      </c>
      <c r="HG131" s="452" t="str">
        <f t="shared" si="183"/>
        <v/>
      </c>
      <c r="HH131" s="452" t="str">
        <f t="shared" si="183"/>
        <v/>
      </c>
      <c r="HI131" s="453" t="str">
        <f t="shared" si="183"/>
        <v/>
      </c>
      <c r="HJ131" s="451" t="str">
        <f t="shared" si="183"/>
        <v/>
      </c>
      <c r="HK131" s="452" t="str">
        <f t="shared" si="183"/>
        <v/>
      </c>
      <c r="HL131" s="452" t="str">
        <f t="shared" si="183"/>
        <v/>
      </c>
      <c r="HM131" s="452" t="str">
        <f t="shared" si="183"/>
        <v/>
      </c>
      <c r="HN131" s="453" t="str">
        <f t="shared" si="183"/>
        <v/>
      </c>
      <c r="HO131" s="451" t="str">
        <f t="shared" si="183"/>
        <v/>
      </c>
      <c r="HP131" s="452" t="str">
        <f t="shared" si="183"/>
        <v/>
      </c>
      <c r="HQ131" s="452" t="str">
        <f t="shared" si="183"/>
        <v/>
      </c>
      <c r="HR131" s="452" t="str">
        <f t="shared" si="183"/>
        <v/>
      </c>
      <c r="HS131" s="453" t="str">
        <f t="shared" si="183"/>
        <v/>
      </c>
      <c r="HT131" s="451" t="str">
        <f t="shared" si="183"/>
        <v/>
      </c>
      <c r="HU131" s="452" t="str">
        <f t="shared" si="183"/>
        <v/>
      </c>
      <c r="HV131" s="452" t="str">
        <f t="shared" si="190"/>
        <v/>
      </c>
      <c r="HW131" s="452" t="str">
        <f t="shared" si="190"/>
        <v/>
      </c>
      <c r="HX131" s="453" t="str">
        <f t="shared" si="190"/>
        <v/>
      </c>
      <c r="HY131" s="451" t="str">
        <f t="shared" si="190"/>
        <v/>
      </c>
      <c r="HZ131" s="452" t="str">
        <f t="shared" si="190"/>
        <v/>
      </c>
      <c r="IA131" s="452" t="str">
        <f t="shared" si="190"/>
        <v/>
      </c>
      <c r="IB131" s="452" t="str">
        <f t="shared" si="190"/>
        <v/>
      </c>
      <c r="IC131" s="453" t="str">
        <f t="shared" si="190"/>
        <v/>
      </c>
      <c r="ID131" s="451" t="str">
        <f t="shared" si="190"/>
        <v/>
      </c>
      <c r="IE131" s="452" t="str">
        <f t="shared" si="190"/>
        <v/>
      </c>
      <c r="IF131" s="452" t="str">
        <f t="shared" si="190"/>
        <v/>
      </c>
      <c r="IG131" s="452" t="str">
        <f t="shared" si="190"/>
        <v/>
      </c>
      <c r="IH131" s="453" t="str">
        <f t="shared" si="190"/>
        <v/>
      </c>
      <c r="II131" s="451" t="str">
        <f t="shared" si="190"/>
        <v/>
      </c>
      <c r="IJ131" s="452" t="str">
        <f t="shared" si="190"/>
        <v/>
      </c>
      <c r="IK131" s="452" t="str">
        <f t="shared" si="190"/>
        <v/>
      </c>
      <c r="IL131" s="452" t="str">
        <f t="shared" si="191"/>
        <v/>
      </c>
      <c r="IM131" s="453" t="str">
        <f t="shared" si="191"/>
        <v/>
      </c>
      <c r="IN131" s="451" t="str">
        <f t="shared" si="191"/>
        <v/>
      </c>
      <c r="IO131" s="452" t="str">
        <f t="shared" si="191"/>
        <v/>
      </c>
      <c r="IP131" s="452" t="str">
        <f t="shared" si="191"/>
        <v/>
      </c>
      <c r="IQ131" s="452" t="str">
        <f t="shared" si="191"/>
        <v/>
      </c>
      <c r="IR131" s="453" t="str">
        <f t="shared" si="191"/>
        <v/>
      </c>
    </row>
    <row r="132" spans="1:252" x14ac:dyDescent="0.2">
      <c r="A132" s="461">
        <v>12.7</v>
      </c>
      <c r="C132" s="447" t="s">
        <v>1357</v>
      </c>
      <c r="D132" s="447"/>
      <c r="E132" s="448"/>
      <c r="F132" s="448"/>
      <c r="G132" s="448"/>
      <c r="H132" s="448"/>
      <c r="I132" s="448"/>
      <c r="J132" s="449" t="str">
        <f t="shared" si="188"/>
        <v/>
      </c>
      <c r="K132" s="449" t="str">
        <f t="shared" si="189"/>
        <v/>
      </c>
      <c r="L132" s="450">
        <f t="shared" si="187"/>
        <v>0</v>
      </c>
      <c r="M132" s="451" t="str">
        <f t="shared" si="186"/>
        <v/>
      </c>
      <c r="N132" s="452" t="str">
        <f t="shared" si="186"/>
        <v/>
      </c>
      <c r="O132" s="452" t="str">
        <f t="shared" si="186"/>
        <v/>
      </c>
      <c r="P132" s="452" t="str">
        <f t="shared" si="186"/>
        <v/>
      </c>
      <c r="Q132" s="453" t="str">
        <f t="shared" si="186"/>
        <v/>
      </c>
      <c r="R132" s="451" t="str">
        <f t="shared" si="186"/>
        <v/>
      </c>
      <c r="S132" s="452" t="str">
        <f t="shared" si="186"/>
        <v/>
      </c>
      <c r="T132" s="452" t="str">
        <f t="shared" si="186"/>
        <v/>
      </c>
      <c r="U132" s="452" t="str">
        <f t="shared" si="186"/>
        <v/>
      </c>
      <c r="V132" s="453" t="str">
        <f t="shared" si="186"/>
        <v/>
      </c>
      <c r="W132" s="451" t="str">
        <f t="shared" si="186"/>
        <v/>
      </c>
      <c r="X132" s="452" t="str">
        <f t="shared" si="186"/>
        <v/>
      </c>
      <c r="Y132" s="452" t="str">
        <f t="shared" si="186"/>
        <v/>
      </c>
      <c r="Z132" s="452" t="str">
        <f t="shared" si="186"/>
        <v/>
      </c>
      <c r="AA132" s="453" t="str">
        <f t="shared" si="186"/>
        <v/>
      </c>
      <c r="AB132" s="451" t="str">
        <f t="shared" si="186"/>
        <v/>
      </c>
      <c r="AC132" s="452" t="str">
        <f t="shared" si="196"/>
        <v/>
      </c>
      <c r="AD132" s="452" t="str">
        <f t="shared" si="196"/>
        <v/>
      </c>
      <c r="AE132" s="452" t="str">
        <f t="shared" si="196"/>
        <v/>
      </c>
      <c r="AF132" s="453" t="str">
        <f t="shared" si="196"/>
        <v/>
      </c>
      <c r="AG132" s="451" t="str">
        <f t="shared" si="196"/>
        <v/>
      </c>
      <c r="AH132" s="452" t="str">
        <f t="shared" si="196"/>
        <v/>
      </c>
      <c r="AI132" s="452" t="str">
        <f t="shared" si="196"/>
        <v/>
      </c>
      <c r="AJ132" s="452" t="str">
        <f t="shared" si="196"/>
        <v/>
      </c>
      <c r="AK132" s="453" t="str">
        <f t="shared" si="196"/>
        <v/>
      </c>
      <c r="AL132" s="451" t="str">
        <f t="shared" si="196"/>
        <v/>
      </c>
      <c r="AM132" s="452" t="str">
        <f t="shared" si="196"/>
        <v/>
      </c>
      <c r="AN132" s="452" t="str">
        <f t="shared" si="196"/>
        <v/>
      </c>
      <c r="AO132" s="452" t="str">
        <f t="shared" si="196"/>
        <v/>
      </c>
      <c r="AP132" s="453" t="str">
        <f t="shared" si="196"/>
        <v/>
      </c>
      <c r="AQ132" s="451" t="str">
        <f t="shared" si="196"/>
        <v/>
      </c>
      <c r="AR132" s="452" t="str">
        <f t="shared" si="196"/>
        <v/>
      </c>
      <c r="AS132" s="452" t="str">
        <f t="shared" si="193"/>
        <v/>
      </c>
      <c r="AT132" s="452" t="str">
        <f t="shared" si="193"/>
        <v/>
      </c>
      <c r="AU132" s="453" t="str">
        <f t="shared" si="193"/>
        <v/>
      </c>
      <c r="AV132" s="451" t="str">
        <f t="shared" si="193"/>
        <v/>
      </c>
      <c r="AW132" s="452" t="str">
        <f t="shared" si="193"/>
        <v/>
      </c>
      <c r="AX132" s="452" t="str">
        <f t="shared" si="193"/>
        <v/>
      </c>
      <c r="AY132" s="452" t="str">
        <f t="shared" si="193"/>
        <v/>
      </c>
      <c r="AZ132" s="453" t="str">
        <f t="shared" si="193"/>
        <v/>
      </c>
      <c r="BA132" s="451" t="str">
        <f t="shared" si="193"/>
        <v/>
      </c>
      <c r="BB132" s="452" t="str">
        <f t="shared" si="193"/>
        <v/>
      </c>
      <c r="BC132" s="452" t="str">
        <f t="shared" si="193"/>
        <v/>
      </c>
      <c r="BD132" s="452" t="str">
        <f t="shared" si="193"/>
        <v/>
      </c>
      <c r="BE132" s="453" t="str">
        <f t="shared" si="193"/>
        <v/>
      </c>
      <c r="BF132" s="451" t="str">
        <f t="shared" si="193"/>
        <v/>
      </c>
      <c r="BG132" s="452" t="str">
        <f t="shared" si="193"/>
        <v/>
      </c>
      <c r="BH132" s="452" t="str">
        <f t="shared" si="181"/>
        <v/>
      </c>
      <c r="BI132" s="452" t="str">
        <f t="shared" si="181"/>
        <v/>
      </c>
      <c r="BJ132" s="453" t="str">
        <f t="shared" si="181"/>
        <v/>
      </c>
      <c r="BK132" s="451" t="str">
        <f t="shared" si="181"/>
        <v/>
      </c>
      <c r="BL132" s="452" t="str">
        <f t="shared" si="181"/>
        <v/>
      </c>
      <c r="BM132" s="452" t="str">
        <f t="shared" si="181"/>
        <v/>
      </c>
      <c r="BN132" s="452" t="str">
        <f t="shared" si="181"/>
        <v/>
      </c>
      <c r="BO132" s="453" t="str">
        <f t="shared" si="181"/>
        <v/>
      </c>
      <c r="BP132" s="451" t="str">
        <f t="shared" si="181"/>
        <v/>
      </c>
      <c r="BQ132" s="452" t="str">
        <f t="shared" si="181"/>
        <v/>
      </c>
      <c r="BR132" s="452" t="str">
        <f t="shared" si="181"/>
        <v/>
      </c>
      <c r="BS132" s="452" t="str">
        <f t="shared" si="181"/>
        <v/>
      </c>
      <c r="BT132" s="453" t="str">
        <f t="shared" si="181"/>
        <v/>
      </c>
      <c r="BU132" s="451" t="str">
        <f t="shared" si="181"/>
        <v/>
      </c>
      <c r="BV132" s="452" t="str">
        <f t="shared" si="181"/>
        <v/>
      </c>
      <c r="BW132" s="452" t="str">
        <f t="shared" si="181"/>
        <v/>
      </c>
      <c r="BX132" s="452" t="str">
        <f t="shared" si="194"/>
        <v/>
      </c>
      <c r="BY132" s="453" t="str">
        <f t="shared" si="194"/>
        <v/>
      </c>
      <c r="BZ132" s="451" t="str">
        <f t="shared" si="194"/>
        <v/>
      </c>
      <c r="CA132" s="452" t="str">
        <f t="shared" si="194"/>
        <v/>
      </c>
      <c r="CB132" s="452" t="str">
        <f t="shared" si="194"/>
        <v/>
      </c>
      <c r="CC132" s="452" t="str">
        <f t="shared" si="194"/>
        <v/>
      </c>
      <c r="CD132" s="453" t="str">
        <f t="shared" si="194"/>
        <v/>
      </c>
      <c r="CE132" s="451" t="str">
        <f t="shared" si="194"/>
        <v/>
      </c>
      <c r="CF132" s="452" t="str">
        <f t="shared" si="194"/>
        <v/>
      </c>
      <c r="CG132" s="452" t="str">
        <f t="shared" si="194"/>
        <v/>
      </c>
      <c r="CH132" s="452" t="str">
        <f t="shared" si="194"/>
        <v/>
      </c>
      <c r="CI132" s="453" t="str">
        <f t="shared" si="194"/>
        <v/>
      </c>
      <c r="CJ132" s="451" t="str">
        <f t="shared" si="194"/>
        <v/>
      </c>
      <c r="CK132" s="452" t="str">
        <f t="shared" si="194"/>
        <v/>
      </c>
      <c r="CL132" s="452" t="str">
        <f t="shared" si="194"/>
        <v/>
      </c>
      <c r="CM132" s="452" t="str">
        <f t="shared" si="194"/>
        <v/>
      </c>
      <c r="CN132" s="453" t="str">
        <f t="shared" si="192"/>
        <v/>
      </c>
      <c r="CO132" s="451" t="str">
        <f t="shared" si="192"/>
        <v/>
      </c>
      <c r="CP132" s="452" t="str">
        <f t="shared" si="192"/>
        <v/>
      </c>
      <c r="CQ132" s="452" t="str">
        <f t="shared" si="192"/>
        <v/>
      </c>
      <c r="CR132" s="452" t="str">
        <f t="shared" si="192"/>
        <v/>
      </c>
      <c r="CS132" s="453" t="str">
        <f t="shared" si="192"/>
        <v/>
      </c>
      <c r="CT132" s="451" t="str">
        <f t="shared" si="192"/>
        <v/>
      </c>
      <c r="CU132" s="452" t="str">
        <f t="shared" si="192"/>
        <v/>
      </c>
      <c r="CV132" s="452" t="str">
        <f t="shared" si="192"/>
        <v/>
      </c>
      <c r="CW132" s="452" t="str">
        <f t="shared" si="192"/>
        <v/>
      </c>
      <c r="CX132" s="453" t="str">
        <f t="shared" si="192"/>
        <v/>
      </c>
      <c r="CY132" s="451" t="str">
        <f t="shared" si="192"/>
        <v/>
      </c>
      <c r="CZ132" s="452" t="str">
        <f t="shared" si="192"/>
        <v/>
      </c>
      <c r="DA132" s="452" t="str">
        <f t="shared" si="192"/>
        <v/>
      </c>
      <c r="DB132" s="452" t="str">
        <f t="shared" si="192"/>
        <v/>
      </c>
      <c r="DC132" s="453" t="str">
        <f t="shared" si="192"/>
        <v/>
      </c>
      <c r="DD132" s="451" t="str">
        <f t="shared" si="197"/>
        <v/>
      </c>
      <c r="DE132" s="452" t="str">
        <f t="shared" si="197"/>
        <v/>
      </c>
      <c r="DF132" s="452" t="str">
        <f t="shared" si="197"/>
        <v/>
      </c>
      <c r="DG132" s="452" t="str">
        <f t="shared" si="197"/>
        <v/>
      </c>
      <c r="DH132" s="453" t="str">
        <f t="shared" si="197"/>
        <v/>
      </c>
      <c r="DI132" s="451" t="str">
        <f t="shared" si="197"/>
        <v/>
      </c>
      <c r="DJ132" s="452" t="str">
        <f t="shared" si="197"/>
        <v/>
      </c>
      <c r="DK132" s="452" t="str">
        <f t="shared" si="197"/>
        <v/>
      </c>
      <c r="DL132" s="452" t="str">
        <f t="shared" si="197"/>
        <v/>
      </c>
      <c r="DM132" s="453" t="str">
        <f t="shared" si="197"/>
        <v/>
      </c>
      <c r="DN132" s="451" t="str">
        <f t="shared" si="197"/>
        <v/>
      </c>
      <c r="DO132" s="452" t="str">
        <f t="shared" si="197"/>
        <v/>
      </c>
      <c r="DP132" s="452" t="str">
        <f t="shared" si="197"/>
        <v/>
      </c>
      <c r="DQ132" s="452" t="str">
        <f t="shared" si="197"/>
        <v/>
      </c>
      <c r="DR132" s="453" t="str">
        <f t="shared" si="197"/>
        <v/>
      </c>
      <c r="DS132" s="451" t="str">
        <f t="shared" si="195"/>
        <v/>
      </c>
      <c r="DT132" s="452" t="str">
        <f t="shared" si="195"/>
        <v/>
      </c>
      <c r="DU132" s="452" t="str">
        <f t="shared" si="195"/>
        <v/>
      </c>
      <c r="DV132" s="452" t="str">
        <f t="shared" si="195"/>
        <v/>
      </c>
      <c r="DW132" s="453" t="str">
        <f t="shared" si="195"/>
        <v/>
      </c>
      <c r="DX132" s="451" t="str">
        <f t="shared" si="195"/>
        <v/>
      </c>
      <c r="DY132" s="452" t="str">
        <f t="shared" si="195"/>
        <v/>
      </c>
      <c r="DZ132" s="452" t="str">
        <f t="shared" si="195"/>
        <v/>
      </c>
      <c r="EA132" s="452" t="str">
        <f t="shared" si="195"/>
        <v/>
      </c>
      <c r="EB132" s="453" t="str">
        <f t="shared" si="195"/>
        <v/>
      </c>
      <c r="EC132" s="451" t="str">
        <f t="shared" si="195"/>
        <v/>
      </c>
      <c r="ED132" s="452" t="str">
        <f t="shared" si="195"/>
        <v/>
      </c>
      <c r="EE132" s="452" t="str">
        <f t="shared" si="195"/>
        <v/>
      </c>
      <c r="EF132" s="452" t="str">
        <f t="shared" si="195"/>
        <v/>
      </c>
      <c r="EG132" s="453" t="str">
        <f t="shared" si="195"/>
        <v/>
      </c>
      <c r="EH132" s="451" t="str">
        <f t="shared" si="177"/>
        <v/>
      </c>
      <c r="EI132" s="452" t="str">
        <f t="shared" si="177"/>
        <v/>
      </c>
      <c r="EJ132" s="452" t="str">
        <f t="shared" si="177"/>
        <v/>
      </c>
      <c r="EK132" s="452" t="str">
        <f t="shared" si="177"/>
        <v/>
      </c>
      <c r="EL132" s="453" t="str">
        <f t="shared" si="177"/>
        <v/>
      </c>
      <c r="EM132" s="451" t="str">
        <f t="shared" si="177"/>
        <v/>
      </c>
      <c r="EN132" s="452" t="str">
        <f t="shared" si="177"/>
        <v/>
      </c>
      <c r="EO132" s="452" t="str">
        <f t="shared" si="177"/>
        <v/>
      </c>
      <c r="EP132" s="452" t="str">
        <f t="shared" si="177"/>
        <v/>
      </c>
      <c r="EQ132" s="453" t="str">
        <f t="shared" si="177"/>
        <v/>
      </c>
      <c r="ER132" s="451" t="str">
        <f t="shared" si="177"/>
        <v/>
      </c>
      <c r="ES132" s="452" t="str">
        <f t="shared" si="177"/>
        <v/>
      </c>
      <c r="ET132" s="452" t="str">
        <f t="shared" si="177"/>
        <v/>
      </c>
      <c r="EU132" s="452" t="str">
        <f t="shared" si="177"/>
        <v/>
      </c>
      <c r="EV132" s="453" t="str">
        <f t="shared" si="177"/>
        <v/>
      </c>
      <c r="EW132" s="451" t="str">
        <f t="shared" ref="EW132" si="199">IF(AND(EW$2&gt;=$J132,EW$2&lt;=$K132),1,"")</f>
        <v/>
      </c>
      <c r="EX132" s="452" t="str">
        <f t="shared" si="178"/>
        <v/>
      </c>
      <c r="EY132" s="452" t="str">
        <f t="shared" si="178"/>
        <v/>
      </c>
      <c r="EZ132" s="452" t="str">
        <f t="shared" si="178"/>
        <v/>
      </c>
      <c r="FA132" s="453" t="str">
        <f t="shared" si="178"/>
        <v/>
      </c>
      <c r="FB132" s="451" t="str">
        <f t="shared" si="178"/>
        <v/>
      </c>
      <c r="FC132" s="452" t="str">
        <f t="shared" si="178"/>
        <v/>
      </c>
      <c r="FD132" s="452" t="str">
        <f t="shared" si="178"/>
        <v/>
      </c>
      <c r="FE132" s="452" t="str">
        <f t="shared" si="178"/>
        <v/>
      </c>
      <c r="FF132" s="453" t="str">
        <f t="shared" si="178"/>
        <v/>
      </c>
      <c r="FG132" s="451" t="str">
        <f t="shared" si="178"/>
        <v/>
      </c>
      <c r="FH132" s="452" t="str">
        <f t="shared" si="178"/>
        <v/>
      </c>
      <c r="FI132" s="452" t="str">
        <f t="shared" si="178"/>
        <v/>
      </c>
      <c r="FJ132" s="452" t="str">
        <f t="shared" si="178"/>
        <v/>
      </c>
      <c r="FK132" s="453" t="str">
        <f t="shared" si="178"/>
        <v/>
      </c>
      <c r="FL132" s="451" t="str">
        <f t="shared" si="178"/>
        <v/>
      </c>
      <c r="FM132" s="452" t="str">
        <f t="shared" si="178"/>
        <v/>
      </c>
      <c r="FN132" s="452" t="str">
        <f t="shared" ref="FN132:GC147" si="200">IF(AND(FN$2&gt;=$J132,FN$2&lt;=$K132),1,"")</f>
        <v/>
      </c>
      <c r="FO132" s="452" t="str">
        <f t="shared" si="200"/>
        <v/>
      </c>
      <c r="FP132" s="453" t="str">
        <f t="shared" si="200"/>
        <v/>
      </c>
      <c r="FQ132" s="451" t="str">
        <f t="shared" si="200"/>
        <v/>
      </c>
      <c r="FR132" s="452" t="str">
        <f t="shared" si="200"/>
        <v/>
      </c>
      <c r="FS132" s="452" t="str">
        <f t="shared" si="200"/>
        <v/>
      </c>
      <c r="FT132" s="452" t="str">
        <f t="shared" si="200"/>
        <v/>
      </c>
      <c r="FU132" s="453" t="str">
        <f t="shared" si="200"/>
        <v/>
      </c>
      <c r="FV132" s="451" t="str">
        <f t="shared" si="200"/>
        <v/>
      </c>
      <c r="FW132" s="452" t="str">
        <f t="shared" si="200"/>
        <v/>
      </c>
      <c r="FX132" s="452" t="str">
        <f t="shared" si="200"/>
        <v/>
      </c>
      <c r="FY132" s="452" t="str">
        <f t="shared" si="200"/>
        <v/>
      </c>
      <c r="FZ132" s="453" t="str">
        <f t="shared" si="200"/>
        <v/>
      </c>
      <c r="GA132" s="451" t="str">
        <f t="shared" si="200"/>
        <v/>
      </c>
      <c r="GB132" s="452" t="str">
        <f t="shared" si="200"/>
        <v/>
      </c>
      <c r="GC132" s="452" t="str">
        <f t="shared" si="200"/>
        <v/>
      </c>
      <c r="GD132" s="452" t="str">
        <f t="shared" si="185"/>
        <v/>
      </c>
      <c r="GE132" s="453" t="str">
        <f t="shared" si="185"/>
        <v/>
      </c>
      <c r="GF132" s="451" t="str">
        <f t="shared" si="179"/>
        <v/>
      </c>
      <c r="GG132" s="452" t="str">
        <f t="shared" si="179"/>
        <v/>
      </c>
      <c r="GH132" s="452" t="str">
        <f t="shared" si="179"/>
        <v/>
      </c>
      <c r="GI132" s="452" t="str">
        <f t="shared" si="179"/>
        <v/>
      </c>
      <c r="GJ132" s="453" t="str">
        <f t="shared" si="179"/>
        <v/>
      </c>
      <c r="GK132" s="451" t="str">
        <f t="shared" si="179"/>
        <v/>
      </c>
      <c r="GL132" s="452" t="str">
        <f t="shared" si="179"/>
        <v/>
      </c>
      <c r="GM132" s="452" t="str">
        <f t="shared" si="179"/>
        <v/>
      </c>
      <c r="GN132" s="452" t="str">
        <f t="shared" si="179"/>
        <v/>
      </c>
      <c r="GO132" s="453" t="str">
        <f t="shared" si="179"/>
        <v/>
      </c>
      <c r="GP132" s="451" t="str">
        <f t="shared" si="179"/>
        <v/>
      </c>
      <c r="GQ132" s="452" t="str">
        <f t="shared" si="179"/>
        <v/>
      </c>
      <c r="GR132" s="452" t="str">
        <f t="shared" si="179"/>
        <v/>
      </c>
      <c r="GS132" s="452" t="str">
        <f t="shared" si="179"/>
        <v/>
      </c>
      <c r="GT132" s="453" t="str">
        <f t="shared" si="179"/>
        <v/>
      </c>
      <c r="GU132" s="451" t="str">
        <f t="shared" si="179"/>
        <v/>
      </c>
      <c r="GV132" s="452" t="str">
        <f t="shared" si="198"/>
        <v/>
      </c>
      <c r="GW132" s="452" t="str">
        <f t="shared" si="198"/>
        <v/>
      </c>
      <c r="GX132" s="452" t="str">
        <f t="shared" si="198"/>
        <v/>
      </c>
      <c r="GY132" s="453" t="str">
        <f t="shared" si="198"/>
        <v/>
      </c>
      <c r="GZ132" s="451" t="str">
        <f t="shared" si="198"/>
        <v/>
      </c>
      <c r="HA132" s="452" t="str">
        <f t="shared" si="198"/>
        <v/>
      </c>
      <c r="HB132" s="452" t="str">
        <f t="shared" si="198"/>
        <v/>
      </c>
      <c r="HC132" s="452" t="str">
        <f t="shared" si="198"/>
        <v/>
      </c>
      <c r="HD132" s="453" t="str">
        <f t="shared" si="198"/>
        <v/>
      </c>
      <c r="HE132" s="451" t="str">
        <f t="shared" si="198"/>
        <v/>
      </c>
      <c r="HF132" s="452" t="str">
        <f t="shared" si="183"/>
        <v/>
      </c>
      <c r="HG132" s="452" t="str">
        <f t="shared" si="183"/>
        <v/>
      </c>
      <c r="HH132" s="452" t="str">
        <f t="shared" si="183"/>
        <v/>
      </c>
      <c r="HI132" s="453" t="str">
        <f t="shared" si="183"/>
        <v/>
      </c>
      <c r="HJ132" s="451" t="str">
        <f t="shared" si="183"/>
        <v/>
      </c>
      <c r="HK132" s="452" t="str">
        <f t="shared" si="183"/>
        <v/>
      </c>
      <c r="HL132" s="452" t="str">
        <f t="shared" si="183"/>
        <v/>
      </c>
      <c r="HM132" s="452" t="str">
        <f t="shared" si="183"/>
        <v/>
      </c>
      <c r="HN132" s="453" t="str">
        <f t="shared" si="183"/>
        <v/>
      </c>
      <c r="HO132" s="451" t="str">
        <f t="shared" si="183"/>
        <v/>
      </c>
      <c r="HP132" s="452" t="str">
        <f t="shared" si="183"/>
        <v/>
      </c>
      <c r="HQ132" s="452" t="str">
        <f t="shared" si="183"/>
        <v/>
      </c>
      <c r="HR132" s="452" t="str">
        <f t="shared" si="183"/>
        <v/>
      </c>
      <c r="HS132" s="453" t="str">
        <f t="shared" si="183"/>
        <v/>
      </c>
      <c r="HT132" s="451" t="str">
        <f t="shared" si="183"/>
        <v/>
      </c>
      <c r="HU132" s="452" t="str">
        <f t="shared" si="183"/>
        <v/>
      </c>
      <c r="HV132" s="452" t="str">
        <f t="shared" si="190"/>
        <v/>
      </c>
      <c r="HW132" s="452" t="str">
        <f t="shared" si="190"/>
        <v/>
      </c>
      <c r="HX132" s="453" t="str">
        <f t="shared" si="190"/>
        <v/>
      </c>
      <c r="HY132" s="451" t="str">
        <f t="shared" si="190"/>
        <v/>
      </c>
      <c r="HZ132" s="452" t="str">
        <f t="shared" si="190"/>
        <v/>
      </c>
      <c r="IA132" s="452" t="str">
        <f t="shared" si="190"/>
        <v/>
      </c>
      <c r="IB132" s="452" t="str">
        <f t="shared" si="190"/>
        <v/>
      </c>
      <c r="IC132" s="453" t="str">
        <f t="shared" si="190"/>
        <v/>
      </c>
      <c r="ID132" s="451" t="str">
        <f t="shared" si="190"/>
        <v/>
      </c>
      <c r="IE132" s="452" t="str">
        <f t="shared" si="190"/>
        <v/>
      </c>
      <c r="IF132" s="452" t="str">
        <f t="shared" si="190"/>
        <v/>
      </c>
      <c r="IG132" s="452" t="str">
        <f t="shared" si="190"/>
        <v/>
      </c>
      <c r="IH132" s="453" t="str">
        <f t="shared" si="190"/>
        <v/>
      </c>
      <c r="II132" s="451" t="str">
        <f t="shared" si="190"/>
        <v/>
      </c>
      <c r="IJ132" s="452" t="str">
        <f t="shared" si="190"/>
        <v/>
      </c>
      <c r="IK132" s="452" t="str">
        <f t="shared" si="190"/>
        <v/>
      </c>
      <c r="IL132" s="452" t="str">
        <f t="shared" si="191"/>
        <v/>
      </c>
      <c r="IM132" s="453" t="str">
        <f t="shared" si="191"/>
        <v/>
      </c>
      <c r="IN132" s="451" t="str">
        <f t="shared" si="191"/>
        <v/>
      </c>
      <c r="IO132" s="452" t="str">
        <f t="shared" si="191"/>
        <v/>
      </c>
      <c r="IP132" s="452" t="str">
        <f t="shared" si="191"/>
        <v/>
      </c>
      <c r="IQ132" s="452" t="str">
        <f t="shared" si="191"/>
        <v/>
      </c>
      <c r="IR132" s="453" t="str">
        <f t="shared" si="191"/>
        <v/>
      </c>
    </row>
    <row r="133" spans="1:252" x14ac:dyDescent="0.2">
      <c r="A133" s="461">
        <v>12.8</v>
      </c>
      <c r="C133" s="447" t="s">
        <v>1358</v>
      </c>
      <c r="D133" s="447"/>
      <c r="E133" s="448"/>
      <c r="F133" s="448"/>
      <c r="G133" s="448"/>
      <c r="H133" s="448"/>
      <c r="I133" s="448"/>
      <c r="J133" s="449" t="str">
        <f t="shared" si="188"/>
        <v/>
      </c>
      <c r="K133" s="449" t="str">
        <f t="shared" si="189"/>
        <v/>
      </c>
      <c r="L133" s="450">
        <f t="shared" si="187"/>
        <v>0</v>
      </c>
      <c r="M133" s="451" t="str">
        <f t="shared" si="186"/>
        <v/>
      </c>
      <c r="N133" s="452" t="str">
        <f t="shared" si="186"/>
        <v/>
      </c>
      <c r="O133" s="452" t="str">
        <f t="shared" si="186"/>
        <v/>
      </c>
      <c r="P133" s="452" t="str">
        <f t="shared" si="186"/>
        <v/>
      </c>
      <c r="Q133" s="453" t="str">
        <f t="shared" si="186"/>
        <v/>
      </c>
      <c r="R133" s="451" t="str">
        <f t="shared" si="186"/>
        <v/>
      </c>
      <c r="S133" s="452" t="str">
        <f t="shared" si="186"/>
        <v/>
      </c>
      <c r="T133" s="452" t="str">
        <f t="shared" si="186"/>
        <v/>
      </c>
      <c r="U133" s="452" t="str">
        <f t="shared" si="186"/>
        <v/>
      </c>
      <c r="V133" s="453" t="str">
        <f t="shared" si="186"/>
        <v/>
      </c>
      <c r="W133" s="451" t="str">
        <f t="shared" si="186"/>
        <v/>
      </c>
      <c r="X133" s="452" t="str">
        <f t="shared" si="186"/>
        <v/>
      </c>
      <c r="Y133" s="452" t="str">
        <f t="shared" si="186"/>
        <v/>
      </c>
      <c r="Z133" s="452" t="str">
        <f t="shared" si="186"/>
        <v/>
      </c>
      <c r="AA133" s="453" t="str">
        <f t="shared" si="186"/>
        <v/>
      </c>
      <c r="AB133" s="451" t="str">
        <f t="shared" si="186"/>
        <v/>
      </c>
      <c r="AC133" s="452" t="str">
        <f t="shared" si="196"/>
        <v/>
      </c>
      <c r="AD133" s="452" t="str">
        <f t="shared" si="196"/>
        <v/>
      </c>
      <c r="AE133" s="452" t="str">
        <f t="shared" si="196"/>
        <v/>
      </c>
      <c r="AF133" s="453" t="str">
        <f t="shared" si="196"/>
        <v/>
      </c>
      <c r="AG133" s="451" t="str">
        <f t="shared" si="196"/>
        <v/>
      </c>
      <c r="AH133" s="452" t="str">
        <f t="shared" si="196"/>
        <v/>
      </c>
      <c r="AI133" s="452" t="str">
        <f t="shared" si="196"/>
        <v/>
      </c>
      <c r="AJ133" s="452" t="str">
        <f t="shared" si="196"/>
        <v/>
      </c>
      <c r="AK133" s="453" t="str">
        <f t="shared" si="196"/>
        <v/>
      </c>
      <c r="AL133" s="451" t="str">
        <f t="shared" si="196"/>
        <v/>
      </c>
      <c r="AM133" s="452" t="str">
        <f t="shared" si="196"/>
        <v/>
      </c>
      <c r="AN133" s="452" t="str">
        <f t="shared" si="196"/>
        <v/>
      </c>
      <c r="AO133" s="452" t="str">
        <f t="shared" si="196"/>
        <v/>
      </c>
      <c r="AP133" s="453" t="str">
        <f t="shared" si="196"/>
        <v/>
      </c>
      <c r="AQ133" s="451" t="str">
        <f t="shared" si="196"/>
        <v/>
      </c>
      <c r="AR133" s="452" t="str">
        <f t="shared" si="196"/>
        <v/>
      </c>
      <c r="AS133" s="452" t="str">
        <f t="shared" si="193"/>
        <v/>
      </c>
      <c r="AT133" s="452" t="str">
        <f t="shared" si="193"/>
        <v/>
      </c>
      <c r="AU133" s="453" t="str">
        <f t="shared" si="193"/>
        <v/>
      </c>
      <c r="AV133" s="451" t="str">
        <f t="shared" si="193"/>
        <v/>
      </c>
      <c r="AW133" s="452" t="str">
        <f t="shared" si="193"/>
        <v/>
      </c>
      <c r="AX133" s="452" t="str">
        <f t="shared" si="193"/>
        <v/>
      </c>
      <c r="AY133" s="452" t="str">
        <f t="shared" si="193"/>
        <v/>
      </c>
      <c r="AZ133" s="453" t="str">
        <f t="shared" si="193"/>
        <v/>
      </c>
      <c r="BA133" s="451" t="str">
        <f t="shared" si="193"/>
        <v/>
      </c>
      <c r="BB133" s="452" t="str">
        <f t="shared" si="193"/>
        <v/>
      </c>
      <c r="BC133" s="452" t="str">
        <f t="shared" si="193"/>
        <v/>
      </c>
      <c r="BD133" s="452" t="str">
        <f t="shared" si="193"/>
        <v/>
      </c>
      <c r="BE133" s="453" t="str">
        <f t="shared" si="193"/>
        <v/>
      </c>
      <c r="BF133" s="451" t="str">
        <f t="shared" si="193"/>
        <v/>
      </c>
      <c r="BG133" s="452" t="str">
        <f t="shared" si="193"/>
        <v/>
      </c>
      <c r="BH133" s="452" t="str">
        <f t="shared" si="181"/>
        <v/>
      </c>
      <c r="BI133" s="452" t="str">
        <f t="shared" si="181"/>
        <v/>
      </c>
      <c r="BJ133" s="453" t="str">
        <f t="shared" si="181"/>
        <v/>
      </c>
      <c r="BK133" s="451" t="str">
        <f t="shared" si="181"/>
        <v/>
      </c>
      <c r="BL133" s="452" t="str">
        <f t="shared" si="181"/>
        <v/>
      </c>
      <c r="BM133" s="452" t="str">
        <f t="shared" si="181"/>
        <v/>
      </c>
      <c r="BN133" s="452" t="str">
        <f t="shared" si="181"/>
        <v/>
      </c>
      <c r="BO133" s="453" t="str">
        <f t="shared" si="181"/>
        <v/>
      </c>
      <c r="BP133" s="451" t="str">
        <f t="shared" si="181"/>
        <v/>
      </c>
      <c r="BQ133" s="452" t="str">
        <f t="shared" si="181"/>
        <v/>
      </c>
      <c r="BR133" s="452" t="str">
        <f t="shared" si="181"/>
        <v/>
      </c>
      <c r="BS133" s="452" t="str">
        <f t="shared" si="181"/>
        <v/>
      </c>
      <c r="BT133" s="453" t="str">
        <f t="shared" si="181"/>
        <v/>
      </c>
      <c r="BU133" s="451" t="str">
        <f t="shared" si="181"/>
        <v/>
      </c>
      <c r="BV133" s="452" t="str">
        <f t="shared" si="181"/>
        <v/>
      </c>
      <c r="BW133" s="452" t="str">
        <f t="shared" si="181"/>
        <v/>
      </c>
      <c r="BX133" s="452" t="str">
        <f t="shared" si="194"/>
        <v/>
      </c>
      <c r="BY133" s="453" t="str">
        <f t="shared" si="194"/>
        <v/>
      </c>
      <c r="BZ133" s="451" t="str">
        <f t="shared" si="194"/>
        <v/>
      </c>
      <c r="CA133" s="452" t="str">
        <f t="shared" si="194"/>
        <v/>
      </c>
      <c r="CB133" s="452" t="str">
        <f t="shared" si="194"/>
        <v/>
      </c>
      <c r="CC133" s="452" t="str">
        <f t="shared" si="194"/>
        <v/>
      </c>
      <c r="CD133" s="453" t="str">
        <f t="shared" si="194"/>
        <v/>
      </c>
      <c r="CE133" s="451" t="str">
        <f t="shared" si="194"/>
        <v/>
      </c>
      <c r="CF133" s="452" t="str">
        <f t="shared" si="194"/>
        <v/>
      </c>
      <c r="CG133" s="452" t="str">
        <f t="shared" si="194"/>
        <v/>
      </c>
      <c r="CH133" s="452" t="str">
        <f t="shared" si="194"/>
        <v/>
      </c>
      <c r="CI133" s="453" t="str">
        <f t="shared" si="194"/>
        <v/>
      </c>
      <c r="CJ133" s="451" t="str">
        <f t="shared" si="194"/>
        <v/>
      </c>
      <c r="CK133" s="452" t="str">
        <f t="shared" si="194"/>
        <v/>
      </c>
      <c r="CL133" s="452" t="str">
        <f t="shared" si="194"/>
        <v/>
      </c>
      <c r="CM133" s="452" t="str">
        <f t="shared" si="194"/>
        <v/>
      </c>
      <c r="CN133" s="453" t="str">
        <f t="shared" si="192"/>
        <v/>
      </c>
      <c r="CO133" s="451" t="str">
        <f t="shared" si="192"/>
        <v/>
      </c>
      <c r="CP133" s="452" t="str">
        <f t="shared" si="192"/>
        <v/>
      </c>
      <c r="CQ133" s="452" t="str">
        <f t="shared" si="192"/>
        <v/>
      </c>
      <c r="CR133" s="452" t="str">
        <f t="shared" si="192"/>
        <v/>
      </c>
      <c r="CS133" s="453" t="str">
        <f t="shared" si="192"/>
        <v/>
      </c>
      <c r="CT133" s="451" t="str">
        <f t="shared" si="192"/>
        <v/>
      </c>
      <c r="CU133" s="452" t="str">
        <f t="shared" si="192"/>
        <v/>
      </c>
      <c r="CV133" s="452" t="str">
        <f t="shared" si="192"/>
        <v/>
      </c>
      <c r="CW133" s="452" t="str">
        <f t="shared" si="192"/>
        <v/>
      </c>
      <c r="CX133" s="453" t="str">
        <f t="shared" si="192"/>
        <v/>
      </c>
      <c r="CY133" s="451" t="str">
        <f t="shared" si="192"/>
        <v/>
      </c>
      <c r="CZ133" s="452" t="str">
        <f t="shared" si="192"/>
        <v/>
      </c>
      <c r="DA133" s="452" t="str">
        <f t="shared" si="192"/>
        <v/>
      </c>
      <c r="DB133" s="452" t="str">
        <f t="shared" si="192"/>
        <v/>
      </c>
      <c r="DC133" s="453" t="str">
        <f t="shared" si="192"/>
        <v/>
      </c>
      <c r="DD133" s="451" t="str">
        <f t="shared" si="197"/>
        <v/>
      </c>
      <c r="DE133" s="452" t="str">
        <f t="shared" si="197"/>
        <v/>
      </c>
      <c r="DF133" s="452" t="str">
        <f t="shared" si="197"/>
        <v/>
      </c>
      <c r="DG133" s="452" t="str">
        <f t="shared" si="197"/>
        <v/>
      </c>
      <c r="DH133" s="453" t="str">
        <f t="shared" si="197"/>
        <v/>
      </c>
      <c r="DI133" s="451" t="str">
        <f t="shared" si="197"/>
        <v/>
      </c>
      <c r="DJ133" s="452" t="str">
        <f t="shared" si="197"/>
        <v/>
      </c>
      <c r="DK133" s="452" t="str">
        <f t="shared" si="197"/>
        <v/>
      </c>
      <c r="DL133" s="452" t="str">
        <f t="shared" si="197"/>
        <v/>
      </c>
      <c r="DM133" s="453" t="str">
        <f t="shared" si="197"/>
        <v/>
      </c>
      <c r="DN133" s="451" t="str">
        <f t="shared" si="197"/>
        <v/>
      </c>
      <c r="DO133" s="452" t="str">
        <f t="shared" si="197"/>
        <v/>
      </c>
      <c r="DP133" s="452" t="str">
        <f t="shared" si="197"/>
        <v/>
      </c>
      <c r="DQ133" s="452" t="str">
        <f t="shared" si="197"/>
        <v/>
      </c>
      <c r="DR133" s="453" t="str">
        <f t="shared" si="197"/>
        <v/>
      </c>
      <c r="DS133" s="451" t="str">
        <f t="shared" si="195"/>
        <v/>
      </c>
      <c r="DT133" s="452" t="str">
        <f t="shared" si="195"/>
        <v/>
      </c>
      <c r="DU133" s="452" t="str">
        <f t="shared" si="195"/>
        <v/>
      </c>
      <c r="DV133" s="452" t="str">
        <f t="shared" si="195"/>
        <v/>
      </c>
      <c r="DW133" s="453" t="str">
        <f t="shared" si="195"/>
        <v/>
      </c>
      <c r="DX133" s="451" t="str">
        <f t="shared" si="195"/>
        <v/>
      </c>
      <c r="DY133" s="452" t="str">
        <f t="shared" si="195"/>
        <v/>
      </c>
      <c r="DZ133" s="452" t="str">
        <f t="shared" si="195"/>
        <v/>
      </c>
      <c r="EA133" s="452" t="str">
        <f t="shared" si="195"/>
        <v/>
      </c>
      <c r="EB133" s="453" t="str">
        <f t="shared" si="195"/>
        <v/>
      </c>
      <c r="EC133" s="451" t="str">
        <f t="shared" si="195"/>
        <v/>
      </c>
      <c r="ED133" s="452" t="str">
        <f t="shared" si="195"/>
        <v/>
      </c>
      <c r="EE133" s="452" t="str">
        <f t="shared" si="195"/>
        <v/>
      </c>
      <c r="EF133" s="452" t="str">
        <f t="shared" si="195"/>
        <v/>
      </c>
      <c r="EG133" s="453" t="str">
        <f t="shared" si="195"/>
        <v/>
      </c>
      <c r="EH133" s="451" t="str">
        <f t="shared" si="195"/>
        <v/>
      </c>
      <c r="EI133" s="452" t="str">
        <f t="shared" ref="EI133:EX148" si="201">IF(AND(EI$2&gt;=$J133,EI$2&lt;=$K133),1,"")</f>
        <v/>
      </c>
      <c r="EJ133" s="452" t="str">
        <f t="shared" si="201"/>
        <v/>
      </c>
      <c r="EK133" s="452" t="str">
        <f t="shared" si="201"/>
        <v/>
      </c>
      <c r="EL133" s="453" t="str">
        <f t="shared" si="201"/>
        <v/>
      </c>
      <c r="EM133" s="451" t="str">
        <f t="shared" si="201"/>
        <v/>
      </c>
      <c r="EN133" s="452" t="str">
        <f t="shared" si="201"/>
        <v/>
      </c>
      <c r="EO133" s="452" t="str">
        <f t="shared" si="201"/>
        <v/>
      </c>
      <c r="EP133" s="452" t="str">
        <f t="shared" si="201"/>
        <v/>
      </c>
      <c r="EQ133" s="453" t="str">
        <f t="shared" si="201"/>
        <v/>
      </c>
      <c r="ER133" s="451" t="str">
        <f t="shared" si="201"/>
        <v/>
      </c>
      <c r="ES133" s="452" t="str">
        <f t="shared" si="201"/>
        <v/>
      </c>
      <c r="ET133" s="452" t="str">
        <f t="shared" si="201"/>
        <v/>
      </c>
      <c r="EU133" s="452" t="str">
        <f t="shared" si="201"/>
        <v/>
      </c>
      <c r="EV133" s="453" t="str">
        <f t="shared" si="201"/>
        <v/>
      </c>
      <c r="EW133" s="451" t="str">
        <f t="shared" si="201"/>
        <v/>
      </c>
      <c r="EX133" s="452" t="str">
        <f t="shared" si="201"/>
        <v/>
      </c>
      <c r="EY133" s="452" t="str">
        <f t="shared" ref="EY133:FN148" si="202">IF(AND(EY$2&gt;=$J133,EY$2&lt;=$K133),1,"")</f>
        <v/>
      </c>
      <c r="EZ133" s="452" t="str">
        <f t="shared" si="202"/>
        <v/>
      </c>
      <c r="FA133" s="453" t="str">
        <f t="shared" si="202"/>
        <v/>
      </c>
      <c r="FB133" s="451" t="str">
        <f t="shared" si="202"/>
        <v/>
      </c>
      <c r="FC133" s="452" t="str">
        <f t="shared" si="202"/>
        <v/>
      </c>
      <c r="FD133" s="452" t="str">
        <f t="shared" si="202"/>
        <v/>
      </c>
      <c r="FE133" s="452" t="str">
        <f t="shared" si="202"/>
        <v/>
      </c>
      <c r="FF133" s="453" t="str">
        <f t="shared" si="202"/>
        <v/>
      </c>
      <c r="FG133" s="451" t="str">
        <f t="shared" si="202"/>
        <v/>
      </c>
      <c r="FH133" s="452" t="str">
        <f t="shared" si="202"/>
        <v/>
      </c>
      <c r="FI133" s="452" t="str">
        <f t="shared" si="202"/>
        <v/>
      </c>
      <c r="FJ133" s="452" t="str">
        <f t="shared" si="202"/>
        <v/>
      </c>
      <c r="FK133" s="453" t="str">
        <f t="shared" si="202"/>
        <v/>
      </c>
      <c r="FL133" s="451" t="str">
        <f t="shared" si="202"/>
        <v/>
      </c>
      <c r="FM133" s="452" t="str">
        <f t="shared" si="202"/>
        <v/>
      </c>
      <c r="FN133" s="452" t="str">
        <f t="shared" si="202"/>
        <v/>
      </c>
      <c r="FO133" s="452" t="str">
        <f t="shared" si="200"/>
        <v/>
      </c>
      <c r="FP133" s="453" t="str">
        <f t="shared" si="200"/>
        <v/>
      </c>
      <c r="FQ133" s="451" t="str">
        <f t="shared" si="200"/>
        <v/>
      </c>
      <c r="FR133" s="452" t="str">
        <f t="shared" si="200"/>
        <v/>
      </c>
      <c r="FS133" s="452" t="str">
        <f t="shared" si="200"/>
        <v/>
      </c>
      <c r="FT133" s="452" t="str">
        <f t="shared" si="200"/>
        <v/>
      </c>
      <c r="FU133" s="453" t="str">
        <f t="shared" si="200"/>
        <v/>
      </c>
      <c r="FV133" s="451" t="str">
        <f t="shared" si="200"/>
        <v/>
      </c>
      <c r="FW133" s="452" t="str">
        <f t="shared" si="200"/>
        <v/>
      </c>
      <c r="FX133" s="452" t="str">
        <f t="shared" si="200"/>
        <v/>
      </c>
      <c r="FY133" s="452" t="str">
        <f t="shared" si="200"/>
        <v/>
      </c>
      <c r="FZ133" s="453" t="str">
        <f t="shared" si="200"/>
        <v/>
      </c>
      <c r="GA133" s="451" t="str">
        <f t="shared" si="200"/>
        <v/>
      </c>
      <c r="GB133" s="452" t="str">
        <f t="shared" si="200"/>
        <v/>
      </c>
      <c r="GC133" s="452" t="str">
        <f t="shared" si="200"/>
        <v/>
      </c>
      <c r="GD133" s="452" t="str">
        <f t="shared" si="185"/>
        <v/>
      </c>
      <c r="GE133" s="453" t="str">
        <f t="shared" si="185"/>
        <v/>
      </c>
      <c r="GF133" s="451" t="str">
        <f t="shared" si="185"/>
        <v/>
      </c>
      <c r="GG133" s="452" t="str">
        <f t="shared" ref="GG133:GV148" si="203">IF(AND(GG$2&gt;=$J133,GG$2&lt;=$K133),1,"")</f>
        <v/>
      </c>
      <c r="GH133" s="452" t="str">
        <f t="shared" si="203"/>
        <v/>
      </c>
      <c r="GI133" s="452" t="str">
        <f t="shared" si="203"/>
        <v/>
      </c>
      <c r="GJ133" s="453" t="str">
        <f t="shared" si="203"/>
        <v/>
      </c>
      <c r="GK133" s="451" t="str">
        <f t="shared" si="203"/>
        <v/>
      </c>
      <c r="GL133" s="452" t="str">
        <f t="shared" si="203"/>
        <v/>
      </c>
      <c r="GM133" s="452" t="str">
        <f t="shared" si="203"/>
        <v/>
      </c>
      <c r="GN133" s="452" t="str">
        <f t="shared" si="203"/>
        <v/>
      </c>
      <c r="GO133" s="453" t="str">
        <f t="shared" si="203"/>
        <v/>
      </c>
      <c r="GP133" s="451" t="str">
        <f t="shared" si="203"/>
        <v/>
      </c>
      <c r="GQ133" s="452" t="str">
        <f t="shared" si="203"/>
        <v/>
      </c>
      <c r="GR133" s="452" t="str">
        <f t="shared" si="203"/>
        <v/>
      </c>
      <c r="GS133" s="452" t="str">
        <f t="shared" si="203"/>
        <v/>
      </c>
      <c r="GT133" s="453" t="str">
        <f t="shared" si="203"/>
        <v/>
      </c>
      <c r="GU133" s="451" t="str">
        <f t="shared" si="203"/>
        <v/>
      </c>
      <c r="GV133" s="452" t="str">
        <f t="shared" si="203"/>
        <v/>
      </c>
      <c r="GW133" s="452" t="str">
        <f t="shared" si="198"/>
        <v/>
      </c>
      <c r="GX133" s="452" t="str">
        <f t="shared" si="198"/>
        <v/>
      </c>
      <c r="GY133" s="453" t="str">
        <f t="shared" si="198"/>
        <v/>
      </c>
      <c r="GZ133" s="451" t="str">
        <f t="shared" si="198"/>
        <v/>
      </c>
      <c r="HA133" s="452" t="str">
        <f t="shared" si="198"/>
        <v/>
      </c>
      <c r="HB133" s="452" t="str">
        <f t="shared" si="198"/>
        <v/>
      </c>
      <c r="HC133" s="452" t="str">
        <f t="shared" si="198"/>
        <v/>
      </c>
      <c r="HD133" s="453" t="str">
        <f t="shared" si="198"/>
        <v/>
      </c>
      <c r="HE133" s="451" t="str">
        <f t="shared" si="198"/>
        <v/>
      </c>
      <c r="HF133" s="452" t="str">
        <f t="shared" si="183"/>
        <v/>
      </c>
      <c r="HG133" s="452" t="str">
        <f t="shared" si="183"/>
        <v/>
      </c>
      <c r="HH133" s="452" t="str">
        <f t="shared" si="183"/>
        <v/>
      </c>
      <c r="HI133" s="453" t="str">
        <f t="shared" si="183"/>
        <v/>
      </c>
      <c r="HJ133" s="451" t="str">
        <f t="shared" si="183"/>
        <v/>
      </c>
      <c r="HK133" s="452" t="str">
        <f t="shared" si="183"/>
        <v/>
      </c>
      <c r="HL133" s="452" t="str">
        <f t="shared" si="183"/>
        <v/>
      </c>
      <c r="HM133" s="452" t="str">
        <f t="shared" si="183"/>
        <v/>
      </c>
      <c r="HN133" s="453" t="str">
        <f t="shared" si="183"/>
        <v/>
      </c>
      <c r="HO133" s="451" t="str">
        <f t="shared" si="183"/>
        <v/>
      </c>
      <c r="HP133" s="452" t="str">
        <f t="shared" si="183"/>
        <v/>
      </c>
      <c r="HQ133" s="452" t="str">
        <f t="shared" si="183"/>
        <v/>
      </c>
      <c r="HR133" s="452" t="str">
        <f t="shared" si="183"/>
        <v/>
      </c>
      <c r="HS133" s="453" t="str">
        <f t="shared" si="183"/>
        <v/>
      </c>
      <c r="HT133" s="451" t="str">
        <f t="shared" si="183"/>
        <v/>
      </c>
      <c r="HU133" s="452" t="str">
        <f t="shared" si="183"/>
        <v/>
      </c>
      <c r="HV133" s="452" t="str">
        <f t="shared" si="190"/>
        <v/>
      </c>
      <c r="HW133" s="452" t="str">
        <f t="shared" si="190"/>
        <v/>
      </c>
      <c r="HX133" s="453" t="str">
        <f t="shared" si="190"/>
        <v/>
      </c>
      <c r="HY133" s="451" t="str">
        <f t="shared" si="190"/>
        <v/>
      </c>
      <c r="HZ133" s="452" t="str">
        <f t="shared" si="190"/>
        <v/>
      </c>
      <c r="IA133" s="452" t="str">
        <f t="shared" si="190"/>
        <v/>
      </c>
      <c r="IB133" s="452" t="str">
        <f t="shared" si="190"/>
        <v/>
      </c>
      <c r="IC133" s="453" t="str">
        <f t="shared" si="190"/>
        <v/>
      </c>
      <c r="ID133" s="451" t="str">
        <f t="shared" si="190"/>
        <v/>
      </c>
      <c r="IE133" s="452" t="str">
        <f t="shared" si="190"/>
        <v/>
      </c>
      <c r="IF133" s="452" t="str">
        <f t="shared" si="190"/>
        <v/>
      </c>
      <c r="IG133" s="452" t="str">
        <f t="shared" si="190"/>
        <v/>
      </c>
      <c r="IH133" s="453" t="str">
        <f t="shared" si="190"/>
        <v/>
      </c>
      <c r="II133" s="451" t="str">
        <f t="shared" si="190"/>
        <v/>
      </c>
      <c r="IJ133" s="452" t="str">
        <f t="shared" si="190"/>
        <v/>
      </c>
      <c r="IK133" s="452" t="str">
        <f t="shared" si="190"/>
        <v/>
      </c>
      <c r="IL133" s="452" t="str">
        <f t="shared" si="191"/>
        <v/>
      </c>
      <c r="IM133" s="453" t="str">
        <f t="shared" si="191"/>
        <v/>
      </c>
      <c r="IN133" s="451" t="str">
        <f t="shared" si="191"/>
        <v/>
      </c>
      <c r="IO133" s="452" t="str">
        <f t="shared" si="191"/>
        <v/>
      </c>
      <c r="IP133" s="452" t="str">
        <f t="shared" si="191"/>
        <v/>
      </c>
      <c r="IQ133" s="452" t="str">
        <f t="shared" si="191"/>
        <v/>
      </c>
      <c r="IR133" s="453" t="str">
        <f t="shared" si="191"/>
        <v/>
      </c>
    </row>
    <row r="134" spans="1:252" x14ac:dyDescent="0.2">
      <c r="A134" s="461">
        <v>12.9</v>
      </c>
      <c r="C134" s="447" t="s">
        <v>1359</v>
      </c>
      <c r="D134" s="447"/>
      <c r="E134" s="448"/>
      <c r="F134" s="448"/>
      <c r="G134" s="448"/>
      <c r="H134" s="448"/>
      <c r="I134" s="448"/>
      <c r="J134" s="449" t="str">
        <f t="shared" si="188"/>
        <v/>
      </c>
      <c r="K134" s="449" t="str">
        <f t="shared" si="189"/>
        <v/>
      </c>
      <c r="L134" s="450">
        <f t="shared" si="187"/>
        <v>0</v>
      </c>
      <c r="M134" s="451" t="str">
        <f t="shared" si="186"/>
        <v/>
      </c>
      <c r="N134" s="452" t="str">
        <f t="shared" si="186"/>
        <v/>
      </c>
      <c r="O134" s="452" t="str">
        <f t="shared" si="186"/>
        <v/>
      </c>
      <c r="P134" s="452" t="str">
        <f t="shared" si="186"/>
        <v/>
      </c>
      <c r="Q134" s="453" t="str">
        <f t="shared" si="186"/>
        <v/>
      </c>
      <c r="R134" s="451" t="str">
        <f t="shared" si="186"/>
        <v/>
      </c>
      <c r="S134" s="452" t="str">
        <f t="shared" si="186"/>
        <v/>
      </c>
      <c r="T134" s="452" t="str">
        <f t="shared" si="186"/>
        <v/>
      </c>
      <c r="U134" s="452" t="str">
        <f t="shared" si="186"/>
        <v/>
      </c>
      <c r="V134" s="453" t="str">
        <f t="shared" si="186"/>
        <v/>
      </c>
      <c r="W134" s="451" t="str">
        <f t="shared" si="186"/>
        <v/>
      </c>
      <c r="X134" s="452" t="str">
        <f t="shared" si="186"/>
        <v/>
      </c>
      <c r="Y134" s="452" t="str">
        <f t="shared" si="186"/>
        <v/>
      </c>
      <c r="Z134" s="452" t="str">
        <f t="shared" si="186"/>
        <v/>
      </c>
      <c r="AA134" s="453" t="str">
        <f t="shared" si="186"/>
        <v/>
      </c>
      <c r="AB134" s="451" t="str">
        <f t="shared" si="186"/>
        <v/>
      </c>
      <c r="AC134" s="452" t="str">
        <f t="shared" si="196"/>
        <v/>
      </c>
      <c r="AD134" s="452" t="str">
        <f t="shared" si="196"/>
        <v/>
      </c>
      <c r="AE134" s="452" t="str">
        <f t="shared" si="196"/>
        <v/>
      </c>
      <c r="AF134" s="453" t="str">
        <f t="shared" si="196"/>
        <v/>
      </c>
      <c r="AG134" s="451" t="str">
        <f t="shared" si="196"/>
        <v/>
      </c>
      <c r="AH134" s="452" t="str">
        <f t="shared" si="196"/>
        <v/>
      </c>
      <c r="AI134" s="452" t="str">
        <f t="shared" si="196"/>
        <v/>
      </c>
      <c r="AJ134" s="452" t="str">
        <f t="shared" si="196"/>
        <v/>
      </c>
      <c r="AK134" s="453" t="str">
        <f t="shared" si="196"/>
        <v/>
      </c>
      <c r="AL134" s="451" t="str">
        <f t="shared" si="196"/>
        <v/>
      </c>
      <c r="AM134" s="452" t="str">
        <f t="shared" si="196"/>
        <v/>
      </c>
      <c r="AN134" s="452" t="str">
        <f t="shared" si="196"/>
        <v/>
      </c>
      <c r="AO134" s="452" t="str">
        <f t="shared" si="196"/>
        <v/>
      </c>
      <c r="AP134" s="453" t="str">
        <f t="shared" si="196"/>
        <v/>
      </c>
      <c r="AQ134" s="451" t="str">
        <f t="shared" si="196"/>
        <v/>
      </c>
      <c r="AR134" s="452" t="str">
        <f t="shared" si="196"/>
        <v/>
      </c>
      <c r="AS134" s="452" t="str">
        <f t="shared" si="193"/>
        <v/>
      </c>
      <c r="AT134" s="452" t="str">
        <f t="shared" si="193"/>
        <v/>
      </c>
      <c r="AU134" s="453" t="str">
        <f t="shared" si="193"/>
        <v/>
      </c>
      <c r="AV134" s="451" t="str">
        <f t="shared" si="193"/>
        <v/>
      </c>
      <c r="AW134" s="452" t="str">
        <f t="shared" si="193"/>
        <v/>
      </c>
      <c r="AX134" s="452" t="str">
        <f t="shared" si="193"/>
        <v/>
      </c>
      <c r="AY134" s="452" t="str">
        <f t="shared" si="193"/>
        <v/>
      </c>
      <c r="AZ134" s="453" t="str">
        <f t="shared" si="193"/>
        <v/>
      </c>
      <c r="BA134" s="451" t="str">
        <f t="shared" si="193"/>
        <v/>
      </c>
      <c r="BB134" s="452" t="str">
        <f t="shared" si="193"/>
        <v/>
      </c>
      <c r="BC134" s="452" t="str">
        <f t="shared" si="193"/>
        <v/>
      </c>
      <c r="BD134" s="452" t="str">
        <f t="shared" si="193"/>
        <v/>
      </c>
      <c r="BE134" s="453" t="str">
        <f t="shared" si="193"/>
        <v/>
      </c>
      <c r="BF134" s="451" t="str">
        <f t="shared" si="193"/>
        <v/>
      </c>
      <c r="BG134" s="452" t="str">
        <f t="shared" si="193"/>
        <v/>
      </c>
      <c r="BH134" s="452" t="str">
        <f t="shared" si="181"/>
        <v/>
      </c>
      <c r="BI134" s="452" t="str">
        <f t="shared" si="181"/>
        <v/>
      </c>
      <c r="BJ134" s="453" t="str">
        <f t="shared" si="181"/>
        <v/>
      </c>
      <c r="BK134" s="451" t="str">
        <f t="shared" si="181"/>
        <v/>
      </c>
      <c r="BL134" s="452" t="str">
        <f t="shared" si="181"/>
        <v/>
      </c>
      <c r="BM134" s="452" t="str">
        <f t="shared" si="181"/>
        <v/>
      </c>
      <c r="BN134" s="452" t="str">
        <f t="shared" si="181"/>
        <v/>
      </c>
      <c r="BO134" s="453" t="str">
        <f t="shared" si="181"/>
        <v/>
      </c>
      <c r="BP134" s="451" t="str">
        <f t="shared" si="181"/>
        <v/>
      </c>
      <c r="BQ134" s="452" t="str">
        <f t="shared" si="181"/>
        <v/>
      </c>
      <c r="BR134" s="452" t="str">
        <f t="shared" si="181"/>
        <v/>
      </c>
      <c r="BS134" s="452" t="str">
        <f t="shared" si="181"/>
        <v/>
      </c>
      <c r="BT134" s="453" t="str">
        <f t="shared" si="181"/>
        <v/>
      </c>
      <c r="BU134" s="451" t="str">
        <f t="shared" si="181"/>
        <v/>
      </c>
      <c r="BV134" s="452" t="str">
        <f t="shared" si="181"/>
        <v/>
      </c>
      <c r="BW134" s="452" t="str">
        <f t="shared" ref="BW134" si="204">IF(AND(BW$2&gt;=$J134,BW$2&lt;=$K134),1,"")</f>
        <v/>
      </c>
      <c r="BX134" s="452" t="str">
        <f t="shared" si="194"/>
        <v/>
      </c>
      <c r="BY134" s="453" t="str">
        <f t="shared" si="194"/>
        <v/>
      </c>
      <c r="BZ134" s="451" t="str">
        <f t="shared" si="194"/>
        <v/>
      </c>
      <c r="CA134" s="452" t="str">
        <f t="shared" si="194"/>
        <v/>
      </c>
      <c r="CB134" s="452" t="str">
        <f t="shared" si="194"/>
        <v/>
      </c>
      <c r="CC134" s="452" t="str">
        <f t="shared" si="194"/>
        <v/>
      </c>
      <c r="CD134" s="453" t="str">
        <f t="shared" si="194"/>
        <v/>
      </c>
      <c r="CE134" s="451" t="str">
        <f t="shared" si="194"/>
        <v/>
      </c>
      <c r="CF134" s="452" t="str">
        <f t="shared" si="194"/>
        <v/>
      </c>
      <c r="CG134" s="452" t="str">
        <f t="shared" si="194"/>
        <v/>
      </c>
      <c r="CH134" s="452" t="str">
        <f t="shared" si="194"/>
        <v/>
      </c>
      <c r="CI134" s="453" t="str">
        <f t="shared" si="194"/>
        <v/>
      </c>
      <c r="CJ134" s="451" t="str">
        <f t="shared" si="194"/>
        <v/>
      </c>
      <c r="CK134" s="452" t="str">
        <f t="shared" si="194"/>
        <v/>
      </c>
      <c r="CL134" s="452" t="str">
        <f t="shared" si="194"/>
        <v/>
      </c>
      <c r="CM134" s="452" t="str">
        <f t="shared" si="194"/>
        <v/>
      </c>
      <c r="CN134" s="453" t="str">
        <f t="shared" si="192"/>
        <v/>
      </c>
      <c r="CO134" s="451" t="str">
        <f t="shared" si="192"/>
        <v/>
      </c>
      <c r="CP134" s="452" t="str">
        <f t="shared" si="192"/>
        <v/>
      </c>
      <c r="CQ134" s="452" t="str">
        <f t="shared" si="192"/>
        <v/>
      </c>
      <c r="CR134" s="452" t="str">
        <f t="shared" si="192"/>
        <v/>
      </c>
      <c r="CS134" s="453" t="str">
        <f t="shared" si="192"/>
        <v/>
      </c>
      <c r="CT134" s="451" t="str">
        <f t="shared" si="192"/>
        <v/>
      </c>
      <c r="CU134" s="452" t="str">
        <f t="shared" si="192"/>
        <v/>
      </c>
      <c r="CV134" s="452" t="str">
        <f t="shared" si="192"/>
        <v/>
      </c>
      <c r="CW134" s="452" t="str">
        <f t="shared" si="192"/>
        <v/>
      </c>
      <c r="CX134" s="453" t="str">
        <f t="shared" si="192"/>
        <v/>
      </c>
      <c r="CY134" s="451" t="str">
        <f t="shared" si="192"/>
        <v/>
      </c>
      <c r="CZ134" s="452" t="str">
        <f t="shared" si="192"/>
        <v/>
      </c>
      <c r="DA134" s="452" t="str">
        <f t="shared" si="192"/>
        <v/>
      </c>
      <c r="DB134" s="452" t="str">
        <f t="shared" si="192"/>
        <v/>
      </c>
      <c r="DC134" s="453" t="str">
        <f t="shared" si="192"/>
        <v/>
      </c>
      <c r="DD134" s="451" t="str">
        <f t="shared" si="197"/>
        <v/>
      </c>
      <c r="DE134" s="452" t="str">
        <f t="shared" si="197"/>
        <v/>
      </c>
      <c r="DF134" s="452" t="str">
        <f t="shared" si="197"/>
        <v/>
      </c>
      <c r="DG134" s="452" t="str">
        <f t="shared" si="197"/>
        <v/>
      </c>
      <c r="DH134" s="453" t="str">
        <f t="shared" si="197"/>
        <v/>
      </c>
      <c r="DI134" s="451" t="str">
        <f t="shared" si="197"/>
        <v/>
      </c>
      <c r="DJ134" s="452" t="str">
        <f t="shared" si="197"/>
        <v/>
      </c>
      <c r="DK134" s="452" t="str">
        <f t="shared" si="197"/>
        <v/>
      </c>
      <c r="DL134" s="452" t="str">
        <f t="shared" si="197"/>
        <v/>
      </c>
      <c r="DM134" s="453" t="str">
        <f t="shared" si="197"/>
        <v/>
      </c>
      <c r="DN134" s="451" t="str">
        <f t="shared" si="197"/>
        <v/>
      </c>
      <c r="DO134" s="452" t="str">
        <f t="shared" si="197"/>
        <v/>
      </c>
      <c r="DP134" s="452" t="str">
        <f t="shared" si="197"/>
        <v/>
      </c>
      <c r="DQ134" s="452" t="str">
        <f t="shared" si="197"/>
        <v/>
      </c>
      <c r="DR134" s="453" t="str">
        <f t="shared" si="197"/>
        <v/>
      </c>
      <c r="DS134" s="451" t="str">
        <f t="shared" si="197"/>
        <v/>
      </c>
      <c r="DT134" s="452" t="str">
        <f t="shared" si="195"/>
        <v/>
      </c>
      <c r="DU134" s="452" t="str">
        <f t="shared" si="195"/>
        <v/>
      </c>
      <c r="DV134" s="452" t="str">
        <f t="shared" si="195"/>
        <v/>
      </c>
      <c r="DW134" s="453" t="str">
        <f t="shared" si="195"/>
        <v/>
      </c>
      <c r="DX134" s="451" t="str">
        <f t="shared" si="195"/>
        <v/>
      </c>
      <c r="DY134" s="452" t="str">
        <f t="shared" si="195"/>
        <v/>
      </c>
      <c r="DZ134" s="452" t="str">
        <f t="shared" si="195"/>
        <v/>
      </c>
      <c r="EA134" s="452" t="str">
        <f t="shared" si="195"/>
        <v/>
      </c>
      <c r="EB134" s="453" t="str">
        <f t="shared" si="195"/>
        <v/>
      </c>
      <c r="EC134" s="451" t="str">
        <f t="shared" si="195"/>
        <v/>
      </c>
      <c r="ED134" s="452" t="str">
        <f t="shared" si="195"/>
        <v/>
      </c>
      <c r="EE134" s="452" t="str">
        <f t="shared" si="195"/>
        <v/>
      </c>
      <c r="EF134" s="452" t="str">
        <f t="shared" si="195"/>
        <v/>
      </c>
      <c r="EG134" s="453" t="str">
        <f t="shared" si="195"/>
        <v/>
      </c>
      <c r="EH134" s="451" t="str">
        <f t="shared" si="195"/>
        <v/>
      </c>
      <c r="EI134" s="452" t="str">
        <f t="shared" si="201"/>
        <v/>
      </c>
      <c r="EJ134" s="452" t="str">
        <f t="shared" si="201"/>
        <v/>
      </c>
      <c r="EK134" s="452" t="str">
        <f t="shared" si="201"/>
        <v/>
      </c>
      <c r="EL134" s="453" t="str">
        <f t="shared" si="201"/>
        <v/>
      </c>
      <c r="EM134" s="451" t="str">
        <f t="shared" si="201"/>
        <v/>
      </c>
      <c r="EN134" s="452" t="str">
        <f t="shared" si="201"/>
        <v/>
      </c>
      <c r="EO134" s="452" t="str">
        <f t="shared" si="201"/>
        <v/>
      </c>
      <c r="EP134" s="452" t="str">
        <f t="shared" si="201"/>
        <v/>
      </c>
      <c r="EQ134" s="453" t="str">
        <f t="shared" si="201"/>
        <v/>
      </c>
      <c r="ER134" s="451" t="str">
        <f t="shared" si="201"/>
        <v/>
      </c>
      <c r="ES134" s="452" t="str">
        <f t="shared" si="201"/>
        <v/>
      </c>
      <c r="ET134" s="452" t="str">
        <f t="shared" si="201"/>
        <v/>
      </c>
      <c r="EU134" s="452" t="str">
        <f t="shared" si="201"/>
        <v/>
      </c>
      <c r="EV134" s="453" t="str">
        <f t="shared" si="201"/>
        <v/>
      </c>
      <c r="EW134" s="451" t="str">
        <f t="shared" si="201"/>
        <v/>
      </c>
      <c r="EX134" s="452" t="str">
        <f t="shared" si="201"/>
        <v/>
      </c>
      <c r="EY134" s="452" t="str">
        <f t="shared" si="202"/>
        <v/>
      </c>
      <c r="EZ134" s="452" t="str">
        <f t="shared" si="202"/>
        <v/>
      </c>
      <c r="FA134" s="453" t="str">
        <f t="shared" si="202"/>
        <v/>
      </c>
      <c r="FB134" s="451" t="str">
        <f t="shared" si="202"/>
        <v/>
      </c>
      <c r="FC134" s="452" t="str">
        <f t="shared" si="202"/>
        <v/>
      </c>
      <c r="FD134" s="452" t="str">
        <f t="shared" si="202"/>
        <v/>
      </c>
      <c r="FE134" s="452" t="str">
        <f t="shared" si="202"/>
        <v/>
      </c>
      <c r="FF134" s="453" t="str">
        <f t="shared" si="202"/>
        <v/>
      </c>
      <c r="FG134" s="451" t="str">
        <f t="shared" si="202"/>
        <v/>
      </c>
      <c r="FH134" s="452" t="str">
        <f t="shared" si="202"/>
        <v/>
      </c>
      <c r="FI134" s="452" t="str">
        <f t="shared" si="202"/>
        <v/>
      </c>
      <c r="FJ134" s="452" t="str">
        <f t="shared" si="202"/>
        <v/>
      </c>
      <c r="FK134" s="453" t="str">
        <f t="shared" si="202"/>
        <v/>
      </c>
      <c r="FL134" s="451" t="str">
        <f t="shared" si="202"/>
        <v/>
      </c>
      <c r="FM134" s="452" t="str">
        <f t="shared" si="202"/>
        <v/>
      </c>
      <c r="FN134" s="452" t="str">
        <f t="shared" si="202"/>
        <v/>
      </c>
      <c r="FO134" s="452" t="str">
        <f t="shared" si="200"/>
        <v/>
      </c>
      <c r="FP134" s="453" t="str">
        <f t="shared" si="200"/>
        <v/>
      </c>
      <c r="FQ134" s="451" t="str">
        <f t="shared" si="185"/>
        <v/>
      </c>
      <c r="FR134" s="452" t="str">
        <f t="shared" si="185"/>
        <v/>
      </c>
      <c r="FS134" s="452" t="str">
        <f t="shared" si="185"/>
        <v/>
      </c>
      <c r="FT134" s="452" t="str">
        <f t="shared" si="185"/>
        <v/>
      </c>
      <c r="FU134" s="453" t="str">
        <f t="shared" si="185"/>
        <v/>
      </c>
      <c r="FV134" s="451" t="str">
        <f t="shared" si="185"/>
        <v/>
      </c>
      <c r="FW134" s="452" t="str">
        <f t="shared" si="185"/>
        <v/>
      </c>
      <c r="FX134" s="452" t="str">
        <f t="shared" si="185"/>
        <v/>
      </c>
      <c r="FY134" s="452" t="str">
        <f t="shared" si="185"/>
        <v/>
      </c>
      <c r="FZ134" s="453" t="str">
        <f t="shared" si="185"/>
        <v/>
      </c>
      <c r="GA134" s="451" t="str">
        <f t="shared" si="185"/>
        <v/>
      </c>
      <c r="GB134" s="452" t="str">
        <f t="shared" si="185"/>
        <v/>
      </c>
      <c r="GC134" s="452" t="str">
        <f t="shared" si="185"/>
        <v/>
      </c>
      <c r="GD134" s="452" t="str">
        <f t="shared" si="185"/>
        <v/>
      </c>
      <c r="GE134" s="453" t="str">
        <f t="shared" si="185"/>
        <v/>
      </c>
      <c r="GF134" s="451" t="str">
        <f t="shared" si="185"/>
        <v/>
      </c>
      <c r="GG134" s="452" t="str">
        <f t="shared" si="203"/>
        <v/>
      </c>
      <c r="GH134" s="452" t="str">
        <f t="shared" si="203"/>
        <v/>
      </c>
      <c r="GI134" s="452" t="str">
        <f t="shared" si="203"/>
        <v/>
      </c>
      <c r="GJ134" s="453" t="str">
        <f t="shared" si="203"/>
        <v/>
      </c>
      <c r="GK134" s="451" t="str">
        <f t="shared" si="203"/>
        <v/>
      </c>
      <c r="GL134" s="452" t="str">
        <f t="shared" si="203"/>
        <v/>
      </c>
      <c r="GM134" s="452" t="str">
        <f t="shared" si="203"/>
        <v/>
      </c>
      <c r="GN134" s="452" t="str">
        <f t="shared" si="203"/>
        <v/>
      </c>
      <c r="GO134" s="453" t="str">
        <f t="shared" si="203"/>
        <v/>
      </c>
      <c r="GP134" s="451" t="str">
        <f t="shared" si="203"/>
        <v/>
      </c>
      <c r="GQ134" s="452" t="str">
        <f t="shared" si="203"/>
        <v/>
      </c>
      <c r="GR134" s="452" t="str">
        <f t="shared" si="203"/>
        <v/>
      </c>
      <c r="GS134" s="452" t="str">
        <f t="shared" si="203"/>
        <v/>
      </c>
      <c r="GT134" s="453" t="str">
        <f t="shared" si="203"/>
        <v/>
      </c>
      <c r="GU134" s="451" t="str">
        <f t="shared" si="203"/>
        <v/>
      </c>
      <c r="GV134" s="452" t="str">
        <f t="shared" si="203"/>
        <v/>
      </c>
      <c r="GW134" s="452" t="str">
        <f t="shared" si="198"/>
        <v/>
      </c>
      <c r="GX134" s="452" t="str">
        <f t="shared" si="198"/>
        <v/>
      </c>
      <c r="GY134" s="453" t="str">
        <f t="shared" si="198"/>
        <v/>
      </c>
      <c r="GZ134" s="451" t="str">
        <f t="shared" si="198"/>
        <v/>
      </c>
      <c r="HA134" s="452" t="str">
        <f t="shared" si="198"/>
        <v/>
      </c>
      <c r="HB134" s="452" t="str">
        <f t="shared" si="198"/>
        <v/>
      </c>
      <c r="HC134" s="452" t="str">
        <f t="shared" si="198"/>
        <v/>
      </c>
      <c r="HD134" s="453" t="str">
        <f t="shared" si="198"/>
        <v/>
      </c>
      <c r="HE134" s="451" t="str">
        <f t="shared" si="198"/>
        <v/>
      </c>
      <c r="HF134" s="452" t="str">
        <f t="shared" si="183"/>
        <v/>
      </c>
      <c r="HG134" s="452" t="str">
        <f t="shared" si="183"/>
        <v/>
      </c>
      <c r="HH134" s="452" t="str">
        <f t="shared" si="183"/>
        <v/>
      </c>
      <c r="HI134" s="453" t="str">
        <f t="shared" si="183"/>
        <v/>
      </c>
      <c r="HJ134" s="451" t="str">
        <f t="shared" si="183"/>
        <v/>
      </c>
      <c r="HK134" s="452" t="str">
        <f t="shared" si="183"/>
        <v/>
      </c>
      <c r="HL134" s="452" t="str">
        <f t="shared" si="183"/>
        <v/>
      </c>
      <c r="HM134" s="452" t="str">
        <f t="shared" si="183"/>
        <v/>
      </c>
      <c r="HN134" s="453" t="str">
        <f t="shared" si="183"/>
        <v/>
      </c>
      <c r="HO134" s="451" t="str">
        <f t="shared" si="183"/>
        <v/>
      </c>
      <c r="HP134" s="452" t="str">
        <f t="shared" si="183"/>
        <v/>
      </c>
      <c r="HQ134" s="452" t="str">
        <f t="shared" si="183"/>
        <v/>
      </c>
      <c r="HR134" s="452" t="str">
        <f t="shared" si="183"/>
        <v/>
      </c>
      <c r="HS134" s="453" t="str">
        <f t="shared" si="183"/>
        <v/>
      </c>
      <c r="HT134" s="451" t="str">
        <f t="shared" si="183"/>
        <v/>
      </c>
      <c r="HU134" s="452" t="str">
        <f t="shared" si="183"/>
        <v/>
      </c>
      <c r="HV134" s="452" t="str">
        <f t="shared" si="190"/>
        <v/>
      </c>
      <c r="HW134" s="452" t="str">
        <f t="shared" si="190"/>
        <v/>
      </c>
      <c r="HX134" s="453" t="str">
        <f t="shared" si="190"/>
        <v/>
      </c>
      <c r="HY134" s="451" t="str">
        <f t="shared" si="190"/>
        <v/>
      </c>
      <c r="HZ134" s="452" t="str">
        <f t="shared" si="190"/>
        <v/>
      </c>
      <c r="IA134" s="452" t="str">
        <f t="shared" si="190"/>
        <v/>
      </c>
      <c r="IB134" s="452" t="str">
        <f t="shared" si="190"/>
        <v/>
      </c>
      <c r="IC134" s="453" t="str">
        <f t="shared" si="190"/>
        <v/>
      </c>
      <c r="ID134" s="451" t="str">
        <f t="shared" si="190"/>
        <v/>
      </c>
      <c r="IE134" s="452" t="str">
        <f t="shared" si="190"/>
        <v/>
      </c>
      <c r="IF134" s="452" t="str">
        <f t="shared" si="190"/>
        <v/>
      </c>
      <c r="IG134" s="452" t="str">
        <f t="shared" si="190"/>
        <v/>
      </c>
      <c r="IH134" s="453" t="str">
        <f t="shared" si="190"/>
        <v/>
      </c>
      <c r="II134" s="451" t="str">
        <f t="shared" si="190"/>
        <v/>
      </c>
      <c r="IJ134" s="452" t="str">
        <f t="shared" si="190"/>
        <v/>
      </c>
      <c r="IK134" s="452" t="str">
        <f t="shared" si="190"/>
        <v/>
      </c>
      <c r="IL134" s="452" t="str">
        <f t="shared" si="191"/>
        <v/>
      </c>
      <c r="IM134" s="453" t="str">
        <f t="shared" si="191"/>
        <v/>
      </c>
      <c r="IN134" s="451" t="str">
        <f t="shared" si="191"/>
        <v/>
      </c>
      <c r="IO134" s="452" t="str">
        <f t="shared" si="191"/>
        <v/>
      </c>
      <c r="IP134" s="452" t="str">
        <f t="shared" si="191"/>
        <v/>
      </c>
      <c r="IQ134" s="452" t="str">
        <f t="shared" si="191"/>
        <v/>
      </c>
      <c r="IR134" s="453" t="str">
        <f t="shared" si="191"/>
        <v/>
      </c>
    </row>
    <row r="135" spans="1:252" x14ac:dyDescent="0.2">
      <c r="A135" s="462">
        <v>12.1</v>
      </c>
      <c r="B135" s="463"/>
      <c r="C135" s="464" t="s">
        <v>1360</v>
      </c>
      <c r="D135" s="464"/>
      <c r="E135" s="465"/>
      <c r="F135" s="465"/>
      <c r="G135" s="465"/>
      <c r="H135" s="465"/>
      <c r="I135" s="466"/>
      <c r="J135" s="467" t="str">
        <f t="shared" si="188"/>
        <v/>
      </c>
      <c r="K135" s="467" t="str">
        <f t="shared" si="189"/>
        <v/>
      </c>
      <c r="L135" s="468">
        <f t="shared" si="187"/>
        <v>0</v>
      </c>
      <c r="M135" s="469" t="str">
        <f t="shared" si="186"/>
        <v/>
      </c>
      <c r="N135" s="470" t="str">
        <f t="shared" si="186"/>
        <v/>
      </c>
      <c r="O135" s="470" t="str">
        <f t="shared" si="186"/>
        <v/>
      </c>
      <c r="P135" s="470" t="str">
        <f t="shared" si="186"/>
        <v/>
      </c>
      <c r="Q135" s="471" t="str">
        <f t="shared" si="186"/>
        <v/>
      </c>
      <c r="R135" s="469" t="str">
        <f t="shared" si="186"/>
        <v/>
      </c>
      <c r="S135" s="470" t="str">
        <f t="shared" si="186"/>
        <v/>
      </c>
      <c r="T135" s="470" t="str">
        <f t="shared" si="186"/>
        <v/>
      </c>
      <c r="U135" s="470" t="str">
        <f t="shared" si="186"/>
        <v/>
      </c>
      <c r="V135" s="471" t="str">
        <f t="shared" si="186"/>
        <v/>
      </c>
      <c r="W135" s="469" t="str">
        <f t="shared" si="186"/>
        <v/>
      </c>
      <c r="X135" s="470" t="str">
        <f t="shared" si="186"/>
        <v/>
      </c>
      <c r="Y135" s="470" t="str">
        <f t="shared" si="186"/>
        <v/>
      </c>
      <c r="Z135" s="470" t="str">
        <f t="shared" si="186"/>
        <v/>
      </c>
      <c r="AA135" s="471" t="str">
        <f t="shared" si="186"/>
        <v/>
      </c>
      <c r="AB135" s="469" t="str">
        <f t="shared" si="186"/>
        <v/>
      </c>
      <c r="AC135" s="470" t="str">
        <f t="shared" si="196"/>
        <v/>
      </c>
      <c r="AD135" s="470" t="str">
        <f t="shared" si="196"/>
        <v/>
      </c>
      <c r="AE135" s="470" t="str">
        <f t="shared" si="196"/>
        <v/>
      </c>
      <c r="AF135" s="471" t="str">
        <f t="shared" si="196"/>
        <v/>
      </c>
      <c r="AG135" s="469" t="str">
        <f t="shared" si="196"/>
        <v/>
      </c>
      <c r="AH135" s="470" t="str">
        <f t="shared" si="196"/>
        <v/>
      </c>
      <c r="AI135" s="470" t="str">
        <f t="shared" si="196"/>
        <v/>
      </c>
      <c r="AJ135" s="470" t="str">
        <f t="shared" si="196"/>
        <v/>
      </c>
      <c r="AK135" s="471" t="str">
        <f t="shared" si="196"/>
        <v/>
      </c>
      <c r="AL135" s="469" t="str">
        <f t="shared" si="196"/>
        <v/>
      </c>
      <c r="AM135" s="470" t="str">
        <f t="shared" si="196"/>
        <v/>
      </c>
      <c r="AN135" s="470" t="str">
        <f t="shared" si="196"/>
        <v/>
      </c>
      <c r="AO135" s="470" t="str">
        <f t="shared" si="196"/>
        <v/>
      </c>
      <c r="AP135" s="471" t="str">
        <f t="shared" si="196"/>
        <v/>
      </c>
      <c r="AQ135" s="469" t="str">
        <f t="shared" si="196"/>
        <v/>
      </c>
      <c r="AR135" s="470" t="str">
        <f t="shared" si="196"/>
        <v/>
      </c>
      <c r="AS135" s="470" t="str">
        <f t="shared" si="193"/>
        <v/>
      </c>
      <c r="AT135" s="470" t="str">
        <f t="shared" si="193"/>
        <v/>
      </c>
      <c r="AU135" s="471" t="str">
        <f t="shared" si="193"/>
        <v/>
      </c>
      <c r="AV135" s="469" t="str">
        <f t="shared" si="193"/>
        <v/>
      </c>
      <c r="AW135" s="470" t="str">
        <f t="shared" si="193"/>
        <v/>
      </c>
      <c r="AX135" s="470" t="str">
        <f t="shared" si="193"/>
        <v/>
      </c>
      <c r="AY135" s="470" t="str">
        <f t="shared" si="193"/>
        <v/>
      </c>
      <c r="AZ135" s="471" t="str">
        <f t="shared" si="193"/>
        <v/>
      </c>
      <c r="BA135" s="469" t="str">
        <f t="shared" si="193"/>
        <v/>
      </c>
      <c r="BB135" s="470" t="str">
        <f t="shared" si="193"/>
        <v/>
      </c>
      <c r="BC135" s="470" t="str">
        <f t="shared" si="193"/>
        <v/>
      </c>
      <c r="BD135" s="470" t="str">
        <f t="shared" si="193"/>
        <v/>
      </c>
      <c r="BE135" s="471" t="str">
        <f t="shared" si="193"/>
        <v/>
      </c>
      <c r="BF135" s="469" t="str">
        <f t="shared" si="193"/>
        <v/>
      </c>
      <c r="BG135" s="470" t="str">
        <f t="shared" si="193"/>
        <v/>
      </c>
      <c r="BH135" s="470" t="str">
        <f t="shared" si="193"/>
        <v/>
      </c>
      <c r="BI135" s="470" t="str">
        <f t="shared" ref="BI135:BW143" si="205">IF(AND(BI$2&gt;=$J135,BI$2&lt;=$K135),1,"")</f>
        <v/>
      </c>
      <c r="BJ135" s="471" t="str">
        <f t="shared" si="205"/>
        <v/>
      </c>
      <c r="BK135" s="469" t="str">
        <f t="shared" si="205"/>
        <v/>
      </c>
      <c r="BL135" s="470" t="str">
        <f t="shared" si="205"/>
        <v/>
      </c>
      <c r="BM135" s="470" t="str">
        <f t="shared" si="205"/>
        <v/>
      </c>
      <c r="BN135" s="470" t="str">
        <f t="shared" si="205"/>
        <v/>
      </c>
      <c r="BO135" s="471" t="str">
        <f t="shared" si="205"/>
        <v/>
      </c>
      <c r="BP135" s="469" t="str">
        <f t="shared" si="205"/>
        <v/>
      </c>
      <c r="BQ135" s="470" t="str">
        <f t="shared" si="205"/>
        <v/>
      </c>
      <c r="BR135" s="470" t="str">
        <f t="shared" si="205"/>
        <v/>
      </c>
      <c r="BS135" s="470" t="str">
        <f t="shared" si="205"/>
        <v/>
      </c>
      <c r="BT135" s="471" t="str">
        <f t="shared" si="205"/>
        <v/>
      </c>
      <c r="BU135" s="469" t="str">
        <f t="shared" si="205"/>
        <v/>
      </c>
      <c r="BV135" s="470" t="str">
        <f t="shared" si="205"/>
        <v/>
      </c>
      <c r="BW135" s="470" t="str">
        <f t="shared" si="205"/>
        <v/>
      </c>
      <c r="BX135" s="470" t="str">
        <f t="shared" si="194"/>
        <v/>
      </c>
      <c r="BY135" s="471" t="str">
        <f t="shared" si="194"/>
        <v/>
      </c>
      <c r="BZ135" s="469" t="str">
        <f t="shared" si="194"/>
        <v/>
      </c>
      <c r="CA135" s="470" t="str">
        <f t="shared" si="194"/>
        <v/>
      </c>
      <c r="CB135" s="470" t="str">
        <f t="shared" si="194"/>
        <v/>
      </c>
      <c r="CC135" s="470" t="str">
        <f t="shared" si="194"/>
        <v/>
      </c>
      <c r="CD135" s="471" t="str">
        <f t="shared" si="194"/>
        <v/>
      </c>
      <c r="CE135" s="469" t="str">
        <f t="shared" si="194"/>
        <v/>
      </c>
      <c r="CF135" s="470" t="str">
        <f t="shared" si="194"/>
        <v/>
      </c>
      <c r="CG135" s="470" t="str">
        <f t="shared" si="194"/>
        <v/>
      </c>
      <c r="CH135" s="470" t="str">
        <f t="shared" si="194"/>
        <v/>
      </c>
      <c r="CI135" s="471" t="str">
        <f t="shared" si="194"/>
        <v/>
      </c>
      <c r="CJ135" s="469" t="str">
        <f t="shared" si="194"/>
        <v/>
      </c>
      <c r="CK135" s="470" t="str">
        <f t="shared" si="194"/>
        <v/>
      </c>
      <c r="CL135" s="470" t="str">
        <f t="shared" si="194"/>
        <v/>
      </c>
      <c r="CM135" s="470" t="str">
        <f t="shared" si="194"/>
        <v/>
      </c>
      <c r="CN135" s="471" t="str">
        <f t="shared" si="192"/>
        <v/>
      </c>
      <c r="CO135" s="469" t="str">
        <f t="shared" si="192"/>
        <v/>
      </c>
      <c r="CP135" s="470" t="str">
        <f t="shared" si="192"/>
        <v/>
      </c>
      <c r="CQ135" s="470" t="str">
        <f t="shared" si="192"/>
        <v/>
      </c>
      <c r="CR135" s="470" t="str">
        <f t="shared" si="192"/>
        <v/>
      </c>
      <c r="CS135" s="471" t="str">
        <f t="shared" si="192"/>
        <v/>
      </c>
      <c r="CT135" s="469" t="str">
        <f t="shared" si="192"/>
        <v/>
      </c>
      <c r="CU135" s="470" t="str">
        <f t="shared" si="192"/>
        <v/>
      </c>
      <c r="CV135" s="470" t="str">
        <f t="shared" si="192"/>
        <v/>
      </c>
      <c r="CW135" s="470" t="str">
        <f t="shared" si="192"/>
        <v/>
      </c>
      <c r="CX135" s="471" t="str">
        <f t="shared" si="192"/>
        <v/>
      </c>
      <c r="CY135" s="469" t="str">
        <f t="shared" si="192"/>
        <v/>
      </c>
      <c r="CZ135" s="470" t="str">
        <f t="shared" si="192"/>
        <v/>
      </c>
      <c r="DA135" s="470" t="str">
        <f t="shared" si="192"/>
        <v/>
      </c>
      <c r="DB135" s="470" t="str">
        <f t="shared" si="192"/>
        <v/>
      </c>
      <c r="DC135" s="471" t="str">
        <f t="shared" si="192"/>
        <v/>
      </c>
      <c r="DD135" s="469" t="str">
        <f t="shared" si="197"/>
        <v/>
      </c>
      <c r="DE135" s="470" t="str">
        <f t="shared" si="197"/>
        <v/>
      </c>
      <c r="DF135" s="470" t="str">
        <f t="shared" si="197"/>
        <v/>
      </c>
      <c r="DG135" s="470" t="str">
        <f t="shared" si="197"/>
        <v/>
      </c>
      <c r="DH135" s="471" t="str">
        <f t="shared" si="197"/>
        <v/>
      </c>
      <c r="DI135" s="469" t="str">
        <f t="shared" si="197"/>
        <v/>
      </c>
      <c r="DJ135" s="470" t="str">
        <f t="shared" si="197"/>
        <v/>
      </c>
      <c r="DK135" s="470" t="str">
        <f t="shared" si="197"/>
        <v/>
      </c>
      <c r="DL135" s="470" t="str">
        <f t="shared" si="197"/>
        <v/>
      </c>
      <c r="DM135" s="471" t="str">
        <f t="shared" si="197"/>
        <v/>
      </c>
      <c r="DN135" s="469" t="str">
        <f t="shared" si="197"/>
        <v/>
      </c>
      <c r="DO135" s="470" t="str">
        <f t="shared" si="197"/>
        <v/>
      </c>
      <c r="DP135" s="470" t="str">
        <f t="shared" si="197"/>
        <v/>
      </c>
      <c r="DQ135" s="470" t="str">
        <f t="shared" si="197"/>
        <v/>
      </c>
      <c r="DR135" s="471" t="str">
        <f t="shared" si="197"/>
        <v/>
      </c>
      <c r="DS135" s="469" t="str">
        <f t="shared" si="195"/>
        <v/>
      </c>
      <c r="DT135" s="470" t="str">
        <f t="shared" si="195"/>
        <v/>
      </c>
      <c r="DU135" s="470" t="str">
        <f t="shared" si="195"/>
        <v/>
      </c>
      <c r="DV135" s="470" t="str">
        <f t="shared" si="195"/>
        <v/>
      </c>
      <c r="DW135" s="471" t="str">
        <f t="shared" si="195"/>
        <v/>
      </c>
      <c r="DX135" s="469" t="str">
        <f t="shared" si="195"/>
        <v/>
      </c>
      <c r="DY135" s="470" t="str">
        <f t="shared" si="195"/>
        <v/>
      </c>
      <c r="DZ135" s="470" t="str">
        <f t="shared" si="195"/>
        <v/>
      </c>
      <c r="EA135" s="470" t="str">
        <f t="shared" si="195"/>
        <v/>
      </c>
      <c r="EB135" s="471" t="str">
        <f t="shared" si="195"/>
        <v/>
      </c>
      <c r="EC135" s="469" t="str">
        <f t="shared" si="195"/>
        <v/>
      </c>
      <c r="ED135" s="470" t="str">
        <f t="shared" si="195"/>
        <v/>
      </c>
      <c r="EE135" s="470" t="str">
        <f t="shared" si="195"/>
        <v/>
      </c>
      <c r="EF135" s="470" t="str">
        <f t="shared" si="195"/>
        <v/>
      </c>
      <c r="EG135" s="471" t="str">
        <f t="shared" si="195"/>
        <v/>
      </c>
      <c r="EH135" s="469" t="str">
        <f t="shared" si="195"/>
        <v/>
      </c>
      <c r="EI135" s="470" t="str">
        <f t="shared" si="201"/>
        <v/>
      </c>
      <c r="EJ135" s="470" t="str">
        <f t="shared" si="201"/>
        <v/>
      </c>
      <c r="EK135" s="470" t="str">
        <f t="shared" si="201"/>
        <v/>
      </c>
      <c r="EL135" s="471" t="str">
        <f t="shared" si="201"/>
        <v/>
      </c>
      <c r="EM135" s="469" t="str">
        <f t="shared" si="201"/>
        <v/>
      </c>
      <c r="EN135" s="470" t="str">
        <f t="shared" si="201"/>
        <v/>
      </c>
      <c r="EO135" s="470" t="str">
        <f t="shared" si="201"/>
        <v/>
      </c>
      <c r="EP135" s="470" t="str">
        <f t="shared" si="201"/>
        <v/>
      </c>
      <c r="EQ135" s="471" t="str">
        <f t="shared" si="201"/>
        <v/>
      </c>
      <c r="ER135" s="469" t="str">
        <f t="shared" si="201"/>
        <v/>
      </c>
      <c r="ES135" s="470" t="str">
        <f t="shared" si="201"/>
        <v/>
      </c>
      <c r="ET135" s="470" t="str">
        <f t="shared" si="201"/>
        <v/>
      </c>
      <c r="EU135" s="470" t="str">
        <f t="shared" si="201"/>
        <v/>
      </c>
      <c r="EV135" s="471" t="str">
        <f t="shared" si="201"/>
        <v/>
      </c>
      <c r="EW135" s="469" t="str">
        <f t="shared" si="201"/>
        <v/>
      </c>
      <c r="EX135" s="470" t="str">
        <f t="shared" si="201"/>
        <v/>
      </c>
      <c r="EY135" s="470" t="str">
        <f t="shared" si="202"/>
        <v/>
      </c>
      <c r="EZ135" s="470" t="str">
        <f t="shared" si="202"/>
        <v/>
      </c>
      <c r="FA135" s="471" t="str">
        <f t="shared" si="202"/>
        <v/>
      </c>
      <c r="FB135" s="469" t="str">
        <f t="shared" si="202"/>
        <v/>
      </c>
      <c r="FC135" s="470" t="str">
        <f t="shared" si="202"/>
        <v/>
      </c>
      <c r="FD135" s="470" t="str">
        <f t="shared" si="202"/>
        <v/>
      </c>
      <c r="FE135" s="470" t="str">
        <f t="shared" si="202"/>
        <v/>
      </c>
      <c r="FF135" s="471" t="str">
        <f t="shared" si="202"/>
        <v/>
      </c>
      <c r="FG135" s="469" t="str">
        <f t="shared" si="202"/>
        <v/>
      </c>
      <c r="FH135" s="470" t="str">
        <f t="shared" si="202"/>
        <v/>
      </c>
      <c r="FI135" s="470" t="str">
        <f t="shared" si="202"/>
        <v/>
      </c>
      <c r="FJ135" s="470" t="str">
        <f t="shared" si="202"/>
        <v/>
      </c>
      <c r="FK135" s="471" t="str">
        <f t="shared" si="202"/>
        <v/>
      </c>
      <c r="FL135" s="469" t="str">
        <f t="shared" si="202"/>
        <v/>
      </c>
      <c r="FM135" s="470" t="str">
        <f t="shared" si="202"/>
        <v/>
      </c>
      <c r="FN135" s="470" t="str">
        <f t="shared" si="200"/>
        <v/>
      </c>
      <c r="FO135" s="470" t="str">
        <f t="shared" si="200"/>
        <v/>
      </c>
      <c r="FP135" s="471" t="str">
        <f t="shared" si="200"/>
        <v/>
      </c>
      <c r="FQ135" s="469" t="str">
        <f t="shared" si="185"/>
        <v/>
      </c>
      <c r="FR135" s="470" t="str">
        <f t="shared" si="185"/>
        <v/>
      </c>
      <c r="FS135" s="470" t="str">
        <f t="shared" si="185"/>
        <v/>
      </c>
      <c r="FT135" s="470" t="str">
        <f t="shared" si="185"/>
        <v/>
      </c>
      <c r="FU135" s="471" t="str">
        <f t="shared" si="185"/>
        <v/>
      </c>
      <c r="FV135" s="469" t="str">
        <f t="shared" si="185"/>
        <v/>
      </c>
      <c r="FW135" s="470" t="str">
        <f t="shared" si="185"/>
        <v/>
      </c>
      <c r="FX135" s="470" t="str">
        <f t="shared" si="185"/>
        <v/>
      </c>
      <c r="FY135" s="470" t="str">
        <f t="shared" si="185"/>
        <v/>
      </c>
      <c r="FZ135" s="471" t="str">
        <f t="shared" si="185"/>
        <v/>
      </c>
      <c r="GA135" s="469" t="str">
        <f t="shared" si="185"/>
        <v/>
      </c>
      <c r="GB135" s="470" t="str">
        <f t="shared" si="185"/>
        <v/>
      </c>
      <c r="GC135" s="470" t="str">
        <f t="shared" si="185"/>
        <v/>
      </c>
      <c r="GD135" s="470" t="str">
        <f t="shared" si="185"/>
        <v/>
      </c>
      <c r="GE135" s="471" t="str">
        <f t="shared" si="185"/>
        <v/>
      </c>
      <c r="GF135" s="469" t="str">
        <f t="shared" si="185"/>
        <v/>
      </c>
      <c r="GG135" s="470" t="str">
        <f t="shared" si="203"/>
        <v/>
      </c>
      <c r="GH135" s="470" t="str">
        <f t="shared" si="203"/>
        <v/>
      </c>
      <c r="GI135" s="470" t="str">
        <f t="shared" si="203"/>
        <v/>
      </c>
      <c r="GJ135" s="471" t="str">
        <f t="shared" si="203"/>
        <v/>
      </c>
      <c r="GK135" s="469" t="str">
        <f t="shared" si="203"/>
        <v/>
      </c>
      <c r="GL135" s="470" t="str">
        <f t="shared" si="203"/>
        <v/>
      </c>
      <c r="GM135" s="470" t="str">
        <f t="shared" si="203"/>
        <v/>
      </c>
      <c r="GN135" s="470" t="str">
        <f t="shared" si="203"/>
        <v/>
      </c>
      <c r="GO135" s="471" t="str">
        <f t="shared" si="203"/>
        <v/>
      </c>
      <c r="GP135" s="469" t="str">
        <f t="shared" si="203"/>
        <v/>
      </c>
      <c r="GQ135" s="470" t="str">
        <f t="shared" si="203"/>
        <v/>
      </c>
      <c r="GR135" s="470" t="str">
        <f t="shared" si="203"/>
        <v/>
      </c>
      <c r="GS135" s="470" t="str">
        <f t="shared" si="203"/>
        <v/>
      </c>
      <c r="GT135" s="471" t="str">
        <f t="shared" si="203"/>
        <v/>
      </c>
      <c r="GU135" s="469" t="str">
        <f t="shared" si="203"/>
        <v/>
      </c>
      <c r="GV135" s="470" t="str">
        <f t="shared" si="203"/>
        <v/>
      </c>
      <c r="GW135" s="470" t="str">
        <f t="shared" si="198"/>
        <v/>
      </c>
      <c r="GX135" s="470" t="str">
        <f t="shared" si="198"/>
        <v/>
      </c>
      <c r="GY135" s="471" t="str">
        <f t="shared" si="198"/>
        <v/>
      </c>
      <c r="GZ135" s="469" t="str">
        <f t="shared" si="198"/>
        <v/>
      </c>
      <c r="HA135" s="470" t="str">
        <f t="shared" si="198"/>
        <v/>
      </c>
      <c r="HB135" s="470" t="str">
        <f t="shared" si="198"/>
        <v/>
      </c>
      <c r="HC135" s="470" t="str">
        <f t="shared" si="198"/>
        <v/>
      </c>
      <c r="HD135" s="471" t="str">
        <f t="shared" si="198"/>
        <v/>
      </c>
      <c r="HE135" s="469" t="str">
        <f t="shared" si="198"/>
        <v/>
      </c>
      <c r="HF135" s="470" t="str">
        <f t="shared" si="183"/>
        <v/>
      </c>
      <c r="HG135" s="470" t="str">
        <f t="shared" si="183"/>
        <v/>
      </c>
      <c r="HH135" s="470" t="str">
        <f t="shared" si="183"/>
        <v/>
      </c>
      <c r="HI135" s="471" t="str">
        <f t="shared" si="183"/>
        <v/>
      </c>
      <c r="HJ135" s="469" t="str">
        <f t="shared" si="183"/>
        <v/>
      </c>
      <c r="HK135" s="470" t="str">
        <f t="shared" si="183"/>
        <v/>
      </c>
      <c r="HL135" s="470" t="str">
        <f t="shared" si="183"/>
        <v/>
      </c>
      <c r="HM135" s="470" t="str">
        <f t="shared" si="183"/>
        <v/>
      </c>
      <c r="HN135" s="471" t="str">
        <f t="shared" si="183"/>
        <v/>
      </c>
      <c r="HO135" s="469" t="str">
        <f t="shared" si="183"/>
        <v/>
      </c>
      <c r="HP135" s="470" t="str">
        <f t="shared" si="183"/>
        <v/>
      </c>
      <c r="HQ135" s="470" t="str">
        <f t="shared" si="183"/>
        <v/>
      </c>
      <c r="HR135" s="470" t="str">
        <f t="shared" si="183"/>
        <v/>
      </c>
      <c r="HS135" s="471" t="str">
        <f t="shared" si="183"/>
        <v/>
      </c>
      <c r="HT135" s="469" t="str">
        <f t="shared" si="183"/>
        <v/>
      </c>
      <c r="HU135" s="470" t="str">
        <f t="shared" si="183"/>
        <v/>
      </c>
      <c r="HV135" s="470" t="str">
        <f t="shared" si="190"/>
        <v/>
      </c>
      <c r="HW135" s="470" t="str">
        <f t="shared" si="190"/>
        <v/>
      </c>
      <c r="HX135" s="471" t="str">
        <f t="shared" si="190"/>
        <v/>
      </c>
      <c r="HY135" s="469" t="str">
        <f t="shared" si="190"/>
        <v/>
      </c>
      <c r="HZ135" s="470" t="str">
        <f t="shared" si="190"/>
        <v/>
      </c>
      <c r="IA135" s="470" t="str">
        <f t="shared" si="190"/>
        <v/>
      </c>
      <c r="IB135" s="470" t="str">
        <f t="shared" si="190"/>
        <v/>
      </c>
      <c r="IC135" s="471" t="str">
        <f t="shared" si="190"/>
        <v/>
      </c>
      <c r="ID135" s="469" t="str">
        <f t="shared" si="190"/>
        <v/>
      </c>
      <c r="IE135" s="470" t="str">
        <f t="shared" si="190"/>
        <v/>
      </c>
      <c r="IF135" s="470" t="str">
        <f t="shared" si="190"/>
        <v/>
      </c>
      <c r="IG135" s="470" t="str">
        <f t="shared" si="190"/>
        <v/>
      </c>
      <c r="IH135" s="471" t="str">
        <f t="shared" si="190"/>
        <v/>
      </c>
      <c r="II135" s="469" t="str">
        <f t="shared" si="190"/>
        <v/>
      </c>
      <c r="IJ135" s="470" t="str">
        <f t="shared" si="190"/>
        <v/>
      </c>
      <c r="IK135" s="470" t="str">
        <f t="shared" si="190"/>
        <v/>
      </c>
      <c r="IL135" s="470" t="str">
        <f t="shared" si="191"/>
        <v/>
      </c>
      <c r="IM135" s="471" t="str">
        <f t="shared" si="191"/>
        <v/>
      </c>
      <c r="IN135" s="469" t="str">
        <f t="shared" si="191"/>
        <v/>
      </c>
      <c r="IO135" s="470" t="str">
        <f t="shared" si="191"/>
        <v/>
      </c>
      <c r="IP135" s="470" t="str">
        <f t="shared" si="191"/>
        <v/>
      </c>
      <c r="IQ135" s="470" t="str">
        <f t="shared" si="191"/>
        <v/>
      </c>
      <c r="IR135" s="471" t="str">
        <f t="shared" si="191"/>
        <v/>
      </c>
    </row>
    <row r="136" spans="1:252" x14ac:dyDescent="0.2">
      <c r="A136" s="455">
        <v>13</v>
      </c>
      <c r="B136" s="456"/>
      <c r="C136" s="456" t="str">
        <f>Breakdown!$A21</f>
        <v/>
      </c>
      <c r="D136" s="457"/>
      <c r="E136" s="437" t="str">
        <f>IF(E137="","",MIN(E137:E146))</f>
        <v/>
      </c>
      <c r="F136" s="437" t="str">
        <f>IF(F137="","",MAX(F137:F146))</f>
        <v/>
      </c>
      <c r="G136" s="437"/>
      <c r="H136" s="437"/>
      <c r="I136" s="458"/>
      <c r="J136" s="459">
        <f>MIN(J137:J146)</f>
        <v>0</v>
      </c>
      <c r="K136" s="459">
        <f>MAX(K137:K146)</f>
        <v>0</v>
      </c>
      <c r="L136" s="460">
        <f t="shared" ref="L136:L146" si="206">SUM(M136:IR136)</f>
        <v>0</v>
      </c>
      <c r="M136" s="451" t="str">
        <f t="shared" si="186"/>
        <v/>
      </c>
      <c r="N136" s="452" t="str">
        <f t="shared" si="186"/>
        <v/>
      </c>
      <c r="O136" s="452" t="str">
        <f t="shared" si="186"/>
        <v/>
      </c>
      <c r="P136" s="452" t="str">
        <f t="shared" si="186"/>
        <v/>
      </c>
      <c r="Q136" s="453" t="str">
        <f t="shared" si="186"/>
        <v/>
      </c>
      <c r="R136" s="451" t="str">
        <f t="shared" si="186"/>
        <v/>
      </c>
      <c r="S136" s="452" t="str">
        <f t="shared" si="186"/>
        <v/>
      </c>
      <c r="T136" s="452" t="str">
        <f t="shared" si="186"/>
        <v/>
      </c>
      <c r="U136" s="452" t="str">
        <f t="shared" si="186"/>
        <v/>
      </c>
      <c r="V136" s="453" t="str">
        <f t="shared" si="186"/>
        <v/>
      </c>
      <c r="W136" s="451" t="str">
        <f t="shared" si="186"/>
        <v/>
      </c>
      <c r="X136" s="452" t="str">
        <f t="shared" si="186"/>
        <v/>
      </c>
      <c r="Y136" s="452" t="str">
        <f t="shared" si="186"/>
        <v/>
      </c>
      <c r="Z136" s="452" t="str">
        <f t="shared" si="186"/>
        <v/>
      </c>
      <c r="AA136" s="453" t="str">
        <f t="shared" si="186"/>
        <v/>
      </c>
      <c r="AB136" s="451" t="str">
        <f t="shared" si="186"/>
        <v/>
      </c>
      <c r="AC136" s="452" t="str">
        <f t="shared" si="196"/>
        <v/>
      </c>
      <c r="AD136" s="452" t="str">
        <f t="shared" si="196"/>
        <v/>
      </c>
      <c r="AE136" s="452" t="str">
        <f t="shared" si="196"/>
        <v/>
      </c>
      <c r="AF136" s="453" t="str">
        <f t="shared" si="196"/>
        <v/>
      </c>
      <c r="AG136" s="451" t="str">
        <f t="shared" si="196"/>
        <v/>
      </c>
      <c r="AH136" s="452" t="str">
        <f t="shared" si="196"/>
        <v/>
      </c>
      <c r="AI136" s="452" t="str">
        <f t="shared" si="196"/>
        <v/>
      </c>
      <c r="AJ136" s="452" t="str">
        <f t="shared" si="196"/>
        <v/>
      </c>
      <c r="AK136" s="453" t="str">
        <f t="shared" si="196"/>
        <v/>
      </c>
      <c r="AL136" s="451" t="str">
        <f t="shared" si="196"/>
        <v/>
      </c>
      <c r="AM136" s="452" t="str">
        <f t="shared" si="196"/>
        <v/>
      </c>
      <c r="AN136" s="452" t="str">
        <f t="shared" si="196"/>
        <v/>
      </c>
      <c r="AO136" s="452" t="str">
        <f t="shared" si="196"/>
        <v/>
      </c>
      <c r="AP136" s="453" t="str">
        <f t="shared" si="196"/>
        <v/>
      </c>
      <c r="AQ136" s="451" t="str">
        <f t="shared" si="196"/>
        <v/>
      </c>
      <c r="AR136" s="452" t="str">
        <f t="shared" si="196"/>
        <v/>
      </c>
      <c r="AS136" s="452" t="str">
        <f t="shared" si="193"/>
        <v/>
      </c>
      <c r="AT136" s="452" t="str">
        <f t="shared" si="193"/>
        <v/>
      </c>
      <c r="AU136" s="453" t="str">
        <f t="shared" si="193"/>
        <v/>
      </c>
      <c r="AV136" s="451" t="str">
        <f t="shared" si="193"/>
        <v/>
      </c>
      <c r="AW136" s="452" t="str">
        <f t="shared" si="193"/>
        <v/>
      </c>
      <c r="AX136" s="452" t="str">
        <f t="shared" si="193"/>
        <v/>
      </c>
      <c r="AY136" s="452" t="str">
        <f t="shared" si="193"/>
        <v/>
      </c>
      <c r="AZ136" s="453" t="str">
        <f t="shared" si="193"/>
        <v/>
      </c>
      <c r="BA136" s="451" t="str">
        <f t="shared" si="193"/>
        <v/>
      </c>
      <c r="BB136" s="452" t="str">
        <f t="shared" si="193"/>
        <v/>
      </c>
      <c r="BC136" s="452" t="str">
        <f t="shared" si="193"/>
        <v/>
      </c>
      <c r="BD136" s="452" t="str">
        <f t="shared" si="193"/>
        <v/>
      </c>
      <c r="BE136" s="453" t="str">
        <f t="shared" si="193"/>
        <v/>
      </c>
      <c r="BF136" s="451" t="str">
        <f t="shared" si="193"/>
        <v/>
      </c>
      <c r="BG136" s="452" t="str">
        <f t="shared" si="193"/>
        <v/>
      </c>
      <c r="BH136" s="452" t="str">
        <f t="shared" si="193"/>
        <v/>
      </c>
      <c r="BI136" s="452" t="str">
        <f t="shared" si="205"/>
        <v/>
      </c>
      <c r="BJ136" s="453" t="str">
        <f t="shared" si="205"/>
        <v/>
      </c>
      <c r="BK136" s="451" t="str">
        <f t="shared" si="205"/>
        <v/>
      </c>
      <c r="BL136" s="452" t="str">
        <f t="shared" si="205"/>
        <v/>
      </c>
      <c r="BM136" s="452" t="str">
        <f t="shared" si="205"/>
        <v/>
      </c>
      <c r="BN136" s="452" t="str">
        <f t="shared" si="205"/>
        <v/>
      </c>
      <c r="BO136" s="453" t="str">
        <f t="shared" si="205"/>
        <v/>
      </c>
      <c r="BP136" s="451" t="str">
        <f t="shared" si="205"/>
        <v/>
      </c>
      <c r="BQ136" s="452" t="str">
        <f t="shared" si="205"/>
        <v/>
      </c>
      <c r="BR136" s="452" t="str">
        <f t="shared" si="205"/>
        <v/>
      </c>
      <c r="BS136" s="452" t="str">
        <f t="shared" si="205"/>
        <v/>
      </c>
      <c r="BT136" s="453" t="str">
        <f t="shared" si="205"/>
        <v/>
      </c>
      <c r="BU136" s="451" t="str">
        <f t="shared" si="205"/>
        <v/>
      </c>
      <c r="BV136" s="452" t="str">
        <f t="shared" si="205"/>
        <v/>
      </c>
      <c r="BW136" s="452" t="str">
        <f t="shared" si="205"/>
        <v/>
      </c>
      <c r="BX136" s="452" t="str">
        <f t="shared" si="194"/>
        <v/>
      </c>
      <c r="BY136" s="453" t="str">
        <f t="shared" si="194"/>
        <v/>
      </c>
      <c r="BZ136" s="451" t="str">
        <f t="shared" si="194"/>
        <v/>
      </c>
      <c r="CA136" s="452" t="str">
        <f t="shared" si="194"/>
        <v/>
      </c>
      <c r="CB136" s="452" t="str">
        <f t="shared" si="194"/>
        <v/>
      </c>
      <c r="CC136" s="452" t="str">
        <f t="shared" si="194"/>
        <v/>
      </c>
      <c r="CD136" s="453" t="str">
        <f t="shared" si="194"/>
        <v/>
      </c>
      <c r="CE136" s="451" t="str">
        <f t="shared" si="194"/>
        <v/>
      </c>
      <c r="CF136" s="452" t="str">
        <f t="shared" si="194"/>
        <v/>
      </c>
      <c r="CG136" s="452" t="str">
        <f t="shared" si="194"/>
        <v/>
      </c>
      <c r="CH136" s="452" t="str">
        <f t="shared" si="194"/>
        <v/>
      </c>
      <c r="CI136" s="453" t="str">
        <f t="shared" si="194"/>
        <v/>
      </c>
      <c r="CJ136" s="451" t="str">
        <f t="shared" si="194"/>
        <v/>
      </c>
      <c r="CK136" s="452" t="str">
        <f t="shared" si="194"/>
        <v/>
      </c>
      <c r="CL136" s="452" t="str">
        <f t="shared" si="194"/>
        <v/>
      </c>
      <c r="CM136" s="452" t="str">
        <f t="shared" si="194"/>
        <v/>
      </c>
      <c r="CN136" s="453" t="str">
        <f t="shared" si="192"/>
        <v/>
      </c>
      <c r="CO136" s="451" t="str">
        <f t="shared" si="192"/>
        <v/>
      </c>
      <c r="CP136" s="452" t="str">
        <f t="shared" si="192"/>
        <v/>
      </c>
      <c r="CQ136" s="452" t="str">
        <f t="shared" si="192"/>
        <v/>
      </c>
      <c r="CR136" s="452" t="str">
        <f t="shared" si="192"/>
        <v/>
      </c>
      <c r="CS136" s="453" t="str">
        <f t="shared" si="192"/>
        <v/>
      </c>
      <c r="CT136" s="451" t="str">
        <f t="shared" si="192"/>
        <v/>
      </c>
      <c r="CU136" s="452" t="str">
        <f t="shared" si="192"/>
        <v/>
      </c>
      <c r="CV136" s="452" t="str">
        <f t="shared" si="192"/>
        <v/>
      </c>
      <c r="CW136" s="452" t="str">
        <f t="shared" si="192"/>
        <v/>
      </c>
      <c r="CX136" s="453" t="str">
        <f t="shared" si="192"/>
        <v/>
      </c>
      <c r="CY136" s="451" t="str">
        <f t="shared" si="192"/>
        <v/>
      </c>
      <c r="CZ136" s="452" t="str">
        <f t="shared" si="192"/>
        <v/>
      </c>
      <c r="DA136" s="452" t="str">
        <f t="shared" si="192"/>
        <v/>
      </c>
      <c r="DB136" s="452" t="str">
        <f t="shared" si="192"/>
        <v/>
      </c>
      <c r="DC136" s="453" t="str">
        <f t="shared" si="192"/>
        <v/>
      </c>
      <c r="DD136" s="451" t="str">
        <f t="shared" si="197"/>
        <v/>
      </c>
      <c r="DE136" s="452" t="str">
        <f t="shared" si="197"/>
        <v/>
      </c>
      <c r="DF136" s="452" t="str">
        <f t="shared" si="197"/>
        <v/>
      </c>
      <c r="DG136" s="452" t="str">
        <f t="shared" si="197"/>
        <v/>
      </c>
      <c r="DH136" s="453" t="str">
        <f t="shared" si="197"/>
        <v/>
      </c>
      <c r="DI136" s="451" t="str">
        <f t="shared" si="197"/>
        <v/>
      </c>
      <c r="DJ136" s="452" t="str">
        <f t="shared" si="197"/>
        <v/>
      </c>
      <c r="DK136" s="452" t="str">
        <f t="shared" si="197"/>
        <v/>
      </c>
      <c r="DL136" s="452" t="str">
        <f t="shared" si="197"/>
        <v/>
      </c>
      <c r="DM136" s="453" t="str">
        <f t="shared" si="197"/>
        <v/>
      </c>
      <c r="DN136" s="451" t="str">
        <f t="shared" si="197"/>
        <v/>
      </c>
      <c r="DO136" s="452" t="str">
        <f t="shared" si="197"/>
        <v/>
      </c>
      <c r="DP136" s="452" t="str">
        <f t="shared" si="197"/>
        <v/>
      </c>
      <c r="DQ136" s="452" t="str">
        <f t="shared" si="197"/>
        <v/>
      </c>
      <c r="DR136" s="453" t="str">
        <f t="shared" si="197"/>
        <v/>
      </c>
      <c r="DS136" s="451" t="str">
        <f t="shared" si="195"/>
        <v/>
      </c>
      <c r="DT136" s="452" t="str">
        <f t="shared" si="195"/>
        <v/>
      </c>
      <c r="DU136" s="452" t="str">
        <f t="shared" si="195"/>
        <v/>
      </c>
      <c r="DV136" s="452" t="str">
        <f t="shared" si="195"/>
        <v/>
      </c>
      <c r="DW136" s="453" t="str">
        <f t="shared" si="195"/>
        <v/>
      </c>
      <c r="DX136" s="451" t="str">
        <f t="shared" si="195"/>
        <v/>
      </c>
      <c r="DY136" s="452" t="str">
        <f t="shared" si="195"/>
        <v/>
      </c>
      <c r="DZ136" s="452" t="str">
        <f t="shared" si="195"/>
        <v/>
      </c>
      <c r="EA136" s="452" t="str">
        <f t="shared" si="195"/>
        <v/>
      </c>
      <c r="EB136" s="453" t="str">
        <f t="shared" si="195"/>
        <v/>
      </c>
      <c r="EC136" s="451" t="str">
        <f t="shared" si="195"/>
        <v/>
      </c>
      <c r="ED136" s="452" t="str">
        <f t="shared" si="195"/>
        <v/>
      </c>
      <c r="EE136" s="452" t="str">
        <f t="shared" si="195"/>
        <v/>
      </c>
      <c r="EF136" s="452" t="str">
        <f t="shared" si="195"/>
        <v/>
      </c>
      <c r="EG136" s="453" t="str">
        <f t="shared" si="195"/>
        <v/>
      </c>
      <c r="EH136" s="451" t="str">
        <f t="shared" si="195"/>
        <v/>
      </c>
      <c r="EI136" s="452" t="str">
        <f t="shared" si="201"/>
        <v/>
      </c>
      <c r="EJ136" s="452" t="str">
        <f t="shared" si="201"/>
        <v/>
      </c>
      <c r="EK136" s="452" t="str">
        <f t="shared" si="201"/>
        <v/>
      </c>
      <c r="EL136" s="453" t="str">
        <f t="shared" si="201"/>
        <v/>
      </c>
      <c r="EM136" s="451" t="str">
        <f t="shared" si="201"/>
        <v/>
      </c>
      <c r="EN136" s="452" t="str">
        <f t="shared" si="201"/>
        <v/>
      </c>
      <c r="EO136" s="452" t="str">
        <f t="shared" si="201"/>
        <v/>
      </c>
      <c r="EP136" s="452" t="str">
        <f t="shared" si="201"/>
        <v/>
      </c>
      <c r="EQ136" s="453" t="str">
        <f t="shared" si="201"/>
        <v/>
      </c>
      <c r="ER136" s="451" t="str">
        <f t="shared" si="201"/>
        <v/>
      </c>
      <c r="ES136" s="452" t="str">
        <f t="shared" si="201"/>
        <v/>
      </c>
      <c r="ET136" s="452" t="str">
        <f t="shared" si="201"/>
        <v/>
      </c>
      <c r="EU136" s="452" t="str">
        <f t="shared" si="201"/>
        <v/>
      </c>
      <c r="EV136" s="453" t="str">
        <f t="shared" si="201"/>
        <v/>
      </c>
      <c r="EW136" s="451" t="str">
        <f t="shared" si="201"/>
        <v/>
      </c>
      <c r="EX136" s="452" t="str">
        <f t="shared" si="201"/>
        <v/>
      </c>
      <c r="EY136" s="452" t="str">
        <f t="shared" si="202"/>
        <v/>
      </c>
      <c r="EZ136" s="452" t="str">
        <f t="shared" si="202"/>
        <v/>
      </c>
      <c r="FA136" s="453" t="str">
        <f t="shared" si="202"/>
        <v/>
      </c>
      <c r="FB136" s="451" t="str">
        <f t="shared" si="202"/>
        <v/>
      </c>
      <c r="FC136" s="452" t="str">
        <f t="shared" si="202"/>
        <v/>
      </c>
      <c r="FD136" s="452" t="str">
        <f t="shared" si="202"/>
        <v/>
      </c>
      <c r="FE136" s="452" t="str">
        <f t="shared" si="202"/>
        <v/>
      </c>
      <c r="FF136" s="453" t="str">
        <f t="shared" si="202"/>
        <v/>
      </c>
      <c r="FG136" s="451" t="str">
        <f t="shared" si="202"/>
        <v/>
      </c>
      <c r="FH136" s="452" t="str">
        <f t="shared" si="202"/>
        <v/>
      </c>
      <c r="FI136" s="452" t="str">
        <f t="shared" si="202"/>
        <v/>
      </c>
      <c r="FJ136" s="452" t="str">
        <f t="shared" si="202"/>
        <v/>
      </c>
      <c r="FK136" s="453" t="str">
        <f t="shared" si="202"/>
        <v/>
      </c>
      <c r="FL136" s="451" t="str">
        <f t="shared" si="202"/>
        <v/>
      </c>
      <c r="FM136" s="452" t="str">
        <f t="shared" si="202"/>
        <v/>
      </c>
      <c r="FN136" s="452" t="str">
        <f t="shared" si="200"/>
        <v/>
      </c>
      <c r="FO136" s="452" t="str">
        <f t="shared" si="200"/>
        <v/>
      </c>
      <c r="FP136" s="453" t="str">
        <f t="shared" si="200"/>
        <v/>
      </c>
      <c r="FQ136" s="451" t="str">
        <f t="shared" si="185"/>
        <v/>
      </c>
      <c r="FR136" s="452" t="str">
        <f t="shared" si="185"/>
        <v/>
      </c>
      <c r="FS136" s="452" t="str">
        <f t="shared" si="185"/>
        <v/>
      </c>
      <c r="FT136" s="452" t="str">
        <f t="shared" si="185"/>
        <v/>
      </c>
      <c r="FU136" s="453" t="str">
        <f t="shared" si="185"/>
        <v/>
      </c>
      <c r="FV136" s="451" t="str">
        <f t="shared" si="185"/>
        <v/>
      </c>
      <c r="FW136" s="452" t="str">
        <f t="shared" si="185"/>
        <v/>
      </c>
      <c r="FX136" s="452" t="str">
        <f t="shared" si="185"/>
        <v/>
      </c>
      <c r="FY136" s="452" t="str">
        <f t="shared" si="185"/>
        <v/>
      </c>
      <c r="FZ136" s="453" t="str">
        <f t="shared" si="185"/>
        <v/>
      </c>
      <c r="GA136" s="451" t="str">
        <f t="shared" si="185"/>
        <v/>
      </c>
      <c r="GB136" s="452" t="str">
        <f t="shared" si="185"/>
        <v/>
      </c>
      <c r="GC136" s="452" t="str">
        <f t="shared" si="185"/>
        <v/>
      </c>
      <c r="GD136" s="452" t="str">
        <f t="shared" si="185"/>
        <v/>
      </c>
      <c r="GE136" s="453" t="str">
        <f t="shared" si="185"/>
        <v/>
      </c>
      <c r="GF136" s="451" t="str">
        <f t="shared" si="185"/>
        <v/>
      </c>
      <c r="GG136" s="452" t="str">
        <f t="shared" si="203"/>
        <v/>
      </c>
      <c r="GH136" s="452" t="str">
        <f t="shared" si="203"/>
        <v/>
      </c>
      <c r="GI136" s="452" t="str">
        <f t="shared" si="203"/>
        <v/>
      </c>
      <c r="GJ136" s="453" t="str">
        <f t="shared" si="203"/>
        <v/>
      </c>
      <c r="GK136" s="451" t="str">
        <f t="shared" si="203"/>
        <v/>
      </c>
      <c r="GL136" s="452" t="str">
        <f t="shared" si="203"/>
        <v/>
      </c>
      <c r="GM136" s="452" t="str">
        <f t="shared" si="203"/>
        <v/>
      </c>
      <c r="GN136" s="452" t="str">
        <f t="shared" si="203"/>
        <v/>
      </c>
      <c r="GO136" s="453" t="str">
        <f t="shared" si="203"/>
        <v/>
      </c>
      <c r="GP136" s="451" t="str">
        <f t="shared" si="203"/>
        <v/>
      </c>
      <c r="GQ136" s="452" t="str">
        <f t="shared" si="203"/>
        <v/>
      </c>
      <c r="GR136" s="452" t="str">
        <f t="shared" si="203"/>
        <v/>
      </c>
      <c r="GS136" s="452" t="str">
        <f t="shared" si="203"/>
        <v/>
      </c>
      <c r="GT136" s="453" t="str">
        <f t="shared" si="203"/>
        <v/>
      </c>
      <c r="GU136" s="451" t="str">
        <f t="shared" si="203"/>
        <v/>
      </c>
      <c r="GV136" s="452" t="str">
        <f t="shared" si="203"/>
        <v/>
      </c>
      <c r="GW136" s="452" t="str">
        <f t="shared" si="198"/>
        <v/>
      </c>
      <c r="GX136" s="452" t="str">
        <f t="shared" si="198"/>
        <v/>
      </c>
      <c r="GY136" s="453" t="str">
        <f t="shared" si="198"/>
        <v/>
      </c>
      <c r="GZ136" s="451" t="str">
        <f t="shared" si="198"/>
        <v/>
      </c>
      <c r="HA136" s="452" t="str">
        <f t="shared" si="198"/>
        <v/>
      </c>
      <c r="HB136" s="452" t="str">
        <f t="shared" si="198"/>
        <v/>
      </c>
      <c r="HC136" s="452" t="str">
        <f t="shared" si="198"/>
        <v/>
      </c>
      <c r="HD136" s="453" t="str">
        <f t="shared" si="198"/>
        <v/>
      </c>
      <c r="HE136" s="451" t="str">
        <f t="shared" si="198"/>
        <v/>
      </c>
      <c r="HF136" s="452" t="str">
        <f t="shared" si="183"/>
        <v/>
      </c>
      <c r="HG136" s="452" t="str">
        <f t="shared" si="183"/>
        <v/>
      </c>
      <c r="HH136" s="452" t="str">
        <f t="shared" si="183"/>
        <v/>
      </c>
      <c r="HI136" s="453" t="str">
        <f t="shared" si="183"/>
        <v/>
      </c>
      <c r="HJ136" s="451" t="str">
        <f t="shared" si="183"/>
        <v/>
      </c>
      <c r="HK136" s="452" t="str">
        <f t="shared" ref="HK136:HZ151" si="207">IF(AND(HK$2&gt;=$J136,HK$2&lt;=$K136),1,"")</f>
        <v/>
      </c>
      <c r="HL136" s="452" t="str">
        <f t="shared" si="207"/>
        <v/>
      </c>
      <c r="HM136" s="452" t="str">
        <f t="shared" si="207"/>
        <v/>
      </c>
      <c r="HN136" s="453" t="str">
        <f t="shared" si="207"/>
        <v/>
      </c>
      <c r="HO136" s="451" t="str">
        <f t="shared" si="207"/>
        <v/>
      </c>
      <c r="HP136" s="452" t="str">
        <f t="shared" si="207"/>
        <v/>
      </c>
      <c r="HQ136" s="452" t="str">
        <f t="shared" si="207"/>
        <v/>
      </c>
      <c r="HR136" s="452" t="str">
        <f t="shared" si="207"/>
        <v/>
      </c>
      <c r="HS136" s="453" t="str">
        <f t="shared" si="207"/>
        <v/>
      </c>
      <c r="HT136" s="451" t="str">
        <f t="shared" si="207"/>
        <v/>
      </c>
      <c r="HU136" s="452" t="str">
        <f t="shared" si="207"/>
        <v/>
      </c>
      <c r="HV136" s="452" t="str">
        <f t="shared" si="207"/>
        <v/>
      </c>
      <c r="HW136" s="452" t="str">
        <f t="shared" si="207"/>
        <v/>
      </c>
      <c r="HX136" s="453" t="str">
        <f t="shared" si="207"/>
        <v/>
      </c>
      <c r="HY136" s="451" t="str">
        <f t="shared" si="207"/>
        <v/>
      </c>
      <c r="HZ136" s="452" t="str">
        <f t="shared" si="207"/>
        <v/>
      </c>
      <c r="IA136" s="452" t="str">
        <f t="shared" si="190"/>
        <v/>
      </c>
      <c r="IB136" s="452" t="str">
        <f t="shared" si="190"/>
        <v/>
      </c>
      <c r="IC136" s="453" t="str">
        <f t="shared" si="190"/>
        <v/>
      </c>
      <c r="ID136" s="451" t="str">
        <f t="shared" si="190"/>
        <v/>
      </c>
      <c r="IE136" s="452" t="str">
        <f t="shared" si="190"/>
        <v/>
      </c>
      <c r="IF136" s="452" t="str">
        <f t="shared" si="190"/>
        <v/>
      </c>
      <c r="IG136" s="452" t="str">
        <f t="shared" si="190"/>
        <v/>
      </c>
      <c r="IH136" s="453" t="str">
        <f t="shared" si="190"/>
        <v/>
      </c>
      <c r="II136" s="451" t="str">
        <f t="shared" si="190"/>
        <v/>
      </c>
      <c r="IJ136" s="452" t="str">
        <f t="shared" si="190"/>
        <v/>
      </c>
      <c r="IK136" s="452" t="str">
        <f t="shared" si="190"/>
        <v/>
      </c>
      <c r="IL136" s="452" t="str">
        <f t="shared" si="191"/>
        <v/>
      </c>
      <c r="IM136" s="453" t="str">
        <f t="shared" si="191"/>
        <v/>
      </c>
      <c r="IN136" s="451" t="str">
        <f t="shared" si="191"/>
        <v/>
      </c>
      <c r="IO136" s="452" t="str">
        <f t="shared" si="191"/>
        <v/>
      </c>
      <c r="IP136" s="452" t="str">
        <f t="shared" si="191"/>
        <v/>
      </c>
      <c r="IQ136" s="452" t="str">
        <f t="shared" si="191"/>
        <v/>
      </c>
      <c r="IR136" s="453" t="str">
        <f t="shared" si="191"/>
        <v/>
      </c>
    </row>
    <row r="137" spans="1:252" x14ac:dyDescent="0.2">
      <c r="A137" s="461">
        <v>13.1</v>
      </c>
      <c r="C137" s="447" t="s">
        <v>1351</v>
      </c>
      <c r="D137" s="447"/>
      <c r="E137" s="448"/>
      <c r="F137" s="448"/>
      <c r="G137" s="448"/>
      <c r="H137" s="448"/>
      <c r="I137" s="448"/>
      <c r="J137" s="449" t="str">
        <f t="shared" ref="J137:J146" si="208">IF(E137="","",E137-$M$3+1)</f>
        <v/>
      </c>
      <c r="K137" s="449" t="str">
        <f t="shared" ref="K137:K146" si="209">IF(F137="","",F137-$M$3+1)</f>
        <v/>
      </c>
      <c r="L137" s="450">
        <f t="shared" si="206"/>
        <v>0</v>
      </c>
      <c r="M137" s="451" t="str">
        <f t="shared" si="186"/>
        <v/>
      </c>
      <c r="N137" s="452" t="str">
        <f t="shared" si="186"/>
        <v/>
      </c>
      <c r="O137" s="452" t="str">
        <f t="shared" si="186"/>
        <v/>
      </c>
      <c r="P137" s="452" t="str">
        <f t="shared" si="186"/>
        <v/>
      </c>
      <c r="Q137" s="453" t="str">
        <f t="shared" si="186"/>
        <v/>
      </c>
      <c r="R137" s="451" t="str">
        <f t="shared" si="186"/>
        <v/>
      </c>
      <c r="S137" s="452" t="str">
        <f t="shared" si="186"/>
        <v/>
      </c>
      <c r="T137" s="452" t="str">
        <f t="shared" si="186"/>
        <v/>
      </c>
      <c r="U137" s="452" t="str">
        <f t="shared" si="186"/>
        <v/>
      </c>
      <c r="V137" s="453" t="str">
        <f t="shared" si="186"/>
        <v/>
      </c>
      <c r="W137" s="451" t="str">
        <f t="shared" si="186"/>
        <v/>
      </c>
      <c r="X137" s="452" t="str">
        <f t="shared" si="186"/>
        <v/>
      </c>
      <c r="Y137" s="452" t="str">
        <f t="shared" si="186"/>
        <v/>
      </c>
      <c r="Z137" s="452" t="str">
        <f t="shared" si="186"/>
        <v/>
      </c>
      <c r="AA137" s="453" t="str">
        <f t="shared" si="186"/>
        <v/>
      </c>
      <c r="AB137" s="451" t="str">
        <f t="shared" si="186"/>
        <v/>
      </c>
      <c r="AC137" s="452" t="str">
        <f t="shared" si="196"/>
        <v/>
      </c>
      <c r="AD137" s="452" t="str">
        <f t="shared" si="196"/>
        <v/>
      </c>
      <c r="AE137" s="452" t="str">
        <f t="shared" si="196"/>
        <v/>
      </c>
      <c r="AF137" s="453" t="str">
        <f t="shared" si="196"/>
        <v/>
      </c>
      <c r="AG137" s="451" t="str">
        <f t="shared" si="196"/>
        <v/>
      </c>
      <c r="AH137" s="452" t="str">
        <f t="shared" si="196"/>
        <v/>
      </c>
      <c r="AI137" s="452" t="str">
        <f t="shared" si="196"/>
        <v/>
      </c>
      <c r="AJ137" s="452" t="str">
        <f t="shared" si="196"/>
        <v/>
      </c>
      <c r="AK137" s="453" t="str">
        <f t="shared" si="196"/>
        <v/>
      </c>
      <c r="AL137" s="451" t="str">
        <f t="shared" si="196"/>
        <v/>
      </c>
      <c r="AM137" s="452" t="str">
        <f t="shared" si="196"/>
        <v/>
      </c>
      <c r="AN137" s="452" t="str">
        <f t="shared" si="196"/>
        <v/>
      </c>
      <c r="AO137" s="452" t="str">
        <f t="shared" si="196"/>
        <v/>
      </c>
      <c r="AP137" s="453" t="str">
        <f t="shared" si="196"/>
        <v/>
      </c>
      <c r="AQ137" s="451" t="str">
        <f t="shared" si="196"/>
        <v/>
      </c>
      <c r="AR137" s="452" t="str">
        <f t="shared" si="196"/>
        <v/>
      </c>
      <c r="AS137" s="452" t="str">
        <f t="shared" si="193"/>
        <v/>
      </c>
      <c r="AT137" s="452" t="str">
        <f t="shared" si="193"/>
        <v/>
      </c>
      <c r="AU137" s="453" t="str">
        <f t="shared" si="193"/>
        <v/>
      </c>
      <c r="AV137" s="451" t="str">
        <f t="shared" si="193"/>
        <v/>
      </c>
      <c r="AW137" s="452" t="str">
        <f t="shared" si="193"/>
        <v/>
      </c>
      <c r="AX137" s="452" t="str">
        <f t="shared" si="193"/>
        <v/>
      </c>
      <c r="AY137" s="452" t="str">
        <f t="shared" si="193"/>
        <v/>
      </c>
      <c r="AZ137" s="453" t="str">
        <f t="shared" si="193"/>
        <v/>
      </c>
      <c r="BA137" s="451" t="str">
        <f t="shared" si="193"/>
        <v/>
      </c>
      <c r="BB137" s="452" t="str">
        <f t="shared" si="193"/>
        <v/>
      </c>
      <c r="BC137" s="452" t="str">
        <f t="shared" si="193"/>
        <v/>
      </c>
      <c r="BD137" s="452" t="str">
        <f t="shared" si="193"/>
        <v/>
      </c>
      <c r="BE137" s="453" t="str">
        <f t="shared" si="193"/>
        <v/>
      </c>
      <c r="BF137" s="451" t="str">
        <f t="shared" si="193"/>
        <v/>
      </c>
      <c r="BG137" s="452" t="str">
        <f t="shared" si="193"/>
        <v/>
      </c>
      <c r="BH137" s="452" t="str">
        <f t="shared" si="193"/>
        <v/>
      </c>
      <c r="BI137" s="452" t="str">
        <f t="shared" si="205"/>
        <v/>
      </c>
      <c r="BJ137" s="453" t="str">
        <f t="shared" si="205"/>
        <v/>
      </c>
      <c r="BK137" s="451" t="str">
        <f t="shared" si="205"/>
        <v/>
      </c>
      <c r="BL137" s="452" t="str">
        <f t="shared" si="205"/>
        <v/>
      </c>
      <c r="BM137" s="452" t="str">
        <f t="shared" si="205"/>
        <v/>
      </c>
      <c r="BN137" s="452" t="str">
        <f t="shared" si="205"/>
        <v/>
      </c>
      <c r="BO137" s="453" t="str">
        <f t="shared" si="205"/>
        <v/>
      </c>
      <c r="BP137" s="451" t="str">
        <f t="shared" si="205"/>
        <v/>
      </c>
      <c r="BQ137" s="452" t="str">
        <f t="shared" si="205"/>
        <v/>
      </c>
      <c r="BR137" s="452" t="str">
        <f t="shared" si="205"/>
        <v/>
      </c>
      <c r="BS137" s="452" t="str">
        <f t="shared" si="205"/>
        <v/>
      </c>
      <c r="BT137" s="453" t="str">
        <f t="shared" si="205"/>
        <v/>
      </c>
      <c r="BU137" s="451" t="str">
        <f t="shared" si="205"/>
        <v/>
      </c>
      <c r="BV137" s="452" t="str">
        <f t="shared" si="205"/>
        <v/>
      </c>
      <c r="BW137" s="452" t="str">
        <f t="shared" si="205"/>
        <v/>
      </c>
      <c r="BX137" s="452" t="str">
        <f t="shared" si="194"/>
        <v/>
      </c>
      <c r="BY137" s="453" t="str">
        <f t="shared" si="194"/>
        <v/>
      </c>
      <c r="BZ137" s="451" t="str">
        <f t="shared" si="194"/>
        <v/>
      </c>
      <c r="CA137" s="452" t="str">
        <f t="shared" si="194"/>
        <v/>
      </c>
      <c r="CB137" s="452" t="str">
        <f t="shared" si="194"/>
        <v/>
      </c>
      <c r="CC137" s="452" t="str">
        <f t="shared" si="194"/>
        <v/>
      </c>
      <c r="CD137" s="453" t="str">
        <f t="shared" si="194"/>
        <v/>
      </c>
      <c r="CE137" s="451" t="str">
        <f t="shared" si="194"/>
        <v/>
      </c>
      <c r="CF137" s="452" t="str">
        <f t="shared" si="194"/>
        <v/>
      </c>
      <c r="CG137" s="452" t="str">
        <f t="shared" si="194"/>
        <v/>
      </c>
      <c r="CH137" s="452" t="str">
        <f t="shared" si="194"/>
        <v/>
      </c>
      <c r="CI137" s="453" t="str">
        <f t="shared" si="194"/>
        <v/>
      </c>
      <c r="CJ137" s="451" t="str">
        <f t="shared" si="194"/>
        <v/>
      </c>
      <c r="CK137" s="452" t="str">
        <f t="shared" si="194"/>
        <v/>
      </c>
      <c r="CL137" s="452" t="str">
        <f t="shared" si="194"/>
        <v/>
      </c>
      <c r="CM137" s="452" t="str">
        <f t="shared" si="194"/>
        <v/>
      </c>
      <c r="CN137" s="453" t="str">
        <f t="shared" si="192"/>
        <v/>
      </c>
      <c r="CO137" s="451" t="str">
        <f t="shared" si="192"/>
        <v/>
      </c>
      <c r="CP137" s="452" t="str">
        <f t="shared" si="192"/>
        <v/>
      </c>
      <c r="CQ137" s="452" t="str">
        <f t="shared" si="192"/>
        <v/>
      </c>
      <c r="CR137" s="452" t="str">
        <f t="shared" si="192"/>
        <v/>
      </c>
      <c r="CS137" s="453" t="str">
        <f t="shared" si="192"/>
        <v/>
      </c>
      <c r="CT137" s="451" t="str">
        <f t="shared" si="192"/>
        <v/>
      </c>
      <c r="CU137" s="452" t="str">
        <f t="shared" si="192"/>
        <v/>
      </c>
      <c r="CV137" s="452" t="str">
        <f t="shared" si="192"/>
        <v/>
      </c>
      <c r="CW137" s="452" t="str">
        <f t="shared" si="192"/>
        <v/>
      </c>
      <c r="CX137" s="453" t="str">
        <f t="shared" si="192"/>
        <v/>
      </c>
      <c r="CY137" s="451" t="str">
        <f t="shared" si="192"/>
        <v/>
      </c>
      <c r="CZ137" s="452" t="str">
        <f t="shared" si="192"/>
        <v/>
      </c>
      <c r="DA137" s="452" t="str">
        <f t="shared" si="192"/>
        <v/>
      </c>
      <c r="DB137" s="452" t="str">
        <f t="shared" si="192"/>
        <v/>
      </c>
      <c r="DC137" s="453" t="str">
        <f t="shared" si="192"/>
        <v/>
      </c>
      <c r="DD137" s="451" t="str">
        <f t="shared" si="197"/>
        <v/>
      </c>
      <c r="DE137" s="452" t="str">
        <f t="shared" si="197"/>
        <v/>
      </c>
      <c r="DF137" s="452" t="str">
        <f t="shared" si="197"/>
        <v/>
      </c>
      <c r="DG137" s="452" t="str">
        <f t="shared" si="197"/>
        <v/>
      </c>
      <c r="DH137" s="453" t="str">
        <f t="shared" si="197"/>
        <v/>
      </c>
      <c r="DI137" s="451" t="str">
        <f t="shared" si="197"/>
        <v/>
      </c>
      <c r="DJ137" s="452" t="str">
        <f t="shared" si="197"/>
        <v/>
      </c>
      <c r="DK137" s="452" t="str">
        <f t="shared" si="197"/>
        <v/>
      </c>
      <c r="DL137" s="452" t="str">
        <f t="shared" si="197"/>
        <v/>
      </c>
      <c r="DM137" s="453" t="str">
        <f t="shared" si="197"/>
        <v/>
      </c>
      <c r="DN137" s="451" t="str">
        <f t="shared" si="197"/>
        <v/>
      </c>
      <c r="DO137" s="452" t="str">
        <f t="shared" si="197"/>
        <v/>
      </c>
      <c r="DP137" s="452" t="str">
        <f t="shared" si="197"/>
        <v/>
      </c>
      <c r="DQ137" s="452" t="str">
        <f t="shared" si="197"/>
        <v/>
      </c>
      <c r="DR137" s="453" t="str">
        <f t="shared" si="197"/>
        <v/>
      </c>
      <c r="DS137" s="451" t="str">
        <f t="shared" si="195"/>
        <v/>
      </c>
      <c r="DT137" s="452" t="str">
        <f t="shared" si="195"/>
        <v/>
      </c>
      <c r="DU137" s="452" t="str">
        <f t="shared" si="195"/>
        <v/>
      </c>
      <c r="DV137" s="452" t="str">
        <f t="shared" si="195"/>
        <v/>
      </c>
      <c r="DW137" s="453" t="str">
        <f t="shared" si="195"/>
        <v/>
      </c>
      <c r="DX137" s="451" t="str">
        <f t="shared" si="195"/>
        <v/>
      </c>
      <c r="DY137" s="452" t="str">
        <f t="shared" si="195"/>
        <v/>
      </c>
      <c r="DZ137" s="452" t="str">
        <f t="shared" si="195"/>
        <v/>
      </c>
      <c r="EA137" s="452" t="str">
        <f t="shared" si="195"/>
        <v/>
      </c>
      <c r="EB137" s="453" t="str">
        <f t="shared" si="195"/>
        <v/>
      </c>
      <c r="EC137" s="451" t="str">
        <f t="shared" si="195"/>
        <v/>
      </c>
      <c r="ED137" s="452" t="str">
        <f t="shared" si="195"/>
        <v/>
      </c>
      <c r="EE137" s="452" t="str">
        <f t="shared" si="195"/>
        <v/>
      </c>
      <c r="EF137" s="452" t="str">
        <f t="shared" si="195"/>
        <v/>
      </c>
      <c r="EG137" s="453" t="str">
        <f t="shared" si="195"/>
        <v/>
      </c>
      <c r="EH137" s="451" t="str">
        <f t="shared" si="195"/>
        <v/>
      </c>
      <c r="EI137" s="452" t="str">
        <f t="shared" si="201"/>
        <v/>
      </c>
      <c r="EJ137" s="452" t="str">
        <f t="shared" si="201"/>
        <v/>
      </c>
      <c r="EK137" s="452" t="str">
        <f t="shared" si="201"/>
        <v/>
      </c>
      <c r="EL137" s="453" t="str">
        <f t="shared" si="201"/>
        <v/>
      </c>
      <c r="EM137" s="451" t="str">
        <f t="shared" si="201"/>
        <v/>
      </c>
      <c r="EN137" s="452" t="str">
        <f t="shared" si="201"/>
        <v/>
      </c>
      <c r="EO137" s="452" t="str">
        <f t="shared" si="201"/>
        <v/>
      </c>
      <c r="EP137" s="452" t="str">
        <f t="shared" si="201"/>
        <v/>
      </c>
      <c r="EQ137" s="453" t="str">
        <f t="shared" si="201"/>
        <v/>
      </c>
      <c r="ER137" s="451" t="str">
        <f t="shared" si="201"/>
        <v/>
      </c>
      <c r="ES137" s="452" t="str">
        <f t="shared" si="201"/>
        <v/>
      </c>
      <c r="ET137" s="452" t="str">
        <f t="shared" si="201"/>
        <v/>
      </c>
      <c r="EU137" s="452" t="str">
        <f t="shared" si="201"/>
        <v/>
      </c>
      <c r="EV137" s="453" t="str">
        <f t="shared" si="201"/>
        <v/>
      </c>
      <c r="EW137" s="451" t="str">
        <f t="shared" si="201"/>
        <v/>
      </c>
      <c r="EX137" s="452" t="str">
        <f t="shared" si="201"/>
        <v/>
      </c>
      <c r="EY137" s="452" t="str">
        <f t="shared" si="202"/>
        <v/>
      </c>
      <c r="EZ137" s="452" t="str">
        <f t="shared" si="202"/>
        <v/>
      </c>
      <c r="FA137" s="453" t="str">
        <f t="shared" si="202"/>
        <v/>
      </c>
      <c r="FB137" s="451" t="str">
        <f t="shared" si="202"/>
        <v/>
      </c>
      <c r="FC137" s="452" t="str">
        <f t="shared" si="202"/>
        <v/>
      </c>
      <c r="FD137" s="452" t="str">
        <f t="shared" si="202"/>
        <v/>
      </c>
      <c r="FE137" s="452" t="str">
        <f t="shared" si="202"/>
        <v/>
      </c>
      <c r="FF137" s="453" t="str">
        <f t="shared" si="202"/>
        <v/>
      </c>
      <c r="FG137" s="451" t="str">
        <f t="shared" si="202"/>
        <v/>
      </c>
      <c r="FH137" s="452" t="str">
        <f t="shared" si="202"/>
        <v/>
      </c>
      <c r="FI137" s="452" t="str">
        <f t="shared" si="202"/>
        <v/>
      </c>
      <c r="FJ137" s="452" t="str">
        <f t="shared" si="202"/>
        <v/>
      </c>
      <c r="FK137" s="453" t="str">
        <f t="shared" si="202"/>
        <v/>
      </c>
      <c r="FL137" s="451" t="str">
        <f t="shared" si="202"/>
        <v/>
      </c>
      <c r="FM137" s="452" t="str">
        <f t="shared" si="202"/>
        <v/>
      </c>
      <c r="FN137" s="452" t="str">
        <f t="shared" si="200"/>
        <v/>
      </c>
      <c r="FO137" s="452" t="str">
        <f t="shared" si="200"/>
        <v/>
      </c>
      <c r="FP137" s="453" t="str">
        <f t="shared" si="200"/>
        <v/>
      </c>
      <c r="FQ137" s="451" t="str">
        <f t="shared" si="185"/>
        <v/>
      </c>
      <c r="FR137" s="452" t="str">
        <f t="shared" si="185"/>
        <v/>
      </c>
      <c r="FS137" s="452" t="str">
        <f t="shared" si="185"/>
        <v/>
      </c>
      <c r="FT137" s="452" t="str">
        <f t="shared" si="185"/>
        <v/>
      </c>
      <c r="FU137" s="453" t="str">
        <f t="shared" si="185"/>
        <v/>
      </c>
      <c r="FV137" s="451" t="str">
        <f t="shared" si="185"/>
        <v/>
      </c>
      <c r="FW137" s="452" t="str">
        <f t="shared" si="185"/>
        <v/>
      </c>
      <c r="FX137" s="452" t="str">
        <f t="shared" si="185"/>
        <v/>
      </c>
      <c r="FY137" s="452" t="str">
        <f t="shared" si="185"/>
        <v/>
      </c>
      <c r="FZ137" s="453" t="str">
        <f t="shared" si="185"/>
        <v/>
      </c>
      <c r="GA137" s="451" t="str">
        <f t="shared" si="185"/>
        <v/>
      </c>
      <c r="GB137" s="452" t="str">
        <f t="shared" si="185"/>
        <v/>
      </c>
      <c r="GC137" s="452" t="str">
        <f t="shared" si="185"/>
        <v/>
      </c>
      <c r="GD137" s="452" t="str">
        <f t="shared" si="185"/>
        <v/>
      </c>
      <c r="GE137" s="453" t="str">
        <f t="shared" si="185"/>
        <v/>
      </c>
      <c r="GF137" s="451" t="str">
        <f t="shared" si="185"/>
        <v/>
      </c>
      <c r="GG137" s="452" t="str">
        <f t="shared" si="203"/>
        <v/>
      </c>
      <c r="GH137" s="452" t="str">
        <f t="shared" si="203"/>
        <v/>
      </c>
      <c r="GI137" s="452" t="str">
        <f t="shared" si="203"/>
        <v/>
      </c>
      <c r="GJ137" s="453" t="str">
        <f t="shared" si="203"/>
        <v/>
      </c>
      <c r="GK137" s="451" t="str">
        <f t="shared" si="203"/>
        <v/>
      </c>
      <c r="GL137" s="452" t="str">
        <f t="shared" si="203"/>
        <v/>
      </c>
      <c r="GM137" s="452" t="str">
        <f t="shared" si="203"/>
        <v/>
      </c>
      <c r="GN137" s="452" t="str">
        <f t="shared" si="203"/>
        <v/>
      </c>
      <c r="GO137" s="453" t="str">
        <f t="shared" si="203"/>
        <v/>
      </c>
      <c r="GP137" s="451" t="str">
        <f t="shared" si="203"/>
        <v/>
      </c>
      <c r="GQ137" s="452" t="str">
        <f t="shared" si="203"/>
        <v/>
      </c>
      <c r="GR137" s="452" t="str">
        <f t="shared" si="203"/>
        <v/>
      </c>
      <c r="GS137" s="452" t="str">
        <f t="shared" si="203"/>
        <v/>
      </c>
      <c r="GT137" s="453" t="str">
        <f t="shared" si="203"/>
        <v/>
      </c>
      <c r="GU137" s="451" t="str">
        <f t="shared" si="203"/>
        <v/>
      </c>
      <c r="GV137" s="452" t="str">
        <f t="shared" si="203"/>
        <v/>
      </c>
      <c r="GW137" s="452" t="str">
        <f t="shared" si="198"/>
        <v/>
      </c>
      <c r="GX137" s="452" t="str">
        <f t="shared" si="198"/>
        <v/>
      </c>
      <c r="GY137" s="453" t="str">
        <f t="shared" si="198"/>
        <v/>
      </c>
      <c r="GZ137" s="451" t="str">
        <f t="shared" si="198"/>
        <v/>
      </c>
      <c r="HA137" s="452" t="str">
        <f t="shared" si="198"/>
        <v/>
      </c>
      <c r="HB137" s="452" t="str">
        <f t="shared" si="198"/>
        <v/>
      </c>
      <c r="HC137" s="452" t="str">
        <f t="shared" si="198"/>
        <v/>
      </c>
      <c r="HD137" s="453" t="str">
        <f t="shared" si="198"/>
        <v/>
      </c>
      <c r="HE137" s="451" t="str">
        <f t="shared" si="198"/>
        <v/>
      </c>
      <c r="HF137" s="452" t="str">
        <f t="shared" si="198"/>
        <v/>
      </c>
      <c r="HG137" s="452" t="str">
        <f t="shared" si="198"/>
        <v/>
      </c>
      <c r="HH137" s="452" t="str">
        <f t="shared" si="198"/>
        <v/>
      </c>
      <c r="HI137" s="453" t="str">
        <f t="shared" si="198"/>
        <v/>
      </c>
      <c r="HJ137" s="451" t="str">
        <f t="shared" si="198"/>
        <v/>
      </c>
      <c r="HK137" s="452" t="str">
        <f t="shared" si="198"/>
        <v/>
      </c>
      <c r="HL137" s="452" t="str">
        <f t="shared" si="207"/>
        <v/>
      </c>
      <c r="HM137" s="452" t="str">
        <f t="shared" si="207"/>
        <v/>
      </c>
      <c r="HN137" s="453" t="str">
        <f t="shared" si="207"/>
        <v/>
      </c>
      <c r="HO137" s="451" t="str">
        <f t="shared" si="207"/>
        <v/>
      </c>
      <c r="HP137" s="452" t="str">
        <f t="shared" si="207"/>
        <v/>
      </c>
      <c r="HQ137" s="452" t="str">
        <f t="shared" si="207"/>
        <v/>
      </c>
      <c r="HR137" s="452" t="str">
        <f t="shared" si="207"/>
        <v/>
      </c>
      <c r="HS137" s="453" t="str">
        <f t="shared" si="207"/>
        <v/>
      </c>
      <c r="HT137" s="451" t="str">
        <f t="shared" si="207"/>
        <v/>
      </c>
      <c r="HU137" s="452" t="str">
        <f t="shared" si="207"/>
        <v/>
      </c>
      <c r="HV137" s="452" t="str">
        <f t="shared" si="190"/>
        <v/>
      </c>
      <c r="HW137" s="452" t="str">
        <f t="shared" si="190"/>
        <v/>
      </c>
      <c r="HX137" s="453" t="str">
        <f t="shared" si="190"/>
        <v/>
      </c>
      <c r="HY137" s="451" t="str">
        <f t="shared" si="190"/>
        <v/>
      </c>
      <c r="HZ137" s="452" t="str">
        <f t="shared" si="190"/>
        <v/>
      </c>
      <c r="IA137" s="452" t="str">
        <f t="shared" si="190"/>
        <v/>
      </c>
      <c r="IB137" s="452" t="str">
        <f t="shared" si="190"/>
        <v/>
      </c>
      <c r="IC137" s="453" t="str">
        <f t="shared" si="190"/>
        <v/>
      </c>
      <c r="ID137" s="451" t="str">
        <f t="shared" si="190"/>
        <v/>
      </c>
      <c r="IE137" s="452" t="str">
        <f t="shared" si="190"/>
        <v/>
      </c>
      <c r="IF137" s="452" t="str">
        <f t="shared" si="190"/>
        <v/>
      </c>
      <c r="IG137" s="452" t="str">
        <f t="shared" si="190"/>
        <v/>
      </c>
      <c r="IH137" s="453" t="str">
        <f t="shared" si="190"/>
        <v/>
      </c>
      <c r="II137" s="451" t="str">
        <f t="shared" si="190"/>
        <v/>
      </c>
      <c r="IJ137" s="452" t="str">
        <f t="shared" si="190"/>
        <v/>
      </c>
      <c r="IK137" s="452" t="str">
        <f t="shared" si="190"/>
        <v/>
      </c>
      <c r="IL137" s="452" t="str">
        <f t="shared" si="191"/>
        <v/>
      </c>
      <c r="IM137" s="453" t="str">
        <f t="shared" si="191"/>
        <v/>
      </c>
      <c r="IN137" s="451" t="str">
        <f t="shared" si="191"/>
        <v/>
      </c>
      <c r="IO137" s="452" t="str">
        <f t="shared" si="191"/>
        <v/>
      </c>
      <c r="IP137" s="452" t="str">
        <f t="shared" si="191"/>
        <v/>
      </c>
      <c r="IQ137" s="452" t="str">
        <f t="shared" si="191"/>
        <v/>
      </c>
      <c r="IR137" s="453" t="str">
        <f t="shared" si="191"/>
        <v/>
      </c>
    </row>
    <row r="138" spans="1:252" x14ac:dyDescent="0.2">
      <c r="A138" s="461">
        <v>13.2</v>
      </c>
      <c r="C138" s="447" t="s">
        <v>1352</v>
      </c>
      <c r="D138" s="447"/>
      <c r="E138" s="448"/>
      <c r="F138" s="448"/>
      <c r="G138" s="448"/>
      <c r="H138" s="448"/>
      <c r="I138" s="448"/>
      <c r="J138" s="449" t="str">
        <f t="shared" si="208"/>
        <v/>
      </c>
      <c r="K138" s="449" t="str">
        <f t="shared" si="209"/>
        <v/>
      </c>
      <c r="L138" s="450">
        <f t="shared" si="206"/>
        <v>0</v>
      </c>
      <c r="M138" s="451" t="str">
        <f t="shared" si="186"/>
        <v/>
      </c>
      <c r="N138" s="452" t="str">
        <f t="shared" si="186"/>
        <v/>
      </c>
      <c r="O138" s="452" t="str">
        <f t="shared" si="186"/>
        <v/>
      </c>
      <c r="P138" s="452" t="str">
        <f t="shared" si="186"/>
        <v/>
      </c>
      <c r="Q138" s="453" t="str">
        <f t="shared" si="186"/>
        <v/>
      </c>
      <c r="R138" s="451" t="str">
        <f t="shared" si="186"/>
        <v/>
      </c>
      <c r="S138" s="452" t="str">
        <f t="shared" si="186"/>
        <v/>
      </c>
      <c r="T138" s="452" t="str">
        <f t="shared" si="186"/>
        <v/>
      </c>
      <c r="U138" s="452" t="str">
        <f t="shared" si="186"/>
        <v/>
      </c>
      <c r="V138" s="453" t="str">
        <f t="shared" si="186"/>
        <v/>
      </c>
      <c r="W138" s="451" t="str">
        <f t="shared" si="186"/>
        <v/>
      </c>
      <c r="X138" s="452" t="str">
        <f t="shared" si="186"/>
        <v/>
      </c>
      <c r="Y138" s="452" t="str">
        <f t="shared" si="186"/>
        <v/>
      </c>
      <c r="Z138" s="452" t="str">
        <f t="shared" si="186"/>
        <v/>
      </c>
      <c r="AA138" s="453" t="str">
        <f t="shared" si="186"/>
        <v/>
      </c>
      <c r="AB138" s="451" t="str">
        <f t="shared" si="186"/>
        <v/>
      </c>
      <c r="AC138" s="452" t="str">
        <f t="shared" si="196"/>
        <v/>
      </c>
      <c r="AD138" s="452" t="str">
        <f t="shared" si="196"/>
        <v/>
      </c>
      <c r="AE138" s="452" t="str">
        <f t="shared" si="196"/>
        <v/>
      </c>
      <c r="AF138" s="453" t="str">
        <f t="shared" si="196"/>
        <v/>
      </c>
      <c r="AG138" s="451" t="str">
        <f t="shared" si="196"/>
        <v/>
      </c>
      <c r="AH138" s="452" t="str">
        <f t="shared" si="196"/>
        <v/>
      </c>
      <c r="AI138" s="452" t="str">
        <f t="shared" si="196"/>
        <v/>
      </c>
      <c r="AJ138" s="452" t="str">
        <f t="shared" si="196"/>
        <v/>
      </c>
      <c r="AK138" s="453" t="str">
        <f t="shared" si="196"/>
        <v/>
      </c>
      <c r="AL138" s="451" t="str">
        <f t="shared" si="196"/>
        <v/>
      </c>
      <c r="AM138" s="452" t="str">
        <f t="shared" si="196"/>
        <v/>
      </c>
      <c r="AN138" s="452" t="str">
        <f t="shared" si="196"/>
        <v/>
      </c>
      <c r="AO138" s="452" t="str">
        <f t="shared" si="196"/>
        <v/>
      </c>
      <c r="AP138" s="453" t="str">
        <f t="shared" si="196"/>
        <v/>
      </c>
      <c r="AQ138" s="451" t="str">
        <f t="shared" si="196"/>
        <v/>
      </c>
      <c r="AR138" s="452" t="str">
        <f t="shared" si="196"/>
        <v/>
      </c>
      <c r="AS138" s="452" t="str">
        <f t="shared" si="193"/>
        <v/>
      </c>
      <c r="AT138" s="452" t="str">
        <f t="shared" si="193"/>
        <v/>
      </c>
      <c r="AU138" s="453" t="str">
        <f t="shared" si="193"/>
        <v/>
      </c>
      <c r="AV138" s="451" t="str">
        <f t="shared" si="193"/>
        <v/>
      </c>
      <c r="AW138" s="452" t="str">
        <f t="shared" si="193"/>
        <v/>
      </c>
      <c r="AX138" s="452" t="str">
        <f t="shared" si="193"/>
        <v/>
      </c>
      <c r="AY138" s="452" t="str">
        <f t="shared" si="193"/>
        <v/>
      </c>
      <c r="AZ138" s="453" t="str">
        <f t="shared" si="193"/>
        <v/>
      </c>
      <c r="BA138" s="451" t="str">
        <f t="shared" si="193"/>
        <v/>
      </c>
      <c r="BB138" s="452" t="str">
        <f t="shared" si="193"/>
        <v/>
      </c>
      <c r="BC138" s="452" t="str">
        <f t="shared" si="193"/>
        <v/>
      </c>
      <c r="BD138" s="452" t="str">
        <f t="shared" si="193"/>
        <v/>
      </c>
      <c r="BE138" s="453" t="str">
        <f t="shared" si="193"/>
        <v/>
      </c>
      <c r="BF138" s="451" t="str">
        <f t="shared" si="193"/>
        <v/>
      </c>
      <c r="BG138" s="452" t="str">
        <f t="shared" si="193"/>
        <v/>
      </c>
      <c r="BH138" s="452" t="str">
        <f t="shared" si="193"/>
        <v/>
      </c>
      <c r="BI138" s="452" t="str">
        <f t="shared" si="205"/>
        <v/>
      </c>
      <c r="BJ138" s="453" t="str">
        <f t="shared" si="205"/>
        <v/>
      </c>
      <c r="BK138" s="451" t="str">
        <f t="shared" si="205"/>
        <v/>
      </c>
      <c r="BL138" s="452" t="str">
        <f t="shared" si="205"/>
        <v/>
      </c>
      <c r="BM138" s="452" t="str">
        <f t="shared" si="205"/>
        <v/>
      </c>
      <c r="BN138" s="452" t="str">
        <f t="shared" si="205"/>
        <v/>
      </c>
      <c r="BO138" s="453" t="str">
        <f t="shared" si="205"/>
        <v/>
      </c>
      <c r="BP138" s="451" t="str">
        <f t="shared" si="205"/>
        <v/>
      </c>
      <c r="BQ138" s="452" t="str">
        <f t="shared" si="205"/>
        <v/>
      </c>
      <c r="BR138" s="452" t="str">
        <f t="shared" si="205"/>
        <v/>
      </c>
      <c r="BS138" s="452" t="str">
        <f t="shared" si="205"/>
        <v/>
      </c>
      <c r="BT138" s="453" t="str">
        <f t="shared" si="205"/>
        <v/>
      </c>
      <c r="BU138" s="451" t="str">
        <f t="shared" si="205"/>
        <v/>
      </c>
      <c r="BV138" s="452" t="str">
        <f t="shared" si="205"/>
        <v/>
      </c>
      <c r="BW138" s="452" t="str">
        <f t="shared" si="205"/>
        <v/>
      </c>
      <c r="BX138" s="452" t="str">
        <f t="shared" si="194"/>
        <v/>
      </c>
      <c r="BY138" s="453" t="str">
        <f t="shared" si="194"/>
        <v/>
      </c>
      <c r="BZ138" s="451" t="str">
        <f t="shared" si="194"/>
        <v/>
      </c>
      <c r="CA138" s="452" t="str">
        <f t="shared" si="194"/>
        <v/>
      </c>
      <c r="CB138" s="452" t="str">
        <f t="shared" si="194"/>
        <v/>
      </c>
      <c r="CC138" s="452" t="str">
        <f t="shared" si="194"/>
        <v/>
      </c>
      <c r="CD138" s="453" t="str">
        <f t="shared" si="194"/>
        <v/>
      </c>
      <c r="CE138" s="451" t="str">
        <f t="shared" si="194"/>
        <v/>
      </c>
      <c r="CF138" s="452" t="str">
        <f t="shared" si="194"/>
        <v/>
      </c>
      <c r="CG138" s="452" t="str">
        <f t="shared" si="194"/>
        <v/>
      </c>
      <c r="CH138" s="452" t="str">
        <f t="shared" si="194"/>
        <v/>
      </c>
      <c r="CI138" s="453" t="str">
        <f t="shared" si="194"/>
        <v/>
      </c>
      <c r="CJ138" s="451" t="str">
        <f t="shared" si="194"/>
        <v/>
      </c>
      <c r="CK138" s="452" t="str">
        <f t="shared" si="194"/>
        <v/>
      </c>
      <c r="CL138" s="452" t="str">
        <f t="shared" si="194"/>
        <v/>
      </c>
      <c r="CM138" s="452" t="str">
        <f t="shared" si="194"/>
        <v/>
      </c>
      <c r="CN138" s="453" t="str">
        <f t="shared" si="192"/>
        <v/>
      </c>
      <c r="CO138" s="451" t="str">
        <f t="shared" si="192"/>
        <v/>
      </c>
      <c r="CP138" s="452" t="str">
        <f t="shared" si="192"/>
        <v/>
      </c>
      <c r="CQ138" s="452" t="str">
        <f t="shared" si="192"/>
        <v/>
      </c>
      <c r="CR138" s="452" t="str">
        <f t="shared" si="192"/>
        <v/>
      </c>
      <c r="CS138" s="453" t="str">
        <f t="shared" si="192"/>
        <v/>
      </c>
      <c r="CT138" s="451" t="str">
        <f t="shared" si="192"/>
        <v/>
      </c>
      <c r="CU138" s="452" t="str">
        <f t="shared" si="192"/>
        <v/>
      </c>
      <c r="CV138" s="452" t="str">
        <f t="shared" si="192"/>
        <v/>
      </c>
      <c r="CW138" s="452" t="str">
        <f t="shared" si="192"/>
        <v/>
      </c>
      <c r="CX138" s="453" t="str">
        <f t="shared" si="192"/>
        <v/>
      </c>
      <c r="CY138" s="451" t="str">
        <f t="shared" si="192"/>
        <v/>
      </c>
      <c r="CZ138" s="452" t="str">
        <f t="shared" si="192"/>
        <v/>
      </c>
      <c r="DA138" s="452" t="str">
        <f t="shared" si="192"/>
        <v/>
      </c>
      <c r="DB138" s="452" t="str">
        <f t="shared" si="192"/>
        <v/>
      </c>
      <c r="DC138" s="453" t="str">
        <f t="shared" si="192"/>
        <v/>
      </c>
      <c r="DD138" s="451" t="str">
        <f t="shared" si="197"/>
        <v/>
      </c>
      <c r="DE138" s="452" t="str">
        <f t="shared" si="197"/>
        <v/>
      </c>
      <c r="DF138" s="452" t="str">
        <f t="shared" si="197"/>
        <v/>
      </c>
      <c r="DG138" s="452" t="str">
        <f t="shared" si="197"/>
        <v/>
      </c>
      <c r="DH138" s="453" t="str">
        <f t="shared" si="197"/>
        <v/>
      </c>
      <c r="DI138" s="451" t="str">
        <f t="shared" si="197"/>
        <v/>
      </c>
      <c r="DJ138" s="452" t="str">
        <f t="shared" si="197"/>
        <v/>
      </c>
      <c r="DK138" s="452" t="str">
        <f t="shared" si="197"/>
        <v/>
      </c>
      <c r="DL138" s="452" t="str">
        <f t="shared" si="197"/>
        <v/>
      </c>
      <c r="DM138" s="453" t="str">
        <f t="shared" si="197"/>
        <v/>
      </c>
      <c r="DN138" s="451" t="str">
        <f t="shared" si="197"/>
        <v/>
      </c>
      <c r="DO138" s="452" t="str">
        <f t="shared" si="197"/>
        <v/>
      </c>
      <c r="DP138" s="452" t="str">
        <f t="shared" si="197"/>
        <v/>
      </c>
      <c r="DQ138" s="452" t="str">
        <f t="shared" si="197"/>
        <v/>
      </c>
      <c r="DR138" s="453" t="str">
        <f t="shared" si="197"/>
        <v/>
      </c>
      <c r="DS138" s="451" t="str">
        <f t="shared" si="195"/>
        <v/>
      </c>
      <c r="DT138" s="452" t="str">
        <f t="shared" si="195"/>
        <v/>
      </c>
      <c r="DU138" s="452" t="str">
        <f t="shared" si="195"/>
        <v/>
      </c>
      <c r="DV138" s="452" t="str">
        <f t="shared" si="195"/>
        <v/>
      </c>
      <c r="DW138" s="453" t="str">
        <f t="shared" si="195"/>
        <v/>
      </c>
      <c r="DX138" s="451" t="str">
        <f t="shared" si="195"/>
        <v/>
      </c>
      <c r="DY138" s="452" t="str">
        <f t="shared" si="195"/>
        <v/>
      </c>
      <c r="DZ138" s="452" t="str">
        <f t="shared" si="195"/>
        <v/>
      </c>
      <c r="EA138" s="452" t="str">
        <f t="shared" si="195"/>
        <v/>
      </c>
      <c r="EB138" s="453" t="str">
        <f t="shared" si="195"/>
        <v/>
      </c>
      <c r="EC138" s="451" t="str">
        <f t="shared" si="195"/>
        <v/>
      </c>
      <c r="ED138" s="452" t="str">
        <f t="shared" si="195"/>
        <v/>
      </c>
      <c r="EE138" s="452" t="str">
        <f t="shared" si="195"/>
        <v/>
      </c>
      <c r="EF138" s="452" t="str">
        <f t="shared" si="195"/>
        <v/>
      </c>
      <c r="EG138" s="453" t="str">
        <f t="shared" si="195"/>
        <v/>
      </c>
      <c r="EH138" s="451" t="str">
        <f t="shared" si="195"/>
        <v/>
      </c>
      <c r="EI138" s="452" t="str">
        <f t="shared" si="201"/>
        <v/>
      </c>
      <c r="EJ138" s="452" t="str">
        <f t="shared" si="201"/>
        <v/>
      </c>
      <c r="EK138" s="452" t="str">
        <f t="shared" si="201"/>
        <v/>
      </c>
      <c r="EL138" s="453" t="str">
        <f t="shared" si="201"/>
        <v/>
      </c>
      <c r="EM138" s="451" t="str">
        <f t="shared" si="201"/>
        <v/>
      </c>
      <c r="EN138" s="452" t="str">
        <f t="shared" si="201"/>
        <v/>
      </c>
      <c r="EO138" s="452" t="str">
        <f t="shared" si="201"/>
        <v/>
      </c>
      <c r="EP138" s="452" t="str">
        <f t="shared" si="201"/>
        <v/>
      </c>
      <c r="EQ138" s="453" t="str">
        <f t="shared" si="201"/>
        <v/>
      </c>
      <c r="ER138" s="451" t="str">
        <f t="shared" si="201"/>
        <v/>
      </c>
      <c r="ES138" s="452" t="str">
        <f t="shared" si="201"/>
        <v/>
      </c>
      <c r="ET138" s="452" t="str">
        <f t="shared" si="201"/>
        <v/>
      </c>
      <c r="EU138" s="452" t="str">
        <f t="shared" si="201"/>
        <v/>
      </c>
      <c r="EV138" s="453" t="str">
        <f t="shared" si="201"/>
        <v/>
      </c>
      <c r="EW138" s="451" t="str">
        <f t="shared" si="201"/>
        <v/>
      </c>
      <c r="EX138" s="452" t="str">
        <f t="shared" si="201"/>
        <v/>
      </c>
      <c r="EY138" s="452" t="str">
        <f t="shared" si="202"/>
        <v/>
      </c>
      <c r="EZ138" s="452" t="str">
        <f t="shared" si="202"/>
        <v/>
      </c>
      <c r="FA138" s="453" t="str">
        <f t="shared" si="202"/>
        <v/>
      </c>
      <c r="FB138" s="451" t="str">
        <f t="shared" si="202"/>
        <v/>
      </c>
      <c r="FC138" s="452" t="str">
        <f t="shared" si="202"/>
        <v/>
      </c>
      <c r="FD138" s="452" t="str">
        <f t="shared" si="202"/>
        <v/>
      </c>
      <c r="FE138" s="452" t="str">
        <f t="shared" si="202"/>
        <v/>
      </c>
      <c r="FF138" s="453" t="str">
        <f t="shared" si="202"/>
        <v/>
      </c>
      <c r="FG138" s="451" t="str">
        <f t="shared" si="202"/>
        <v/>
      </c>
      <c r="FH138" s="452" t="str">
        <f t="shared" si="202"/>
        <v/>
      </c>
      <c r="FI138" s="452" t="str">
        <f t="shared" si="202"/>
        <v/>
      </c>
      <c r="FJ138" s="452" t="str">
        <f t="shared" si="202"/>
        <v/>
      </c>
      <c r="FK138" s="453" t="str">
        <f t="shared" si="202"/>
        <v/>
      </c>
      <c r="FL138" s="451" t="str">
        <f t="shared" si="202"/>
        <v/>
      </c>
      <c r="FM138" s="452" t="str">
        <f t="shared" si="202"/>
        <v/>
      </c>
      <c r="FN138" s="452" t="str">
        <f t="shared" si="202"/>
        <v/>
      </c>
      <c r="FO138" s="452" t="str">
        <f t="shared" si="200"/>
        <v/>
      </c>
      <c r="FP138" s="453" t="str">
        <f t="shared" si="200"/>
        <v/>
      </c>
      <c r="FQ138" s="451" t="str">
        <f t="shared" si="185"/>
        <v/>
      </c>
      <c r="FR138" s="452" t="str">
        <f t="shared" si="185"/>
        <v/>
      </c>
      <c r="FS138" s="452" t="str">
        <f t="shared" si="185"/>
        <v/>
      </c>
      <c r="FT138" s="452" t="str">
        <f t="shared" si="185"/>
        <v/>
      </c>
      <c r="FU138" s="453" t="str">
        <f t="shared" si="185"/>
        <v/>
      </c>
      <c r="FV138" s="451" t="str">
        <f t="shared" si="185"/>
        <v/>
      </c>
      <c r="FW138" s="452" t="str">
        <f t="shared" si="185"/>
        <v/>
      </c>
      <c r="FX138" s="452" t="str">
        <f t="shared" si="185"/>
        <v/>
      </c>
      <c r="FY138" s="452" t="str">
        <f t="shared" si="185"/>
        <v/>
      </c>
      <c r="FZ138" s="453" t="str">
        <f t="shared" si="185"/>
        <v/>
      </c>
      <c r="GA138" s="451" t="str">
        <f t="shared" si="185"/>
        <v/>
      </c>
      <c r="GB138" s="452" t="str">
        <f t="shared" si="185"/>
        <v/>
      </c>
      <c r="GC138" s="452" t="str">
        <f t="shared" si="185"/>
        <v/>
      </c>
      <c r="GD138" s="452" t="str">
        <f t="shared" si="185"/>
        <v/>
      </c>
      <c r="GE138" s="453" t="str">
        <f t="shared" si="185"/>
        <v/>
      </c>
      <c r="GF138" s="451" t="str">
        <f t="shared" si="185"/>
        <v/>
      </c>
      <c r="GG138" s="452" t="str">
        <f t="shared" si="203"/>
        <v/>
      </c>
      <c r="GH138" s="452" t="str">
        <f t="shared" si="203"/>
        <v/>
      </c>
      <c r="GI138" s="452" t="str">
        <f t="shared" si="203"/>
        <v/>
      </c>
      <c r="GJ138" s="453" t="str">
        <f t="shared" si="203"/>
        <v/>
      </c>
      <c r="GK138" s="451" t="str">
        <f t="shared" si="203"/>
        <v/>
      </c>
      <c r="GL138" s="452" t="str">
        <f t="shared" si="203"/>
        <v/>
      </c>
      <c r="GM138" s="452" t="str">
        <f t="shared" si="203"/>
        <v/>
      </c>
      <c r="GN138" s="452" t="str">
        <f t="shared" si="203"/>
        <v/>
      </c>
      <c r="GO138" s="453" t="str">
        <f t="shared" si="203"/>
        <v/>
      </c>
      <c r="GP138" s="451" t="str">
        <f t="shared" si="203"/>
        <v/>
      </c>
      <c r="GQ138" s="452" t="str">
        <f t="shared" si="203"/>
        <v/>
      </c>
      <c r="GR138" s="452" t="str">
        <f t="shared" si="203"/>
        <v/>
      </c>
      <c r="GS138" s="452" t="str">
        <f t="shared" si="203"/>
        <v/>
      </c>
      <c r="GT138" s="453" t="str">
        <f t="shared" si="203"/>
        <v/>
      </c>
      <c r="GU138" s="451" t="str">
        <f t="shared" si="203"/>
        <v/>
      </c>
      <c r="GV138" s="452" t="str">
        <f t="shared" si="203"/>
        <v/>
      </c>
      <c r="GW138" s="452" t="str">
        <f t="shared" si="198"/>
        <v/>
      </c>
      <c r="GX138" s="452" t="str">
        <f t="shared" si="198"/>
        <v/>
      </c>
      <c r="GY138" s="453" t="str">
        <f t="shared" si="198"/>
        <v/>
      </c>
      <c r="GZ138" s="451" t="str">
        <f t="shared" si="198"/>
        <v/>
      </c>
      <c r="HA138" s="452" t="str">
        <f t="shared" si="198"/>
        <v/>
      </c>
      <c r="HB138" s="452" t="str">
        <f t="shared" si="198"/>
        <v/>
      </c>
      <c r="HC138" s="452" t="str">
        <f t="shared" si="198"/>
        <v/>
      </c>
      <c r="HD138" s="453" t="str">
        <f t="shared" si="198"/>
        <v/>
      </c>
      <c r="HE138" s="451" t="str">
        <f t="shared" si="198"/>
        <v/>
      </c>
      <c r="HF138" s="452" t="str">
        <f t="shared" si="198"/>
        <v/>
      </c>
      <c r="HG138" s="452" t="str">
        <f t="shared" si="198"/>
        <v/>
      </c>
      <c r="HH138" s="452" t="str">
        <f t="shared" si="198"/>
        <v/>
      </c>
      <c r="HI138" s="453" t="str">
        <f t="shared" si="198"/>
        <v/>
      </c>
      <c r="HJ138" s="451" t="str">
        <f t="shared" si="198"/>
        <v/>
      </c>
      <c r="HK138" s="452" t="str">
        <f t="shared" si="198"/>
        <v/>
      </c>
      <c r="HL138" s="452" t="str">
        <f t="shared" si="207"/>
        <v/>
      </c>
      <c r="HM138" s="452" t="str">
        <f t="shared" si="207"/>
        <v/>
      </c>
      <c r="HN138" s="453" t="str">
        <f t="shared" si="207"/>
        <v/>
      </c>
      <c r="HO138" s="451" t="str">
        <f t="shared" si="207"/>
        <v/>
      </c>
      <c r="HP138" s="452" t="str">
        <f t="shared" si="207"/>
        <v/>
      </c>
      <c r="HQ138" s="452" t="str">
        <f t="shared" si="207"/>
        <v/>
      </c>
      <c r="HR138" s="452" t="str">
        <f t="shared" si="207"/>
        <v/>
      </c>
      <c r="HS138" s="453" t="str">
        <f t="shared" si="207"/>
        <v/>
      </c>
      <c r="HT138" s="451" t="str">
        <f t="shared" si="207"/>
        <v/>
      </c>
      <c r="HU138" s="452" t="str">
        <f t="shared" si="207"/>
        <v/>
      </c>
      <c r="HV138" s="452" t="str">
        <f t="shared" si="190"/>
        <v/>
      </c>
      <c r="HW138" s="452" t="str">
        <f t="shared" si="190"/>
        <v/>
      </c>
      <c r="HX138" s="453" t="str">
        <f t="shared" si="190"/>
        <v/>
      </c>
      <c r="HY138" s="451" t="str">
        <f t="shared" si="190"/>
        <v/>
      </c>
      <c r="HZ138" s="452" t="str">
        <f t="shared" si="190"/>
        <v/>
      </c>
      <c r="IA138" s="452" t="str">
        <f t="shared" si="190"/>
        <v/>
      </c>
      <c r="IB138" s="452" t="str">
        <f t="shared" si="190"/>
        <v/>
      </c>
      <c r="IC138" s="453" t="str">
        <f t="shared" si="190"/>
        <v/>
      </c>
      <c r="ID138" s="451" t="str">
        <f t="shared" si="190"/>
        <v/>
      </c>
      <c r="IE138" s="452" t="str">
        <f t="shared" si="190"/>
        <v/>
      </c>
      <c r="IF138" s="452" t="str">
        <f t="shared" si="190"/>
        <v/>
      </c>
      <c r="IG138" s="452" t="str">
        <f t="shared" si="190"/>
        <v/>
      </c>
      <c r="IH138" s="453" t="str">
        <f t="shared" si="190"/>
        <v/>
      </c>
      <c r="II138" s="451" t="str">
        <f t="shared" si="190"/>
        <v/>
      </c>
      <c r="IJ138" s="452" t="str">
        <f t="shared" si="190"/>
        <v/>
      </c>
      <c r="IK138" s="452" t="str">
        <f t="shared" si="190"/>
        <v/>
      </c>
      <c r="IL138" s="452" t="str">
        <f t="shared" si="191"/>
        <v/>
      </c>
      <c r="IM138" s="453" t="str">
        <f t="shared" si="191"/>
        <v/>
      </c>
      <c r="IN138" s="451" t="str">
        <f t="shared" si="191"/>
        <v/>
      </c>
      <c r="IO138" s="452" t="str">
        <f t="shared" si="191"/>
        <v/>
      </c>
      <c r="IP138" s="452" t="str">
        <f t="shared" si="191"/>
        <v/>
      </c>
      <c r="IQ138" s="452" t="str">
        <f t="shared" si="191"/>
        <v/>
      </c>
      <c r="IR138" s="453" t="str">
        <f t="shared" si="191"/>
        <v/>
      </c>
    </row>
    <row r="139" spans="1:252" x14ac:dyDescent="0.2">
      <c r="A139" s="461">
        <v>13.3</v>
      </c>
      <c r="C139" s="447" t="s">
        <v>1353</v>
      </c>
      <c r="D139" s="447"/>
      <c r="E139" s="448"/>
      <c r="F139" s="448"/>
      <c r="G139" s="448"/>
      <c r="H139" s="448"/>
      <c r="I139" s="448"/>
      <c r="J139" s="449" t="str">
        <f t="shared" si="208"/>
        <v/>
      </c>
      <c r="K139" s="449" t="str">
        <f t="shared" si="209"/>
        <v/>
      </c>
      <c r="L139" s="450">
        <f t="shared" si="206"/>
        <v>0</v>
      </c>
      <c r="M139" s="451" t="str">
        <f t="shared" si="186"/>
        <v/>
      </c>
      <c r="N139" s="452" t="str">
        <f t="shared" si="186"/>
        <v/>
      </c>
      <c r="O139" s="452" t="str">
        <f t="shared" si="186"/>
        <v/>
      </c>
      <c r="P139" s="452" t="str">
        <f t="shared" si="186"/>
        <v/>
      </c>
      <c r="Q139" s="453" t="str">
        <f t="shared" si="186"/>
        <v/>
      </c>
      <c r="R139" s="451" t="str">
        <f t="shared" si="186"/>
        <v/>
      </c>
      <c r="S139" s="452" t="str">
        <f t="shared" si="186"/>
        <v/>
      </c>
      <c r="T139" s="452" t="str">
        <f t="shared" si="186"/>
        <v/>
      </c>
      <c r="U139" s="452" t="str">
        <f t="shared" si="186"/>
        <v/>
      </c>
      <c r="V139" s="453" t="str">
        <f t="shared" si="186"/>
        <v/>
      </c>
      <c r="W139" s="451" t="str">
        <f t="shared" si="186"/>
        <v/>
      </c>
      <c r="X139" s="452" t="str">
        <f t="shared" si="186"/>
        <v/>
      </c>
      <c r="Y139" s="452" t="str">
        <f t="shared" si="186"/>
        <v/>
      </c>
      <c r="Z139" s="452" t="str">
        <f t="shared" si="186"/>
        <v/>
      </c>
      <c r="AA139" s="453" t="str">
        <f t="shared" si="186"/>
        <v/>
      </c>
      <c r="AB139" s="451" t="str">
        <f t="shared" ref="AB139" si="210">IF(AND(AB$2&gt;=$J139,AB$2&lt;=$K139),1,"")</f>
        <v/>
      </c>
      <c r="AC139" s="452" t="str">
        <f t="shared" si="196"/>
        <v/>
      </c>
      <c r="AD139" s="452" t="str">
        <f t="shared" si="196"/>
        <v/>
      </c>
      <c r="AE139" s="452" t="str">
        <f t="shared" si="196"/>
        <v/>
      </c>
      <c r="AF139" s="453" t="str">
        <f t="shared" si="196"/>
        <v/>
      </c>
      <c r="AG139" s="451" t="str">
        <f t="shared" si="196"/>
        <v/>
      </c>
      <c r="AH139" s="452" t="str">
        <f t="shared" si="196"/>
        <v/>
      </c>
      <c r="AI139" s="452" t="str">
        <f t="shared" si="196"/>
        <v/>
      </c>
      <c r="AJ139" s="452" t="str">
        <f t="shared" si="196"/>
        <v/>
      </c>
      <c r="AK139" s="453" t="str">
        <f t="shared" si="196"/>
        <v/>
      </c>
      <c r="AL139" s="451" t="str">
        <f t="shared" si="196"/>
        <v/>
      </c>
      <c r="AM139" s="452" t="str">
        <f t="shared" si="196"/>
        <v/>
      </c>
      <c r="AN139" s="452" t="str">
        <f t="shared" si="196"/>
        <v/>
      </c>
      <c r="AO139" s="452" t="str">
        <f t="shared" si="196"/>
        <v/>
      </c>
      <c r="AP139" s="453" t="str">
        <f t="shared" si="196"/>
        <v/>
      </c>
      <c r="AQ139" s="451" t="str">
        <f t="shared" si="196"/>
        <v/>
      </c>
      <c r="AR139" s="452" t="str">
        <f t="shared" si="196"/>
        <v/>
      </c>
      <c r="AS139" s="452" t="str">
        <f t="shared" si="193"/>
        <v/>
      </c>
      <c r="AT139" s="452" t="str">
        <f t="shared" si="193"/>
        <v/>
      </c>
      <c r="AU139" s="453" t="str">
        <f t="shared" si="193"/>
        <v/>
      </c>
      <c r="AV139" s="451" t="str">
        <f t="shared" si="193"/>
        <v/>
      </c>
      <c r="AW139" s="452" t="str">
        <f t="shared" si="193"/>
        <v/>
      </c>
      <c r="AX139" s="452" t="str">
        <f t="shared" si="193"/>
        <v/>
      </c>
      <c r="AY139" s="452" t="str">
        <f t="shared" si="193"/>
        <v/>
      </c>
      <c r="AZ139" s="453" t="str">
        <f t="shared" si="193"/>
        <v/>
      </c>
      <c r="BA139" s="451" t="str">
        <f t="shared" si="193"/>
        <v/>
      </c>
      <c r="BB139" s="452" t="str">
        <f t="shared" si="193"/>
        <v/>
      </c>
      <c r="BC139" s="452" t="str">
        <f t="shared" si="193"/>
        <v/>
      </c>
      <c r="BD139" s="452" t="str">
        <f t="shared" si="193"/>
        <v/>
      </c>
      <c r="BE139" s="453" t="str">
        <f t="shared" si="193"/>
        <v/>
      </c>
      <c r="BF139" s="451" t="str">
        <f t="shared" si="193"/>
        <v/>
      </c>
      <c r="BG139" s="452" t="str">
        <f t="shared" si="193"/>
        <v/>
      </c>
      <c r="BH139" s="452" t="str">
        <f t="shared" si="193"/>
        <v/>
      </c>
      <c r="BI139" s="452" t="str">
        <f t="shared" si="205"/>
        <v/>
      </c>
      <c r="BJ139" s="453" t="str">
        <f t="shared" si="205"/>
        <v/>
      </c>
      <c r="BK139" s="451" t="str">
        <f t="shared" si="205"/>
        <v/>
      </c>
      <c r="BL139" s="452" t="str">
        <f t="shared" si="205"/>
        <v/>
      </c>
      <c r="BM139" s="452" t="str">
        <f t="shared" si="205"/>
        <v/>
      </c>
      <c r="BN139" s="452" t="str">
        <f t="shared" si="205"/>
        <v/>
      </c>
      <c r="BO139" s="453" t="str">
        <f t="shared" si="205"/>
        <v/>
      </c>
      <c r="BP139" s="451" t="str">
        <f t="shared" si="205"/>
        <v/>
      </c>
      <c r="BQ139" s="452" t="str">
        <f t="shared" si="205"/>
        <v/>
      </c>
      <c r="BR139" s="452" t="str">
        <f t="shared" si="205"/>
        <v/>
      </c>
      <c r="BS139" s="452" t="str">
        <f t="shared" si="205"/>
        <v/>
      </c>
      <c r="BT139" s="453" t="str">
        <f t="shared" si="205"/>
        <v/>
      </c>
      <c r="BU139" s="451" t="str">
        <f t="shared" si="205"/>
        <v/>
      </c>
      <c r="BV139" s="452" t="str">
        <f t="shared" si="205"/>
        <v/>
      </c>
      <c r="BW139" s="452" t="str">
        <f t="shared" si="205"/>
        <v/>
      </c>
      <c r="BX139" s="452" t="str">
        <f t="shared" si="194"/>
        <v/>
      </c>
      <c r="BY139" s="453" t="str">
        <f t="shared" si="194"/>
        <v/>
      </c>
      <c r="BZ139" s="451" t="str">
        <f t="shared" si="194"/>
        <v/>
      </c>
      <c r="CA139" s="452" t="str">
        <f t="shared" si="194"/>
        <v/>
      </c>
      <c r="CB139" s="452" t="str">
        <f t="shared" si="194"/>
        <v/>
      </c>
      <c r="CC139" s="452" t="str">
        <f t="shared" si="194"/>
        <v/>
      </c>
      <c r="CD139" s="453" t="str">
        <f t="shared" si="194"/>
        <v/>
      </c>
      <c r="CE139" s="451" t="str">
        <f t="shared" si="194"/>
        <v/>
      </c>
      <c r="CF139" s="452" t="str">
        <f t="shared" si="194"/>
        <v/>
      </c>
      <c r="CG139" s="452" t="str">
        <f t="shared" si="194"/>
        <v/>
      </c>
      <c r="CH139" s="452" t="str">
        <f t="shared" si="194"/>
        <v/>
      </c>
      <c r="CI139" s="453" t="str">
        <f t="shared" si="194"/>
        <v/>
      </c>
      <c r="CJ139" s="451" t="str">
        <f t="shared" si="194"/>
        <v/>
      </c>
      <c r="CK139" s="452" t="str">
        <f t="shared" si="194"/>
        <v/>
      </c>
      <c r="CL139" s="452" t="str">
        <f t="shared" si="194"/>
        <v/>
      </c>
      <c r="CM139" s="452" t="str">
        <f t="shared" si="194"/>
        <v/>
      </c>
      <c r="CN139" s="453" t="str">
        <f t="shared" si="192"/>
        <v/>
      </c>
      <c r="CO139" s="451" t="str">
        <f t="shared" si="192"/>
        <v/>
      </c>
      <c r="CP139" s="452" t="str">
        <f t="shared" si="192"/>
        <v/>
      </c>
      <c r="CQ139" s="452" t="str">
        <f t="shared" si="192"/>
        <v/>
      </c>
      <c r="CR139" s="452" t="str">
        <f t="shared" si="192"/>
        <v/>
      </c>
      <c r="CS139" s="453" t="str">
        <f t="shared" si="192"/>
        <v/>
      </c>
      <c r="CT139" s="451" t="str">
        <f t="shared" si="192"/>
        <v/>
      </c>
      <c r="CU139" s="452" t="str">
        <f t="shared" si="192"/>
        <v/>
      </c>
      <c r="CV139" s="452" t="str">
        <f t="shared" si="192"/>
        <v/>
      </c>
      <c r="CW139" s="452" t="str">
        <f t="shared" si="192"/>
        <v/>
      </c>
      <c r="CX139" s="453" t="str">
        <f t="shared" si="192"/>
        <v/>
      </c>
      <c r="CY139" s="451" t="str">
        <f t="shared" si="192"/>
        <v/>
      </c>
      <c r="CZ139" s="452" t="str">
        <f t="shared" si="192"/>
        <v/>
      </c>
      <c r="DA139" s="452" t="str">
        <f t="shared" si="192"/>
        <v/>
      </c>
      <c r="DB139" s="452" t="str">
        <f t="shared" si="192"/>
        <v/>
      </c>
      <c r="DC139" s="453" t="str">
        <f t="shared" si="192"/>
        <v/>
      </c>
      <c r="DD139" s="451" t="str">
        <f t="shared" si="197"/>
        <v/>
      </c>
      <c r="DE139" s="452" t="str">
        <f t="shared" si="197"/>
        <v/>
      </c>
      <c r="DF139" s="452" t="str">
        <f t="shared" si="197"/>
        <v/>
      </c>
      <c r="DG139" s="452" t="str">
        <f t="shared" si="197"/>
        <v/>
      </c>
      <c r="DH139" s="453" t="str">
        <f t="shared" si="197"/>
        <v/>
      </c>
      <c r="DI139" s="451" t="str">
        <f t="shared" si="197"/>
        <v/>
      </c>
      <c r="DJ139" s="452" t="str">
        <f t="shared" si="197"/>
        <v/>
      </c>
      <c r="DK139" s="452" t="str">
        <f t="shared" si="197"/>
        <v/>
      </c>
      <c r="DL139" s="452" t="str">
        <f t="shared" si="197"/>
        <v/>
      </c>
      <c r="DM139" s="453" t="str">
        <f t="shared" si="197"/>
        <v/>
      </c>
      <c r="DN139" s="451" t="str">
        <f t="shared" si="197"/>
        <v/>
      </c>
      <c r="DO139" s="452" t="str">
        <f t="shared" si="197"/>
        <v/>
      </c>
      <c r="DP139" s="452" t="str">
        <f t="shared" si="197"/>
        <v/>
      </c>
      <c r="DQ139" s="452" t="str">
        <f t="shared" si="197"/>
        <v/>
      </c>
      <c r="DR139" s="453" t="str">
        <f t="shared" si="197"/>
        <v/>
      </c>
      <c r="DS139" s="451" t="str">
        <f t="shared" si="195"/>
        <v/>
      </c>
      <c r="DT139" s="452" t="str">
        <f t="shared" si="195"/>
        <v/>
      </c>
      <c r="DU139" s="452" t="str">
        <f t="shared" si="195"/>
        <v/>
      </c>
      <c r="DV139" s="452" t="str">
        <f t="shared" si="195"/>
        <v/>
      </c>
      <c r="DW139" s="453" t="str">
        <f t="shared" si="195"/>
        <v/>
      </c>
      <c r="DX139" s="451" t="str">
        <f t="shared" si="195"/>
        <v/>
      </c>
      <c r="DY139" s="452" t="str">
        <f t="shared" si="195"/>
        <v/>
      </c>
      <c r="DZ139" s="452" t="str">
        <f t="shared" si="195"/>
        <v/>
      </c>
      <c r="EA139" s="452" t="str">
        <f t="shared" si="195"/>
        <v/>
      </c>
      <c r="EB139" s="453" t="str">
        <f t="shared" si="195"/>
        <v/>
      </c>
      <c r="EC139" s="451" t="str">
        <f t="shared" si="195"/>
        <v/>
      </c>
      <c r="ED139" s="452" t="str">
        <f t="shared" si="195"/>
        <v/>
      </c>
      <c r="EE139" s="452" t="str">
        <f t="shared" si="195"/>
        <v/>
      </c>
      <c r="EF139" s="452" t="str">
        <f t="shared" si="195"/>
        <v/>
      </c>
      <c r="EG139" s="453" t="str">
        <f t="shared" si="195"/>
        <v/>
      </c>
      <c r="EH139" s="451" t="str">
        <f t="shared" si="195"/>
        <v/>
      </c>
      <c r="EI139" s="452" t="str">
        <f t="shared" si="201"/>
        <v/>
      </c>
      <c r="EJ139" s="452" t="str">
        <f t="shared" si="201"/>
        <v/>
      </c>
      <c r="EK139" s="452" t="str">
        <f t="shared" si="201"/>
        <v/>
      </c>
      <c r="EL139" s="453" t="str">
        <f t="shared" si="201"/>
        <v/>
      </c>
      <c r="EM139" s="451" t="str">
        <f t="shared" si="201"/>
        <v/>
      </c>
      <c r="EN139" s="452" t="str">
        <f t="shared" si="201"/>
        <v/>
      </c>
      <c r="EO139" s="452" t="str">
        <f t="shared" si="201"/>
        <v/>
      </c>
      <c r="EP139" s="452" t="str">
        <f t="shared" si="201"/>
        <v/>
      </c>
      <c r="EQ139" s="453" t="str">
        <f t="shared" si="201"/>
        <v/>
      </c>
      <c r="ER139" s="451" t="str">
        <f t="shared" si="201"/>
        <v/>
      </c>
      <c r="ES139" s="452" t="str">
        <f t="shared" si="201"/>
        <v/>
      </c>
      <c r="ET139" s="452" t="str">
        <f t="shared" si="201"/>
        <v/>
      </c>
      <c r="EU139" s="452" t="str">
        <f t="shared" si="201"/>
        <v/>
      </c>
      <c r="EV139" s="453" t="str">
        <f t="shared" si="201"/>
        <v/>
      </c>
      <c r="EW139" s="451" t="str">
        <f t="shared" si="201"/>
        <v/>
      </c>
      <c r="EX139" s="452" t="str">
        <f t="shared" si="201"/>
        <v/>
      </c>
      <c r="EY139" s="452" t="str">
        <f t="shared" si="202"/>
        <v/>
      </c>
      <c r="EZ139" s="452" t="str">
        <f t="shared" si="202"/>
        <v/>
      </c>
      <c r="FA139" s="453" t="str">
        <f t="shared" si="202"/>
        <v/>
      </c>
      <c r="FB139" s="451" t="str">
        <f t="shared" si="202"/>
        <v/>
      </c>
      <c r="FC139" s="452" t="str">
        <f t="shared" si="202"/>
        <v/>
      </c>
      <c r="FD139" s="452" t="str">
        <f t="shared" si="202"/>
        <v/>
      </c>
      <c r="FE139" s="452" t="str">
        <f t="shared" si="202"/>
        <v/>
      </c>
      <c r="FF139" s="453" t="str">
        <f t="shared" si="202"/>
        <v/>
      </c>
      <c r="FG139" s="451" t="str">
        <f t="shared" si="202"/>
        <v/>
      </c>
      <c r="FH139" s="452" t="str">
        <f t="shared" si="202"/>
        <v/>
      </c>
      <c r="FI139" s="452" t="str">
        <f t="shared" si="202"/>
        <v/>
      </c>
      <c r="FJ139" s="452" t="str">
        <f t="shared" si="202"/>
        <v/>
      </c>
      <c r="FK139" s="453" t="str">
        <f t="shared" si="202"/>
        <v/>
      </c>
      <c r="FL139" s="451" t="str">
        <f t="shared" si="202"/>
        <v/>
      </c>
      <c r="FM139" s="452" t="str">
        <f t="shared" si="202"/>
        <v/>
      </c>
      <c r="FN139" s="452" t="str">
        <f t="shared" si="202"/>
        <v/>
      </c>
      <c r="FO139" s="452" t="str">
        <f t="shared" si="200"/>
        <v/>
      </c>
      <c r="FP139" s="453" t="str">
        <f t="shared" si="200"/>
        <v/>
      </c>
      <c r="FQ139" s="451" t="str">
        <f t="shared" si="200"/>
        <v/>
      </c>
      <c r="FR139" s="452" t="str">
        <f t="shared" si="200"/>
        <v/>
      </c>
      <c r="FS139" s="452" t="str">
        <f t="shared" si="200"/>
        <v/>
      </c>
      <c r="FT139" s="452" t="str">
        <f t="shared" si="200"/>
        <v/>
      </c>
      <c r="FU139" s="453" t="str">
        <f t="shared" si="200"/>
        <v/>
      </c>
      <c r="FV139" s="451" t="str">
        <f t="shared" si="200"/>
        <v/>
      </c>
      <c r="FW139" s="452" t="str">
        <f t="shared" si="200"/>
        <v/>
      </c>
      <c r="FX139" s="452" t="str">
        <f t="shared" si="200"/>
        <v/>
      </c>
      <c r="FY139" s="452" t="str">
        <f t="shared" si="200"/>
        <v/>
      </c>
      <c r="FZ139" s="453" t="str">
        <f t="shared" si="200"/>
        <v/>
      </c>
      <c r="GA139" s="451" t="str">
        <f t="shared" si="200"/>
        <v/>
      </c>
      <c r="GB139" s="452" t="str">
        <f t="shared" si="200"/>
        <v/>
      </c>
      <c r="GC139" s="452" t="str">
        <f t="shared" si="200"/>
        <v/>
      </c>
      <c r="GD139" s="452" t="str">
        <f t="shared" ref="GD139:GS154" si="211">IF(AND(GD$2&gt;=$J139,GD$2&lt;=$K139),1,"")</f>
        <v/>
      </c>
      <c r="GE139" s="453" t="str">
        <f t="shared" si="211"/>
        <v/>
      </c>
      <c r="GF139" s="451" t="str">
        <f t="shared" si="211"/>
        <v/>
      </c>
      <c r="GG139" s="452" t="str">
        <f t="shared" si="211"/>
        <v/>
      </c>
      <c r="GH139" s="452" t="str">
        <f t="shared" si="211"/>
        <v/>
      </c>
      <c r="GI139" s="452" t="str">
        <f t="shared" si="211"/>
        <v/>
      </c>
      <c r="GJ139" s="453" t="str">
        <f t="shared" si="211"/>
        <v/>
      </c>
      <c r="GK139" s="451" t="str">
        <f t="shared" si="211"/>
        <v/>
      </c>
      <c r="GL139" s="452" t="str">
        <f t="shared" si="211"/>
        <v/>
      </c>
      <c r="GM139" s="452" t="str">
        <f t="shared" si="211"/>
        <v/>
      </c>
      <c r="GN139" s="452" t="str">
        <f t="shared" si="211"/>
        <v/>
      </c>
      <c r="GO139" s="453" t="str">
        <f t="shared" si="203"/>
        <v/>
      </c>
      <c r="GP139" s="451" t="str">
        <f t="shared" si="203"/>
        <v/>
      </c>
      <c r="GQ139" s="452" t="str">
        <f t="shared" si="203"/>
        <v/>
      </c>
      <c r="GR139" s="452" t="str">
        <f t="shared" si="203"/>
        <v/>
      </c>
      <c r="GS139" s="452" t="str">
        <f t="shared" si="203"/>
        <v/>
      </c>
      <c r="GT139" s="453" t="str">
        <f t="shared" si="203"/>
        <v/>
      </c>
      <c r="GU139" s="451" t="str">
        <f t="shared" si="203"/>
        <v/>
      </c>
      <c r="GV139" s="452" t="str">
        <f t="shared" si="203"/>
        <v/>
      </c>
      <c r="GW139" s="452" t="str">
        <f t="shared" si="198"/>
        <v/>
      </c>
      <c r="GX139" s="452" t="str">
        <f t="shared" si="198"/>
        <v/>
      </c>
      <c r="GY139" s="453" t="str">
        <f t="shared" si="198"/>
        <v/>
      </c>
      <c r="GZ139" s="451" t="str">
        <f t="shared" si="198"/>
        <v/>
      </c>
      <c r="HA139" s="452" t="str">
        <f t="shared" si="198"/>
        <v/>
      </c>
      <c r="HB139" s="452" t="str">
        <f t="shared" si="198"/>
        <v/>
      </c>
      <c r="HC139" s="452" t="str">
        <f t="shared" si="198"/>
        <v/>
      </c>
      <c r="HD139" s="453" t="str">
        <f t="shared" si="198"/>
        <v/>
      </c>
      <c r="HE139" s="451" t="str">
        <f t="shared" si="198"/>
        <v/>
      </c>
      <c r="HF139" s="452" t="str">
        <f t="shared" si="198"/>
        <v/>
      </c>
      <c r="HG139" s="452" t="str">
        <f t="shared" si="198"/>
        <v/>
      </c>
      <c r="HH139" s="452" t="str">
        <f t="shared" si="198"/>
        <v/>
      </c>
      <c r="HI139" s="453" t="str">
        <f t="shared" si="198"/>
        <v/>
      </c>
      <c r="HJ139" s="451" t="str">
        <f t="shared" si="198"/>
        <v/>
      </c>
      <c r="HK139" s="452" t="str">
        <f t="shared" si="198"/>
        <v/>
      </c>
      <c r="HL139" s="452" t="str">
        <f t="shared" si="207"/>
        <v/>
      </c>
      <c r="HM139" s="452" t="str">
        <f t="shared" si="207"/>
        <v/>
      </c>
      <c r="HN139" s="453" t="str">
        <f t="shared" si="207"/>
        <v/>
      </c>
      <c r="HO139" s="451" t="str">
        <f t="shared" si="207"/>
        <v/>
      </c>
      <c r="HP139" s="452" t="str">
        <f t="shared" si="207"/>
        <v/>
      </c>
      <c r="HQ139" s="452" t="str">
        <f t="shared" si="207"/>
        <v/>
      </c>
      <c r="HR139" s="452" t="str">
        <f t="shared" si="207"/>
        <v/>
      </c>
      <c r="HS139" s="453" t="str">
        <f t="shared" si="207"/>
        <v/>
      </c>
      <c r="HT139" s="451" t="str">
        <f t="shared" si="207"/>
        <v/>
      </c>
      <c r="HU139" s="452" t="str">
        <f t="shared" si="207"/>
        <v/>
      </c>
      <c r="HV139" s="452" t="str">
        <f t="shared" si="190"/>
        <v/>
      </c>
      <c r="HW139" s="452" t="str">
        <f t="shared" si="190"/>
        <v/>
      </c>
      <c r="HX139" s="453" t="str">
        <f t="shared" si="190"/>
        <v/>
      </c>
      <c r="HY139" s="451" t="str">
        <f t="shared" si="190"/>
        <v/>
      </c>
      <c r="HZ139" s="452" t="str">
        <f t="shared" si="190"/>
        <v/>
      </c>
      <c r="IA139" s="452" t="str">
        <f t="shared" si="190"/>
        <v/>
      </c>
      <c r="IB139" s="452" t="str">
        <f t="shared" si="190"/>
        <v/>
      </c>
      <c r="IC139" s="453" t="str">
        <f t="shared" si="190"/>
        <v/>
      </c>
      <c r="ID139" s="451" t="str">
        <f t="shared" si="190"/>
        <v/>
      </c>
      <c r="IE139" s="452" t="str">
        <f t="shared" si="190"/>
        <v/>
      </c>
      <c r="IF139" s="452" t="str">
        <f t="shared" si="190"/>
        <v/>
      </c>
      <c r="IG139" s="452" t="str">
        <f t="shared" si="190"/>
        <v/>
      </c>
      <c r="IH139" s="453" t="str">
        <f t="shared" si="190"/>
        <v/>
      </c>
      <c r="II139" s="451" t="str">
        <f t="shared" si="190"/>
        <v/>
      </c>
      <c r="IJ139" s="452" t="str">
        <f t="shared" si="190"/>
        <v/>
      </c>
      <c r="IK139" s="452" t="str">
        <f t="shared" si="190"/>
        <v/>
      </c>
      <c r="IL139" s="452" t="str">
        <f t="shared" si="191"/>
        <v/>
      </c>
      <c r="IM139" s="453" t="str">
        <f t="shared" si="191"/>
        <v/>
      </c>
      <c r="IN139" s="451" t="str">
        <f t="shared" si="191"/>
        <v/>
      </c>
      <c r="IO139" s="452" t="str">
        <f t="shared" si="191"/>
        <v/>
      </c>
      <c r="IP139" s="452" t="str">
        <f t="shared" si="191"/>
        <v/>
      </c>
      <c r="IQ139" s="452" t="str">
        <f t="shared" si="191"/>
        <v/>
      </c>
      <c r="IR139" s="453" t="str">
        <f t="shared" si="191"/>
        <v/>
      </c>
    </row>
    <row r="140" spans="1:252" x14ac:dyDescent="0.2">
      <c r="A140" s="461">
        <v>13.4</v>
      </c>
      <c r="C140" s="447" t="s">
        <v>1354</v>
      </c>
      <c r="D140" s="447"/>
      <c r="E140" s="448"/>
      <c r="F140" s="448"/>
      <c r="G140" s="448"/>
      <c r="H140" s="448"/>
      <c r="I140" s="448"/>
      <c r="J140" s="449" t="str">
        <f t="shared" si="208"/>
        <v/>
      </c>
      <c r="K140" s="449" t="str">
        <f t="shared" si="209"/>
        <v/>
      </c>
      <c r="L140" s="450">
        <f t="shared" si="206"/>
        <v>0</v>
      </c>
      <c r="M140" s="451" t="str">
        <f t="shared" ref="M140:AB155" si="212">IF(AND(M$2&gt;=$J140,M$2&lt;=$K140),1,"")</f>
        <v/>
      </c>
      <c r="N140" s="452" t="str">
        <f t="shared" si="212"/>
        <v/>
      </c>
      <c r="O140" s="452" t="str">
        <f t="shared" si="212"/>
        <v/>
      </c>
      <c r="P140" s="452" t="str">
        <f t="shared" si="212"/>
        <v/>
      </c>
      <c r="Q140" s="453" t="str">
        <f t="shared" si="212"/>
        <v/>
      </c>
      <c r="R140" s="451" t="str">
        <f t="shared" si="212"/>
        <v/>
      </c>
      <c r="S140" s="452" t="str">
        <f t="shared" si="212"/>
        <v/>
      </c>
      <c r="T140" s="452" t="str">
        <f t="shared" si="212"/>
        <v/>
      </c>
      <c r="U140" s="452" t="str">
        <f t="shared" si="212"/>
        <v/>
      </c>
      <c r="V140" s="453" t="str">
        <f t="shared" si="212"/>
        <v/>
      </c>
      <c r="W140" s="451" t="str">
        <f t="shared" si="212"/>
        <v/>
      </c>
      <c r="X140" s="452" t="str">
        <f t="shared" si="212"/>
        <v/>
      </c>
      <c r="Y140" s="452" t="str">
        <f t="shared" si="212"/>
        <v/>
      </c>
      <c r="Z140" s="452" t="str">
        <f t="shared" si="212"/>
        <v/>
      </c>
      <c r="AA140" s="453" t="str">
        <f t="shared" si="212"/>
        <v/>
      </c>
      <c r="AB140" s="451" t="str">
        <f t="shared" si="212"/>
        <v/>
      </c>
      <c r="AC140" s="452" t="str">
        <f t="shared" si="196"/>
        <v/>
      </c>
      <c r="AD140" s="452" t="str">
        <f t="shared" si="196"/>
        <v/>
      </c>
      <c r="AE140" s="452" t="str">
        <f t="shared" si="196"/>
        <v/>
      </c>
      <c r="AF140" s="453" t="str">
        <f t="shared" si="196"/>
        <v/>
      </c>
      <c r="AG140" s="451" t="str">
        <f t="shared" si="196"/>
        <v/>
      </c>
      <c r="AH140" s="452" t="str">
        <f t="shared" si="196"/>
        <v/>
      </c>
      <c r="AI140" s="452" t="str">
        <f t="shared" si="196"/>
        <v/>
      </c>
      <c r="AJ140" s="452" t="str">
        <f t="shared" si="196"/>
        <v/>
      </c>
      <c r="AK140" s="453" t="str">
        <f t="shared" si="196"/>
        <v/>
      </c>
      <c r="AL140" s="451" t="str">
        <f t="shared" si="196"/>
        <v/>
      </c>
      <c r="AM140" s="452" t="str">
        <f t="shared" si="196"/>
        <v/>
      </c>
      <c r="AN140" s="452" t="str">
        <f t="shared" si="196"/>
        <v/>
      </c>
      <c r="AO140" s="452" t="str">
        <f t="shared" si="196"/>
        <v/>
      </c>
      <c r="AP140" s="453" t="str">
        <f t="shared" si="196"/>
        <v/>
      </c>
      <c r="AQ140" s="451" t="str">
        <f t="shared" si="196"/>
        <v/>
      </c>
      <c r="AR140" s="452" t="str">
        <f t="shared" si="196"/>
        <v/>
      </c>
      <c r="AS140" s="452" t="str">
        <f t="shared" si="193"/>
        <v/>
      </c>
      <c r="AT140" s="452" t="str">
        <f t="shared" si="193"/>
        <v/>
      </c>
      <c r="AU140" s="453" t="str">
        <f t="shared" si="193"/>
        <v/>
      </c>
      <c r="AV140" s="451" t="str">
        <f t="shared" si="193"/>
        <v/>
      </c>
      <c r="AW140" s="452" t="str">
        <f t="shared" si="193"/>
        <v/>
      </c>
      <c r="AX140" s="452" t="str">
        <f t="shared" si="193"/>
        <v/>
      </c>
      <c r="AY140" s="452" t="str">
        <f t="shared" si="193"/>
        <v/>
      </c>
      <c r="AZ140" s="453" t="str">
        <f t="shared" si="193"/>
        <v/>
      </c>
      <c r="BA140" s="451" t="str">
        <f t="shared" si="193"/>
        <v/>
      </c>
      <c r="BB140" s="452" t="str">
        <f t="shared" si="193"/>
        <v/>
      </c>
      <c r="BC140" s="452" t="str">
        <f t="shared" si="193"/>
        <v/>
      </c>
      <c r="BD140" s="452" t="str">
        <f t="shared" si="193"/>
        <v/>
      </c>
      <c r="BE140" s="453" t="str">
        <f t="shared" si="193"/>
        <v/>
      </c>
      <c r="BF140" s="451" t="str">
        <f t="shared" si="193"/>
        <v/>
      </c>
      <c r="BG140" s="452" t="str">
        <f t="shared" si="193"/>
        <v/>
      </c>
      <c r="BH140" s="452" t="str">
        <f t="shared" si="193"/>
        <v/>
      </c>
      <c r="BI140" s="452" t="str">
        <f t="shared" si="205"/>
        <v/>
      </c>
      <c r="BJ140" s="453" t="str">
        <f t="shared" si="205"/>
        <v/>
      </c>
      <c r="BK140" s="451" t="str">
        <f t="shared" si="205"/>
        <v/>
      </c>
      <c r="BL140" s="452" t="str">
        <f t="shared" si="205"/>
        <v/>
      </c>
      <c r="BM140" s="452" t="str">
        <f t="shared" si="205"/>
        <v/>
      </c>
      <c r="BN140" s="452" t="str">
        <f t="shared" si="205"/>
        <v/>
      </c>
      <c r="BO140" s="453" t="str">
        <f t="shared" si="205"/>
        <v/>
      </c>
      <c r="BP140" s="451" t="str">
        <f t="shared" si="205"/>
        <v/>
      </c>
      <c r="BQ140" s="452" t="str">
        <f t="shared" si="205"/>
        <v/>
      </c>
      <c r="BR140" s="452" t="str">
        <f t="shared" si="205"/>
        <v/>
      </c>
      <c r="BS140" s="452" t="str">
        <f t="shared" si="205"/>
        <v/>
      </c>
      <c r="BT140" s="453" t="str">
        <f t="shared" si="205"/>
        <v/>
      </c>
      <c r="BU140" s="451" t="str">
        <f t="shared" si="205"/>
        <v/>
      </c>
      <c r="BV140" s="452" t="str">
        <f t="shared" si="205"/>
        <v/>
      </c>
      <c r="BW140" s="452" t="str">
        <f t="shared" si="205"/>
        <v/>
      </c>
      <c r="BX140" s="452" t="str">
        <f t="shared" si="194"/>
        <v/>
      </c>
      <c r="BY140" s="453" t="str">
        <f t="shared" si="194"/>
        <v/>
      </c>
      <c r="BZ140" s="451" t="str">
        <f t="shared" si="194"/>
        <v/>
      </c>
      <c r="CA140" s="452" t="str">
        <f t="shared" si="194"/>
        <v/>
      </c>
      <c r="CB140" s="452" t="str">
        <f t="shared" si="194"/>
        <v/>
      </c>
      <c r="CC140" s="452" t="str">
        <f t="shared" si="194"/>
        <v/>
      </c>
      <c r="CD140" s="453" t="str">
        <f t="shared" si="194"/>
        <v/>
      </c>
      <c r="CE140" s="451" t="str">
        <f t="shared" si="194"/>
        <v/>
      </c>
      <c r="CF140" s="452" t="str">
        <f t="shared" si="194"/>
        <v/>
      </c>
      <c r="CG140" s="452" t="str">
        <f t="shared" si="194"/>
        <v/>
      </c>
      <c r="CH140" s="452" t="str">
        <f t="shared" si="194"/>
        <v/>
      </c>
      <c r="CI140" s="453" t="str">
        <f t="shared" si="194"/>
        <v/>
      </c>
      <c r="CJ140" s="451" t="str">
        <f t="shared" si="194"/>
        <v/>
      </c>
      <c r="CK140" s="452" t="str">
        <f t="shared" si="194"/>
        <v/>
      </c>
      <c r="CL140" s="452" t="str">
        <f t="shared" si="194"/>
        <v/>
      </c>
      <c r="CM140" s="452" t="str">
        <f t="shared" si="194"/>
        <v/>
      </c>
      <c r="CN140" s="453" t="str">
        <f t="shared" si="192"/>
        <v/>
      </c>
      <c r="CO140" s="451" t="str">
        <f t="shared" si="192"/>
        <v/>
      </c>
      <c r="CP140" s="452" t="str">
        <f t="shared" si="192"/>
        <v/>
      </c>
      <c r="CQ140" s="452" t="str">
        <f t="shared" si="192"/>
        <v/>
      </c>
      <c r="CR140" s="452" t="str">
        <f t="shared" si="192"/>
        <v/>
      </c>
      <c r="CS140" s="453" t="str">
        <f t="shared" si="192"/>
        <v/>
      </c>
      <c r="CT140" s="451" t="str">
        <f t="shared" si="192"/>
        <v/>
      </c>
      <c r="CU140" s="452" t="str">
        <f t="shared" si="192"/>
        <v/>
      </c>
      <c r="CV140" s="452" t="str">
        <f t="shared" si="192"/>
        <v/>
      </c>
      <c r="CW140" s="452" t="str">
        <f t="shared" si="192"/>
        <v/>
      </c>
      <c r="CX140" s="453" t="str">
        <f t="shared" si="192"/>
        <v/>
      </c>
      <c r="CY140" s="451" t="str">
        <f t="shared" si="192"/>
        <v/>
      </c>
      <c r="CZ140" s="452" t="str">
        <f t="shared" si="192"/>
        <v/>
      </c>
      <c r="DA140" s="452" t="str">
        <f t="shared" si="192"/>
        <v/>
      </c>
      <c r="DB140" s="452" t="str">
        <f t="shared" si="192"/>
        <v/>
      </c>
      <c r="DC140" s="453" t="str">
        <f t="shared" si="192"/>
        <v/>
      </c>
      <c r="DD140" s="451" t="str">
        <f t="shared" si="197"/>
        <v/>
      </c>
      <c r="DE140" s="452" t="str">
        <f t="shared" si="197"/>
        <v/>
      </c>
      <c r="DF140" s="452" t="str">
        <f t="shared" si="197"/>
        <v/>
      </c>
      <c r="DG140" s="452" t="str">
        <f t="shared" si="197"/>
        <v/>
      </c>
      <c r="DH140" s="453" t="str">
        <f t="shared" si="197"/>
        <v/>
      </c>
      <c r="DI140" s="451" t="str">
        <f t="shared" si="197"/>
        <v/>
      </c>
      <c r="DJ140" s="452" t="str">
        <f t="shared" si="197"/>
        <v/>
      </c>
      <c r="DK140" s="452" t="str">
        <f t="shared" si="197"/>
        <v/>
      </c>
      <c r="DL140" s="452" t="str">
        <f t="shared" si="197"/>
        <v/>
      </c>
      <c r="DM140" s="453" t="str">
        <f t="shared" si="197"/>
        <v/>
      </c>
      <c r="DN140" s="451" t="str">
        <f t="shared" si="197"/>
        <v/>
      </c>
      <c r="DO140" s="452" t="str">
        <f t="shared" si="197"/>
        <v/>
      </c>
      <c r="DP140" s="452" t="str">
        <f t="shared" si="197"/>
        <v/>
      </c>
      <c r="DQ140" s="452" t="str">
        <f t="shared" si="197"/>
        <v/>
      </c>
      <c r="DR140" s="453" t="str">
        <f t="shared" si="197"/>
        <v/>
      </c>
      <c r="DS140" s="451" t="str">
        <f t="shared" si="195"/>
        <v/>
      </c>
      <c r="DT140" s="452" t="str">
        <f t="shared" si="195"/>
        <v/>
      </c>
      <c r="DU140" s="452" t="str">
        <f t="shared" si="195"/>
        <v/>
      </c>
      <c r="DV140" s="452" t="str">
        <f t="shared" si="195"/>
        <v/>
      </c>
      <c r="DW140" s="453" t="str">
        <f t="shared" si="195"/>
        <v/>
      </c>
      <c r="DX140" s="451" t="str">
        <f t="shared" si="195"/>
        <v/>
      </c>
      <c r="DY140" s="452" t="str">
        <f t="shared" si="195"/>
        <v/>
      </c>
      <c r="DZ140" s="452" t="str">
        <f t="shared" si="195"/>
        <v/>
      </c>
      <c r="EA140" s="452" t="str">
        <f t="shared" si="195"/>
        <v/>
      </c>
      <c r="EB140" s="453" t="str">
        <f t="shared" si="195"/>
        <v/>
      </c>
      <c r="EC140" s="451" t="str">
        <f t="shared" si="195"/>
        <v/>
      </c>
      <c r="ED140" s="452" t="str">
        <f t="shared" si="195"/>
        <v/>
      </c>
      <c r="EE140" s="452" t="str">
        <f t="shared" si="195"/>
        <v/>
      </c>
      <c r="EF140" s="452" t="str">
        <f t="shared" si="195"/>
        <v/>
      </c>
      <c r="EG140" s="453" t="str">
        <f t="shared" si="195"/>
        <v/>
      </c>
      <c r="EH140" s="451" t="str">
        <f t="shared" si="195"/>
        <v/>
      </c>
      <c r="EI140" s="452" t="str">
        <f t="shared" si="201"/>
        <v/>
      </c>
      <c r="EJ140" s="452" t="str">
        <f t="shared" si="201"/>
        <v/>
      </c>
      <c r="EK140" s="452" t="str">
        <f t="shared" si="201"/>
        <v/>
      </c>
      <c r="EL140" s="453" t="str">
        <f t="shared" si="201"/>
        <v/>
      </c>
      <c r="EM140" s="451" t="str">
        <f t="shared" si="201"/>
        <v/>
      </c>
      <c r="EN140" s="452" t="str">
        <f t="shared" si="201"/>
        <v/>
      </c>
      <c r="EO140" s="452" t="str">
        <f t="shared" si="201"/>
        <v/>
      </c>
      <c r="EP140" s="452" t="str">
        <f t="shared" si="201"/>
        <v/>
      </c>
      <c r="EQ140" s="453" t="str">
        <f t="shared" si="201"/>
        <v/>
      </c>
      <c r="ER140" s="451" t="str">
        <f t="shared" si="201"/>
        <v/>
      </c>
      <c r="ES140" s="452" t="str">
        <f t="shared" si="201"/>
        <v/>
      </c>
      <c r="ET140" s="452" t="str">
        <f t="shared" si="201"/>
        <v/>
      </c>
      <c r="EU140" s="452" t="str">
        <f t="shared" si="201"/>
        <v/>
      </c>
      <c r="EV140" s="453" t="str">
        <f t="shared" si="201"/>
        <v/>
      </c>
      <c r="EW140" s="451" t="str">
        <f t="shared" si="201"/>
        <v/>
      </c>
      <c r="EX140" s="452" t="str">
        <f t="shared" si="201"/>
        <v/>
      </c>
      <c r="EY140" s="452" t="str">
        <f t="shared" si="202"/>
        <v/>
      </c>
      <c r="EZ140" s="452" t="str">
        <f t="shared" si="202"/>
        <v/>
      </c>
      <c r="FA140" s="453" t="str">
        <f t="shared" si="202"/>
        <v/>
      </c>
      <c r="FB140" s="451" t="str">
        <f t="shared" si="202"/>
        <v/>
      </c>
      <c r="FC140" s="452" t="str">
        <f t="shared" si="202"/>
        <v/>
      </c>
      <c r="FD140" s="452" t="str">
        <f t="shared" si="202"/>
        <v/>
      </c>
      <c r="FE140" s="452" t="str">
        <f t="shared" si="202"/>
        <v/>
      </c>
      <c r="FF140" s="453" t="str">
        <f t="shared" si="202"/>
        <v/>
      </c>
      <c r="FG140" s="451" t="str">
        <f t="shared" si="202"/>
        <v/>
      </c>
      <c r="FH140" s="452" t="str">
        <f t="shared" si="202"/>
        <v/>
      </c>
      <c r="FI140" s="452" t="str">
        <f t="shared" si="202"/>
        <v/>
      </c>
      <c r="FJ140" s="452" t="str">
        <f t="shared" si="202"/>
        <v/>
      </c>
      <c r="FK140" s="453" t="str">
        <f t="shared" si="202"/>
        <v/>
      </c>
      <c r="FL140" s="451" t="str">
        <f t="shared" si="202"/>
        <v/>
      </c>
      <c r="FM140" s="452" t="str">
        <f t="shared" si="202"/>
        <v/>
      </c>
      <c r="FN140" s="452" t="str">
        <f t="shared" si="202"/>
        <v/>
      </c>
      <c r="FO140" s="452" t="str">
        <f t="shared" si="200"/>
        <v/>
      </c>
      <c r="FP140" s="453" t="str">
        <f t="shared" si="200"/>
        <v/>
      </c>
      <c r="FQ140" s="451" t="str">
        <f t="shared" si="200"/>
        <v/>
      </c>
      <c r="FR140" s="452" t="str">
        <f t="shared" si="200"/>
        <v/>
      </c>
      <c r="FS140" s="452" t="str">
        <f t="shared" si="200"/>
        <v/>
      </c>
      <c r="FT140" s="452" t="str">
        <f t="shared" si="200"/>
        <v/>
      </c>
      <c r="FU140" s="453" t="str">
        <f t="shared" si="200"/>
        <v/>
      </c>
      <c r="FV140" s="451" t="str">
        <f t="shared" si="200"/>
        <v/>
      </c>
      <c r="FW140" s="452" t="str">
        <f t="shared" si="200"/>
        <v/>
      </c>
      <c r="FX140" s="452" t="str">
        <f t="shared" si="200"/>
        <v/>
      </c>
      <c r="FY140" s="452" t="str">
        <f t="shared" si="200"/>
        <v/>
      </c>
      <c r="FZ140" s="453" t="str">
        <f t="shared" si="200"/>
        <v/>
      </c>
      <c r="GA140" s="451" t="str">
        <f t="shared" si="200"/>
        <v/>
      </c>
      <c r="GB140" s="452" t="str">
        <f t="shared" si="200"/>
        <v/>
      </c>
      <c r="GC140" s="452" t="str">
        <f t="shared" si="200"/>
        <v/>
      </c>
      <c r="GD140" s="452" t="str">
        <f t="shared" si="211"/>
        <v/>
      </c>
      <c r="GE140" s="453" t="str">
        <f t="shared" si="211"/>
        <v/>
      </c>
      <c r="GF140" s="451" t="str">
        <f t="shared" si="211"/>
        <v/>
      </c>
      <c r="GG140" s="452" t="str">
        <f t="shared" si="211"/>
        <v/>
      </c>
      <c r="GH140" s="452" t="str">
        <f t="shared" si="211"/>
        <v/>
      </c>
      <c r="GI140" s="452" t="str">
        <f t="shared" si="211"/>
        <v/>
      </c>
      <c r="GJ140" s="453" t="str">
        <f t="shared" si="211"/>
        <v/>
      </c>
      <c r="GK140" s="451" t="str">
        <f t="shared" si="211"/>
        <v/>
      </c>
      <c r="GL140" s="452" t="str">
        <f t="shared" si="211"/>
        <v/>
      </c>
      <c r="GM140" s="452" t="str">
        <f t="shared" si="211"/>
        <v/>
      </c>
      <c r="GN140" s="452" t="str">
        <f t="shared" si="211"/>
        <v/>
      </c>
      <c r="GO140" s="453" t="str">
        <f t="shared" si="203"/>
        <v/>
      </c>
      <c r="GP140" s="451" t="str">
        <f t="shared" si="203"/>
        <v/>
      </c>
      <c r="GQ140" s="452" t="str">
        <f t="shared" si="203"/>
        <v/>
      </c>
      <c r="GR140" s="452" t="str">
        <f t="shared" si="203"/>
        <v/>
      </c>
      <c r="GS140" s="452" t="str">
        <f t="shared" si="203"/>
        <v/>
      </c>
      <c r="GT140" s="453" t="str">
        <f t="shared" si="203"/>
        <v/>
      </c>
      <c r="GU140" s="451" t="str">
        <f t="shared" si="203"/>
        <v/>
      </c>
      <c r="GV140" s="452" t="str">
        <f t="shared" si="203"/>
        <v/>
      </c>
      <c r="GW140" s="452" t="str">
        <f t="shared" si="198"/>
        <v/>
      </c>
      <c r="GX140" s="452" t="str">
        <f t="shared" si="198"/>
        <v/>
      </c>
      <c r="GY140" s="453" t="str">
        <f t="shared" si="198"/>
        <v/>
      </c>
      <c r="GZ140" s="451" t="str">
        <f t="shared" si="198"/>
        <v/>
      </c>
      <c r="HA140" s="452" t="str">
        <f t="shared" si="198"/>
        <v/>
      </c>
      <c r="HB140" s="452" t="str">
        <f t="shared" si="198"/>
        <v/>
      </c>
      <c r="HC140" s="452" t="str">
        <f t="shared" si="198"/>
        <v/>
      </c>
      <c r="HD140" s="453" t="str">
        <f t="shared" si="198"/>
        <v/>
      </c>
      <c r="HE140" s="451" t="str">
        <f t="shared" si="198"/>
        <v/>
      </c>
      <c r="HF140" s="452" t="str">
        <f t="shared" si="198"/>
        <v/>
      </c>
      <c r="HG140" s="452" t="str">
        <f t="shared" si="198"/>
        <v/>
      </c>
      <c r="HH140" s="452" t="str">
        <f t="shared" si="198"/>
        <v/>
      </c>
      <c r="HI140" s="453" t="str">
        <f t="shared" si="198"/>
        <v/>
      </c>
      <c r="HJ140" s="451" t="str">
        <f t="shared" si="198"/>
        <v/>
      </c>
      <c r="HK140" s="452" t="str">
        <f t="shared" si="198"/>
        <v/>
      </c>
      <c r="HL140" s="452" t="str">
        <f t="shared" si="207"/>
        <v/>
      </c>
      <c r="HM140" s="452" t="str">
        <f t="shared" si="207"/>
        <v/>
      </c>
      <c r="HN140" s="453" t="str">
        <f t="shared" si="207"/>
        <v/>
      </c>
      <c r="HO140" s="451" t="str">
        <f t="shared" si="207"/>
        <v/>
      </c>
      <c r="HP140" s="452" t="str">
        <f t="shared" si="207"/>
        <v/>
      </c>
      <c r="HQ140" s="452" t="str">
        <f t="shared" si="207"/>
        <v/>
      </c>
      <c r="HR140" s="452" t="str">
        <f t="shared" si="207"/>
        <v/>
      </c>
      <c r="HS140" s="453" t="str">
        <f t="shared" si="207"/>
        <v/>
      </c>
      <c r="HT140" s="451" t="str">
        <f t="shared" si="207"/>
        <v/>
      </c>
      <c r="HU140" s="452" t="str">
        <f t="shared" si="207"/>
        <v/>
      </c>
      <c r="HV140" s="452" t="str">
        <f t="shared" si="190"/>
        <v/>
      </c>
      <c r="HW140" s="452" t="str">
        <f t="shared" si="190"/>
        <v/>
      </c>
      <c r="HX140" s="453" t="str">
        <f t="shared" si="190"/>
        <v/>
      </c>
      <c r="HY140" s="451" t="str">
        <f t="shared" si="190"/>
        <v/>
      </c>
      <c r="HZ140" s="452" t="str">
        <f t="shared" si="190"/>
        <v/>
      </c>
      <c r="IA140" s="452" t="str">
        <f t="shared" si="190"/>
        <v/>
      </c>
      <c r="IB140" s="452" t="str">
        <f t="shared" si="190"/>
        <v/>
      </c>
      <c r="IC140" s="453" t="str">
        <f t="shared" si="190"/>
        <v/>
      </c>
      <c r="ID140" s="451" t="str">
        <f t="shared" si="190"/>
        <v/>
      </c>
      <c r="IE140" s="452" t="str">
        <f t="shared" si="190"/>
        <v/>
      </c>
      <c r="IF140" s="452" t="str">
        <f t="shared" si="190"/>
        <v/>
      </c>
      <c r="IG140" s="452" t="str">
        <f t="shared" si="190"/>
        <v/>
      </c>
      <c r="IH140" s="453" t="str">
        <f t="shared" si="190"/>
        <v/>
      </c>
      <c r="II140" s="451" t="str">
        <f t="shared" si="190"/>
        <v/>
      </c>
      <c r="IJ140" s="452" t="str">
        <f t="shared" si="190"/>
        <v/>
      </c>
      <c r="IK140" s="452" t="str">
        <f t="shared" si="190"/>
        <v/>
      </c>
      <c r="IL140" s="452" t="str">
        <f t="shared" si="191"/>
        <v/>
      </c>
      <c r="IM140" s="453" t="str">
        <f t="shared" si="191"/>
        <v/>
      </c>
      <c r="IN140" s="451" t="str">
        <f t="shared" si="191"/>
        <v/>
      </c>
      <c r="IO140" s="452" t="str">
        <f t="shared" si="191"/>
        <v/>
      </c>
      <c r="IP140" s="452" t="str">
        <f t="shared" si="191"/>
        <v/>
      </c>
      <c r="IQ140" s="452" t="str">
        <f t="shared" si="191"/>
        <v/>
      </c>
      <c r="IR140" s="453" t="str">
        <f t="shared" si="191"/>
        <v/>
      </c>
    </row>
    <row r="141" spans="1:252" x14ac:dyDescent="0.2">
      <c r="A141" s="461">
        <v>13.5</v>
      </c>
      <c r="C141" s="447" t="s">
        <v>1355</v>
      </c>
      <c r="D141" s="447"/>
      <c r="E141" s="448"/>
      <c r="F141" s="448"/>
      <c r="G141" s="448"/>
      <c r="H141" s="448"/>
      <c r="I141" s="448"/>
      <c r="J141" s="449" t="str">
        <f t="shared" si="208"/>
        <v/>
      </c>
      <c r="K141" s="449" t="str">
        <f t="shared" si="209"/>
        <v/>
      </c>
      <c r="L141" s="450">
        <f t="shared" si="206"/>
        <v>0</v>
      </c>
      <c r="M141" s="451" t="str">
        <f t="shared" si="212"/>
        <v/>
      </c>
      <c r="N141" s="452" t="str">
        <f t="shared" si="212"/>
        <v/>
      </c>
      <c r="O141" s="452" t="str">
        <f t="shared" si="212"/>
        <v/>
      </c>
      <c r="P141" s="452" t="str">
        <f t="shared" si="212"/>
        <v/>
      </c>
      <c r="Q141" s="453" t="str">
        <f t="shared" si="212"/>
        <v/>
      </c>
      <c r="R141" s="451" t="str">
        <f t="shared" si="212"/>
        <v/>
      </c>
      <c r="S141" s="452" t="str">
        <f t="shared" si="212"/>
        <v/>
      </c>
      <c r="T141" s="452" t="str">
        <f t="shared" si="212"/>
        <v/>
      </c>
      <c r="U141" s="452" t="str">
        <f t="shared" si="212"/>
        <v/>
      </c>
      <c r="V141" s="453" t="str">
        <f t="shared" si="212"/>
        <v/>
      </c>
      <c r="W141" s="451" t="str">
        <f t="shared" si="212"/>
        <v/>
      </c>
      <c r="X141" s="452" t="str">
        <f t="shared" si="212"/>
        <v/>
      </c>
      <c r="Y141" s="452" t="str">
        <f t="shared" si="212"/>
        <v/>
      </c>
      <c r="Z141" s="452" t="str">
        <f t="shared" si="212"/>
        <v/>
      </c>
      <c r="AA141" s="453" t="str">
        <f t="shared" si="212"/>
        <v/>
      </c>
      <c r="AB141" s="451" t="str">
        <f t="shared" si="212"/>
        <v/>
      </c>
      <c r="AC141" s="452" t="str">
        <f t="shared" si="196"/>
        <v/>
      </c>
      <c r="AD141" s="452" t="str">
        <f t="shared" si="196"/>
        <v/>
      </c>
      <c r="AE141" s="452" t="str">
        <f t="shared" si="196"/>
        <v/>
      </c>
      <c r="AF141" s="453" t="str">
        <f t="shared" si="196"/>
        <v/>
      </c>
      <c r="AG141" s="451" t="str">
        <f t="shared" si="196"/>
        <v/>
      </c>
      <c r="AH141" s="452" t="str">
        <f t="shared" si="196"/>
        <v/>
      </c>
      <c r="AI141" s="452" t="str">
        <f t="shared" si="196"/>
        <v/>
      </c>
      <c r="AJ141" s="452" t="str">
        <f t="shared" si="196"/>
        <v/>
      </c>
      <c r="AK141" s="453" t="str">
        <f t="shared" si="196"/>
        <v/>
      </c>
      <c r="AL141" s="451" t="str">
        <f t="shared" si="196"/>
        <v/>
      </c>
      <c r="AM141" s="452" t="str">
        <f t="shared" si="196"/>
        <v/>
      </c>
      <c r="AN141" s="452" t="str">
        <f t="shared" si="196"/>
        <v/>
      </c>
      <c r="AO141" s="452" t="str">
        <f t="shared" si="196"/>
        <v/>
      </c>
      <c r="AP141" s="453" t="str">
        <f t="shared" si="196"/>
        <v/>
      </c>
      <c r="AQ141" s="451" t="str">
        <f t="shared" si="196"/>
        <v/>
      </c>
      <c r="AR141" s="452" t="str">
        <f t="shared" si="196"/>
        <v/>
      </c>
      <c r="AS141" s="452" t="str">
        <f t="shared" si="193"/>
        <v/>
      </c>
      <c r="AT141" s="452" t="str">
        <f t="shared" si="193"/>
        <v/>
      </c>
      <c r="AU141" s="453" t="str">
        <f t="shared" si="193"/>
        <v/>
      </c>
      <c r="AV141" s="451" t="str">
        <f t="shared" si="193"/>
        <v/>
      </c>
      <c r="AW141" s="452" t="str">
        <f t="shared" si="193"/>
        <v/>
      </c>
      <c r="AX141" s="452" t="str">
        <f t="shared" si="193"/>
        <v/>
      </c>
      <c r="AY141" s="452" t="str">
        <f t="shared" si="193"/>
        <v/>
      </c>
      <c r="AZ141" s="453" t="str">
        <f t="shared" si="193"/>
        <v/>
      </c>
      <c r="BA141" s="451" t="str">
        <f t="shared" si="193"/>
        <v/>
      </c>
      <c r="BB141" s="452" t="str">
        <f t="shared" si="193"/>
        <v/>
      </c>
      <c r="BC141" s="452" t="str">
        <f t="shared" si="193"/>
        <v/>
      </c>
      <c r="BD141" s="452" t="str">
        <f t="shared" si="193"/>
        <v/>
      </c>
      <c r="BE141" s="453" t="str">
        <f t="shared" si="193"/>
        <v/>
      </c>
      <c r="BF141" s="451" t="str">
        <f t="shared" si="193"/>
        <v/>
      </c>
      <c r="BG141" s="452" t="str">
        <f t="shared" si="193"/>
        <v/>
      </c>
      <c r="BH141" s="452" t="str">
        <f t="shared" si="193"/>
        <v/>
      </c>
      <c r="BI141" s="452" t="str">
        <f t="shared" si="205"/>
        <v/>
      </c>
      <c r="BJ141" s="453" t="str">
        <f t="shared" si="205"/>
        <v/>
      </c>
      <c r="BK141" s="451" t="str">
        <f t="shared" si="205"/>
        <v/>
      </c>
      <c r="BL141" s="452" t="str">
        <f t="shared" si="205"/>
        <v/>
      </c>
      <c r="BM141" s="452" t="str">
        <f t="shared" si="205"/>
        <v/>
      </c>
      <c r="BN141" s="452" t="str">
        <f t="shared" si="205"/>
        <v/>
      </c>
      <c r="BO141" s="453" t="str">
        <f t="shared" si="205"/>
        <v/>
      </c>
      <c r="BP141" s="451" t="str">
        <f t="shared" si="205"/>
        <v/>
      </c>
      <c r="BQ141" s="452" t="str">
        <f t="shared" si="205"/>
        <v/>
      </c>
      <c r="BR141" s="452" t="str">
        <f t="shared" si="205"/>
        <v/>
      </c>
      <c r="BS141" s="452" t="str">
        <f t="shared" si="205"/>
        <v/>
      </c>
      <c r="BT141" s="453" t="str">
        <f t="shared" si="205"/>
        <v/>
      </c>
      <c r="BU141" s="451" t="str">
        <f t="shared" si="205"/>
        <v/>
      </c>
      <c r="BV141" s="452" t="str">
        <f t="shared" si="205"/>
        <v/>
      </c>
      <c r="BW141" s="452" t="str">
        <f t="shared" si="205"/>
        <v/>
      </c>
      <c r="BX141" s="452" t="str">
        <f t="shared" si="194"/>
        <v/>
      </c>
      <c r="BY141" s="453" t="str">
        <f t="shared" si="194"/>
        <v/>
      </c>
      <c r="BZ141" s="451" t="str">
        <f t="shared" si="194"/>
        <v/>
      </c>
      <c r="CA141" s="452" t="str">
        <f t="shared" si="194"/>
        <v/>
      </c>
      <c r="CB141" s="452" t="str">
        <f t="shared" si="194"/>
        <v/>
      </c>
      <c r="CC141" s="452" t="str">
        <f t="shared" si="194"/>
        <v/>
      </c>
      <c r="CD141" s="453" t="str">
        <f t="shared" si="194"/>
        <v/>
      </c>
      <c r="CE141" s="451" t="str">
        <f t="shared" si="194"/>
        <v/>
      </c>
      <c r="CF141" s="452" t="str">
        <f t="shared" si="194"/>
        <v/>
      </c>
      <c r="CG141" s="452" t="str">
        <f t="shared" si="194"/>
        <v/>
      </c>
      <c r="CH141" s="452" t="str">
        <f t="shared" si="194"/>
        <v/>
      </c>
      <c r="CI141" s="453" t="str">
        <f t="shared" si="194"/>
        <v/>
      </c>
      <c r="CJ141" s="451" t="str">
        <f t="shared" si="194"/>
        <v/>
      </c>
      <c r="CK141" s="452" t="str">
        <f t="shared" si="194"/>
        <v/>
      </c>
      <c r="CL141" s="452" t="str">
        <f t="shared" si="194"/>
        <v/>
      </c>
      <c r="CM141" s="452" t="str">
        <f t="shared" si="194"/>
        <v/>
      </c>
      <c r="CN141" s="453" t="str">
        <f t="shared" si="192"/>
        <v/>
      </c>
      <c r="CO141" s="451" t="str">
        <f t="shared" si="192"/>
        <v/>
      </c>
      <c r="CP141" s="452" t="str">
        <f t="shared" si="192"/>
        <v/>
      </c>
      <c r="CQ141" s="452" t="str">
        <f t="shared" si="192"/>
        <v/>
      </c>
      <c r="CR141" s="452" t="str">
        <f t="shared" si="192"/>
        <v/>
      </c>
      <c r="CS141" s="453" t="str">
        <f t="shared" si="192"/>
        <v/>
      </c>
      <c r="CT141" s="451" t="str">
        <f t="shared" si="192"/>
        <v/>
      </c>
      <c r="CU141" s="452" t="str">
        <f t="shared" si="192"/>
        <v/>
      </c>
      <c r="CV141" s="452" t="str">
        <f t="shared" si="192"/>
        <v/>
      </c>
      <c r="CW141" s="452" t="str">
        <f t="shared" si="192"/>
        <v/>
      </c>
      <c r="CX141" s="453" t="str">
        <f t="shared" si="192"/>
        <v/>
      </c>
      <c r="CY141" s="451" t="str">
        <f t="shared" si="192"/>
        <v/>
      </c>
      <c r="CZ141" s="452" t="str">
        <f t="shared" si="192"/>
        <v/>
      </c>
      <c r="DA141" s="452" t="str">
        <f t="shared" si="192"/>
        <v/>
      </c>
      <c r="DB141" s="452" t="str">
        <f t="shared" si="192"/>
        <v/>
      </c>
      <c r="DC141" s="453" t="str">
        <f t="shared" si="192"/>
        <v/>
      </c>
      <c r="DD141" s="451" t="str">
        <f t="shared" si="197"/>
        <v/>
      </c>
      <c r="DE141" s="452" t="str">
        <f t="shared" si="197"/>
        <v/>
      </c>
      <c r="DF141" s="452" t="str">
        <f t="shared" si="197"/>
        <v/>
      </c>
      <c r="DG141" s="452" t="str">
        <f t="shared" si="197"/>
        <v/>
      </c>
      <c r="DH141" s="453" t="str">
        <f t="shared" si="197"/>
        <v/>
      </c>
      <c r="DI141" s="451" t="str">
        <f t="shared" si="197"/>
        <v/>
      </c>
      <c r="DJ141" s="452" t="str">
        <f t="shared" si="197"/>
        <v/>
      </c>
      <c r="DK141" s="452" t="str">
        <f t="shared" si="197"/>
        <v/>
      </c>
      <c r="DL141" s="452" t="str">
        <f t="shared" si="197"/>
        <v/>
      </c>
      <c r="DM141" s="453" t="str">
        <f t="shared" si="197"/>
        <v/>
      </c>
      <c r="DN141" s="451" t="str">
        <f t="shared" si="197"/>
        <v/>
      </c>
      <c r="DO141" s="452" t="str">
        <f t="shared" si="197"/>
        <v/>
      </c>
      <c r="DP141" s="452" t="str">
        <f t="shared" si="197"/>
        <v/>
      </c>
      <c r="DQ141" s="452" t="str">
        <f t="shared" si="197"/>
        <v/>
      </c>
      <c r="DR141" s="453" t="str">
        <f t="shared" si="197"/>
        <v/>
      </c>
      <c r="DS141" s="451" t="str">
        <f t="shared" si="195"/>
        <v/>
      </c>
      <c r="DT141" s="452" t="str">
        <f t="shared" si="195"/>
        <v/>
      </c>
      <c r="DU141" s="452" t="str">
        <f t="shared" si="195"/>
        <v/>
      </c>
      <c r="DV141" s="452" t="str">
        <f t="shared" si="195"/>
        <v/>
      </c>
      <c r="DW141" s="453" t="str">
        <f t="shared" si="195"/>
        <v/>
      </c>
      <c r="DX141" s="451" t="str">
        <f t="shared" si="195"/>
        <v/>
      </c>
      <c r="DY141" s="452" t="str">
        <f t="shared" si="195"/>
        <v/>
      </c>
      <c r="DZ141" s="452" t="str">
        <f t="shared" si="195"/>
        <v/>
      </c>
      <c r="EA141" s="452" t="str">
        <f t="shared" si="195"/>
        <v/>
      </c>
      <c r="EB141" s="453" t="str">
        <f t="shared" si="195"/>
        <v/>
      </c>
      <c r="EC141" s="451" t="str">
        <f t="shared" si="195"/>
        <v/>
      </c>
      <c r="ED141" s="452" t="str">
        <f t="shared" si="195"/>
        <v/>
      </c>
      <c r="EE141" s="452" t="str">
        <f t="shared" si="195"/>
        <v/>
      </c>
      <c r="EF141" s="452" t="str">
        <f t="shared" si="195"/>
        <v/>
      </c>
      <c r="EG141" s="453" t="str">
        <f t="shared" si="195"/>
        <v/>
      </c>
      <c r="EH141" s="451" t="str">
        <f t="shared" si="195"/>
        <v/>
      </c>
      <c r="EI141" s="452" t="str">
        <f t="shared" si="201"/>
        <v/>
      </c>
      <c r="EJ141" s="452" t="str">
        <f t="shared" si="201"/>
        <v/>
      </c>
      <c r="EK141" s="452" t="str">
        <f t="shared" si="201"/>
        <v/>
      </c>
      <c r="EL141" s="453" t="str">
        <f t="shared" si="201"/>
        <v/>
      </c>
      <c r="EM141" s="451" t="str">
        <f t="shared" si="201"/>
        <v/>
      </c>
      <c r="EN141" s="452" t="str">
        <f t="shared" si="201"/>
        <v/>
      </c>
      <c r="EO141" s="452" t="str">
        <f t="shared" si="201"/>
        <v/>
      </c>
      <c r="EP141" s="452" t="str">
        <f t="shared" si="201"/>
        <v/>
      </c>
      <c r="EQ141" s="453" t="str">
        <f t="shared" si="201"/>
        <v/>
      </c>
      <c r="ER141" s="451" t="str">
        <f t="shared" si="201"/>
        <v/>
      </c>
      <c r="ES141" s="452" t="str">
        <f t="shared" si="201"/>
        <v/>
      </c>
      <c r="ET141" s="452" t="str">
        <f t="shared" si="201"/>
        <v/>
      </c>
      <c r="EU141" s="452" t="str">
        <f t="shared" si="201"/>
        <v/>
      </c>
      <c r="EV141" s="453" t="str">
        <f t="shared" si="201"/>
        <v/>
      </c>
      <c r="EW141" s="451" t="str">
        <f t="shared" si="201"/>
        <v/>
      </c>
      <c r="EX141" s="452" t="str">
        <f t="shared" si="201"/>
        <v/>
      </c>
      <c r="EY141" s="452" t="str">
        <f t="shared" si="202"/>
        <v/>
      </c>
      <c r="EZ141" s="452" t="str">
        <f t="shared" si="202"/>
        <v/>
      </c>
      <c r="FA141" s="453" t="str">
        <f t="shared" si="202"/>
        <v/>
      </c>
      <c r="FB141" s="451" t="str">
        <f t="shared" si="202"/>
        <v/>
      </c>
      <c r="FC141" s="452" t="str">
        <f t="shared" si="202"/>
        <v/>
      </c>
      <c r="FD141" s="452" t="str">
        <f t="shared" si="202"/>
        <v/>
      </c>
      <c r="FE141" s="452" t="str">
        <f t="shared" si="202"/>
        <v/>
      </c>
      <c r="FF141" s="453" t="str">
        <f t="shared" si="202"/>
        <v/>
      </c>
      <c r="FG141" s="451" t="str">
        <f t="shared" si="202"/>
        <v/>
      </c>
      <c r="FH141" s="452" t="str">
        <f t="shared" si="202"/>
        <v/>
      </c>
      <c r="FI141" s="452" t="str">
        <f t="shared" si="202"/>
        <v/>
      </c>
      <c r="FJ141" s="452" t="str">
        <f t="shared" si="202"/>
        <v/>
      </c>
      <c r="FK141" s="453" t="str">
        <f t="shared" si="202"/>
        <v/>
      </c>
      <c r="FL141" s="451" t="str">
        <f t="shared" si="202"/>
        <v/>
      </c>
      <c r="FM141" s="452" t="str">
        <f t="shared" si="202"/>
        <v/>
      </c>
      <c r="FN141" s="452" t="str">
        <f t="shared" si="202"/>
        <v/>
      </c>
      <c r="FO141" s="452" t="str">
        <f t="shared" si="200"/>
        <v/>
      </c>
      <c r="FP141" s="453" t="str">
        <f t="shared" si="200"/>
        <v/>
      </c>
      <c r="FQ141" s="451" t="str">
        <f t="shared" si="200"/>
        <v/>
      </c>
      <c r="FR141" s="452" t="str">
        <f t="shared" si="200"/>
        <v/>
      </c>
      <c r="FS141" s="452" t="str">
        <f t="shared" si="200"/>
        <v/>
      </c>
      <c r="FT141" s="452" t="str">
        <f t="shared" si="200"/>
        <v/>
      </c>
      <c r="FU141" s="453" t="str">
        <f t="shared" si="200"/>
        <v/>
      </c>
      <c r="FV141" s="451" t="str">
        <f t="shared" si="200"/>
        <v/>
      </c>
      <c r="FW141" s="452" t="str">
        <f t="shared" si="200"/>
        <v/>
      </c>
      <c r="FX141" s="452" t="str">
        <f t="shared" si="200"/>
        <v/>
      </c>
      <c r="FY141" s="452" t="str">
        <f t="shared" si="200"/>
        <v/>
      </c>
      <c r="FZ141" s="453" t="str">
        <f t="shared" si="200"/>
        <v/>
      </c>
      <c r="GA141" s="451" t="str">
        <f t="shared" si="200"/>
        <v/>
      </c>
      <c r="GB141" s="452" t="str">
        <f t="shared" si="200"/>
        <v/>
      </c>
      <c r="GC141" s="452" t="str">
        <f t="shared" si="200"/>
        <v/>
      </c>
      <c r="GD141" s="452" t="str">
        <f t="shared" si="211"/>
        <v/>
      </c>
      <c r="GE141" s="453" t="str">
        <f t="shared" si="211"/>
        <v/>
      </c>
      <c r="GF141" s="451" t="str">
        <f t="shared" si="211"/>
        <v/>
      </c>
      <c r="GG141" s="452" t="str">
        <f t="shared" si="211"/>
        <v/>
      </c>
      <c r="GH141" s="452" t="str">
        <f t="shared" si="211"/>
        <v/>
      </c>
      <c r="GI141" s="452" t="str">
        <f t="shared" si="211"/>
        <v/>
      </c>
      <c r="GJ141" s="453" t="str">
        <f t="shared" si="211"/>
        <v/>
      </c>
      <c r="GK141" s="451" t="str">
        <f t="shared" si="211"/>
        <v/>
      </c>
      <c r="GL141" s="452" t="str">
        <f t="shared" si="211"/>
        <v/>
      </c>
      <c r="GM141" s="452" t="str">
        <f t="shared" si="211"/>
        <v/>
      </c>
      <c r="GN141" s="452" t="str">
        <f t="shared" si="211"/>
        <v/>
      </c>
      <c r="GO141" s="453" t="str">
        <f t="shared" si="203"/>
        <v/>
      </c>
      <c r="GP141" s="451" t="str">
        <f t="shared" si="203"/>
        <v/>
      </c>
      <c r="GQ141" s="452" t="str">
        <f t="shared" si="203"/>
        <v/>
      </c>
      <c r="GR141" s="452" t="str">
        <f t="shared" si="203"/>
        <v/>
      </c>
      <c r="GS141" s="452" t="str">
        <f t="shared" si="203"/>
        <v/>
      </c>
      <c r="GT141" s="453" t="str">
        <f t="shared" si="203"/>
        <v/>
      </c>
      <c r="GU141" s="451" t="str">
        <f t="shared" si="203"/>
        <v/>
      </c>
      <c r="GV141" s="452" t="str">
        <f t="shared" si="203"/>
        <v/>
      </c>
      <c r="GW141" s="452" t="str">
        <f t="shared" si="198"/>
        <v/>
      </c>
      <c r="GX141" s="452" t="str">
        <f t="shared" si="198"/>
        <v/>
      </c>
      <c r="GY141" s="453" t="str">
        <f t="shared" si="198"/>
        <v/>
      </c>
      <c r="GZ141" s="451" t="str">
        <f t="shared" si="198"/>
        <v/>
      </c>
      <c r="HA141" s="452" t="str">
        <f t="shared" si="198"/>
        <v/>
      </c>
      <c r="HB141" s="452" t="str">
        <f t="shared" si="198"/>
        <v/>
      </c>
      <c r="HC141" s="452" t="str">
        <f t="shared" si="198"/>
        <v/>
      </c>
      <c r="HD141" s="453" t="str">
        <f t="shared" si="198"/>
        <v/>
      </c>
      <c r="HE141" s="451" t="str">
        <f t="shared" si="198"/>
        <v/>
      </c>
      <c r="HF141" s="452" t="str">
        <f t="shared" si="198"/>
        <v/>
      </c>
      <c r="HG141" s="452" t="str">
        <f t="shared" si="198"/>
        <v/>
      </c>
      <c r="HH141" s="452" t="str">
        <f t="shared" si="198"/>
        <v/>
      </c>
      <c r="HI141" s="453" t="str">
        <f t="shared" si="198"/>
        <v/>
      </c>
      <c r="HJ141" s="451" t="str">
        <f t="shared" si="198"/>
        <v/>
      </c>
      <c r="HK141" s="452" t="str">
        <f t="shared" si="198"/>
        <v/>
      </c>
      <c r="HL141" s="452" t="str">
        <f t="shared" si="207"/>
        <v/>
      </c>
      <c r="HM141" s="452" t="str">
        <f t="shared" si="207"/>
        <v/>
      </c>
      <c r="HN141" s="453" t="str">
        <f t="shared" si="207"/>
        <v/>
      </c>
      <c r="HO141" s="451" t="str">
        <f t="shared" si="207"/>
        <v/>
      </c>
      <c r="HP141" s="452" t="str">
        <f t="shared" si="207"/>
        <v/>
      </c>
      <c r="HQ141" s="452" t="str">
        <f t="shared" si="207"/>
        <v/>
      </c>
      <c r="HR141" s="452" t="str">
        <f t="shared" si="207"/>
        <v/>
      </c>
      <c r="HS141" s="453" t="str">
        <f t="shared" si="207"/>
        <v/>
      </c>
      <c r="HT141" s="451" t="str">
        <f t="shared" si="207"/>
        <v/>
      </c>
      <c r="HU141" s="452" t="str">
        <f t="shared" si="207"/>
        <v/>
      </c>
      <c r="HV141" s="452" t="str">
        <f t="shared" si="190"/>
        <v/>
      </c>
      <c r="HW141" s="452" t="str">
        <f t="shared" si="190"/>
        <v/>
      </c>
      <c r="HX141" s="453" t="str">
        <f t="shared" si="190"/>
        <v/>
      </c>
      <c r="HY141" s="451" t="str">
        <f t="shared" si="190"/>
        <v/>
      </c>
      <c r="HZ141" s="452" t="str">
        <f t="shared" si="190"/>
        <v/>
      </c>
      <c r="IA141" s="452" t="str">
        <f t="shared" si="190"/>
        <v/>
      </c>
      <c r="IB141" s="452" t="str">
        <f t="shared" si="190"/>
        <v/>
      </c>
      <c r="IC141" s="453" t="str">
        <f t="shared" si="190"/>
        <v/>
      </c>
      <c r="ID141" s="451" t="str">
        <f t="shared" si="190"/>
        <v/>
      </c>
      <c r="IE141" s="452" t="str">
        <f t="shared" si="190"/>
        <v/>
      </c>
      <c r="IF141" s="452" t="str">
        <f t="shared" si="190"/>
        <v/>
      </c>
      <c r="IG141" s="452" t="str">
        <f t="shared" si="190"/>
        <v/>
      </c>
      <c r="IH141" s="453" t="str">
        <f t="shared" si="190"/>
        <v/>
      </c>
      <c r="II141" s="451" t="str">
        <f t="shared" si="190"/>
        <v/>
      </c>
      <c r="IJ141" s="452" t="str">
        <f t="shared" si="190"/>
        <v/>
      </c>
      <c r="IK141" s="452" t="str">
        <f t="shared" si="190"/>
        <v/>
      </c>
      <c r="IL141" s="452" t="str">
        <f t="shared" si="191"/>
        <v/>
      </c>
      <c r="IM141" s="453" t="str">
        <f t="shared" si="191"/>
        <v/>
      </c>
      <c r="IN141" s="451" t="str">
        <f t="shared" si="191"/>
        <v/>
      </c>
      <c r="IO141" s="452" t="str">
        <f t="shared" si="191"/>
        <v/>
      </c>
      <c r="IP141" s="452" t="str">
        <f t="shared" si="191"/>
        <v/>
      </c>
      <c r="IQ141" s="452" t="str">
        <f t="shared" si="191"/>
        <v/>
      </c>
      <c r="IR141" s="453" t="str">
        <f t="shared" si="191"/>
        <v/>
      </c>
    </row>
    <row r="142" spans="1:252" x14ac:dyDescent="0.2">
      <c r="A142" s="461">
        <v>13.6</v>
      </c>
      <c r="C142" s="447" t="s">
        <v>1356</v>
      </c>
      <c r="D142" s="447"/>
      <c r="E142" s="448"/>
      <c r="F142" s="448"/>
      <c r="G142" s="448"/>
      <c r="H142" s="448"/>
      <c r="I142" s="448"/>
      <c r="J142" s="449" t="str">
        <f t="shared" si="208"/>
        <v/>
      </c>
      <c r="K142" s="449" t="str">
        <f t="shared" si="209"/>
        <v/>
      </c>
      <c r="L142" s="450">
        <f t="shared" si="206"/>
        <v>0</v>
      </c>
      <c r="M142" s="451" t="str">
        <f t="shared" si="212"/>
        <v/>
      </c>
      <c r="N142" s="452" t="str">
        <f t="shared" si="212"/>
        <v/>
      </c>
      <c r="O142" s="452" t="str">
        <f t="shared" si="212"/>
        <v/>
      </c>
      <c r="P142" s="452" t="str">
        <f t="shared" si="212"/>
        <v/>
      </c>
      <c r="Q142" s="453" t="str">
        <f t="shared" si="212"/>
        <v/>
      </c>
      <c r="R142" s="451" t="str">
        <f t="shared" si="212"/>
        <v/>
      </c>
      <c r="S142" s="452" t="str">
        <f t="shared" si="212"/>
        <v/>
      </c>
      <c r="T142" s="452" t="str">
        <f t="shared" si="212"/>
        <v/>
      </c>
      <c r="U142" s="452" t="str">
        <f t="shared" si="212"/>
        <v/>
      </c>
      <c r="V142" s="453" t="str">
        <f t="shared" si="212"/>
        <v/>
      </c>
      <c r="W142" s="451" t="str">
        <f t="shared" si="212"/>
        <v/>
      </c>
      <c r="X142" s="452" t="str">
        <f t="shared" si="212"/>
        <v/>
      </c>
      <c r="Y142" s="452" t="str">
        <f t="shared" si="212"/>
        <v/>
      </c>
      <c r="Z142" s="452" t="str">
        <f t="shared" si="212"/>
        <v/>
      </c>
      <c r="AA142" s="453" t="str">
        <f t="shared" si="212"/>
        <v/>
      </c>
      <c r="AB142" s="451" t="str">
        <f t="shared" si="212"/>
        <v/>
      </c>
      <c r="AC142" s="452" t="str">
        <f t="shared" si="196"/>
        <v/>
      </c>
      <c r="AD142" s="452" t="str">
        <f t="shared" si="196"/>
        <v/>
      </c>
      <c r="AE142" s="452" t="str">
        <f t="shared" si="196"/>
        <v/>
      </c>
      <c r="AF142" s="453" t="str">
        <f t="shared" si="196"/>
        <v/>
      </c>
      <c r="AG142" s="451" t="str">
        <f t="shared" si="196"/>
        <v/>
      </c>
      <c r="AH142" s="452" t="str">
        <f t="shared" si="196"/>
        <v/>
      </c>
      <c r="AI142" s="452" t="str">
        <f t="shared" si="196"/>
        <v/>
      </c>
      <c r="AJ142" s="452" t="str">
        <f t="shared" si="196"/>
        <v/>
      </c>
      <c r="AK142" s="453" t="str">
        <f t="shared" si="196"/>
        <v/>
      </c>
      <c r="AL142" s="451" t="str">
        <f t="shared" si="196"/>
        <v/>
      </c>
      <c r="AM142" s="452" t="str">
        <f t="shared" si="196"/>
        <v/>
      </c>
      <c r="AN142" s="452" t="str">
        <f t="shared" si="196"/>
        <v/>
      </c>
      <c r="AO142" s="452" t="str">
        <f t="shared" si="196"/>
        <v/>
      </c>
      <c r="AP142" s="453" t="str">
        <f t="shared" si="196"/>
        <v/>
      </c>
      <c r="AQ142" s="451" t="str">
        <f t="shared" si="196"/>
        <v/>
      </c>
      <c r="AR142" s="452" t="str">
        <f t="shared" si="196"/>
        <v/>
      </c>
      <c r="AS142" s="452" t="str">
        <f t="shared" si="193"/>
        <v/>
      </c>
      <c r="AT142" s="452" t="str">
        <f t="shared" si="193"/>
        <v/>
      </c>
      <c r="AU142" s="453" t="str">
        <f t="shared" si="193"/>
        <v/>
      </c>
      <c r="AV142" s="451" t="str">
        <f t="shared" si="193"/>
        <v/>
      </c>
      <c r="AW142" s="452" t="str">
        <f t="shared" si="193"/>
        <v/>
      </c>
      <c r="AX142" s="452" t="str">
        <f t="shared" si="193"/>
        <v/>
      </c>
      <c r="AY142" s="452" t="str">
        <f t="shared" si="193"/>
        <v/>
      </c>
      <c r="AZ142" s="453" t="str">
        <f t="shared" si="193"/>
        <v/>
      </c>
      <c r="BA142" s="451" t="str">
        <f t="shared" si="193"/>
        <v/>
      </c>
      <c r="BB142" s="452" t="str">
        <f t="shared" si="193"/>
        <v/>
      </c>
      <c r="BC142" s="452" t="str">
        <f t="shared" si="193"/>
        <v/>
      </c>
      <c r="BD142" s="452" t="str">
        <f t="shared" si="193"/>
        <v/>
      </c>
      <c r="BE142" s="453" t="str">
        <f t="shared" si="193"/>
        <v/>
      </c>
      <c r="BF142" s="451" t="str">
        <f t="shared" si="193"/>
        <v/>
      </c>
      <c r="BG142" s="452" t="str">
        <f t="shared" si="193"/>
        <v/>
      </c>
      <c r="BH142" s="452" t="str">
        <f t="shared" si="193"/>
        <v/>
      </c>
      <c r="BI142" s="452" t="str">
        <f t="shared" si="205"/>
        <v/>
      </c>
      <c r="BJ142" s="453" t="str">
        <f t="shared" si="205"/>
        <v/>
      </c>
      <c r="BK142" s="451" t="str">
        <f t="shared" si="205"/>
        <v/>
      </c>
      <c r="BL142" s="452" t="str">
        <f t="shared" si="205"/>
        <v/>
      </c>
      <c r="BM142" s="452" t="str">
        <f t="shared" si="205"/>
        <v/>
      </c>
      <c r="BN142" s="452" t="str">
        <f t="shared" si="205"/>
        <v/>
      </c>
      <c r="BO142" s="453" t="str">
        <f t="shared" si="205"/>
        <v/>
      </c>
      <c r="BP142" s="451" t="str">
        <f t="shared" si="205"/>
        <v/>
      </c>
      <c r="BQ142" s="452" t="str">
        <f t="shared" si="205"/>
        <v/>
      </c>
      <c r="BR142" s="452" t="str">
        <f t="shared" si="205"/>
        <v/>
      </c>
      <c r="BS142" s="452" t="str">
        <f t="shared" si="205"/>
        <v/>
      </c>
      <c r="BT142" s="453" t="str">
        <f t="shared" si="205"/>
        <v/>
      </c>
      <c r="BU142" s="451" t="str">
        <f t="shared" si="205"/>
        <v/>
      </c>
      <c r="BV142" s="452" t="str">
        <f t="shared" si="205"/>
        <v/>
      </c>
      <c r="BW142" s="452" t="str">
        <f t="shared" si="205"/>
        <v/>
      </c>
      <c r="BX142" s="452" t="str">
        <f t="shared" si="194"/>
        <v/>
      </c>
      <c r="BY142" s="453" t="str">
        <f t="shared" si="194"/>
        <v/>
      </c>
      <c r="BZ142" s="451" t="str">
        <f t="shared" si="194"/>
        <v/>
      </c>
      <c r="CA142" s="452" t="str">
        <f t="shared" si="194"/>
        <v/>
      </c>
      <c r="CB142" s="452" t="str">
        <f t="shared" si="194"/>
        <v/>
      </c>
      <c r="CC142" s="452" t="str">
        <f t="shared" si="194"/>
        <v/>
      </c>
      <c r="CD142" s="453" t="str">
        <f t="shared" si="194"/>
        <v/>
      </c>
      <c r="CE142" s="451" t="str">
        <f t="shared" si="194"/>
        <v/>
      </c>
      <c r="CF142" s="452" t="str">
        <f t="shared" si="194"/>
        <v/>
      </c>
      <c r="CG142" s="452" t="str">
        <f t="shared" si="194"/>
        <v/>
      </c>
      <c r="CH142" s="452" t="str">
        <f t="shared" si="194"/>
        <v/>
      </c>
      <c r="CI142" s="453" t="str">
        <f t="shared" si="194"/>
        <v/>
      </c>
      <c r="CJ142" s="451" t="str">
        <f t="shared" si="194"/>
        <v/>
      </c>
      <c r="CK142" s="452" t="str">
        <f t="shared" si="194"/>
        <v/>
      </c>
      <c r="CL142" s="452" t="str">
        <f t="shared" si="194"/>
        <v/>
      </c>
      <c r="CM142" s="452" t="str">
        <f t="shared" si="194"/>
        <v/>
      </c>
      <c r="CN142" s="453" t="str">
        <f t="shared" si="192"/>
        <v/>
      </c>
      <c r="CO142" s="451" t="str">
        <f t="shared" si="192"/>
        <v/>
      </c>
      <c r="CP142" s="452" t="str">
        <f t="shared" si="192"/>
        <v/>
      </c>
      <c r="CQ142" s="452" t="str">
        <f t="shared" si="192"/>
        <v/>
      </c>
      <c r="CR142" s="452" t="str">
        <f t="shared" si="192"/>
        <v/>
      </c>
      <c r="CS142" s="453" t="str">
        <f t="shared" si="192"/>
        <v/>
      </c>
      <c r="CT142" s="451" t="str">
        <f t="shared" si="192"/>
        <v/>
      </c>
      <c r="CU142" s="452" t="str">
        <f t="shared" si="192"/>
        <v/>
      </c>
      <c r="CV142" s="452" t="str">
        <f t="shared" si="192"/>
        <v/>
      </c>
      <c r="CW142" s="452" t="str">
        <f t="shared" si="192"/>
        <v/>
      </c>
      <c r="CX142" s="453" t="str">
        <f t="shared" si="192"/>
        <v/>
      </c>
      <c r="CY142" s="451" t="str">
        <f t="shared" si="192"/>
        <v/>
      </c>
      <c r="CZ142" s="452" t="str">
        <f t="shared" si="192"/>
        <v/>
      </c>
      <c r="DA142" s="452" t="str">
        <f t="shared" si="192"/>
        <v/>
      </c>
      <c r="DB142" s="452" t="str">
        <f t="shared" si="192"/>
        <v/>
      </c>
      <c r="DC142" s="453" t="str">
        <f t="shared" si="192"/>
        <v/>
      </c>
      <c r="DD142" s="451" t="str">
        <f t="shared" si="197"/>
        <v/>
      </c>
      <c r="DE142" s="452" t="str">
        <f t="shared" si="197"/>
        <v/>
      </c>
      <c r="DF142" s="452" t="str">
        <f t="shared" si="197"/>
        <v/>
      </c>
      <c r="DG142" s="452" t="str">
        <f t="shared" si="197"/>
        <v/>
      </c>
      <c r="DH142" s="453" t="str">
        <f t="shared" si="197"/>
        <v/>
      </c>
      <c r="DI142" s="451" t="str">
        <f t="shared" si="197"/>
        <v/>
      </c>
      <c r="DJ142" s="452" t="str">
        <f t="shared" si="197"/>
        <v/>
      </c>
      <c r="DK142" s="452" t="str">
        <f t="shared" si="197"/>
        <v/>
      </c>
      <c r="DL142" s="452" t="str">
        <f t="shared" si="197"/>
        <v/>
      </c>
      <c r="DM142" s="453" t="str">
        <f t="shared" si="197"/>
        <v/>
      </c>
      <c r="DN142" s="451" t="str">
        <f t="shared" si="197"/>
        <v/>
      </c>
      <c r="DO142" s="452" t="str">
        <f t="shared" si="197"/>
        <v/>
      </c>
      <c r="DP142" s="452" t="str">
        <f t="shared" si="197"/>
        <v/>
      </c>
      <c r="DQ142" s="452" t="str">
        <f t="shared" si="197"/>
        <v/>
      </c>
      <c r="DR142" s="453" t="str">
        <f t="shared" si="197"/>
        <v/>
      </c>
      <c r="DS142" s="451" t="str">
        <f t="shared" si="195"/>
        <v/>
      </c>
      <c r="DT142" s="452" t="str">
        <f t="shared" si="195"/>
        <v/>
      </c>
      <c r="DU142" s="452" t="str">
        <f t="shared" si="195"/>
        <v/>
      </c>
      <c r="DV142" s="452" t="str">
        <f t="shared" si="195"/>
        <v/>
      </c>
      <c r="DW142" s="453" t="str">
        <f t="shared" si="195"/>
        <v/>
      </c>
      <c r="DX142" s="451" t="str">
        <f t="shared" si="195"/>
        <v/>
      </c>
      <c r="DY142" s="452" t="str">
        <f t="shared" si="195"/>
        <v/>
      </c>
      <c r="DZ142" s="452" t="str">
        <f t="shared" si="195"/>
        <v/>
      </c>
      <c r="EA142" s="452" t="str">
        <f t="shared" si="195"/>
        <v/>
      </c>
      <c r="EB142" s="453" t="str">
        <f t="shared" si="195"/>
        <v/>
      </c>
      <c r="EC142" s="451" t="str">
        <f t="shared" si="195"/>
        <v/>
      </c>
      <c r="ED142" s="452" t="str">
        <f t="shared" si="195"/>
        <v/>
      </c>
      <c r="EE142" s="452" t="str">
        <f t="shared" si="195"/>
        <v/>
      </c>
      <c r="EF142" s="452" t="str">
        <f t="shared" si="195"/>
        <v/>
      </c>
      <c r="EG142" s="453" t="str">
        <f t="shared" si="195"/>
        <v/>
      </c>
      <c r="EH142" s="451" t="str">
        <f t="shared" si="195"/>
        <v/>
      </c>
      <c r="EI142" s="452" t="str">
        <f t="shared" si="201"/>
        <v/>
      </c>
      <c r="EJ142" s="452" t="str">
        <f t="shared" si="201"/>
        <v/>
      </c>
      <c r="EK142" s="452" t="str">
        <f t="shared" si="201"/>
        <v/>
      </c>
      <c r="EL142" s="453" t="str">
        <f t="shared" si="201"/>
        <v/>
      </c>
      <c r="EM142" s="451" t="str">
        <f t="shared" si="201"/>
        <v/>
      </c>
      <c r="EN142" s="452" t="str">
        <f t="shared" si="201"/>
        <v/>
      </c>
      <c r="EO142" s="452" t="str">
        <f t="shared" si="201"/>
        <v/>
      </c>
      <c r="EP142" s="452" t="str">
        <f t="shared" si="201"/>
        <v/>
      </c>
      <c r="EQ142" s="453" t="str">
        <f t="shared" si="201"/>
        <v/>
      </c>
      <c r="ER142" s="451" t="str">
        <f t="shared" si="201"/>
        <v/>
      </c>
      <c r="ES142" s="452" t="str">
        <f t="shared" si="201"/>
        <v/>
      </c>
      <c r="ET142" s="452" t="str">
        <f t="shared" si="201"/>
        <v/>
      </c>
      <c r="EU142" s="452" t="str">
        <f t="shared" si="201"/>
        <v/>
      </c>
      <c r="EV142" s="453" t="str">
        <f t="shared" si="201"/>
        <v/>
      </c>
      <c r="EW142" s="451" t="str">
        <f t="shared" si="201"/>
        <v/>
      </c>
      <c r="EX142" s="452" t="str">
        <f t="shared" si="201"/>
        <v/>
      </c>
      <c r="EY142" s="452" t="str">
        <f t="shared" si="202"/>
        <v/>
      </c>
      <c r="EZ142" s="452" t="str">
        <f t="shared" si="202"/>
        <v/>
      </c>
      <c r="FA142" s="453" t="str">
        <f t="shared" si="202"/>
        <v/>
      </c>
      <c r="FB142" s="451" t="str">
        <f t="shared" si="202"/>
        <v/>
      </c>
      <c r="FC142" s="452" t="str">
        <f t="shared" si="202"/>
        <v/>
      </c>
      <c r="FD142" s="452" t="str">
        <f t="shared" si="202"/>
        <v/>
      </c>
      <c r="FE142" s="452" t="str">
        <f t="shared" si="202"/>
        <v/>
      </c>
      <c r="FF142" s="453" t="str">
        <f t="shared" si="202"/>
        <v/>
      </c>
      <c r="FG142" s="451" t="str">
        <f t="shared" si="202"/>
        <v/>
      </c>
      <c r="FH142" s="452" t="str">
        <f t="shared" si="202"/>
        <v/>
      </c>
      <c r="FI142" s="452" t="str">
        <f t="shared" si="202"/>
        <v/>
      </c>
      <c r="FJ142" s="452" t="str">
        <f t="shared" si="202"/>
        <v/>
      </c>
      <c r="FK142" s="453" t="str">
        <f t="shared" si="202"/>
        <v/>
      </c>
      <c r="FL142" s="451" t="str">
        <f t="shared" si="202"/>
        <v/>
      </c>
      <c r="FM142" s="452" t="str">
        <f t="shared" si="202"/>
        <v/>
      </c>
      <c r="FN142" s="452" t="str">
        <f t="shared" si="202"/>
        <v/>
      </c>
      <c r="FO142" s="452" t="str">
        <f t="shared" si="200"/>
        <v/>
      </c>
      <c r="FP142" s="453" t="str">
        <f t="shared" si="200"/>
        <v/>
      </c>
      <c r="FQ142" s="451" t="str">
        <f t="shared" si="200"/>
        <v/>
      </c>
      <c r="FR142" s="452" t="str">
        <f t="shared" si="200"/>
        <v/>
      </c>
      <c r="FS142" s="452" t="str">
        <f t="shared" si="200"/>
        <v/>
      </c>
      <c r="FT142" s="452" t="str">
        <f t="shared" si="200"/>
        <v/>
      </c>
      <c r="FU142" s="453" t="str">
        <f t="shared" si="200"/>
        <v/>
      </c>
      <c r="FV142" s="451" t="str">
        <f t="shared" si="200"/>
        <v/>
      </c>
      <c r="FW142" s="452" t="str">
        <f t="shared" si="200"/>
        <v/>
      </c>
      <c r="FX142" s="452" t="str">
        <f t="shared" si="200"/>
        <v/>
      </c>
      <c r="FY142" s="452" t="str">
        <f t="shared" si="200"/>
        <v/>
      </c>
      <c r="FZ142" s="453" t="str">
        <f t="shared" si="200"/>
        <v/>
      </c>
      <c r="GA142" s="451" t="str">
        <f t="shared" si="200"/>
        <v/>
      </c>
      <c r="GB142" s="452" t="str">
        <f t="shared" si="200"/>
        <v/>
      </c>
      <c r="GC142" s="452" t="str">
        <f t="shared" si="200"/>
        <v/>
      </c>
      <c r="GD142" s="452" t="str">
        <f t="shared" si="211"/>
        <v/>
      </c>
      <c r="GE142" s="453" t="str">
        <f t="shared" si="211"/>
        <v/>
      </c>
      <c r="GF142" s="451" t="str">
        <f t="shared" si="211"/>
        <v/>
      </c>
      <c r="GG142" s="452" t="str">
        <f t="shared" si="211"/>
        <v/>
      </c>
      <c r="GH142" s="452" t="str">
        <f t="shared" si="211"/>
        <v/>
      </c>
      <c r="GI142" s="452" t="str">
        <f t="shared" si="211"/>
        <v/>
      </c>
      <c r="GJ142" s="453" t="str">
        <f t="shared" si="211"/>
        <v/>
      </c>
      <c r="GK142" s="451" t="str">
        <f t="shared" si="211"/>
        <v/>
      </c>
      <c r="GL142" s="452" t="str">
        <f t="shared" si="211"/>
        <v/>
      </c>
      <c r="GM142" s="452" t="str">
        <f t="shared" si="211"/>
        <v/>
      </c>
      <c r="GN142" s="452" t="str">
        <f t="shared" si="211"/>
        <v/>
      </c>
      <c r="GO142" s="453" t="str">
        <f t="shared" si="203"/>
        <v/>
      </c>
      <c r="GP142" s="451" t="str">
        <f t="shared" si="203"/>
        <v/>
      </c>
      <c r="GQ142" s="452" t="str">
        <f t="shared" si="203"/>
        <v/>
      </c>
      <c r="GR142" s="452" t="str">
        <f t="shared" si="203"/>
        <v/>
      </c>
      <c r="GS142" s="452" t="str">
        <f t="shared" si="203"/>
        <v/>
      </c>
      <c r="GT142" s="453" t="str">
        <f t="shared" si="203"/>
        <v/>
      </c>
      <c r="GU142" s="451" t="str">
        <f t="shared" si="198"/>
        <v/>
      </c>
      <c r="GV142" s="452" t="str">
        <f t="shared" si="198"/>
        <v/>
      </c>
      <c r="GW142" s="452" t="str">
        <f t="shared" si="198"/>
        <v/>
      </c>
      <c r="GX142" s="452" t="str">
        <f t="shared" si="198"/>
        <v/>
      </c>
      <c r="GY142" s="453" t="str">
        <f t="shared" si="198"/>
        <v/>
      </c>
      <c r="GZ142" s="451" t="str">
        <f t="shared" si="198"/>
        <v/>
      </c>
      <c r="HA142" s="452" t="str">
        <f t="shared" si="198"/>
        <v/>
      </c>
      <c r="HB142" s="452" t="str">
        <f t="shared" si="198"/>
        <v/>
      </c>
      <c r="HC142" s="452" t="str">
        <f t="shared" si="198"/>
        <v/>
      </c>
      <c r="HD142" s="453" t="str">
        <f t="shared" si="198"/>
        <v/>
      </c>
      <c r="HE142" s="451" t="str">
        <f t="shared" si="198"/>
        <v/>
      </c>
      <c r="HF142" s="452" t="str">
        <f t="shared" si="198"/>
        <v/>
      </c>
      <c r="HG142" s="452" t="str">
        <f t="shared" si="198"/>
        <v/>
      </c>
      <c r="HH142" s="452" t="str">
        <f t="shared" si="198"/>
        <v/>
      </c>
      <c r="HI142" s="453" t="str">
        <f t="shared" si="198"/>
        <v/>
      </c>
      <c r="HJ142" s="451" t="str">
        <f t="shared" si="198"/>
        <v/>
      </c>
      <c r="HK142" s="452" t="str">
        <f t="shared" si="198"/>
        <v/>
      </c>
      <c r="HL142" s="452" t="str">
        <f t="shared" si="207"/>
        <v/>
      </c>
      <c r="HM142" s="452" t="str">
        <f t="shared" si="207"/>
        <v/>
      </c>
      <c r="HN142" s="453" t="str">
        <f t="shared" si="207"/>
        <v/>
      </c>
      <c r="HO142" s="451" t="str">
        <f t="shared" si="207"/>
        <v/>
      </c>
      <c r="HP142" s="452" t="str">
        <f t="shared" si="207"/>
        <v/>
      </c>
      <c r="HQ142" s="452" t="str">
        <f t="shared" si="207"/>
        <v/>
      </c>
      <c r="HR142" s="452" t="str">
        <f t="shared" si="207"/>
        <v/>
      </c>
      <c r="HS142" s="453" t="str">
        <f t="shared" si="207"/>
        <v/>
      </c>
      <c r="HT142" s="451" t="str">
        <f t="shared" si="207"/>
        <v/>
      </c>
      <c r="HU142" s="452" t="str">
        <f t="shared" si="207"/>
        <v/>
      </c>
      <c r="HV142" s="452" t="str">
        <f t="shared" si="207"/>
        <v/>
      </c>
      <c r="HW142" s="452" t="str">
        <f t="shared" si="207"/>
        <v/>
      </c>
      <c r="HX142" s="453" t="str">
        <f t="shared" si="207"/>
        <v/>
      </c>
      <c r="HY142" s="451" t="str">
        <f t="shared" si="207"/>
        <v/>
      </c>
      <c r="HZ142" s="452" t="str">
        <f t="shared" si="207"/>
        <v/>
      </c>
      <c r="IA142" s="452" t="str">
        <f t="shared" ref="IA142:IP158" si="213">IF(AND(IA$2&gt;=$J142,IA$2&lt;=$K142),1,"")</f>
        <v/>
      </c>
      <c r="IB142" s="452" t="str">
        <f t="shared" si="213"/>
        <v/>
      </c>
      <c r="IC142" s="453" t="str">
        <f t="shared" si="213"/>
        <v/>
      </c>
      <c r="ID142" s="451" t="str">
        <f t="shared" si="213"/>
        <v/>
      </c>
      <c r="IE142" s="452" t="str">
        <f t="shared" si="213"/>
        <v/>
      </c>
      <c r="IF142" s="452" t="str">
        <f t="shared" si="213"/>
        <v/>
      </c>
      <c r="IG142" s="452" t="str">
        <f t="shared" si="213"/>
        <v/>
      </c>
      <c r="IH142" s="453" t="str">
        <f t="shared" si="213"/>
        <v/>
      </c>
      <c r="II142" s="451" t="str">
        <f t="shared" si="213"/>
        <v/>
      </c>
      <c r="IJ142" s="452" t="str">
        <f t="shared" si="213"/>
        <v/>
      </c>
      <c r="IK142" s="452" t="str">
        <f t="shared" si="213"/>
        <v/>
      </c>
      <c r="IL142" s="452" t="str">
        <f t="shared" si="213"/>
        <v/>
      </c>
      <c r="IM142" s="453" t="str">
        <f t="shared" si="213"/>
        <v/>
      </c>
      <c r="IN142" s="451" t="str">
        <f t="shared" si="213"/>
        <v/>
      </c>
      <c r="IO142" s="452" t="str">
        <f t="shared" si="213"/>
        <v/>
      </c>
      <c r="IP142" s="452" t="str">
        <f t="shared" si="213"/>
        <v/>
      </c>
      <c r="IQ142" s="452" t="str">
        <f t="shared" ref="IQ142:IR158" si="214">IF(AND(IQ$2&gt;=$J142,IQ$2&lt;=$K142),1,"")</f>
        <v/>
      </c>
      <c r="IR142" s="453" t="str">
        <f t="shared" si="214"/>
        <v/>
      </c>
    </row>
    <row r="143" spans="1:252" x14ac:dyDescent="0.2">
      <c r="A143" s="461">
        <v>13.7</v>
      </c>
      <c r="C143" s="447" t="s">
        <v>1357</v>
      </c>
      <c r="D143" s="447"/>
      <c r="E143" s="448"/>
      <c r="F143" s="448"/>
      <c r="G143" s="448"/>
      <c r="H143" s="448"/>
      <c r="I143" s="448"/>
      <c r="J143" s="449" t="str">
        <f t="shared" si="208"/>
        <v/>
      </c>
      <c r="K143" s="449" t="str">
        <f t="shared" si="209"/>
        <v/>
      </c>
      <c r="L143" s="450">
        <f t="shared" si="206"/>
        <v>0</v>
      </c>
      <c r="M143" s="451" t="str">
        <f t="shared" si="212"/>
        <v/>
      </c>
      <c r="N143" s="452" t="str">
        <f t="shared" si="212"/>
        <v/>
      </c>
      <c r="O143" s="452" t="str">
        <f t="shared" si="212"/>
        <v/>
      </c>
      <c r="P143" s="452" t="str">
        <f t="shared" si="212"/>
        <v/>
      </c>
      <c r="Q143" s="453" t="str">
        <f t="shared" si="212"/>
        <v/>
      </c>
      <c r="R143" s="451" t="str">
        <f t="shared" si="212"/>
        <v/>
      </c>
      <c r="S143" s="452" t="str">
        <f t="shared" si="212"/>
        <v/>
      </c>
      <c r="T143" s="452" t="str">
        <f t="shared" si="212"/>
        <v/>
      </c>
      <c r="U143" s="452" t="str">
        <f t="shared" si="212"/>
        <v/>
      </c>
      <c r="V143" s="453" t="str">
        <f t="shared" si="212"/>
        <v/>
      </c>
      <c r="W143" s="451" t="str">
        <f t="shared" si="212"/>
        <v/>
      </c>
      <c r="X143" s="452" t="str">
        <f t="shared" si="212"/>
        <v/>
      </c>
      <c r="Y143" s="452" t="str">
        <f t="shared" si="212"/>
        <v/>
      </c>
      <c r="Z143" s="452" t="str">
        <f t="shared" si="212"/>
        <v/>
      </c>
      <c r="AA143" s="453" t="str">
        <f t="shared" si="212"/>
        <v/>
      </c>
      <c r="AB143" s="451" t="str">
        <f t="shared" si="212"/>
        <v/>
      </c>
      <c r="AC143" s="452" t="str">
        <f t="shared" si="196"/>
        <v/>
      </c>
      <c r="AD143" s="452" t="str">
        <f t="shared" si="196"/>
        <v/>
      </c>
      <c r="AE143" s="452" t="str">
        <f t="shared" si="196"/>
        <v/>
      </c>
      <c r="AF143" s="453" t="str">
        <f t="shared" si="196"/>
        <v/>
      </c>
      <c r="AG143" s="451" t="str">
        <f t="shared" si="196"/>
        <v/>
      </c>
      <c r="AH143" s="452" t="str">
        <f t="shared" si="196"/>
        <v/>
      </c>
      <c r="AI143" s="452" t="str">
        <f t="shared" si="196"/>
        <v/>
      </c>
      <c r="AJ143" s="452" t="str">
        <f t="shared" si="196"/>
        <v/>
      </c>
      <c r="AK143" s="453" t="str">
        <f t="shared" si="196"/>
        <v/>
      </c>
      <c r="AL143" s="451" t="str">
        <f t="shared" si="196"/>
        <v/>
      </c>
      <c r="AM143" s="452" t="str">
        <f t="shared" si="196"/>
        <v/>
      </c>
      <c r="AN143" s="452" t="str">
        <f t="shared" si="196"/>
        <v/>
      </c>
      <c r="AO143" s="452" t="str">
        <f t="shared" si="196"/>
        <v/>
      </c>
      <c r="AP143" s="453" t="str">
        <f t="shared" si="196"/>
        <v/>
      </c>
      <c r="AQ143" s="451" t="str">
        <f t="shared" si="196"/>
        <v/>
      </c>
      <c r="AR143" s="452" t="str">
        <f t="shared" si="196"/>
        <v/>
      </c>
      <c r="AS143" s="452" t="str">
        <f t="shared" si="193"/>
        <v/>
      </c>
      <c r="AT143" s="452" t="str">
        <f t="shared" si="193"/>
        <v/>
      </c>
      <c r="AU143" s="453" t="str">
        <f t="shared" si="193"/>
        <v/>
      </c>
      <c r="AV143" s="451" t="str">
        <f t="shared" si="193"/>
        <v/>
      </c>
      <c r="AW143" s="452" t="str">
        <f t="shared" si="193"/>
        <v/>
      </c>
      <c r="AX143" s="452" t="str">
        <f t="shared" si="193"/>
        <v/>
      </c>
      <c r="AY143" s="452" t="str">
        <f t="shared" si="193"/>
        <v/>
      </c>
      <c r="AZ143" s="453" t="str">
        <f t="shared" si="193"/>
        <v/>
      </c>
      <c r="BA143" s="451" t="str">
        <f t="shared" si="193"/>
        <v/>
      </c>
      <c r="BB143" s="452" t="str">
        <f t="shared" si="193"/>
        <v/>
      </c>
      <c r="BC143" s="452" t="str">
        <f t="shared" si="193"/>
        <v/>
      </c>
      <c r="BD143" s="452" t="str">
        <f t="shared" si="193"/>
        <v/>
      </c>
      <c r="BE143" s="453" t="str">
        <f t="shared" si="193"/>
        <v/>
      </c>
      <c r="BF143" s="451" t="str">
        <f t="shared" si="193"/>
        <v/>
      </c>
      <c r="BG143" s="452" t="str">
        <f t="shared" si="193"/>
        <v/>
      </c>
      <c r="BH143" s="452" t="str">
        <f t="shared" si="193"/>
        <v/>
      </c>
      <c r="BI143" s="452" t="str">
        <f t="shared" si="205"/>
        <v/>
      </c>
      <c r="BJ143" s="453" t="str">
        <f t="shared" si="205"/>
        <v/>
      </c>
      <c r="BK143" s="451" t="str">
        <f t="shared" si="205"/>
        <v/>
      </c>
      <c r="BL143" s="452" t="str">
        <f t="shared" si="205"/>
        <v/>
      </c>
      <c r="BM143" s="452" t="str">
        <f t="shared" si="205"/>
        <v/>
      </c>
      <c r="BN143" s="452" t="str">
        <f t="shared" si="205"/>
        <v/>
      </c>
      <c r="BO143" s="453" t="str">
        <f t="shared" si="205"/>
        <v/>
      </c>
      <c r="BP143" s="451" t="str">
        <f t="shared" si="205"/>
        <v/>
      </c>
      <c r="BQ143" s="452" t="str">
        <f t="shared" si="205"/>
        <v/>
      </c>
      <c r="BR143" s="452" t="str">
        <f t="shared" si="205"/>
        <v/>
      </c>
      <c r="BS143" s="452" t="str">
        <f t="shared" si="205"/>
        <v/>
      </c>
      <c r="BT143" s="453" t="str">
        <f t="shared" si="205"/>
        <v/>
      </c>
      <c r="BU143" s="451" t="str">
        <f t="shared" si="205"/>
        <v/>
      </c>
      <c r="BV143" s="452" t="str">
        <f t="shared" si="205"/>
        <v/>
      </c>
      <c r="BW143" s="452" t="str">
        <f t="shared" si="205"/>
        <v/>
      </c>
      <c r="BX143" s="452" t="str">
        <f t="shared" si="194"/>
        <v/>
      </c>
      <c r="BY143" s="453" t="str">
        <f t="shared" si="194"/>
        <v/>
      </c>
      <c r="BZ143" s="451" t="str">
        <f t="shared" si="194"/>
        <v/>
      </c>
      <c r="CA143" s="452" t="str">
        <f t="shared" si="194"/>
        <v/>
      </c>
      <c r="CB143" s="452" t="str">
        <f t="shared" si="194"/>
        <v/>
      </c>
      <c r="CC143" s="452" t="str">
        <f t="shared" si="194"/>
        <v/>
      </c>
      <c r="CD143" s="453" t="str">
        <f t="shared" si="194"/>
        <v/>
      </c>
      <c r="CE143" s="451" t="str">
        <f t="shared" si="194"/>
        <v/>
      </c>
      <c r="CF143" s="452" t="str">
        <f t="shared" si="194"/>
        <v/>
      </c>
      <c r="CG143" s="452" t="str">
        <f t="shared" si="194"/>
        <v/>
      </c>
      <c r="CH143" s="452" t="str">
        <f t="shared" si="194"/>
        <v/>
      </c>
      <c r="CI143" s="453" t="str">
        <f t="shared" si="194"/>
        <v/>
      </c>
      <c r="CJ143" s="451" t="str">
        <f t="shared" si="194"/>
        <v/>
      </c>
      <c r="CK143" s="452" t="str">
        <f t="shared" si="194"/>
        <v/>
      </c>
      <c r="CL143" s="452" t="str">
        <f t="shared" si="194"/>
        <v/>
      </c>
      <c r="CM143" s="452" t="str">
        <f t="shared" ref="CM143:DB158" si="215">IF(AND(CM$2&gt;=$J143,CM$2&lt;=$K143),1,"")</f>
        <v/>
      </c>
      <c r="CN143" s="453" t="str">
        <f t="shared" si="215"/>
        <v/>
      </c>
      <c r="CO143" s="451" t="str">
        <f t="shared" si="215"/>
        <v/>
      </c>
      <c r="CP143" s="452" t="str">
        <f t="shared" si="215"/>
        <v/>
      </c>
      <c r="CQ143" s="452" t="str">
        <f t="shared" si="215"/>
        <v/>
      </c>
      <c r="CR143" s="452" t="str">
        <f t="shared" si="215"/>
        <v/>
      </c>
      <c r="CS143" s="453" t="str">
        <f t="shared" si="215"/>
        <v/>
      </c>
      <c r="CT143" s="451" t="str">
        <f t="shared" si="215"/>
        <v/>
      </c>
      <c r="CU143" s="452" t="str">
        <f t="shared" si="215"/>
        <v/>
      </c>
      <c r="CV143" s="452" t="str">
        <f t="shared" si="215"/>
        <v/>
      </c>
      <c r="CW143" s="452" t="str">
        <f t="shared" si="215"/>
        <v/>
      </c>
      <c r="CX143" s="453" t="str">
        <f t="shared" si="215"/>
        <v/>
      </c>
      <c r="CY143" s="451" t="str">
        <f t="shared" si="215"/>
        <v/>
      </c>
      <c r="CZ143" s="452" t="str">
        <f t="shared" si="215"/>
        <v/>
      </c>
      <c r="DA143" s="452" t="str">
        <f t="shared" si="215"/>
        <v/>
      </c>
      <c r="DB143" s="452" t="str">
        <f t="shared" si="215"/>
        <v/>
      </c>
      <c r="DC143" s="453" t="str">
        <f t="shared" ref="DC143:DR158" si="216">IF(AND(DC$2&gt;=$J143,DC$2&lt;=$K143),1,"")</f>
        <v/>
      </c>
      <c r="DD143" s="451" t="str">
        <f t="shared" si="197"/>
        <v/>
      </c>
      <c r="DE143" s="452" t="str">
        <f t="shared" si="197"/>
        <v/>
      </c>
      <c r="DF143" s="452" t="str">
        <f t="shared" si="197"/>
        <v/>
      </c>
      <c r="DG143" s="452" t="str">
        <f t="shared" si="197"/>
        <v/>
      </c>
      <c r="DH143" s="453" t="str">
        <f t="shared" si="197"/>
        <v/>
      </c>
      <c r="DI143" s="451" t="str">
        <f t="shared" si="197"/>
        <v/>
      </c>
      <c r="DJ143" s="452" t="str">
        <f t="shared" si="197"/>
        <v/>
      </c>
      <c r="DK143" s="452" t="str">
        <f t="shared" si="197"/>
        <v/>
      </c>
      <c r="DL143" s="452" t="str">
        <f t="shared" si="197"/>
        <v/>
      </c>
      <c r="DM143" s="453" t="str">
        <f t="shared" si="197"/>
        <v/>
      </c>
      <c r="DN143" s="451" t="str">
        <f t="shared" si="197"/>
        <v/>
      </c>
      <c r="DO143" s="452" t="str">
        <f t="shared" si="197"/>
        <v/>
      </c>
      <c r="DP143" s="452" t="str">
        <f t="shared" si="197"/>
        <v/>
      </c>
      <c r="DQ143" s="452" t="str">
        <f t="shared" si="197"/>
        <v/>
      </c>
      <c r="DR143" s="453" t="str">
        <f t="shared" si="197"/>
        <v/>
      </c>
      <c r="DS143" s="451" t="str">
        <f t="shared" si="195"/>
        <v/>
      </c>
      <c r="DT143" s="452" t="str">
        <f t="shared" si="195"/>
        <v/>
      </c>
      <c r="DU143" s="452" t="str">
        <f t="shared" si="195"/>
        <v/>
      </c>
      <c r="DV143" s="452" t="str">
        <f t="shared" si="195"/>
        <v/>
      </c>
      <c r="DW143" s="453" t="str">
        <f t="shared" si="195"/>
        <v/>
      </c>
      <c r="DX143" s="451" t="str">
        <f t="shared" si="195"/>
        <v/>
      </c>
      <c r="DY143" s="452" t="str">
        <f t="shared" si="195"/>
        <v/>
      </c>
      <c r="DZ143" s="452" t="str">
        <f t="shared" si="195"/>
        <v/>
      </c>
      <c r="EA143" s="452" t="str">
        <f t="shared" si="195"/>
        <v/>
      </c>
      <c r="EB143" s="453" t="str">
        <f t="shared" si="195"/>
        <v/>
      </c>
      <c r="EC143" s="451" t="str">
        <f t="shared" si="195"/>
        <v/>
      </c>
      <c r="ED143" s="452" t="str">
        <f t="shared" si="195"/>
        <v/>
      </c>
      <c r="EE143" s="452" t="str">
        <f t="shared" si="195"/>
        <v/>
      </c>
      <c r="EF143" s="452" t="str">
        <f t="shared" si="195"/>
        <v/>
      </c>
      <c r="EG143" s="453" t="str">
        <f t="shared" si="195"/>
        <v/>
      </c>
      <c r="EH143" s="451" t="str">
        <f t="shared" si="195"/>
        <v/>
      </c>
      <c r="EI143" s="452" t="str">
        <f t="shared" si="201"/>
        <v/>
      </c>
      <c r="EJ143" s="452" t="str">
        <f t="shared" si="201"/>
        <v/>
      </c>
      <c r="EK143" s="452" t="str">
        <f t="shared" si="201"/>
        <v/>
      </c>
      <c r="EL143" s="453" t="str">
        <f t="shared" si="201"/>
        <v/>
      </c>
      <c r="EM143" s="451" t="str">
        <f t="shared" si="201"/>
        <v/>
      </c>
      <c r="EN143" s="452" t="str">
        <f t="shared" si="201"/>
        <v/>
      </c>
      <c r="EO143" s="452" t="str">
        <f t="shared" si="201"/>
        <v/>
      </c>
      <c r="EP143" s="452" t="str">
        <f t="shared" si="201"/>
        <v/>
      </c>
      <c r="EQ143" s="453" t="str">
        <f t="shared" si="201"/>
        <v/>
      </c>
      <c r="ER143" s="451" t="str">
        <f t="shared" si="201"/>
        <v/>
      </c>
      <c r="ES143" s="452" t="str">
        <f t="shared" si="201"/>
        <v/>
      </c>
      <c r="ET143" s="452" t="str">
        <f t="shared" si="201"/>
        <v/>
      </c>
      <c r="EU143" s="452" t="str">
        <f t="shared" si="201"/>
        <v/>
      </c>
      <c r="EV143" s="453" t="str">
        <f t="shared" si="201"/>
        <v/>
      </c>
      <c r="EW143" s="451" t="str">
        <f t="shared" si="201"/>
        <v/>
      </c>
      <c r="EX143" s="452" t="str">
        <f t="shared" si="201"/>
        <v/>
      </c>
      <c r="EY143" s="452" t="str">
        <f t="shared" si="202"/>
        <v/>
      </c>
      <c r="EZ143" s="452" t="str">
        <f t="shared" si="202"/>
        <v/>
      </c>
      <c r="FA143" s="453" t="str">
        <f t="shared" si="202"/>
        <v/>
      </c>
      <c r="FB143" s="451" t="str">
        <f t="shared" si="202"/>
        <v/>
      </c>
      <c r="FC143" s="452" t="str">
        <f t="shared" si="202"/>
        <v/>
      </c>
      <c r="FD143" s="452" t="str">
        <f t="shared" si="202"/>
        <v/>
      </c>
      <c r="FE143" s="452" t="str">
        <f t="shared" si="202"/>
        <v/>
      </c>
      <c r="FF143" s="453" t="str">
        <f t="shared" si="202"/>
        <v/>
      </c>
      <c r="FG143" s="451" t="str">
        <f t="shared" si="202"/>
        <v/>
      </c>
      <c r="FH143" s="452" t="str">
        <f t="shared" si="202"/>
        <v/>
      </c>
      <c r="FI143" s="452" t="str">
        <f t="shared" si="202"/>
        <v/>
      </c>
      <c r="FJ143" s="452" t="str">
        <f t="shared" si="202"/>
        <v/>
      </c>
      <c r="FK143" s="453" t="str">
        <f t="shared" si="202"/>
        <v/>
      </c>
      <c r="FL143" s="451" t="str">
        <f t="shared" si="202"/>
        <v/>
      </c>
      <c r="FM143" s="452" t="str">
        <f t="shared" si="202"/>
        <v/>
      </c>
      <c r="FN143" s="452" t="str">
        <f t="shared" si="200"/>
        <v/>
      </c>
      <c r="FO143" s="452" t="str">
        <f t="shared" si="200"/>
        <v/>
      </c>
      <c r="FP143" s="453" t="str">
        <f t="shared" si="200"/>
        <v/>
      </c>
      <c r="FQ143" s="451" t="str">
        <f t="shared" si="200"/>
        <v/>
      </c>
      <c r="FR143" s="452" t="str">
        <f t="shared" si="200"/>
        <v/>
      </c>
      <c r="FS143" s="452" t="str">
        <f t="shared" si="200"/>
        <v/>
      </c>
      <c r="FT143" s="452" t="str">
        <f t="shared" si="200"/>
        <v/>
      </c>
      <c r="FU143" s="453" t="str">
        <f t="shared" si="200"/>
        <v/>
      </c>
      <c r="FV143" s="451" t="str">
        <f t="shared" si="200"/>
        <v/>
      </c>
      <c r="FW143" s="452" t="str">
        <f t="shared" si="200"/>
        <v/>
      </c>
      <c r="FX143" s="452" t="str">
        <f t="shared" si="200"/>
        <v/>
      </c>
      <c r="FY143" s="452" t="str">
        <f t="shared" si="200"/>
        <v/>
      </c>
      <c r="FZ143" s="453" t="str">
        <f t="shared" si="200"/>
        <v/>
      </c>
      <c r="GA143" s="451" t="str">
        <f t="shared" si="200"/>
        <v/>
      </c>
      <c r="GB143" s="452" t="str">
        <f t="shared" si="200"/>
        <v/>
      </c>
      <c r="GC143" s="452" t="str">
        <f t="shared" si="200"/>
        <v/>
      </c>
      <c r="GD143" s="452" t="str">
        <f t="shared" si="211"/>
        <v/>
      </c>
      <c r="GE143" s="453" t="str">
        <f t="shared" si="211"/>
        <v/>
      </c>
      <c r="GF143" s="451" t="str">
        <f t="shared" si="211"/>
        <v/>
      </c>
      <c r="GG143" s="452" t="str">
        <f t="shared" si="211"/>
        <v/>
      </c>
      <c r="GH143" s="452" t="str">
        <f t="shared" si="211"/>
        <v/>
      </c>
      <c r="GI143" s="452" t="str">
        <f t="shared" si="211"/>
        <v/>
      </c>
      <c r="GJ143" s="453" t="str">
        <f t="shared" si="211"/>
        <v/>
      </c>
      <c r="GK143" s="451" t="str">
        <f t="shared" si="211"/>
        <v/>
      </c>
      <c r="GL143" s="452" t="str">
        <f t="shared" si="211"/>
        <v/>
      </c>
      <c r="GM143" s="452" t="str">
        <f t="shared" si="211"/>
        <v/>
      </c>
      <c r="GN143" s="452" t="str">
        <f t="shared" si="211"/>
        <v/>
      </c>
      <c r="GO143" s="453" t="str">
        <f t="shared" si="211"/>
        <v/>
      </c>
      <c r="GP143" s="451" t="str">
        <f t="shared" si="211"/>
        <v/>
      </c>
      <c r="GQ143" s="452" t="str">
        <f t="shared" si="211"/>
        <v/>
      </c>
      <c r="GR143" s="452" t="str">
        <f t="shared" si="211"/>
        <v/>
      </c>
      <c r="GS143" s="452" t="str">
        <f t="shared" si="211"/>
        <v/>
      </c>
      <c r="GT143" s="453" t="str">
        <f t="shared" si="203"/>
        <v/>
      </c>
      <c r="GU143" s="451" t="str">
        <f t="shared" si="203"/>
        <v/>
      </c>
      <c r="GV143" s="452" t="str">
        <f t="shared" si="198"/>
        <v/>
      </c>
      <c r="GW143" s="452" t="str">
        <f t="shared" si="198"/>
        <v/>
      </c>
      <c r="GX143" s="452" t="str">
        <f t="shared" si="198"/>
        <v/>
      </c>
      <c r="GY143" s="453" t="str">
        <f t="shared" si="198"/>
        <v/>
      </c>
      <c r="GZ143" s="451" t="str">
        <f t="shared" si="198"/>
        <v/>
      </c>
      <c r="HA143" s="452" t="str">
        <f t="shared" si="198"/>
        <v/>
      </c>
      <c r="HB143" s="452" t="str">
        <f t="shared" si="198"/>
        <v/>
      </c>
      <c r="HC143" s="452" t="str">
        <f t="shared" si="198"/>
        <v/>
      </c>
      <c r="HD143" s="453" t="str">
        <f t="shared" si="198"/>
        <v/>
      </c>
      <c r="HE143" s="451" t="str">
        <f t="shared" si="198"/>
        <v/>
      </c>
      <c r="HF143" s="452" t="str">
        <f t="shared" si="198"/>
        <v/>
      </c>
      <c r="HG143" s="452" t="str">
        <f t="shared" si="198"/>
        <v/>
      </c>
      <c r="HH143" s="452" t="str">
        <f t="shared" si="198"/>
        <v/>
      </c>
      <c r="HI143" s="453" t="str">
        <f t="shared" si="198"/>
        <v/>
      </c>
      <c r="HJ143" s="451" t="str">
        <f t="shared" si="198"/>
        <v/>
      </c>
      <c r="HK143" s="452" t="str">
        <f t="shared" si="198"/>
        <v/>
      </c>
      <c r="HL143" s="452" t="str">
        <f t="shared" si="207"/>
        <v/>
      </c>
      <c r="HM143" s="452" t="str">
        <f t="shared" si="207"/>
        <v/>
      </c>
      <c r="HN143" s="453" t="str">
        <f t="shared" si="207"/>
        <v/>
      </c>
      <c r="HO143" s="451" t="str">
        <f t="shared" si="207"/>
        <v/>
      </c>
      <c r="HP143" s="452" t="str">
        <f t="shared" si="207"/>
        <v/>
      </c>
      <c r="HQ143" s="452" t="str">
        <f t="shared" si="207"/>
        <v/>
      </c>
      <c r="HR143" s="452" t="str">
        <f t="shared" si="207"/>
        <v/>
      </c>
      <c r="HS143" s="453" t="str">
        <f t="shared" si="207"/>
        <v/>
      </c>
      <c r="HT143" s="451" t="str">
        <f t="shared" si="207"/>
        <v/>
      </c>
      <c r="HU143" s="452" t="str">
        <f t="shared" si="207"/>
        <v/>
      </c>
      <c r="HV143" s="452" t="str">
        <f t="shared" si="207"/>
        <v/>
      </c>
      <c r="HW143" s="452" t="str">
        <f t="shared" si="207"/>
        <v/>
      </c>
      <c r="HX143" s="453" t="str">
        <f t="shared" si="207"/>
        <v/>
      </c>
      <c r="HY143" s="451" t="str">
        <f t="shared" si="207"/>
        <v/>
      </c>
      <c r="HZ143" s="452" t="str">
        <f t="shared" si="207"/>
        <v/>
      </c>
      <c r="IA143" s="452" t="str">
        <f t="shared" si="213"/>
        <v/>
      </c>
      <c r="IB143" s="452" t="str">
        <f t="shared" si="213"/>
        <v/>
      </c>
      <c r="IC143" s="453" t="str">
        <f t="shared" si="213"/>
        <v/>
      </c>
      <c r="ID143" s="451" t="str">
        <f t="shared" si="213"/>
        <v/>
      </c>
      <c r="IE143" s="452" t="str">
        <f t="shared" si="213"/>
        <v/>
      </c>
      <c r="IF143" s="452" t="str">
        <f t="shared" si="213"/>
        <v/>
      </c>
      <c r="IG143" s="452" t="str">
        <f t="shared" si="213"/>
        <v/>
      </c>
      <c r="IH143" s="453" t="str">
        <f t="shared" si="213"/>
        <v/>
      </c>
      <c r="II143" s="451" t="str">
        <f t="shared" si="213"/>
        <v/>
      </c>
      <c r="IJ143" s="452" t="str">
        <f t="shared" si="213"/>
        <v/>
      </c>
      <c r="IK143" s="452" t="str">
        <f t="shared" si="213"/>
        <v/>
      </c>
      <c r="IL143" s="452" t="str">
        <f t="shared" si="213"/>
        <v/>
      </c>
      <c r="IM143" s="453" t="str">
        <f t="shared" si="213"/>
        <v/>
      </c>
      <c r="IN143" s="451" t="str">
        <f t="shared" si="213"/>
        <v/>
      </c>
      <c r="IO143" s="452" t="str">
        <f t="shared" si="213"/>
        <v/>
      </c>
      <c r="IP143" s="452" t="str">
        <f t="shared" si="213"/>
        <v/>
      </c>
      <c r="IQ143" s="452" t="str">
        <f t="shared" si="214"/>
        <v/>
      </c>
      <c r="IR143" s="453" t="str">
        <f t="shared" si="214"/>
        <v/>
      </c>
    </row>
    <row r="144" spans="1:252" x14ac:dyDescent="0.2">
      <c r="A144" s="461">
        <v>13.8</v>
      </c>
      <c r="C144" s="447" t="s">
        <v>1358</v>
      </c>
      <c r="D144" s="447"/>
      <c r="E144" s="448"/>
      <c r="F144" s="448"/>
      <c r="G144" s="448"/>
      <c r="H144" s="448"/>
      <c r="I144" s="448"/>
      <c r="J144" s="449" t="str">
        <f t="shared" si="208"/>
        <v/>
      </c>
      <c r="K144" s="449" t="str">
        <f t="shared" si="209"/>
        <v/>
      </c>
      <c r="L144" s="450">
        <f t="shared" si="206"/>
        <v>0</v>
      </c>
      <c r="M144" s="451" t="str">
        <f t="shared" si="212"/>
        <v/>
      </c>
      <c r="N144" s="452" t="str">
        <f t="shared" si="212"/>
        <v/>
      </c>
      <c r="O144" s="452" t="str">
        <f t="shared" si="212"/>
        <v/>
      </c>
      <c r="P144" s="452" t="str">
        <f t="shared" si="212"/>
        <v/>
      </c>
      <c r="Q144" s="453" t="str">
        <f t="shared" si="212"/>
        <v/>
      </c>
      <c r="R144" s="451" t="str">
        <f t="shared" si="212"/>
        <v/>
      </c>
      <c r="S144" s="452" t="str">
        <f t="shared" si="212"/>
        <v/>
      </c>
      <c r="T144" s="452" t="str">
        <f t="shared" si="212"/>
        <v/>
      </c>
      <c r="U144" s="452" t="str">
        <f t="shared" si="212"/>
        <v/>
      </c>
      <c r="V144" s="453" t="str">
        <f t="shared" si="212"/>
        <v/>
      </c>
      <c r="W144" s="451" t="str">
        <f t="shared" si="212"/>
        <v/>
      </c>
      <c r="X144" s="452" t="str">
        <f t="shared" si="212"/>
        <v/>
      </c>
      <c r="Y144" s="452" t="str">
        <f t="shared" si="212"/>
        <v/>
      </c>
      <c r="Z144" s="452" t="str">
        <f t="shared" si="212"/>
        <v/>
      </c>
      <c r="AA144" s="453" t="str">
        <f t="shared" si="212"/>
        <v/>
      </c>
      <c r="AB144" s="451" t="str">
        <f t="shared" si="212"/>
        <v/>
      </c>
      <c r="AC144" s="452" t="str">
        <f t="shared" si="196"/>
        <v/>
      </c>
      <c r="AD144" s="452" t="str">
        <f t="shared" si="196"/>
        <v/>
      </c>
      <c r="AE144" s="452" t="str">
        <f t="shared" si="196"/>
        <v/>
      </c>
      <c r="AF144" s="453" t="str">
        <f t="shared" si="196"/>
        <v/>
      </c>
      <c r="AG144" s="451" t="str">
        <f t="shared" si="196"/>
        <v/>
      </c>
      <c r="AH144" s="452" t="str">
        <f t="shared" si="196"/>
        <v/>
      </c>
      <c r="AI144" s="452" t="str">
        <f t="shared" si="196"/>
        <v/>
      </c>
      <c r="AJ144" s="452" t="str">
        <f t="shared" si="196"/>
        <v/>
      </c>
      <c r="AK144" s="453" t="str">
        <f t="shared" si="196"/>
        <v/>
      </c>
      <c r="AL144" s="451" t="str">
        <f t="shared" si="196"/>
        <v/>
      </c>
      <c r="AM144" s="452" t="str">
        <f t="shared" si="196"/>
        <v/>
      </c>
      <c r="AN144" s="452" t="str">
        <f t="shared" si="196"/>
        <v/>
      </c>
      <c r="AO144" s="452" t="str">
        <f t="shared" si="196"/>
        <v/>
      </c>
      <c r="AP144" s="453" t="str">
        <f t="shared" si="196"/>
        <v/>
      </c>
      <c r="AQ144" s="451" t="str">
        <f t="shared" si="196"/>
        <v/>
      </c>
      <c r="AR144" s="452" t="str">
        <f t="shared" ref="AR144:BG159" si="217">IF(AND(AR$2&gt;=$J144,AR$2&lt;=$K144),1,"")</f>
        <v/>
      </c>
      <c r="AS144" s="452" t="str">
        <f t="shared" si="217"/>
        <v/>
      </c>
      <c r="AT144" s="452" t="str">
        <f t="shared" si="217"/>
        <v/>
      </c>
      <c r="AU144" s="453" t="str">
        <f t="shared" si="217"/>
        <v/>
      </c>
      <c r="AV144" s="451" t="str">
        <f t="shared" si="217"/>
        <v/>
      </c>
      <c r="AW144" s="452" t="str">
        <f t="shared" si="217"/>
        <v/>
      </c>
      <c r="AX144" s="452" t="str">
        <f t="shared" si="217"/>
        <v/>
      </c>
      <c r="AY144" s="452" t="str">
        <f t="shared" si="217"/>
        <v/>
      </c>
      <c r="AZ144" s="453" t="str">
        <f t="shared" si="217"/>
        <v/>
      </c>
      <c r="BA144" s="451" t="str">
        <f t="shared" si="217"/>
        <v/>
      </c>
      <c r="BB144" s="452" t="str">
        <f t="shared" si="217"/>
        <v/>
      </c>
      <c r="BC144" s="452" t="str">
        <f t="shared" si="217"/>
        <v/>
      </c>
      <c r="BD144" s="452" t="str">
        <f t="shared" si="217"/>
        <v/>
      </c>
      <c r="BE144" s="453" t="str">
        <f t="shared" si="217"/>
        <v/>
      </c>
      <c r="BF144" s="451" t="str">
        <f t="shared" si="217"/>
        <v/>
      </c>
      <c r="BG144" s="452" t="str">
        <f t="shared" si="217"/>
        <v/>
      </c>
      <c r="BH144" s="452" t="str">
        <f t="shared" ref="BH144:BW159" si="218">IF(AND(BH$2&gt;=$J144,BH$2&lt;=$K144),1,"")</f>
        <v/>
      </c>
      <c r="BI144" s="452" t="str">
        <f t="shared" si="218"/>
        <v/>
      </c>
      <c r="BJ144" s="453" t="str">
        <f t="shared" si="218"/>
        <v/>
      </c>
      <c r="BK144" s="451" t="str">
        <f t="shared" si="218"/>
        <v/>
      </c>
      <c r="BL144" s="452" t="str">
        <f t="shared" si="218"/>
        <v/>
      </c>
      <c r="BM144" s="452" t="str">
        <f t="shared" si="218"/>
        <v/>
      </c>
      <c r="BN144" s="452" t="str">
        <f t="shared" si="218"/>
        <v/>
      </c>
      <c r="BO144" s="453" t="str">
        <f t="shared" si="218"/>
        <v/>
      </c>
      <c r="BP144" s="451" t="str">
        <f t="shared" si="218"/>
        <v/>
      </c>
      <c r="BQ144" s="452" t="str">
        <f t="shared" si="218"/>
        <v/>
      </c>
      <c r="BR144" s="452" t="str">
        <f t="shared" si="218"/>
        <v/>
      </c>
      <c r="BS144" s="452" t="str">
        <f t="shared" si="218"/>
        <v/>
      </c>
      <c r="BT144" s="453" t="str">
        <f t="shared" si="218"/>
        <v/>
      </c>
      <c r="BU144" s="451" t="str">
        <f t="shared" si="218"/>
        <v/>
      </c>
      <c r="BV144" s="452" t="str">
        <f t="shared" si="218"/>
        <v/>
      </c>
      <c r="BW144" s="452" t="str">
        <f t="shared" si="218"/>
        <v/>
      </c>
      <c r="BX144" s="452" t="str">
        <f t="shared" ref="BX144:CM159" si="219">IF(AND(BX$2&gt;=$J144,BX$2&lt;=$K144),1,"")</f>
        <v/>
      </c>
      <c r="BY144" s="453" t="str">
        <f t="shared" si="219"/>
        <v/>
      </c>
      <c r="BZ144" s="451" t="str">
        <f t="shared" si="219"/>
        <v/>
      </c>
      <c r="CA144" s="452" t="str">
        <f t="shared" si="219"/>
        <v/>
      </c>
      <c r="CB144" s="452" t="str">
        <f t="shared" si="219"/>
        <v/>
      </c>
      <c r="CC144" s="452" t="str">
        <f t="shared" si="219"/>
        <v/>
      </c>
      <c r="CD144" s="453" t="str">
        <f t="shared" si="219"/>
        <v/>
      </c>
      <c r="CE144" s="451" t="str">
        <f t="shared" si="219"/>
        <v/>
      </c>
      <c r="CF144" s="452" t="str">
        <f t="shared" si="219"/>
        <v/>
      </c>
      <c r="CG144" s="452" t="str">
        <f t="shared" si="219"/>
        <v/>
      </c>
      <c r="CH144" s="452" t="str">
        <f t="shared" si="219"/>
        <v/>
      </c>
      <c r="CI144" s="453" t="str">
        <f t="shared" si="219"/>
        <v/>
      </c>
      <c r="CJ144" s="451" t="str">
        <f t="shared" si="219"/>
        <v/>
      </c>
      <c r="CK144" s="452" t="str">
        <f t="shared" si="219"/>
        <v/>
      </c>
      <c r="CL144" s="452" t="str">
        <f t="shared" si="219"/>
        <v/>
      </c>
      <c r="CM144" s="452" t="str">
        <f t="shared" si="219"/>
        <v/>
      </c>
      <c r="CN144" s="453" t="str">
        <f t="shared" si="215"/>
        <v/>
      </c>
      <c r="CO144" s="451" t="str">
        <f t="shared" si="215"/>
        <v/>
      </c>
      <c r="CP144" s="452" t="str">
        <f t="shared" si="215"/>
        <v/>
      </c>
      <c r="CQ144" s="452" t="str">
        <f t="shared" si="215"/>
        <v/>
      </c>
      <c r="CR144" s="452" t="str">
        <f t="shared" si="215"/>
        <v/>
      </c>
      <c r="CS144" s="453" t="str">
        <f t="shared" si="215"/>
        <v/>
      </c>
      <c r="CT144" s="451" t="str">
        <f t="shared" si="215"/>
        <v/>
      </c>
      <c r="CU144" s="452" t="str">
        <f t="shared" si="215"/>
        <v/>
      </c>
      <c r="CV144" s="452" t="str">
        <f t="shared" si="215"/>
        <v/>
      </c>
      <c r="CW144" s="452" t="str">
        <f t="shared" si="215"/>
        <v/>
      </c>
      <c r="CX144" s="453" t="str">
        <f t="shared" si="215"/>
        <v/>
      </c>
      <c r="CY144" s="451" t="str">
        <f t="shared" si="215"/>
        <v/>
      </c>
      <c r="CZ144" s="452" t="str">
        <f t="shared" si="215"/>
        <v/>
      </c>
      <c r="DA144" s="452" t="str">
        <f t="shared" si="215"/>
        <v/>
      </c>
      <c r="DB144" s="452" t="str">
        <f t="shared" si="215"/>
        <v/>
      </c>
      <c r="DC144" s="453" t="str">
        <f t="shared" si="216"/>
        <v/>
      </c>
      <c r="DD144" s="451" t="str">
        <f t="shared" si="197"/>
        <v/>
      </c>
      <c r="DE144" s="452" t="str">
        <f t="shared" si="197"/>
        <v/>
      </c>
      <c r="DF144" s="452" t="str">
        <f t="shared" si="197"/>
        <v/>
      </c>
      <c r="DG144" s="452" t="str">
        <f t="shared" si="197"/>
        <v/>
      </c>
      <c r="DH144" s="453" t="str">
        <f t="shared" si="197"/>
        <v/>
      </c>
      <c r="DI144" s="451" t="str">
        <f t="shared" si="197"/>
        <v/>
      </c>
      <c r="DJ144" s="452" t="str">
        <f t="shared" si="197"/>
        <v/>
      </c>
      <c r="DK144" s="452" t="str">
        <f t="shared" si="197"/>
        <v/>
      </c>
      <c r="DL144" s="452" t="str">
        <f t="shared" si="197"/>
        <v/>
      </c>
      <c r="DM144" s="453" t="str">
        <f t="shared" si="197"/>
        <v/>
      </c>
      <c r="DN144" s="451" t="str">
        <f t="shared" si="197"/>
        <v/>
      </c>
      <c r="DO144" s="452" t="str">
        <f t="shared" si="197"/>
        <v/>
      </c>
      <c r="DP144" s="452" t="str">
        <f t="shared" si="197"/>
        <v/>
      </c>
      <c r="DQ144" s="452" t="str">
        <f t="shared" si="197"/>
        <v/>
      </c>
      <c r="DR144" s="453" t="str">
        <f t="shared" si="197"/>
        <v/>
      </c>
      <c r="DS144" s="451" t="str">
        <f t="shared" si="197"/>
        <v/>
      </c>
      <c r="DT144" s="452" t="str">
        <f t="shared" ref="DT144:EH145" si="220">IF(AND(DT$2&gt;=$J144,DT$2&lt;=$K144),1,"")</f>
        <v/>
      </c>
      <c r="DU144" s="452" t="str">
        <f t="shared" si="220"/>
        <v/>
      </c>
      <c r="DV144" s="452" t="str">
        <f t="shared" si="220"/>
        <v/>
      </c>
      <c r="DW144" s="453" t="str">
        <f t="shared" si="220"/>
        <v/>
      </c>
      <c r="DX144" s="451" t="str">
        <f t="shared" si="220"/>
        <v/>
      </c>
      <c r="DY144" s="452" t="str">
        <f t="shared" si="220"/>
        <v/>
      </c>
      <c r="DZ144" s="452" t="str">
        <f t="shared" si="220"/>
        <v/>
      </c>
      <c r="EA144" s="452" t="str">
        <f t="shared" si="220"/>
        <v/>
      </c>
      <c r="EB144" s="453" t="str">
        <f t="shared" si="220"/>
        <v/>
      </c>
      <c r="EC144" s="451" t="str">
        <f t="shared" si="220"/>
        <v/>
      </c>
      <c r="ED144" s="452" t="str">
        <f t="shared" si="220"/>
        <v/>
      </c>
      <c r="EE144" s="452" t="str">
        <f t="shared" si="220"/>
        <v/>
      </c>
      <c r="EF144" s="452" t="str">
        <f t="shared" si="220"/>
        <v/>
      </c>
      <c r="EG144" s="453" t="str">
        <f t="shared" si="220"/>
        <v/>
      </c>
      <c r="EH144" s="451" t="str">
        <f t="shared" si="220"/>
        <v/>
      </c>
      <c r="EI144" s="452" t="str">
        <f t="shared" si="201"/>
        <v/>
      </c>
      <c r="EJ144" s="452" t="str">
        <f t="shared" si="201"/>
        <v/>
      </c>
      <c r="EK144" s="452" t="str">
        <f t="shared" si="201"/>
        <v/>
      </c>
      <c r="EL144" s="453" t="str">
        <f t="shared" si="201"/>
        <v/>
      </c>
      <c r="EM144" s="451" t="str">
        <f t="shared" si="201"/>
        <v/>
      </c>
      <c r="EN144" s="452" t="str">
        <f t="shared" si="201"/>
        <v/>
      </c>
      <c r="EO144" s="452" t="str">
        <f t="shared" si="201"/>
        <v/>
      </c>
      <c r="EP144" s="452" t="str">
        <f t="shared" si="201"/>
        <v/>
      </c>
      <c r="EQ144" s="453" t="str">
        <f t="shared" si="201"/>
        <v/>
      </c>
      <c r="ER144" s="451" t="str">
        <f t="shared" si="201"/>
        <v/>
      </c>
      <c r="ES144" s="452" t="str">
        <f t="shared" si="201"/>
        <v/>
      </c>
      <c r="ET144" s="452" t="str">
        <f t="shared" si="201"/>
        <v/>
      </c>
      <c r="EU144" s="452" t="str">
        <f t="shared" si="201"/>
        <v/>
      </c>
      <c r="EV144" s="453" t="str">
        <f t="shared" si="201"/>
        <v/>
      </c>
      <c r="EW144" s="451" t="str">
        <f t="shared" si="201"/>
        <v/>
      </c>
      <c r="EX144" s="452" t="str">
        <f t="shared" si="201"/>
        <v/>
      </c>
      <c r="EY144" s="452" t="str">
        <f t="shared" si="202"/>
        <v/>
      </c>
      <c r="EZ144" s="452" t="str">
        <f t="shared" si="202"/>
        <v/>
      </c>
      <c r="FA144" s="453" t="str">
        <f t="shared" si="202"/>
        <v/>
      </c>
      <c r="FB144" s="451" t="str">
        <f t="shared" si="202"/>
        <v/>
      </c>
      <c r="FC144" s="452" t="str">
        <f t="shared" si="202"/>
        <v/>
      </c>
      <c r="FD144" s="452" t="str">
        <f t="shared" si="202"/>
        <v/>
      </c>
      <c r="FE144" s="452" t="str">
        <f t="shared" si="202"/>
        <v/>
      </c>
      <c r="FF144" s="453" t="str">
        <f t="shared" si="202"/>
        <v/>
      </c>
      <c r="FG144" s="451" t="str">
        <f t="shared" si="202"/>
        <v/>
      </c>
      <c r="FH144" s="452" t="str">
        <f t="shared" si="202"/>
        <v/>
      </c>
      <c r="FI144" s="452" t="str">
        <f t="shared" si="202"/>
        <v/>
      </c>
      <c r="FJ144" s="452" t="str">
        <f t="shared" si="202"/>
        <v/>
      </c>
      <c r="FK144" s="453" t="str">
        <f t="shared" si="202"/>
        <v/>
      </c>
      <c r="FL144" s="451" t="str">
        <f t="shared" si="202"/>
        <v/>
      </c>
      <c r="FM144" s="452" t="str">
        <f t="shared" si="202"/>
        <v/>
      </c>
      <c r="FN144" s="452" t="str">
        <f t="shared" si="202"/>
        <v/>
      </c>
      <c r="FO144" s="452" t="str">
        <f t="shared" si="200"/>
        <v/>
      </c>
      <c r="FP144" s="453" t="str">
        <f t="shared" si="200"/>
        <v/>
      </c>
      <c r="FQ144" s="451" t="str">
        <f t="shared" si="200"/>
        <v/>
      </c>
      <c r="FR144" s="452" t="str">
        <f t="shared" si="200"/>
        <v/>
      </c>
      <c r="FS144" s="452" t="str">
        <f t="shared" si="200"/>
        <v/>
      </c>
      <c r="FT144" s="452" t="str">
        <f t="shared" si="200"/>
        <v/>
      </c>
      <c r="FU144" s="453" t="str">
        <f t="shared" si="200"/>
        <v/>
      </c>
      <c r="FV144" s="451" t="str">
        <f t="shared" si="200"/>
        <v/>
      </c>
      <c r="FW144" s="452" t="str">
        <f t="shared" si="200"/>
        <v/>
      </c>
      <c r="FX144" s="452" t="str">
        <f t="shared" si="200"/>
        <v/>
      </c>
      <c r="FY144" s="452" t="str">
        <f t="shared" si="200"/>
        <v/>
      </c>
      <c r="FZ144" s="453" t="str">
        <f t="shared" si="200"/>
        <v/>
      </c>
      <c r="GA144" s="451" t="str">
        <f t="shared" si="200"/>
        <v/>
      </c>
      <c r="GB144" s="452" t="str">
        <f t="shared" si="200"/>
        <v/>
      </c>
      <c r="GC144" s="452" t="str">
        <f t="shared" si="200"/>
        <v/>
      </c>
      <c r="GD144" s="452" t="str">
        <f t="shared" si="211"/>
        <v/>
      </c>
      <c r="GE144" s="453" t="str">
        <f t="shared" si="211"/>
        <v/>
      </c>
      <c r="GF144" s="451" t="str">
        <f t="shared" si="211"/>
        <v/>
      </c>
      <c r="GG144" s="452" t="str">
        <f t="shared" si="203"/>
        <v/>
      </c>
      <c r="GH144" s="452" t="str">
        <f t="shared" si="203"/>
        <v/>
      </c>
      <c r="GI144" s="452" t="str">
        <f t="shared" si="203"/>
        <v/>
      </c>
      <c r="GJ144" s="453" t="str">
        <f t="shared" si="203"/>
        <v/>
      </c>
      <c r="GK144" s="451" t="str">
        <f t="shared" si="203"/>
        <v/>
      </c>
      <c r="GL144" s="452" t="str">
        <f t="shared" si="203"/>
        <v/>
      </c>
      <c r="GM144" s="452" t="str">
        <f t="shared" si="203"/>
        <v/>
      </c>
      <c r="GN144" s="452" t="str">
        <f t="shared" si="203"/>
        <v/>
      </c>
      <c r="GO144" s="453" t="str">
        <f t="shared" si="203"/>
        <v/>
      </c>
      <c r="GP144" s="451" t="str">
        <f t="shared" si="203"/>
        <v/>
      </c>
      <c r="GQ144" s="452" t="str">
        <f t="shared" si="203"/>
        <v/>
      </c>
      <c r="GR144" s="452" t="str">
        <f t="shared" si="203"/>
        <v/>
      </c>
      <c r="GS144" s="452" t="str">
        <f t="shared" si="203"/>
        <v/>
      </c>
      <c r="GT144" s="453" t="str">
        <f t="shared" si="203"/>
        <v/>
      </c>
      <c r="GU144" s="451" t="str">
        <f t="shared" si="203"/>
        <v/>
      </c>
      <c r="GV144" s="452" t="str">
        <f t="shared" si="203"/>
        <v/>
      </c>
      <c r="GW144" s="452" t="str">
        <f t="shared" si="198"/>
        <v/>
      </c>
      <c r="GX144" s="452" t="str">
        <f t="shared" si="198"/>
        <v/>
      </c>
      <c r="GY144" s="453" t="str">
        <f t="shared" si="198"/>
        <v/>
      </c>
      <c r="GZ144" s="451" t="str">
        <f t="shared" si="198"/>
        <v/>
      </c>
      <c r="HA144" s="452" t="str">
        <f t="shared" si="198"/>
        <v/>
      </c>
      <c r="HB144" s="452" t="str">
        <f t="shared" si="198"/>
        <v/>
      </c>
      <c r="HC144" s="452" t="str">
        <f t="shared" si="198"/>
        <v/>
      </c>
      <c r="HD144" s="453" t="str">
        <f t="shared" si="198"/>
        <v/>
      </c>
      <c r="HE144" s="451" t="str">
        <f t="shared" si="198"/>
        <v/>
      </c>
      <c r="HF144" s="452" t="str">
        <f t="shared" si="198"/>
        <v/>
      </c>
      <c r="HG144" s="452" t="str">
        <f t="shared" si="198"/>
        <v/>
      </c>
      <c r="HH144" s="452" t="str">
        <f t="shared" si="198"/>
        <v/>
      </c>
      <c r="HI144" s="453" t="str">
        <f t="shared" si="198"/>
        <v/>
      </c>
      <c r="HJ144" s="451" t="str">
        <f t="shared" si="198"/>
        <v/>
      </c>
      <c r="HK144" s="452" t="str">
        <f t="shared" si="198"/>
        <v/>
      </c>
      <c r="HL144" s="452" t="str">
        <f t="shared" si="207"/>
        <v/>
      </c>
      <c r="HM144" s="452" t="str">
        <f t="shared" si="207"/>
        <v/>
      </c>
      <c r="HN144" s="453" t="str">
        <f t="shared" si="207"/>
        <v/>
      </c>
      <c r="HO144" s="451" t="str">
        <f t="shared" si="207"/>
        <v/>
      </c>
      <c r="HP144" s="452" t="str">
        <f t="shared" si="207"/>
        <v/>
      </c>
      <c r="HQ144" s="452" t="str">
        <f t="shared" si="207"/>
        <v/>
      </c>
      <c r="HR144" s="452" t="str">
        <f t="shared" si="207"/>
        <v/>
      </c>
      <c r="HS144" s="453" t="str">
        <f t="shared" si="207"/>
        <v/>
      </c>
      <c r="HT144" s="451" t="str">
        <f t="shared" si="207"/>
        <v/>
      </c>
      <c r="HU144" s="452" t="str">
        <f t="shared" si="207"/>
        <v/>
      </c>
      <c r="HV144" s="452" t="str">
        <f t="shared" si="207"/>
        <v/>
      </c>
      <c r="HW144" s="452" t="str">
        <f t="shared" si="207"/>
        <v/>
      </c>
      <c r="HX144" s="453" t="str">
        <f t="shared" si="207"/>
        <v/>
      </c>
      <c r="HY144" s="451" t="str">
        <f t="shared" si="207"/>
        <v/>
      </c>
      <c r="HZ144" s="452" t="str">
        <f t="shared" si="207"/>
        <v/>
      </c>
      <c r="IA144" s="452" t="str">
        <f t="shared" si="213"/>
        <v/>
      </c>
      <c r="IB144" s="452" t="str">
        <f t="shared" si="213"/>
        <v/>
      </c>
      <c r="IC144" s="453" t="str">
        <f t="shared" si="213"/>
        <v/>
      </c>
      <c r="ID144" s="451" t="str">
        <f t="shared" si="213"/>
        <v/>
      </c>
      <c r="IE144" s="452" t="str">
        <f t="shared" si="213"/>
        <v/>
      </c>
      <c r="IF144" s="452" t="str">
        <f t="shared" si="213"/>
        <v/>
      </c>
      <c r="IG144" s="452" t="str">
        <f t="shared" si="213"/>
        <v/>
      </c>
      <c r="IH144" s="453" t="str">
        <f t="shared" si="213"/>
        <v/>
      </c>
      <c r="II144" s="451" t="str">
        <f t="shared" si="213"/>
        <v/>
      </c>
      <c r="IJ144" s="452" t="str">
        <f t="shared" si="213"/>
        <v/>
      </c>
      <c r="IK144" s="452" t="str">
        <f t="shared" si="213"/>
        <v/>
      </c>
      <c r="IL144" s="452" t="str">
        <f t="shared" si="213"/>
        <v/>
      </c>
      <c r="IM144" s="453" t="str">
        <f t="shared" si="213"/>
        <v/>
      </c>
      <c r="IN144" s="451" t="str">
        <f t="shared" si="213"/>
        <v/>
      </c>
      <c r="IO144" s="452" t="str">
        <f t="shared" si="213"/>
        <v/>
      </c>
      <c r="IP144" s="452" t="str">
        <f t="shared" si="213"/>
        <v/>
      </c>
      <c r="IQ144" s="452" t="str">
        <f t="shared" si="214"/>
        <v/>
      </c>
      <c r="IR144" s="453" t="str">
        <f t="shared" si="214"/>
        <v/>
      </c>
    </row>
    <row r="145" spans="1:252" x14ac:dyDescent="0.2">
      <c r="A145" s="461">
        <v>13.9</v>
      </c>
      <c r="C145" s="447" t="s">
        <v>1359</v>
      </c>
      <c r="D145" s="447"/>
      <c r="E145" s="448"/>
      <c r="F145" s="448"/>
      <c r="G145" s="448"/>
      <c r="H145" s="448"/>
      <c r="I145" s="448"/>
      <c r="J145" s="449" t="str">
        <f t="shared" si="208"/>
        <v/>
      </c>
      <c r="K145" s="449" t="str">
        <f t="shared" si="209"/>
        <v/>
      </c>
      <c r="L145" s="450">
        <f t="shared" si="206"/>
        <v>0</v>
      </c>
      <c r="M145" s="451" t="str">
        <f t="shared" si="212"/>
        <v/>
      </c>
      <c r="N145" s="452" t="str">
        <f t="shared" si="212"/>
        <v/>
      </c>
      <c r="O145" s="452" t="str">
        <f t="shared" si="212"/>
        <v/>
      </c>
      <c r="P145" s="452" t="str">
        <f t="shared" si="212"/>
        <v/>
      </c>
      <c r="Q145" s="453" t="str">
        <f t="shared" si="212"/>
        <v/>
      </c>
      <c r="R145" s="451" t="str">
        <f t="shared" si="212"/>
        <v/>
      </c>
      <c r="S145" s="452" t="str">
        <f t="shared" si="212"/>
        <v/>
      </c>
      <c r="T145" s="452" t="str">
        <f t="shared" si="212"/>
        <v/>
      </c>
      <c r="U145" s="452" t="str">
        <f t="shared" si="212"/>
        <v/>
      </c>
      <c r="V145" s="453" t="str">
        <f t="shared" si="212"/>
        <v/>
      </c>
      <c r="W145" s="451" t="str">
        <f t="shared" si="212"/>
        <v/>
      </c>
      <c r="X145" s="452" t="str">
        <f t="shared" si="212"/>
        <v/>
      </c>
      <c r="Y145" s="452" t="str">
        <f t="shared" si="212"/>
        <v/>
      </c>
      <c r="Z145" s="452" t="str">
        <f t="shared" si="212"/>
        <v/>
      </c>
      <c r="AA145" s="453" t="str">
        <f t="shared" si="212"/>
        <v/>
      </c>
      <c r="AB145" s="451" t="str">
        <f t="shared" si="212"/>
        <v/>
      </c>
      <c r="AC145" s="452" t="str">
        <f t="shared" ref="AC145:AR160" si="221">IF(AND(AC$2&gt;=$J145,AC$2&lt;=$K145),1,"")</f>
        <v/>
      </c>
      <c r="AD145" s="452" t="str">
        <f t="shared" si="221"/>
        <v/>
      </c>
      <c r="AE145" s="452" t="str">
        <f t="shared" si="221"/>
        <v/>
      </c>
      <c r="AF145" s="453" t="str">
        <f t="shared" si="221"/>
        <v/>
      </c>
      <c r="AG145" s="451" t="str">
        <f t="shared" si="221"/>
        <v/>
      </c>
      <c r="AH145" s="452" t="str">
        <f t="shared" si="221"/>
        <v/>
      </c>
      <c r="AI145" s="452" t="str">
        <f t="shared" si="221"/>
        <v/>
      </c>
      <c r="AJ145" s="452" t="str">
        <f t="shared" si="221"/>
        <v/>
      </c>
      <c r="AK145" s="453" t="str">
        <f t="shared" si="221"/>
        <v/>
      </c>
      <c r="AL145" s="451" t="str">
        <f t="shared" si="221"/>
        <v/>
      </c>
      <c r="AM145" s="452" t="str">
        <f t="shared" si="221"/>
        <v/>
      </c>
      <c r="AN145" s="452" t="str">
        <f t="shared" si="221"/>
        <v/>
      </c>
      <c r="AO145" s="452" t="str">
        <f t="shared" si="221"/>
        <v/>
      </c>
      <c r="AP145" s="453" t="str">
        <f t="shared" si="221"/>
        <v/>
      </c>
      <c r="AQ145" s="451" t="str">
        <f t="shared" si="221"/>
        <v/>
      </c>
      <c r="AR145" s="452" t="str">
        <f t="shared" si="221"/>
        <v/>
      </c>
      <c r="AS145" s="452" t="str">
        <f t="shared" si="217"/>
        <v/>
      </c>
      <c r="AT145" s="452" t="str">
        <f t="shared" si="217"/>
        <v/>
      </c>
      <c r="AU145" s="453" t="str">
        <f t="shared" si="217"/>
        <v/>
      </c>
      <c r="AV145" s="451" t="str">
        <f t="shared" si="217"/>
        <v/>
      </c>
      <c r="AW145" s="452" t="str">
        <f t="shared" si="217"/>
        <v/>
      </c>
      <c r="AX145" s="452" t="str">
        <f t="shared" si="217"/>
        <v/>
      </c>
      <c r="AY145" s="452" t="str">
        <f t="shared" si="217"/>
        <v/>
      </c>
      <c r="AZ145" s="453" t="str">
        <f t="shared" si="217"/>
        <v/>
      </c>
      <c r="BA145" s="451" t="str">
        <f t="shared" si="217"/>
        <v/>
      </c>
      <c r="BB145" s="452" t="str">
        <f t="shared" si="217"/>
        <v/>
      </c>
      <c r="BC145" s="452" t="str">
        <f t="shared" si="217"/>
        <v/>
      </c>
      <c r="BD145" s="452" t="str">
        <f t="shared" si="217"/>
        <v/>
      </c>
      <c r="BE145" s="453" t="str">
        <f t="shared" si="217"/>
        <v/>
      </c>
      <c r="BF145" s="451" t="str">
        <f t="shared" si="217"/>
        <v/>
      </c>
      <c r="BG145" s="452" t="str">
        <f t="shared" si="217"/>
        <v/>
      </c>
      <c r="BH145" s="452" t="str">
        <f t="shared" si="218"/>
        <v/>
      </c>
      <c r="BI145" s="452" t="str">
        <f t="shared" si="218"/>
        <v/>
      </c>
      <c r="BJ145" s="453" t="str">
        <f t="shared" si="218"/>
        <v/>
      </c>
      <c r="BK145" s="451" t="str">
        <f t="shared" si="218"/>
        <v/>
      </c>
      <c r="BL145" s="452" t="str">
        <f t="shared" si="218"/>
        <v/>
      </c>
      <c r="BM145" s="452" t="str">
        <f t="shared" si="218"/>
        <v/>
      </c>
      <c r="BN145" s="452" t="str">
        <f t="shared" si="218"/>
        <v/>
      </c>
      <c r="BO145" s="453" t="str">
        <f t="shared" si="218"/>
        <v/>
      </c>
      <c r="BP145" s="451" t="str">
        <f t="shared" si="218"/>
        <v/>
      </c>
      <c r="BQ145" s="452" t="str">
        <f t="shared" si="218"/>
        <v/>
      </c>
      <c r="BR145" s="452" t="str">
        <f t="shared" si="218"/>
        <v/>
      </c>
      <c r="BS145" s="452" t="str">
        <f t="shared" si="218"/>
        <v/>
      </c>
      <c r="BT145" s="453" t="str">
        <f t="shared" si="218"/>
        <v/>
      </c>
      <c r="BU145" s="451" t="str">
        <f t="shared" si="218"/>
        <v/>
      </c>
      <c r="BV145" s="452" t="str">
        <f t="shared" si="218"/>
        <v/>
      </c>
      <c r="BW145" s="452" t="str">
        <f t="shared" si="218"/>
        <v/>
      </c>
      <c r="BX145" s="452" t="str">
        <f t="shared" si="219"/>
        <v/>
      </c>
      <c r="BY145" s="453" t="str">
        <f t="shared" si="219"/>
        <v/>
      </c>
      <c r="BZ145" s="451" t="str">
        <f t="shared" si="219"/>
        <v/>
      </c>
      <c r="CA145" s="452" t="str">
        <f t="shared" si="219"/>
        <v/>
      </c>
      <c r="CB145" s="452" t="str">
        <f t="shared" si="219"/>
        <v/>
      </c>
      <c r="CC145" s="452" t="str">
        <f t="shared" si="219"/>
        <v/>
      </c>
      <c r="CD145" s="453" t="str">
        <f t="shared" si="219"/>
        <v/>
      </c>
      <c r="CE145" s="451" t="str">
        <f t="shared" si="219"/>
        <v/>
      </c>
      <c r="CF145" s="452" t="str">
        <f t="shared" si="219"/>
        <v/>
      </c>
      <c r="CG145" s="452" t="str">
        <f t="shared" si="219"/>
        <v/>
      </c>
      <c r="CH145" s="452" t="str">
        <f t="shared" si="219"/>
        <v/>
      </c>
      <c r="CI145" s="453" t="str">
        <f t="shared" si="219"/>
        <v/>
      </c>
      <c r="CJ145" s="451" t="str">
        <f t="shared" si="219"/>
        <v/>
      </c>
      <c r="CK145" s="452" t="str">
        <f t="shared" si="219"/>
        <v/>
      </c>
      <c r="CL145" s="452" t="str">
        <f t="shared" si="219"/>
        <v/>
      </c>
      <c r="CM145" s="452" t="str">
        <f t="shared" si="219"/>
        <v/>
      </c>
      <c r="CN145" s="453" t="str">
        <f t="shared" si="215"/>
        <v/>
      </c>
      <c r="CO145" s="451" t="str">
        <f t="shared" si="215"/>
        <v/>
      </c>
      <c r="CP145" s="452" t="str">
        <f t="shared" si="215"/>
        <v/>
      </c>
      <c r="CQ145" s="452" t="str">
        <f t="shared" si="215"/>
        <v/>
      </c>
      <c r="CR145" s="452" t="str">
        <f t="shared" si="215"/>
        <v/>
      </c>
      <c r="CS145" s="453" t="str">
        <f t="shared" si="215"/>
        <v/>
      </c>
      <c r="CT145" s="451" t="str">
        <f t="shared" si="215"/>
        <v/>
      </c>
      <c r="CU145" s="452" t="str">
        <f t="shared" si="215"/>
        <v/>
      </c>
      <c r="CV145" s="452" t="str">
        <f t="shared" si="215"/>
        <v/>
      </c>
      <c r="CW145" s="452" t="str">
        <f t="shared" si="215"/>
        <v/>
      </c>
      <c r="CX145" s="453" t="str">
        <f t="shared" si="215"/>
        <v/>
      </c>
      <c r="CY145" s="451" t="str">
        <f t="shared" si="215"/>
        <v/>
      </c>
      <c r="CZ145" s="452" t="str">
        <f t="shared" si="215"/>
        <v/>
      </c>
      <c r="DA145" s="452" t="str">
        <f t="shared" si="215"/>
        <v/>
      </c>
      <c r="DB145" s="452" t="str">
        <f t="shared" si="215"/>
        <v/>
      </c>
      <c r="DC145" s="453" t="str">
        <f t="shared" si="216"/>
        <v/>
      </c>
      <c r="DD145" s="451" t="str">
        <f t="shared" si="216"/>
        <v/>
      </c>
      <c r="DE145" s="452" t="str">
        <f t="shared" si="216"/>
        <v/>
      </c>
      <c r="DF145" s="452" t="str">
        <f t="shared" si="216"/>
        <v/>
      </c>
      <c r="DG145" s="452" t="str">
        <f t="shared" si="216"/>
        <v/>
      </c>
      <c r="DH145" s="453" t="str">
        <f t="shared" si="216"/>
        <v/>
      </c>
      <c r="DI145" s="451" t="str">
        <f t="shared" si="216"/>
        <v/>
      </c>
      <c r="DJ145" s="452" t="str">
        <f t="shared" si="216"/>
        <v/>
      </c>
      <c r="DK145" s="452" t="str">
        <f t="shared" si="216"/>
        <v/>
      </c>
      <c r="DL145" s="452" t="str">
        <f t="shared" si="216"/>
        <v/>
      </c>
      <c r="DM145" s="453" t="str">
        <f t="shared" si="216"/>
        <v/>
      </c>
      <c r="DN145" s="451" t="str">
        <f t="shared" si="216"/>
        <v/>
      </c>
      <c r="DO145" s="452" t="str">
        <f t="shared" si="216"/>
        <v/>
      </c>
      <c r="DP145" s="452" t="str">
        <f t="shared" si="216"/>
        <v/>
      </c>
      <c r="DQ145" s="452" t="str">
        <f t="shared" si="216"/>
        <v/>
      </c>
      <c r="DR145" s="453" t="str">
        <f t="shared" si="216"/>
        <v/>
      </c>
      <c r="DS145" s="451" t="str">
        <f t="shared" ref="DS145:EH160" si="222">IF(AND(DS$2&gt;=$J145,DS$2&lt;=$K145),1,"")</f>
        <v/>
      </c>
      <c r="DT145" s="452" t="str">
        <f t="shared" si="220"/>
        <v/>
      </c>
      <c r="DU145" s="452" t="str">
        <f t="shared" si="220"/>
        <v/>
      </c>
      <c r="DV145" s="452" t="str">
        <f t="shared" si="220"/>
        <v/>
      </c>
      <c r="DW145" s="453" t="str">
        <f t="shared" si="220"/>
        <v/>
      </c>
      <c r="DX145" s="451" t="str">
        <f t="shared" si="220"/>
        <v/>
      </c>
      <c r="DY145" s="452" t="str">
        <f t="shared" si="220"/>
        <v/>
      </c>
      <c r="DZ145" s="452" t="str">
        <f t="shared" si="220"/>
        <v/>
      </c>
      <c r="EA145" s="452" t="str">
        <f t="shared" si="220"/>
        <v/>
      </c>
      <c r="EB145" s="453" t="str">
        <f t="shared" si="220"/>
        <v/>
      </c>
      <c r="EC145" s="451" t="str">
        <f t="shared" si="220"/>
        <v/>
      </c>
      <c r="ED145" s="452" t="str">
        <f t="shared" si="220"/>
        <v/>
      </c>
      <c r="EE145" s="452" t="str">
        <f t="shared" si="220"/>
        <v/>
      </c>
      <c r="EF145" s="452" t="str">
        <f t="shared" si="220"/>
        <v/>
      </c>
      <c r="EG145" s="453" t="str">
        <f t="shared" si="220"/>
        <v/>
      </c>
      <c r="EH145" s="451" t="str">
        <f t="shared" si="220"/>
        <v/>
      </c>
      <c r="EI145" s="452" t="str">
        <f t="shared" si="201"/>
        <v/>
      </c>
      <c r="EJ145" s="452" t="str">
        <f t="shared" si="201"/>
        <v/>
      </c>
      <c r="EK145" s="452" t="str">
        <f t="shared" si="201"/>
        <v/>
      </c>
      <c r="EL145" s="453" t="str">
        <f t="shared" si="201"/>
        <v/>
      </c>
      <c r="EM145" s="451" t="str">
        <f t="shared" si="201"/>
        <v/>
      </c>
      <c r="EN145" s="452" t="str">
        <f t="shared" si="201"/>
        <v/>
      </c>
      <c r="EO145" s="452" t="str">
        <f t="shared" si="201"/>
        <v/>
      </c>
      <c r="EP145" s="452" t="str">
        <f t="shared" si="201"/>
        <v/>
      </c>
      <c r="EQ145" s="453" t="str">
        <f t="shared" si="201"/>
        <v/>
      </c>
      <c r="ER145" s="451" t="str">
        <f t="shared" si="201"/>
        <v/>
      </c>
      <c r="ES145" s="452" t="str">
        <f t="shared" si="201"/>
        <v/>
      </c>
      <c r="ET145" s="452" t="str">
        <f t="shared" si="201"/>
        <v/>
      </c>
      <c r="EU145" s="452" t="str">
        <f t="shared" si="201"/>
        <v/>
      </c>
      <c r="EV145" s="453" t="str">
        <f t="shared" si="201"/>
        <v/>
      </c>
      <c r="EW145" s="451" t="str">
        <f t="shared" si="201"/>
        <v/>
      </c>
      <c r="EX145" s="452" t="str">
        <f t="shared" si="201"/>
        <v/>
      </c>
      <c r="EY145" s="452" t="str">
        <f t="shared" si="202"/>
        <v/>
      </c>
      <c r="EZ145" s="452" t="str">
        <f t="shared" si="202"/>
        <v/>
      </c>
      <c r="FA145" s="453" t="str">
        <f t="shared" si="202"/>
        <v/>
      </c>
      <c r="FB145" s="451" t="str">
        <f t="shared" si="202"/>
        <v/>
      </c>
      <c r="FC145" s="452" t="str">
        <f t="shared" si="202"/>
        <v/>
      </c>
      <c r="FD145" s="452" t="str">
        <f t="shared" si="202"/>
        <v/>
      </c>
      <c r="FE145" s="452" t="str">
        <f t="shared" si="202"/>
        <v/>
      </c>
      <c r="FF145" s="453" t="str">
        <f t="shared" si="202"/>
        <v/>
      </c>
      <c r="FG145" s="451" t="str">
        <f t="shared" si="202"/>
        <v/>
      </c>
      <c r="FH145" s="452" t="str">
        <f t="shared" si="202"/>
        <v/>
      </c>
      <c r="FI145" s="452" t="str">
        <f t="shared" si="202"/>
        <v/>
      </c>
      <c r="FJ145" s="452" t="str">
        <f t="shared" si="202"/>
        <v/>
      </c>
      <c r="FK145" s="453" t="str">
        <f t="shared" si="202"/>
        <v/>
      </c>
      <c r="FL145" s="451" t="str">
        <f t="shared" si="202"/>
        <v/>
      </c>
      <c r="FM145" s="452" t="str">
        <f t="shared" si="202"/>
        <v/>
      </c>
      <c r="FN145" s="452" t="str">
        <f t="shared" si="202"/>
        <v/>
      </c>
      <c r="FO145" s="452" t="str">
        <f t="shared" si="200"/>
        <v/>
      </c>
      <c r="FP145" s="453" t="str">
        <f t="shared" si="200"/>
        <v/>
      </c>
      <c r="FQ145" s="451" t="str">
        <f t="shared" si="200"/>
        <v/>
      </c>
      <c r="FR145" s="452" t="str">
        <f t="shared" si="200"/>
        <v/>
      </c>
      <c r="FS145" s="452" t="str">
        <f t="shared" si="200"/>
        <v/>
      </c>
      <c r="FT145" s="452" t="str">
        <f t="shared" si="200"/>
        <v/>
      </c>
      <c r="FU145" s="453" t="str">
        <f t="shared" si="200"/>
        <v/>
      </c>
      <c r="FV145" s="451" t="str">
        <f t="shared" si="200"/>
        <v/>
      </c>
      <c r="FW145" s="452" t="str">
        <f t="shared" si="200"/>
        <v/>
      </c>
      <c r="FX145" s="452" t="str">
        <f t="shared" si="200"/>
        <v/>
      </c>
      <c r="FY145" s="452" t="str">
        <f t="shared" si="200"/>
        <v/>
      </c>
      <c r="FZ145" s="453" t="str">
        <f t="shared" si="200"/>
        <v/>
      </c>
      <c r="GA145" s="451" t="str">
        <f t="shared" si="200"/>
        <v/>
      </c>
      <c r="GB145" s="452" t="str">
        <f t="shared" si="200"/>
        <v/>
      </c>
      <c r="GC145" s="452" t="str">
        <f t="shared" si="200"/>
        <v/>
      </c>
      <c r="GD145" s="452" t="str">
        <f t="shared" si="211"/>
        <v/>
      </c>
      <c r="GE145" s="453" t="str">
        <f t="shared" si="211"/>
        <v/>
      </c>
      <c r="GF145" s="451" t="str">
        <f t="shared" si="211"/>
        <v/>
      </c>
      <c r="GG145" s="452" t="str">
        <f t="shared" si="203"/>
        <v/>
      </c>
      <c r="GH145" s="452" t="str">
        <f t="shared" si="203"/>
        <v/>
      </c>
      <c r="GI145" s="452" t="str">
        <f t="shared" si="203"/>
        <v/>
      </c>
      <c r="GJ145" s="453" t="str">
        <f t="shared" si="203"/>
        <v/>
      </c>
      <c r="GK145" s="451" t="str">
        <f t="shared" si="203"/>
        <v/>
      </c>
      <c r="GL145" s="452" t="str">
        <f t="shared" si="203"/>
        <v/>
      </c>
      <c r="GM145" s="452" t="str">
        <f t="shared" si="203"/>
        <v/>
      </c>
      <c r="GN145" s="452" t="str">
        <f t="shared" si="203"/>
        <v/>
      </c>
      <c r="GO145" s="453" t="str">
        <f t="shared" si="203"/>
        <v/>
      </c>
      <c r="GP145" s="451" t="str">
        <f t="shared" si="203"/>
        <v/>
      </c>
      <c r="GQ145" s="452" t="str">
        <f t="shared" si="203"/>
        <v/>
      </c>
      <c r="GR145" s="452" t="str">
        <f t="shared" si="203"/>
        <v/>
      </c>
      <c r="GS145" s="452" t="str">
        <f t="shared" si="203"/>
        <v/>
      </c>
      <c r="GT145" s="453" t="str">
        <f t="shared" si="203"/>
        <v/>
      </c>
      <c r="GU145" s="451" t="str">
        <f t="shared" si="203"/>
        <v/>
      </c>
      <c r="GV145" s="452" t="str">
        <f t="shared" si="203"/>
        <v/>
      </c>
      <c r="GW145" s="452" t="str">
        <f t="shared" si="198"/>
        <v/>
      </c>
      <c r="GX145" s="452" t="str">
        <f t="shared" si="198"/>
        <v/>
      </c>
      <c r="GY145" s="453" t="str">
        <f t="shared" si="198"/>
        <v/>
      </c>
      <c r="GZ145" s="451" t="str">
        <f t="shared" si="198"/>
        <v/>
      </c>
      <c r="HA145" s="452" t="str">
        <f t="shared" si="198"/>
        <v/>
      </c>
      <c r="HB145" s="452" t="str">
        <f t="shared" si="198"/>
        <v/>
      </c>
      <c r="HC145" s="452" t="str">
        <f t="shared" si="198"/>
        <v/>
      </c>
      <c r="HD145" s="453" t="str">
        <f t="shared" si="198"/>
        <v/>
      </c>
      <c r="HE145" s="451" t="str">
        <f t="shared" si="198"/>
        <v/>
      </c>
      <c r="HF145" s="452" t="str">
        <f t="shared" si="198"/>
        <v/>
      </c>
      <c r="HG145" s="452" t="str">
        <f t="shared" si="198"/>
        <v/>
      </c>
      <c r="HH145" s="452" t="str">
        <f t="shared" si="198"/>
        <v/>
      </c>
      <c r="HI145" s="453" t="str">
        <f t="shared" si="198"/>
        <v/>
      </c>
      <c r="HJ145" s="451" t="str">
        <f t="shared" si="198"/>
        <v/>
      </c>
      <c r="HK145" s="452" t="str">
        <f t="shared" si="198"/>
        <v/>
      </c>
      <c r="HL145" s="452" t="str">
        <f t="shared" si="207"/>
        <v/>
      </c>
      <c r="HM145" s="452" t="str">
        <f t="shared" si="207"/>
        <v/>
      </c>
      <c r="HN145" s="453" t="str">
        <f t="shared" si="207"/>
        <v/>
      </c>
      <c r="HO145" s="451" t="str">
        <f t="shared" si="207"/>
        <v/>
      </c>
      <c r="HP145" s="452" t="str">
        <f t="shared" si="207"/>
        <v/>
      </c>
      <c r="HQ145" s="452" t="str">
        <f t="shared" si="207"/>
        <v/>
      </c>
      <c r="HR145" s="452" t="str">
        <f t="shared" si="207"/>
        <v/>
      </c>
      <c r="HS145" s="453" t="str">
        <f t="shared" si="207"/>
        <v/>
      </c>
      <c r="HT145" s="451" t="str">
        <f t="shared" si="207"/>
        <v/>
      </c>
      <c r="HU145" s="452" t="str">
        <f t="shared" si="207"/>
        <v/>
      </c>
      <c r="HV145" s="452" t="str">
        <f t="shared" si="207"/>
        <v/>
      </c>
      <c r="HW145" s="452" t="str">
        <f t="shared" si="207"/>
        <v/>
      </c>
      <c r="HX145" s="453" t="str">
        <f t="shared" si="207"/>
        <v/>
      </c>
      <c r="HY145" s="451" t="str">
        <f t="shared" si="207"/>
        <v/>
      </c>
      <c r="HZ145" s="452" t="str">
        <f t="shared" si="207"/>
        <v/>
      </c>
      <c r="IA145" s="452" t="str">
        <f t="shared" si="213"/>
        <v/>
      </c>
      <c r="IB145" s="452" t="str">
        <f t="shared" si="213"/>
        <v/>
      </c>
      <c r="IC145" s="453" t="str">
        <f t="shared" si="213"/>
        <v/>
      </c>
      <c r="ID145" s="451" t="str">
        <f t="shared" si="213"/>
        <v/>
      </c>
      <c r="IE145" s="452" t="str">
        <f t="shared" si="213"/>
        <v/>
      </c>
      <c r="IF145" s="452" t="str">
        <f t="shared" si="213"/>
        <v/>
      </c>
      <c r="IG145" s="452" t="str">
        <f t="shared" si="213"/>
        <v/>
      </c>
      <c r="IH145" s="453" t="str">
        <f t="shared" si="213"/>
        <v/>
      </c>
      <c r="II145" s="451" t="str">
        <f t="shared" si="213"/>
        <v/>
      </c>
      <c r="IJ145" s="452" t="str">
        <f t="shared" si="213"/>
        <v/>
      </c>
      <c r="IK145" s="452" t="str">
        <f t="shared" si="213"/>
        <v/>
      </c>
      <c r="IL145" s="452" t="str">
        <f t="shared" si="213"/>
        <v/>
      </c>
      <c r="IM145" s="453" t="str">
        <f t="shared" si="213"/>
        <v/>
      </c>
      <c r="IN145" s="451" t="str">
        <f t="shared" si="213"/>
        <v/>
      </c>
      <c r="IO145" s="452" t="str">
        <f t="shared" si="213"/>
        <v/>
      </c>
      <c r="IP145" s="452" t="str">
        <f t="shared" si="213"/>
        <v/>
      </c>
      <c r="IQ145" s="452" t="str">
        <f t="shared" si="214"/>
        <v/>
      </c>
      <c r="IR145" s="453" t="str">
        <f t="shared" si="214"/>
        <v/>
      </c>
    </row>
    <row r="146" spans="1:252" x14ac:dyDescent="0.2">
      <c r="A146" s="462">
        <v>13.1</v>
      </c>
      <c r="B146" s="463"/>
      <c r="C146" s="464" t="s">
        <v>1360</v>
      </c>
      <c r="D146" s="464"/>
      <c r="E146" s="465"/>
      <c r="F146" s="465"/>
      <c r="G146" s="465"/>
      <c r="H146" s="465"/>
      <c r="I146" s="466"/>
      <c r="J146" s="467" t="str">
        <f t="shared" si="208"/>
        <v/>
      </c>
      <c r="K146" s="467" t="str">
        <f t="shared" si="209"/>
        <v/>
      </c>
      <c r="L146" s="468">
        <f t="shared" si="206"/>
        <v>0</v>
      </c>
      <c r="M146" s="469" t="str">
        <f t="shared" si="212"/>
        <v/>
      </c>
      <c r="N146" s="470" t="str">
        <f t="shared" si="212"/>
        <v/>
      </c>
      <c r="O146" s="470" t="str">
        <f t="shared" si="212"/>
        <v/>
      </c>
      <c r="P146" s="470" t="str">
        <f t="shared" si="212"/>
        <v/>
      </c>
      <c r="Q146" s="471" t="str">
        <f t="shared" si="212"/>
        <v/>
      </c>
      <c r="R146" s="469" t="str">
        <f t="shared" si="212"/>
        <v/>
      </c>
      <c r="S146" s="470" t="str">
        <f t="shared" si="212"/>
        <v/>
      </c>
      <c r="T146" s="470" t="str">
        <f t="shared" si="212"/>
        <v/>
      </c>
      <c r="U146" s="470" t="str">
        <f t="shared" si="212"/>
        <v/>
      </c>
      <c r="V146" s="471" t="str">
        <f t="shared" si="212"/>
        <v/>
      </c>
      <c r="W146" s="469" t="str">
        <f t="shared" si="212"/>
        <v/>
      </c>
      <c r="X146" s="470" t="str">
        <f t="shared" si="212"/>
        <v/>
      </c>
      <c r="Y146" s="470" t="str">
        <f t="shared" si="212"/>
        <v/>
      </c>
      <c r="Z146" s="470" t="str">
        <f t="shared" si="212"/>
        <v/>
      </c>
      <c r="AA146" s="471" t="str">
        <f t="shared" si="212"/>
        <v/>
      </c>
      <c r="AB146" s="469" t="str">
        <f t="shared" si="212"/>
        <v/>
      </c>
      <c r="AC146" s="470" t="str">
        <f t="shared" si="221"/>
        <v/>
      </c>
      <c r="AD146" s="470" t="str">
        <f t="shared" si="221"/>
        <v/>
      </c>
      <c r="AE146" s="470" t="str">
        <f t="shared" si="221"/>
        <v/>
      </c>
      <c r="AF146" s="471" t="str">
        <f t="shared" si="221"/>
        <v/>
      </c>
      <c r="AG146" s="469" t="str">
        <f t="shared" si="221"/>
        <v/>
      </c>
      <c r="AH146" s="470" t="str">
        <f t="shared" si="221"/>
        <v/>
      </c>
      <c r="AI146" s="470" t="str">
        <f t="shared" si="221"/>
        <v/>
      </c>
      <c r="AJ146" s="470" t="str">
        <f t="shared" si="221"/>
        <v/>
      </c>
      <c r="AK146" s="471" t="str">
        <f t="shared" si="221"/>
        <v/>
      </c>
      <c r="AL146" s="469" t="str">
        <f t="shared" si="221"/>
        <v/>
      </c>
      <c r="AM146" s="470" t="str">
        <f t="shared" si="221"/>
        <v/>
      </c>
      <c r="AN146" s="470" t="str">
        <f t="shared" si="221"/>
        <v/>
      </c>
      <c r="AO146" s="470" t="str">
        <f t="shared" si="221"/>
        <v/>
      </c>
      <c r="AP146" s="471" t="str">
        <f t="shared" si="221"/>
        <v/>
      </c>
      <c r="AQ146" s="469" t="str">
        <f t="shared" si="221"/>
        <v/>
      </c>
      <c r="AR146" s="470" t="str">
        <f t="shared" si="221"/>
        <v/>
      </c>
      <c r="AS146" s="470" t="str">
        <f t="shared" si="217"/>
        <v/>
      </c>
      <c r="AT146" s="470" t="str">
        <f t="shared" si="217"/>
        <v/>
      </c>
      <c r="AU146" s="471" t="str">
        <f t="shared" si="217"/>
        <v/>
      </c>
      <c r="AV146" s="469" t="str">
        <f t="shared" si="217"/>
        <v/>
      </c>
      <c r="AW146" s="470" t="str">
        <f t="shared" si="217"/>
        <v/>
      </c>
      <c r="AX146" s="470" t="str">
        <f t="shared" si="217"/>
        <v/>
      </c>
      <c r="AY146" s="470" t="str">
        <f t="shared" si="217"/>
        <v/>
      </c>
      <c r="AZ146" s="471" t="str">
        <f t="shared" si="217"/>
        <v/>
      </c>
      <c r="BA146" s="469" t="str">
        <f t="shared" si="217"/>
        <v/>
      </c>
      <c r="BB146" s="470" t="str">
        <f t="shared" si="217"/>
        <v/>
      </c>
      <c r="BC146" s="470" t="str">
        <f t="shared" si="217"/>
        <v/>
      </c>
      <c r="BD146" s="470" t="str">
        <f t="shared" si="217"/>
        <v/>
      </c>
      <c r="BE146" s="471" t="str">
        <f t="shared" si="217"/>
        <v/>
      </c>
      <c r="BF146" s="469" t="str">
        <f t="shared" si="217"/>
        <v/>
      </c>
      <c r="BG146" s="470" t="str">
        <f t="shared" si="217"/>
        <v/>
      </c>
      <c r="BH146" s="470" t="str">
        <f t="shared" si="218"/>
        <v/>
      </c>
      <c r="BI146" s="470" t="str">
        <f t="shared" si="218"/>
        <v/>
      </c>
      <c r="BJ146" s="471" t="str">
        <f t="shared" si="218"/>
        <v/>
      </c>
      <c r="BK146" s="469" t="str">
        <f t="shared" si="218"/>
        <v/>
      </c>
      <c r="BL146" s="470" t="str">
        <f t="shared" si="218"/>
        <v/>
      </c>
      <c r="BM146" s="470" t="str">
        <f t="shared" si="218"/>
        <v/>
      </c>
      <c r="BN146" s="470" t="str">
        <f t="shared" si="218"/>
        <v/>
      </c>
      <c r="BO146" s="471" t="str">
        <f t="shared" si="218"/>
        <v/>
      </c>
      <c r="BP146" s="469" t="str">
        <f t="shared" si="218"/>
        <v/>
      </c>
      <c r="BQ146" s="470" t="str">
        <f t="shared" si="218"/>
        <v/>
      </c>
      <c r="BR146" s="470" t="str">
        <f t="shared" si="218"/>
        <v/>
      </c>
      <c r="BS146" s="470" t="str">
        <f t="shared" si="218"/>
        <v/>
      </c>
      <c r="BT146" s="471" t="str">
        <f t="shared" si="218"/>
        <v/>
      </c>
      <c r="BU146" s="469" t="str">
        <f t="shared" si="218"/>
        <v/>
      </c>
      <c r="BV146" s="470" t="str">
        <f t="shared" si="218"/>
        <v/>
      </c>
      <c r="BW146" s="470" t="str">
        <f t="shared" si="218"/>
        <v/>
      </c>
      <c r="BX146" s="470" t="str">
        <f t="shared" si="219"/>
        <v/>
      </c>
      <c r="BY146" s="471" t="str">
        <f t="shared" si="219"/>
        <v/>
      </c>
      <c r="BZ146" s="469" t="str">
        <f t="shared" si="219"/>
        <v/>
      </c>
      <c r="CA146" s="470" t="str">
        <f t="shared" si="219"/>
        <v/>
      </c>
      <c r="CB146" s="470" t="str">
        <f t="shared" si="219"/>
        <v/>
      </c>
      <c r="CC146" s="470" t="str">
        <f t="shared" si="219"/>
        <v/>
      </c>
      <c r="CD146" s="471" t="str">
        <f t="shared" si="219"/>
        <v/>
      </c>
      <c r="CE146" s="469" t="str">
        <f t="shared" si="219"/>
        <v/>
      </c>
      <c r="CF146" s="470" t="str">
        <f t="shared" si="219"/>
        <v/>
      </c>
      <c r="CG146" s="470" t="str">
        <f t="shared" si="219"/>
        <v/>
      </c>
      <c r="CH146" s="470" t="str">
        <f t="shared" si="219"/>
        <v/>
      </c>
      <c r="CI146" s="471" t="str">
        <f t="shared" si="219"/>
        <v/>
      </c>
      <c r="CJ146" s="469" t="str">
        <f t="shared" si="219"/>
        <v/>
      </c>
      <c r="CK146" s="470" t="str">
        <f t="shared" si="219"/>
        <v/>
      </c>
      <c r="CL146" s="470" t="str">
        <f t="shared" si="219"/>
        <v/>
      </c>
      <c r="CM146" s="470" t="str">
        <f t="shared" si="219"/>
        <v/>
      </c>
      <c r="CN146" s="471" t="str">
        <f t="shared" si="215"/>
        <v/>
      </c>
      <c r="CO146" s="469" t="str">
        <f t="shared" si="215"/>
        <v/>
      </c>
      <c r="CP146" s="470" t="str">
        <f t="shared" si="215"/>
        <v/>
      </c>
      <c r="CQ146" s="470" t="str">
        <f t="shared" si="215"/>
        <v/>
      </c>
      <c r="CR146" s="470" t="str">
        <f t="shared" si="215"/>
        <v/>
      </c>
      <c r="CS146" s="471" t="str">
        <f t="shared" si="215"/>
        <v/>
      </c>
      <c r="CT146" s="469" t="str">
        <f t="shared" si="215"/>
        <v/>
      </c>
      <c r="CU146" s="470" t="str">
        <f t="shared" si="215"/>
        <v/>
      </c>
      <c r="CV146" s="470" t="str">
        <f t="shared" si="215"/>
        <v/>
      </c>
      <c r="CW146" s="470" t="str">
        <f t="shared" si="215"/>
        <v/>
      </c>
      <c r="CX146" s="471" t="str">
        <f t="shared" si="215"/>
        <v/>
      </c>
      <c r="CY146" s="469" t="str">
        <f t="shared" si="215"/>
        <v/>
      </c>
      <c r="CZ146" s="470" t="str">
        <f t="shared" si="215"/>
        <v/>
      </c>
      <c r="DA146" s="470" t="str">
        <f t="shared" si="215"/>
        <v/>
      </c>
      <c r="DB146" s="470" t="str">
        <f t="shared" si="215"/>
        <v/>
      </c>
      <c r="DC146" s="471" t="str">
        <f t="shared" si="216"/>
        <v/>
      </c>
      <c r="DD146" s="469" t="str">
        <f t="shared" si="216"/>
        <v/>
      </c>
      <c r="DE146" s="470" t="str">
        <f t="shared" si="216"/>
        <v/>
      </c>
      <c r="DF146" s="470" t="str">
        <f t="shared" si="216"/>
        <v/>
      </c>
      <c r="DG146" s="470" t="str">
        <f t="shared" si="216"/>
        <v/>
      </c>
      <c r="DH146" s="471" t="str">
        <f t="shared" si="216"/>
        <v/>
      </c>
      <c r="DI146" s="469" t="str">
        <f t="shared" si="216"/>
        <v/>
      </c>
      <c r="DJ146" s="470" t="str">
        <f t="shared" si="216"/>
        <v/>
      </c>
      <c r="DK146" s="470" t="str">
        <f t="shared" si="216"/>
        <v/>
      </c>
      <c r="DL146" s="470" t="str">
        <f t="shared" si="216"/>
        <v/>
      </c>
      <c r="DM146" s="471" t="str">
        <f t="shared" si="216"/>
        <v/>
      </c>
      <c r="DN146" s="469" t="str">
        <f t="shared" si="216"/>
        <v/>
      </c>
      <c r="DO146" s="470" t="str">
        <f t="shared" si="216"/>
        <v/>
      </c>
      <c r="DP146" s="470" t="str">
        <f t="shared" si="216"/>
        <v/>
      </c>
      <c r="DQ146" s="470" t="str">
        <f t="shared" si="216"/>
        <v/>
      </c>
      <c r="DR146" s="471" t="str">
        <f t="shared" si="216"/>
        <v/>
      </c>
      <c r="DS146" s="469" t="str">
        <f t="shared" si="222"/>
        <v/>
      </c>
      <c r="DT146" s="470" t="str">
        <f t="shared" si="222"/>
        <v/>
      </c>
      <c r="DU146" s="470" t="str">
        <f t="shared" si="222"/>
        <v/>
      </c>
      <c r="DV146" s="470" t="str">
        <f t="shared" si="222"/>
        <v/>
      </c>
      <c r="DW146" s="471" t="str">
        <f t="shared" si="222"/>
        <v/>
      </c>
      <c r="DX146" s="469" t="str">
        <f t="shared" si="222"/>
        <v/>
      </c>
      <c r="DY146" s="470" t="str">
        <f t="shared" si="222"/>
        <v/>
      </c>
      <c r="DZ146" s="470" t="str">
        <f t="shared" si="222"/>
        <v/>
      </c>
      <c r="EA146" s="470" t="str">
        <f t="shared" si="222"/>
        <v/>
      </c>
      <c r="EB146" s="471" t="str">
        <f t="shared" si="222"/>
        <v/>
      </c>
      <c r="EC146" s="469" t="str">
        <f t="shared" si="222"/>
        <v/>
      </c>
      <c r="ED146" s="470" t="str">
        <f t="shared" si="222"/>
        <v/>
      </c>
      <c r="EE146" s="470" t="str">
        <f t="shared" si="222"/>
        <v/>
      </c>
      <c r="EF146" s="470" t="str">
        <f t="shared" si="222"/>
        <v/>
      </c>
      <c r="EG146" s="471" t="str">
        <f t="shared" si="222"/>
        <v/>
      </c>
      <c r="EH146" s="469" t="str">
        <f t="shared" si="222"/>
        <v/>
      </c>
      <c r="EI146" s="470" t="str">
        <f t="shared" si="201"/>
        <v/>
      </c>
      <c r="EJ146" s="470" t="str">
        <f t="shared" si="201"/>
        <v/>
      </c>
      <c r="EK146" s="470" t="str">
        <f t="shared" si="201"/>
        <v/>
      </c>
      <c r="EL146" s="471" t="str">
        <f t="shared" si="201"/>
        <v/>
      </c>
      <c r="EM146" s="469" t="str">
        <f t="shared" si="201"/>
        <v/>
      </c>
      <c r="EN146" s="470" t="str">
        <f t="shared" si="201"/>
        <v/>
      </c>
      <c r="EO146" s="470" t="str">
        <f t="shared" si="201"/>
        <v/>
      </c>
      <c r="EP146" s="470" t="str">
        <f t="shared" si="201"/>
        <v/>
      </c>
      <c r="EQ146" s="471" t="str">
        <f t="shared" si="201"/>
        <v/>
      </c>
      <c r="ER146" s="469" t="str">
        <f t="shared" si="201"/>
        <v/>
      </c>
      <c r="ES146" s="470" t="str">
        <f t="shared" si="201"/>
        <v/>
      </c>
      <c r="ET146" s="470" t="str">
        <f t="shared" si="201"/>
        <v/>
      </c>
      <c r="EU146" s="470" t="str">
        <f t="shared" si="201"/>
        <v/>
      </c>
      <c r="EV146" s="471" t="str">
        <f t="shared" si="201"/>
        <v/>
      </c>
      <c r="EW146" s="469" t="str">
        <f t="shared" si="201"/>
        <v/>
      </c>
      <c r="EX146" s="470" t="str">
        <f t="shared" si="201"/>
        <v/>
      </c>
      <c r="EY146" s="470" t="str">
        <f t="shared" si="202"/>
        <v/>
      </c>
      <c r="EZ146" s="470" t="str">
        <f t="shared" si="202"/>
        <v/>
      </c>
      <c r="FA146" s="471" t="str">
        <f t="shared" si="202"/>
        <v/>
      </c>
      <c r="FB146" s="469" t="str">
        <f t="shared" si="202"/>
        <v/>
      </c>
      <c r="FC146" s="470" t="str">
        <f t="shared" si="202"/>
        <v/>
      </c>
      <c r="FD146" s="470" t="str">
        <f t="shared" si="202"/>
        <v/>
      </c>
      <c r="FE146" s="470" t="str">
        <f t="shared" si="202"/>
        <v/>
      </c>
      <c r="FF146" s="471" t="str">
        <f t="shared" si="202"/>
        <v/>
      </c>
      <c r="FG146" s="469" t="str">
        <f t="shared" si="202"/>
        <v/>
      </c>
      <c r="FH146" s="470" t="str">
        <f t="shared" si="202"/>
        <v/>
      </c>
      <c r="FI146" s="470" t="str">
        <f t="shared" si="202"/>
        <v/>
      </c>
      <c r="FJ146" s="470" t="str">
        <f t="shared" si="202"/>
        <v/>
      </c>
      <c r="FK146" s="471" t="str">
        <f t="shared" si="202"/>
        <v/>
      </c>
      <c r="FL146" s="469" t="str">
        <f t="shared" si="202"/>
        <v/>
      </c>
      <c r="FM146" s="470" t="str">
        <f t="shared" si="202"/>
        <v/>
      </c>
      <c r="FN146" s="470" t="str">
        <f t="shared" si="200"/>
        <v/>
      </c>
      <c r="FO146" s="470" t="str">
        <f t="shared" si="200"/>
        <v/>
      </c>
      <c r="FP146" s="471" t="str">
        <f t="shared" si="200"/>
        <v/>
      </c>
      <c r="FQ146" s="469" t="str">
        <f t="shared" si="200"/>
        <v/>
      </c>
      <c r="FR146" s="470" t="str">
        <f t="shared" si="200"/>
        <v/>
      </c>
      <c r="FS146" s="470" t="str">
        <f t="shared" si="200"/>
        <v/>
      </c>
      <c r="FT146" s="470" t="str">
        <f t="shared" si="200"/>
        <v/>
      </c>
      <c r="FU146" s="471" t="str">
        <f t="shared" si="200"/>
        <v/>
      </c>
      <c r="FV146" s="469" t="str">
        <f t="shared" si="200"/>
        <v/>
      </c>
      <c r="FW146" s="470" t="str">
        <f t="shared" si="200"/>
        <v/>
      </c>
      <c r="FX146" s="470" t="str">
        <f t="shared" si="200"/>
        <v/>
      </c>
      <c r="FY146" s="470" t="str">
        <f t="shared" si="200"/>
        <v/>
      </c>
      <c r="FZ146" s="471" t="str">
        <f t="shared" si="200"/>
        <v/>
      </c>
      <c r="GA146" s="469" t="str">
        <f t="shared" si="200"/>
        <v/>
      </c>
      <c r="GB146" s="470" t="str">
        <f t="shared" si="200"/>
        <v/>
      </c>
      <c r="GC146" s="470" t="str">
        <f t="shared" si="200"/>
        <v/>
      </c>
      <c r="GD146" s="470" t="str">
        <f t="shared" si="211"/>
        <v/>
      </c>
      <c r="GE146" s="471" t="str">
        <f t="shared" si="211"/>
        <v/>
      </c>
      <c r="GF146" s="469" t="str">
        <f t="shared" si="211"/>
        <v/>
      </c>
      <c r="GG146" s="470" t="str">
        <f t="shared" si="203"/>
        <v/>
      </c>
      <c r="GH146" s="470" t="str">
        <f t="shared" si="203"/>
        <v/>
      </c>
      <c r="GI146" s="470" t="str">
        <f t="shared" si="203"/>
        <v/>
      </c>
      <c r="GJ146" s="471" t="str">
        <f t="shared" si="203"/>
        <v/>
      </c>
      <c r="GK146" s="469" t="str">
        <f t="shared" si="203"/>
        <v/>
      </c>
      <c r="GL146" s="470" t="str">
        <f t="shared" si="203"/>
        <v/>
      </c>
      <c r="GM146" s="470" t="str">
        <f t="shared" si="203"/>
        <v/>
      </c>
      <c r="GN146" s="470" t="str">
        <f t="shared" si="203"/>
        <v/>
      </c>
      <c r="GO146" s="471" t="str">
        <f t="shared" si="203"/>
        <v/>
      </c>
      <c r="GP146" s="469" t="str">
        <f t="shared" si="203"/>
        <v/>
      </c>
      <c r="GQ146" s="470" t="str">
        <f t="shared" si="203"/>
        <v/>
      </c>
      <c r="GR146" s="470" t="str">
        <f t="shared" si="203"/>
        <v/>
      </c>
      <c r="GS146" s="470" t="str">
        <f t="shared" si="203"/>
        <v/>
      </c>
      <c r="GT146" s="471" t="str">
        <f t="shared" si="203"/>
        <v/>
      </c>
      <c r="GU146" s="469" t="str">
        <f t="shared" si="203"/>
        <v/>
      </c>
      <c r="GV146" s="470" t="str">
        <f t="shared" si="203"/>
        <v/>
      </c>
      <c r="GW146" s="470" t="str">
        <f t="shared" si="198"/>
        <v/>
      </c>
      <c r="GX146" s="470" t="str">
        <f t="shared" si="198"/>
        <v/>
      </c>
      <c r="GY146" s="471" t="str">
        <f t="shared" si="198"/>
        <v/>
      </c>
      <c r="GZ146" s="469" t="str">
        <f t="shared" si="198"/>
        <v/>
      </c>
      <c r="HA146" s="470" t="str">
        <f t="shared" si="198"/>
        <v/>
      </c>
      <c r="HB146" s="470" t="str">
        <f t="shared" si="198"/>
        <v/>
      </c>
      <c r="HC146" s="470" t="str">
        <f t="shared" si="198"/>
        <v/>
      </c>
      <c r="HD146" s="471" t="str">
        <f t="shared" si="198"/>
        <v/>
      </c>
      <c r="HE146" s="469" t="str">
        <f t="shared" si="198"/>
        <v/>
      </c>
      <c r="HF146" s="470" t="str">
        <f t="shared" si="198"/>
        <v/>
      </c>
      <c r="HG146" s="470" t="str">
        <f t="shared" si="198"/>
        <v/>
      </c>
      <c r="HH146" s="470" t="str">
        <f t="shared" si="198"/>
        <v/>
      </c>
      <c r="HI146" s="471" t="str">
        <f t="shared" si="198"/>
        <v/>
      </c>
      <c r="HJ146" s="469" t="str">
        <f t="shared" si="198"/>
        <v/>
      </c>
      <c r="HK146" s="470" t="str">
        <f t="shared" si="198"/>
        <v/>
      </c>
      <c r="HL146" s="470" t="str">
        <f t="shared" si="207"/>
        <v/>
      </c>
      <c r="HM146" s="470" t="str">
        <f t="shared" si="207"/>
        <v/>
      </c>
      <c r="HN146" s="471" t="str">
        <f t="shared" si="207"/>
        <v/>
      </c>
      <c r="HO146" s="469" t="str">
        <f t="shared" si="207"/>
        <v/>
      </c>
      <c r="HP146" s="470" t="str">
        <f t="shared" si="207"/>
        <v/>
      </c>
      <c r="HQ146" s="470" t="str">
        <f t="shared" si="207"/>
        <v/>
      </c>
      <c r="HR146" s="470" t="str">
        <f t="shared" si="207"/>
        <v/>
      </c>
      <c r="HS146" s="471" t="str">
        <f t="shared" si="207"/>
        <v/>
      </c>
      <c r="HT146" s="469" t="str">
        <f t="shared" si="207"/>
        <v/>
      </c>
      <c r="HU146" s="470" t="str">
        <f t="shared" si="207"/>
        <v/>
      </c>
      <c r="HV146" s="470" t="str">
        <f t="shared" si="207"/>
        <v/>
      </c>
      <c r="HW146" s="470" t="str">
        <f t="shared" si="207"/>
        <v/>
      </c>
      <c r="HX146" s="471" t="str">
        <f t="shared" si="207"/>
        <v/>
      </c>
      <c r="HY146" s="469" t="str">
        <f t="shared" si="207"/>
        <v/>
      </c>
      <c r="HZ146" s="470" t="str">
        <f t="shared" si="207"/>
        <v/>
      </c>
      <c r="IA146" s="470" t="str">
        <f t="shared" si="213"/>
        <v/>
      </c>
      <c r="IB146" s="470" t="str">
        <f t="shared" si="213"/>
        <v/>
      </c>
      <c r="IC146" s="471" t="str">
        <f t="shared" si="213"/>
        <v/>
      </c>
      <c r="ID146" s="469" t="str">
        <f t="shared" si="213"/>
        <v/>
      </c>
      <c r="IE146" s="470" t="str">
        <f t="shared" si="213"/>
        <v/>
      </c>
      <c r="IF146" s="470" t="str">
        <f t="shared" si="213"/>
        <v/>
      </c>
      <c r="IG146" s="470" t="str">
        <f t="shared" si="213"/>
        <v/>
      </c>
      <c r="IH146" s="471" t="str">
        <f t="shared" si="213"/>
        <v/>
      </c>
      <c r="II146" s="469" t="str">
        <f t="shared" si="213"/>
        <v/>
      </c>
      <c r="IJ146" s="470" t="str">
        <f t="shared" si="213"/>
        <v/>
      </c>
      <c r="IK146" s="470" t="str">
        <f t="shared" si="213"/>
        <v/>
      </c>
      <c r="IL146" s="470" t="str">
        <f t="shared" si="213"/>
        <v/>
      </c>
      <c r="IM146" s="471" t="str">
        <f t="shared" si="213"/>
        <v/>
      </c>
      <c r="IN146" s="469" t="str">
        <f t="shared" si="213"/>
        <v/>
      </c>
      <c r="IO146" s="470" t="str">
        <f t="shared" si="213"/>
        <v/>
      </c>
      <c r="IP146" s="470" t="str">
        <f t="shared" si="213"/>
        <v/>
      </c>
      <c r="IQ146" s="470" t="str">
        <f t="shared" si="214"/>
        <v/>
      </c>
      <c r="IR146" s="471" t="str">
        <f t="shared" si="214"/>
        <v/>
      </c>
    </row>
    <row r="147" spans="1:252" x14ac:dyDescent="0.2">
      <c r="A147" s="455">
        <v>14</v>
      </c>
      <c r="B147" s="456"/>
      <c r="C147" s="456" t="str">
        <f>Breakdown!$A22</f>
        <v/>
      </c>
      <c r="D147" s="457"/>
      <c r="E147" s="437" t="str">
        <f>IF(E148="","",MIN(E148:E157))</f>
        <v/>
      </c>
      <c r="F147" s="437" t="str">
        <f>IF(F148="","",MAX(F148:F157))</f>
        <v/>
      </c>
      <c r="G147" s="437"/>
      <c r="H147" s="437"/>
      <c r="I147" s="458"/>
      <c r="J147" s="459">
        <f>MIN(J148:J157)</f>
        <v>0</v>
      </c>
      <c r="K147" s="459">
        <f>MAX(K148:K157)</f>
        <v>0</v>
      </c>
      <c r="L147" s="460">
        <f t="shared" ref="L147:L157" si="223">SUM(M147:IR147)</f>
        <v>0</v>
      </c>
      <c r="M147" s="451" t="str">
        <f t="shared" si="212"/>
        <v/>
      </c>
      <c r="N147" s="452" t="str">
        <f t="shared" si="212"/>
        <v/>
      </c>
      <c r="O147" s="452" t="str">
        <f t="shared" si="212"/>
        <v/>
      </c>
      <c r="P147" s="452" t="str">
        <f t="shared" si="212"/>
        <v/>
      </c>
      <c r="Q147" s="453" t="str">
        <f t="shared" si="212"/>
        <v/>
      </c>
      <c r="R147" s="451" t="str">
        <f t="shared" si="212"/>
        <v/>
      </c>
      <c r="S147" s="452" t="str">
        <f t="shared" si="212"/>
        <v/>
      </c>
      <c r="T147" s="452" t="str">
        <f t="shared" si="212"/>
        <v/>
      </c>
      <c r="U147" s="452" t="str">
        <f t="shared" si="212"/>
        <v/>
      </c>
      <c r="V147" s="453" t="str">
        <f t="shared" si="212"/>
        <v/>
      </c>
      <c r="W147" s="451" t="str">
        <f t="shared" si="212"/>
        <v/>
      </c>
      <c r="X147" s="452" t="str">
        <f t="shared" si="212"/>
        <v/>
      </c>
      <c r="Y147" s="452" t="str">
        <f t="shared" si="212"/>
        <v/>
      </c>
      <c r="Z147" s="452" t="str">
        <f t="shared" si="212"/>
        <v/>
      </c>
      <c r="AA147" s="453" t="str">
        <f t="shared" si="212"/>
        <v/>
      </c>
      <c r="AB147" s="451" t="str">
        <f t="shared" si="212"/>
        <v/>
      </c>
      <c r="AC147" s="452" t="str">
        <f t="shared" si="221"/>
        <v/>
      </c>
      <c r="AD147" s="452" t="str">
        <f t="shared" si="221"/>
        <v/>
      </c>
      <c r="AE147" s="452" t="str">
        <f t="shared" si="221"/>
        <v/>
      </c>
      <c r="AF147" s="453" t="str">
        <f t="shared" si="221"/>
        <v/>
      </c>
      <c r="AG147" s="451" t="str">
        <f t="shared" si="221"/>
        <v/>
      </c>
      <c r="AH147" s="452" t="str">
        <f t="shared" si="221"/>
        <v/>
      </c>
      <c r="AI147" s="452" t="str">
        <f t="shared" si="221"/>
        <v/>
      </c>
      <c r="AJ147" s="452" t="str">
        <f t="shared" si="221"/>
        <v/>
      </c>
      <c r="AK147" s="453" t="str">
        <f t="shared" si="221"/>
        <v/>
      </c>
      <c r="AL147" s="451" t="str">
        <f t="shared" si="221"/>
        <v/>
      </c>
      <c r="AM147" s="452" t="str">
        <f t="shared" si="221"/>
        <v/>
      </c>
      <c r="AN147" s="452" t="str">
        <f t="shared" si="221"/>
        <v/>
      </c>
      <c r="AO147" s="452" t="str">
        <f t="shared" si="221"/>
        <v/>
      </c>
      <c r="AP147" s="453" t="str">
        <f t="shared" si="221"/>
        <v/>
      </c>
      <c r="AQ147" s="451" t="str">
        <f t="shared" si="221"/>
        <v/>
      </c>
      <c r="AR147" s="452" t="str">
        <f t="shared" si="221"/>
        <v/>
      </c>
      <c r="AS147" s="452" t="str">
        <f t="shared" si="217"/>
        <v/>
      </c>
      <c r="AT147" s="452" t="str">
        <f t="shared" si="217"/>
        <v/>
      </c>
      <c r="AU147" s="453" t="str">
        <f t="shared" si="217"/>
        <v/>
      </c>
      <c r="AV147" s="451" t="str">
        <f t="shared" si="217"/>
        <v/>
      </c>
      <c r="AW147" s="452" t="str">
        <f t="shared" si="217"/>
        <v/>
      </c>
      <c r="AX147" s="452" t="str">
        <f t="shared" si="217"/>
        <v/>
      </c>
      <c r="AY147" s="452" t="str">
        <f t="shared" si="217"/>
        <v/>
      </c>
      <c r="AZ147" s="453" t="str">
        <f t="shared" si="217"/>
        <v/>
      </c>
      <c r="BA147" s="451" t="str">
        <f t="shared" si="217"/>
        <v/>
      </c>
      <c r="BB147" s="452" t="str">
        <f t="shared" si="217"/>
        <v/>
      </c>
      <c r="BC147" s="452" t="str">
        <f t="shared" si="217"/>
        <v/>
      </c>
      <c r="BD147" s="452" t="str">
        <f t="shared" si="217"/>
        <v/>
      </c>
      <c r="BE147" s="453" t="str">
        <f t="shared" si="217"/>
        <v/>
      </c>
      <c r="BF147" s="451" t="str">
        <f t="shared" si="217"/>
        <v/>
      </c>
      <c r="BG147" s="452" t="str">
        <f t="shared" si="217"/>
        <v/>
      </c>
      <c r="BH147" s="452" t="str">
        <f t="shared" si="218"/>
        <v/>
      </c>
      <c r="BI147" s="452" t="str">
        <f t="shared" si="218"/>
        <v/>
      </c>
      <c r="BJ147" s="453" t="str">
        <f t="shared" si="218"/>
        <v/>
      </c>
      <c r="BK147" s="451" t="str">
        <f t="shared" si="218"/>
        <v/>
      </c>
      <c r="BL147" s="452" t="str">
        <f t="shared" si="218"/>
        <v/>
      </c>
      <c r="BM147" s="452" t="str">
        <f t="shared" si="218"/>
        <v/>
      </c>
      <c r="BN147" s="452" t="str">
        <f t="shared" si="218"/>
        <v/>
      </c>
      <c r="BO147" s="453" t="str">
        <f t="shared" si="218"/>
        <v/>
      </c>
      <c r="BP147" s="451" t="str">
        <f t="shared" si="218"/>
        <v/>
      </c>
      <c r="BQ147" s="452" t="str">
        <f t="shared" si="218"/>
        <v/>
      </c>
      <c r="BR147" s="452" t="str">
        <f t="shared" si="218"/>
        <v/>
      </c>
      <c r="BS147" s="452" t="str">
        <f t="shared" si="218"/>
        <v/>
      </c>
      <c r="BT147" s="453" t="str">
        <f t="shared" si="218"/>
        <v/>
      </c>
      <c r="BU147" s="451" t="str">
        <f t="shared" si="218"/>
        <v/>
      </c>
      <c r="BV147" s="452" t="str">
        <f t="shared" si="218"/>
        <v/>
      </c>
      <c r="BW147" s="452" t="str">
        <f t="shared" si="218"/>
        <v/>
      </c>
      <c r="BX147" s="452" t="str">
        <f t="shared" si="219"/>
        <v/>
      </c>
      <c r="BY147" s="453" t="str">
        <f t="shared" si="219"/>
        <v/>
      </c>
      <c r="BZ147" s="451" t="str">
        <f t="shared" si="219"/>
        <v/>
      </c>
      <c r="CA147" s="452" t="str">
        <f t="shared" si="219"/>
        <v/>
      </c>
      <c r="CB147" s="452" t="str">
        <f t="shared" si="219"/>
        <v/>
      </c>
      <c r="CC147" s="452" t="str">
        <f t="shared" si="219"/>
        <v/>
      </c>
      <c r="CD147" s="453" t="str">
        <f t="shared" si="219"/>
        <v/>
      </c>
      <c r="CE147" s="451" t="str">
        <f t="shared" si="219"/>
        <v/>
      </c>
      <c r="CF147" s="452" t="str">
        <f t="shared" si="219"/>
        <v/>
      </c>
      <c r="CG147" s="452" t="str">
        <f t="shared" si="219"/>
        <v/>
      </c>
      <c r="CH147" s="452" t="str">
        <f t="shared" si="219"/>
        <v/>
      </c>
      <c r="CI147" s="453" t="str">
        <f t="shared" si="219"/>
        <v/>
      </c>
      <c r="CJ147" s="451" t="str">
        <f t="shared" si="219"/>
        <v/>
      </c>
      <c r="CK147" s="452" t="str">
        <f t="shared" si="219"/>
        <v/>
      </c>
      <c r="CL147" s="452" t="str">
        <f t="shared" si="219"/>
        <v/>
      </c>
      <c r="CM147" s="452" t="str">
        <f t="shared" si="219"/>
        <v/>
      </c>
      <c r="CN147" s="453" t="str">
        <f t="shared" si="215"/>
        <v/>
      </c>
      <c r="CO147" s="451" t="str">
        <f t="shared" si="215"/>
        <v/>
      </c>
      <c r="CP147" s="452" t="str">
        <f t="shared" si="215"/>
        <v/>
      </c>
      <c r="CQ147" s="452" t="str">
        <f t="shared" si="215"/>
        <v/>
      </c>
      <c r="CR147" s="452" t="str">
        <f t="shared" si="215"/>
        <v/>
      </c>
      <c r="CS147" s="453" t="str">
        <f t="shared" si="215"/>
        <v/>
      </c>
      <c r="CT147" s="451" t="str">
        <f t="shared" si="215"/>
        <v/>
      </c>
      <c r="CU147" s="452" t="str">
        <f t="shared" si="215"/>
        <v/>
      </c>
      <c r="CV147" s="452" t="str">
        <f t="shared" si="215"/>
        <v/>
      </c>
      <c r="CW147" s="452" t="str">
        <f t="shared" si="215"/>
        <v/>
      </c>
      <c r="CX147" s="453" t="str">
        <f t="shared" si="215"/>
        <v/>
      </c>
      <c r="CY147" s="451" t="str">
        <f t="shared" si="215"/>
        <v/>
      </c>
      <c r="CZ147" s="452" t="str">
        <f t="shared" si="215"/>
        <v/>
      </c>
      <c r="DA147" s="452" t="str">
        <f t="shared" si="215"/>
        <v/>
      </c>
      <c r="DB147" s="452" t="str">
        <f t="shared" si="215"/>
        <v/>
      </c>
      <c r="DC147" s="453" t="str">
        <f t="shared" si="216"/>
        <v/>
      </c>
      <c r="DD147" s="451" t="str">
        <f t="shared" si="216"/>
        <v/>
      </c>
      <c r="DE147" s="452" t="str">
        <f t="shared" si="216"/>
        <v/>
      </c>
      <c r="DF147" s="452" t="str">
        <f t="shared" si="216"/>
        <v/>
      </c>
      <c r="DG147" s="452" t="str">
        <f t="shared" si="216"/>
        <v/>
      </c>
      <c r="DH147" s="453" t="str">
        <f t="shared" si="216"/>
        <v/>
      </c>
      <c r="DI147" s="451" t="str">
        <f t="shared" si="216"/>
        <v/>
      </c>
      <c r="DJ147" s="452" t="str">
        <f t="shared" si="216"/>
        <v/>
      </c>
      <c r="DK147" s="452" t="str">
        <f t="shared" si="216"/>
        <v/>
      </c>
      <c r="DL147" s="452" t="str">
        <f t="shared" si="216"/>
        <v/>
      </c>
      <c r="DM147" s="453" t="str">
        <f t="shared" si="216"/>
        <v/>
      </c>
      <c r="DN147" s="451" t="str">
        <f t="shared" si="216"/>
        <v/>
      </c>
      <c r="DO147" s="452" t="str">
        <f t="shared" si="216"/>
        <v/>
      </c>
      <c r="DP147" s="452" t="str">
        <f t="shared" si="216"/>
        <v/>
      </c>
      <c r="DQ147" s="452" t="str">
        <f t="shared" si="216"/>
        <v/>
      </c>
      <c r="DR147" s="453" t="str">
        <f t="shared" si="216"/>
        <v/>
      </c>
      <c r="DS147" s="451" t="str">
        <f t="shared" si="222"/>
        <v/>
      </c>
      <c r="DT147" s="452" t="str">
        <f t="shared" si="222"/>
        <v/>
      </c>
      <c r="DU147" s="452" t="str">
        <f t="shared" si="222"/>
        <v/>
      </c>
      <c r="DV147" s="452" t="str">
        <f t="shared" si="222"/>
        <v/>
      </c>
      <c r="DW147" s="453" t="str">
        <f t="shared" si="222"/>
        <v/>
      </c>
      <c r="DX147" s="451" t="str">
        <f t="shared" si="222"/>
        <v/>
      </c>
      <c r="DY147" s="452" t="str">
        <f t="shared" si="222"/>
        <v/>
      </c>
      <c r="DZ147" s="452" t="str">
        <f t="shared" si="222"/>
        <v/>
      </c>
      <c r="EA147" s="452" t="str">
        <f t="shared" si="222"/>
        <v/>
      </c>
      <c r="EB147" s="453" t="str">
        <f t="shared" si="222"/>
        <v/>
      </c>
      <c r="EC147" s="451" t="str">
        <f t="shared" si="222"/>
        <v/>
      </c>
      <c r="ED147" s="452" t="str">
        <f t="shared" si="222"/>
        <v/>
      </c>
      <c r="EE147" s="452" t="str">
        <f t="shared" si="222"/>
        <v/>
      </c>
      <c r="EF147" s="452" t="str">
        <f t="shared" si="222"/>
        <v/>
      </c>
      <c r="EG147" s="453" t="str">
        <f t="shared" si="222"/>
        <v/>
      </c>
      <c r="EH147" s="451" t="str">
        <f t="shared" si="222"/>
        <v/>
      </c>
      <c r="EI147" s="452" t="str">
        <f t="shared" si="201"/>
        <v/>
      </c>
      <c r="EJ147" s="452" t="str">
        <f t="shared" si="201"/>
        <v/>
      </c>
      <c r="EK147" s="452" t="str">
        <f t="shared" si="201"/>
        <v/>
      </c>
      <c r="EL147" s="453" t="str">
        <f t="shared" si="201"/>
        <v/>
      </c>
      <c r="EM147" s="451" t="str">
        <f t="shared" si="201"/>
        <v/>
      </c>
      <c r="EN147" s="452" t="str">
        <f t="shared" si="201"/>
        <v/>
      </c>
      <c r="EO147" s="452" t="str">
        <f t="shared" si="201"/>
        <v/>
      </c>
      <c r="EP147" s="452" t="str">
        <f t="shared" si="201"/>
        <v/>
      </c>
      <c r="EQ147" s="453" t="str">
        <f t="shared" si="201"/>
        <v/>
      </c>
      <c r="ER147" s="451" t="str">
        <f t="shared" si="201"/>
        <v/>
      </c>
      <c r="ES147" s="452" t="str">
        <f t="shared" si="201"/>
        <v/>
      </c>
      <c r="ET147" s="452" t="str">
        <f t="shared" si="201"/>
        <v/>
      </c>
      <c r="EU147" s="452" t="str">
        <f t="shared" si="201"/>
        <v/>
      </c>
      <c r="EV147" s="453" t="str">
        <f t="shared" si="201"/>
        <v/>
      </c>
      <c r="EW147" s="451" t="str">
        <f t="shared" si="201"/>
        <v/>
      </c>
      <c r="EX147" s="452" t="str">
        <f t="shared" si="201"/>
        <v/>
      </c>
      <c r="EY147" s="452" t="str">
        <f t="shared" si="202"/>
        <v/>
      </c>
      <c r="EZ147" s="452" t="str">
        <f t="shared" si="202"/>
        <v/>
      </c>
      <c r="FA147" s="453" t="str">
        <f t="shared" si="202"/>
        <v/>
      </c>
      <c r="FB147" s="451" t="str">
        <f t="shared" si="202"/>
        <v/>
      </c>
      <c r="FC147" s="452" t="str">
        <f t="shared" si="202"/>
        <v/>
      </c>
      <c r="FD147" s="452" t="str">
        <f t="shared" si="202"/>
        <v/>
      </c>
      <c r="FE147" s="452" t="str">
        <f t="shared" si="202"/>
        <v/>
      </c>
      <c r="FF147" s="453" t="str">
        <f t="shared" si="202"/>
        <v/>
      </c>
      <c r="FG147" s="451" t="str">
        <f t="shared" si="202"/>
        <v/>
      </c>
      <c r="FH147" s="452" t="str">
        <f t="shared" si="202"/>
        <v/>
      </c>
      <c r="FI147" s="452" t="str">
        <f t="shared" si="202"/>
        <v/>
      </c>
      <c r="FJ147" s="452" t="str">
        <f t="shared" si="202"/>
        <v/>
      </c>
      <c r="FK147" s="453" t="str">
        <f t="shared" si="202"/>
        <v/>
      </c>
      <c r="FL147" s="451" t="str">
        <f t="shared" si="202"/>
        <v/>
      </c>
      <c r="FM147" s="452" t="str">
        <f t="shared" si="202"/>
        <v/>
      </c>
      <c r="FN147" s="452" t="str">
        <f t="shared" si="200"/>
        <v/>
      </c>
      <c r="FO147" s="452" t="str">
        <f t="shared" si="200"/>
        <v/>
      </c>
      <c r="FP147" s="453" t="str">
        <f t="shared" si="200"/>
        <v/>
      </c>
      <c r="FQ147" s="451" t="str">
        <f t="shared" si="200"/>
        <v/>
      </c>
      <c r="FR147" s="452" t="str">
        <f t="shared" si="200"/>
        <v/>
      </c>
      <c r="FS147" s="452" t="str">
        <f t="shared" si="200"/>
        <v/>
      </c>
      <c r="FT147" s="452" t="str">
        <f t="shared" si="200"/>
        <v/>
      </c>
      <c r="FU147" s="453" t="str">
        <f t="shared" si="200"/>
        <v/>
      </c>
      <c r="FV147" s="451" t="str">
        <f t="shared" si="200"/>
        <v/>
      </c>
      <c r="FW147" s="452" t="str">
        <f t="shared" si="200"/>
        <v/>
      </c>
      <c r="FX147" s="452" t="str">
        <f t="shared" si="200"/>
        <v/>
      </c>
      <c r="FY147" s="452" t="str">
        <f t="shared" si="200"/>
        <v/>
      </c>
      <c r="FZ147" s="453" t="str">
        <f t="shared" si="200"/>
        <v/>
      </c>
      <c r="GA147" s="451" t="str">
        <f t="shared" si="200"/>
        <v/>
      </c>
      <c r="GB147" s="452" t="str">
        <f t="shared" si="200"/>
        <v/>
      </c>
      <c r="GC147" s="452" t="str">
        <f t="shared" si="200"/>
        <v/>
      </c>
      <c r="GD147" s="452" t="str">
        <f t="shared" si="211"/>
        <v/>
      </c>
      <c r="GE147" s="453" t="str">
        <f t="shared" si="211"/>
        <v/>
      </c>
      <c r="GF147" s="451" t="str">
        <f t="shared" si="211"/>
        <v/>
      </c>
      <c r="GG147" s="452" t="str">
        <f t="shared" si="203"/>
        <v/>
      </c>
      <c r="GH147" s="452" t="str">
        <f t="shared" si="203"/>
        <v/>
      </c>
      <c r="GI147" s="452" t="str">
        <f t="shared" si="203"/>
        <v/>
      </c>
      <c r="GJ147" s="453" t="str">
        <f t="shared" si="203"/>
        <v/>
      </c>
      <c r="GK147" s="451" t="str">
        <f t="shared" si="203"/>
        <v/>
      </c>
      <c r="GL147" s="452" t="str">
        <f t="shared" si="203"/>
        <v/>
      </c>
      <c r="GM147" s="452" t="str">
        <f t="shared" si="203"/>
        <v/>
      </c>
      <c r="GN147" s="452" t="str">
        <f t="shared" si="203"/>
        <v/>
      </c>
      <c r="GO147" s="453" t="str">
        <f t="shared" si="203"/>
        <v/>
      </c>
      <c r="GP147" s="451" t="str">
        <f t="shared" si="203"/>
        <v/>
      </c>
      <c r="GQ147" s="452" t="str">
        <f t="shared" si="203"/>
        <v/>
      </c>
      <c r="GR147" s="452" t="str">
        <f t="shared" si="203"/>
        <v/>
      </c>
      <c r="GS147" s="452" t="str">
        <f t="shared" si="203"/>
        <v/>
      </c>
      <c r="GT147" s="453" t="str">
        <f t="shared" si="203"/>
        <v/>
      </c>
      <c r="GU147" s="451" t="str">
        <f t="shared" si="203"/>
        <v/>
      </c>
      <c r="GV147" s="452" t="str">
        <f t="shared" si="203"/>
        <v/>
      </c>
      <c r="GW147" s="452" t="str">
        <f t="shared" si="198"/>
        <v/>
      </c>
      <c r="GX147" s="452" t="str">
        <f t="shared" si="198"/>
        <v/>
      </c>
      <c r="GY147" s="453" t="str">
        <f t="shared" si="198"/>
        <v/>
      </c>
      <c r="GZ147" s="451" t="str">
        <f t="shared" si="198"/>
        <v/>
      </c>
      <c r="HA147" s="452" t="str">
        <f t="shared" si="198"/>
        <v/>
      </c>
      <c r="HB147" s="452" t="str">
        <f t="shared" si="198"/>
        <v/>
      </c>
      <c r="HC147" s="452" t="str">
        <f t="shared" si="198"/>
        <v/>
      </c>
      <c r="HD147" s="453" t="str">
        <f t="shared" si="198"/>
        <v/>
      </c>
      <c r="HE147" s="451" t="str">
        <f t="shared" si="198"/>
        <v/>
      </c>
      <c r="HF147" s="452" t="str">
        <f t="shared" si="198"/>
        <v/>
      </c>
      <c r="HG147" s="452" t="str">
        <f t="shared" si="198"/>
        <v/>
      </c>
      <c r="HH147" s="452" t="str">
        <f t="shared" si="198"/>
        <v/>
      </c>
      <c r="HI147" s="453" t="str">
        <f t="shared" si="198"/>
        <v/>
      </c>
      <c r="HJ147" s="451" t="str">
        <f t="shared" si="198"/>
        <v/>
      </c>
      <c r="HK147" s="452" t="str">
        <f t="shared" si="207"/>
        <v/>
      </c>
      <c r="HL147" s="452" t="str">
        <f t="shared" si="207"/>
        <v/>
      </c>
      <c r="HM147" s="452" t="str">
        <f t="shared" si="207"/>
        <v/>
      </c>
      <c r="HN147" s="453" t="str">
        <f t="shared" si="207"/>
        <v/>
      </c>
      <c r="HO147" s="451" t="str">
        <f t="shared" si="207"/>
        <v/>
      </c>
      <c r="HP147" s="452" t="str">
        <f t="shared" si="207"/>
        <v/>
      </c>
      <c r="HQ147" s="452" t="str">
        <f t="shared" si="207"/>
        <v/>
      </c>
      <c r="HR147" s="452" t="str">
        <f t="shared" si="207"/>
        <v/>
      </c>
      <c r="HS147" s="453" t="str">
        <f t="shared" si="207"/>
        <v/>
      </c>
      <c r="HT147" s="451" t="str">
        <f t="shared" si="207"/>
        <v/>
      </c>
      <c r="HU147" s="452" t="str">
        <f t="shared" si="207"/>
        <v/>
      </c>
      <c r="HV147" s="452" t="str">
        <f t="shared" si="207"/>
        <v/>
      </c>
      <c r="HW147" s="452" t="str">
        <f t="shared" si="207"/>
        <v/>
      </c>
      <c r="HX147" s="453" t="str">
        <f t="shared" si="207"/>
        <v/>
      </c>
      <c r="HY147" s="451" t="str">
        <f t="shared" si="207"/>
        <v/>
      </c>
      <c r="HZ147" s="452" t="str">
        <f t="shared" si="207"/>
        <v/>
      </c>
      <c r="IA147" s="452" t="str">
        <f t="shared" si="213"/>
        <v/>
      </c>
      <c r="IB147" s="452" t="str">
        <f t="shared" si="213"/>
        <v/>
      </c>
      <c r="IC147" s="453" t="str">
        <f t="shared" si="213"/>
        <v/>
      </c>
      <c r="ID147" s="451" t="str">
        <f t="shared" si="213"/>
        <v/>
      </c>
      <c r="IE147" s="452" t="str">
        <f t="shared" si="213"/>
        <v/>
      </c>
      <c r="IF147" s="452" t="str">
        <f t="shared" si="213"/>
        <v/>
      </c>
      <c r="IG147" s="452" t="str">
        <f t="shared" si="213"/>
        <v/>
      </c>
      <c r="IH147" s="453" t="str">
        <f t="shared" si="213"/>
        <v/>
      </c>
      <c r="II147" s="451" t="str">
        <f t="shared" si="213"/>
        <v/>
      </c>
      <c r="IJ147" s="452" t="str">
        <f t="shared" si="213"/>
        <v/>
      </c>
      <c r="IK147" s="452" t="str">
        <f t="shared" si="213"/>
        <v/>
      </c>
      <c r="IL147" s="452" t="str">
        <f t="shared" si="213"/>
        <v/>
      </c>
      <c r="IM147" s="453" t="str">
        <f t="shared" si="213"/>
        <v/>
      </c>
      <c r="IN147" s="451" t="str">
        <f t="shared" si="213"/>
        <v/>
      </c>
      <c r="IO147" s="452" t="str">
        <f t="shared" si="213"/>
        <v/>
      </c>
      <c r="IP147" s="452" t="str">
        <f t="shared" si="213"/>
        <v/>
      </c>
      <c r="IQ147" s="452" t="str">
        <f t="shared" si="214"/>
        <v/>
      </c>
      <c r="IR147" s="453" t="str">
        <f t="shared" si="214"/>
        <v/>
      </c>
    </row>
    <row r="148" spans="1:252" x14ac:dyDescent="0.2">
      <c r="A148" s="461">
        <v>14.1</v>
      </c>
      <c r="C148" s="447" t="s">
        <v>1351</v>
      </c>
      <c r="D148" s="447"/>
      <c r="E148" s="448"/>
      <c r="F148" s="448"/>
      <c r="G148" s="448"/>
      <c r="H148" s="448"/>
      <c r="I148" s="448"/>
      <c r="J148" s="449" t="str">
        <f t="shared" ref="J148:J157" si="224">IF(E148="","",E148-$M$3+1)</f>
        <v/>
      </c>
      <c r="K148" s="449" t="str">
        <f t="shared" ref="K148:K157" si="225">IF(F148="","",F148-$M$3+1)</f>
        <v/>
      </c>
      <c r="L148" s="450">
        <f t="shared" si="223"/>
        <v>0</v>
      </c>
      <c r="M148" s="451" t="str">
        <f t="shared" si="212"/>
        <v/>
      </c>
      <c r="N148" s="452" t="str">
        <f t="shared" si="212"/>
        <v/>
      </c>
      <c r="O148" s="452" t="str">
        <f t="shared" si="212"/>
        <v/>
      </c>
      <c r="P148" s="452" t="str">
        <f t="shared" si="212"/>
        <v/>
      </c>
      <c r="Q148" s="453" t="str">
        <f t="shared" si="212"/>
        <v/>
      </c>
      <c r="R148" s="451" t="str">
        <f t="shared" si="212"/>
        <v/>
      </c>
      <c r="S148" s="452" t="str">
        <f t="shared" si="212"/>
        <v/>
      </c>
      <c r="T148" s="452" t="str">
        <f t="shared" si="212"/>
        <v/>
      </c>
      <c r="U148" s="452" t="str">
        <f t="shared" si="212"/>
        <v/>
      </c>
      <c r="V148" s="453" t="str">
        <f t="shared" si="212"/>
        <v/>
      </c>
      <c r="W148" s="451" t="str">
        <f t="shared" si="212"/>
        <v/>
      </c>
      <c r="X148" s="452" t="str">
        <f t="shared" si="212"/>
        <v/>
      </c>
      <c r="Y148" s="452" t="str">
        <f t="shared" si="212"/>
        <v/>
      </c>
      <c r="Z148" s="452" t="str">
        <f t="shared" si="212"/>
        <v/>
      </c>
      <c r="AA148" s="453" t="str">
        <f t="shared" si="212"/>
        <v/>
      </c>
      <c r="AB148" s="451" t="str">
        <f t="shared" si="212"/>
        <v/>
      </c>
      <c r="AC148" s="452" t="str">
        <f t="shared" si="221"/>
        <v/>
      </c>
      <c r="AD148" s="452" t="str">
        <f t="shared" si="221"/>
        <v/>
      </c>
      <c r="AE148" s="452" t="str">
        <f t="shared" si="221"/>
        <v/>
      </c>
      <c r="AF148" s="453" t="str">
        <f t="shared" si="221"/>
        <v/>
      </c>
      <c r="AG148" s="451" t="str">
        <f t="shared" si="221"/>
        <v/>
      </c>
      <c r="AH148" s="452" t="str">
        <f t="shared" si="221"/>
        <v/>
      </c>
      <c r="AI148" s="452" t="str">
        <f t="shared" si="221"/>
        <v/>
      </c>
      <c r="AJ148" s="452" t="str">
        <f t="shared" si="221"/>
        <v/>
      </c>
      <c r="AK148" s="453" t="str">
        <f t="shared" si="221"/>
        <v/>
      </c>
      <c r="AL148" s="451" t="str">
        <f t="shared" si="221"/>
        <v/>
      </c>
      <c r="AM148" s="452" t="str">
        <f t="shared" si="221"/>
        <v/>
      </c>
      <c r="AN148" s="452" t="str">
        <f t="shared" si="221"/>
        <v/>
      </c>
      <c r="AO148" s="452" t="str">
        <f t="shared" si="221"/>
        <v/>
      </c>
      <c r="AP148" s="453" t="str">
        <f t="shared" si="221"/>
        <v/>
      </c>
      <c r="AQ148" s="451" t="str">
        <f t="shared" si="221"/>
        <v/>
      </c>
      <c r="AR148" s="452" t="str">
        <f t="shared" si="221"/>
        <v/>
      </c>
      <c r="AS148" s="452" t="str">
        <f t="shared" si="217"/>
        <v/>
      </c>
      <c r="AT148" s="452" t="str">
        <f t="shared" si="217"/>
        <v/>
      </c>
      <c r="AU148" s="453" t="str">
        <f t="shared" si="217"/>
        <v/>
      </c>
      <c r="AV148" s="451" t="str">
        <f t="shared" si="217"/>
        <v/>
      </c>
      <c r="AW148" s="452" t="str">
        <f t="shared" si="217"/>
        <v/>
      </c>
      <c r="AX148" s="452" t="str">
        <f t="shared" si="217"/>
        <v/>
      </c>
      <c r="AY148" s="452" t="str">
        <f t="shared" si="217"/>
        <v/>
      </c>
      <c r="AZ148" s="453" t="str">
        <f t="shared" si="217"/>
        <v/>
      </c>
      <c r="BA148" s="451" t="str">
        <f t="shared" si="217"/>
        <v/>
      </c>
      <c r="BB148" s="452" t="str">
        <f t="shared" si="217"/>
        <v/>
      </c>
      <c r="BC148" s="452" t="str">
        <f t="shared" si="217"/>
        <v/>
      </c>
      <c r="BD148" s="452" t="str">
        <f t="shared" si="217"/>
        <v/>
      </c>
      <c r="BE148" s="453" t="str">
        <f t="shared" si="217"/>
        <v/>
      </c>
      <c r="BF148" s="451" t="str">
        <f t="shared" si="217"/>
        <v/>
      </c>
      <c r="BG148" s="452" t="str">
        <f t="shared" si="217"/>
        <v/>
      </c>
      <c r="BH148" s="452" t="str">
        <f t="shared" si="218"/>
        <v/>
      </c>
      <c r="BI148" s="452" t="str">
        <f t="shared" si="218"/>
        <v/>
      </c>
      <c r="BJ148" s="453" t="str">
        <f t="shared" si="218"/>
        <v/>
      </c>
      <c r="BK148" s="451" t="str">
        <f t="shared" si="218"/>
        <v/>
      </c>
      <c r="BL148" s="452" t="str">
        <f t="shared" si="218"/>
        <v/>
      </c>
      <c r="BM148" s="452" t="str">
        <f t="shared" si="218"/>
        <v/>
      </c>
      <c r="BN148" s="452" t="str">
        <f t="shared" si="218"/>
        <v/>
      </c>
      <c r="BO148" s="453" t="str">
        <f t="shared" si="218"/>
        <v/>
      </c>
      <c r="BP148" s="451" t="str">
        <f t="shared" si="218"/>
        <v/>
      </c>
      <c r="BQ148" s="452" t="str">
        <f t="shared" si="218"/>
        <v/>
      </c>
      <c r="BR148" s="452" t="str">
        <f t="shared" si="218"/>
        <v/>
      </c>
      <c r="BS148" s="452" t="str">
        <f t="shared" si="218"/>
        <v/>
      </c>
      <c r="BT148" s="453" t="str">
        <f t="shared" si="218"/>
        <v/>
      </c>
      <c r="BU148" s="451" t="str">
        <f t="shared" si="218"/>
        <v/>
      </c>
      <c r="BV148" s="452" t="str">
        <f t="shared" si="218"/>
        <v/>
      </c>
      <c r="BW148" s="452" t="str">
        <f t="shared" si="218"/>
        <v/>
      </c>
      <c r="BX148" s="452" t="str">
        <f t="shared" si="219"/>
        <v/>
      </c>
      <c r="BY148" s="453" t="str">
        <f t="shared" si="219"/>
        <v/>
      </c>
      <c r="BZ148" s="451" t="str">
        <f t="shared" si="219"/>
        <v/>
      </c>
      <c r="CA148" s="452" t="str">
        <f t="shared" si="219"/>
        <v/>
      </c>
      <c r="CB148" s="452" t="str">
        <f t="shared" si="219"/>
        <v/>
      </c>
      <c r="CC148" s="452" t="str">
        <f t="shared" si="219"/>
        <v/>
      </c>
      <c r="CD148" s="453" t="str">
        <f t="shared" si="219"/>
        <v/>
      </c>
      <c r="CE148" s="451" t="str">
        <f t="shared" si="219"/>
        <v/>
      </c>
      <c r="CF148" s="452" t="str">
        <f t="shared" si="219"/>
        <v/>
      </c>
      <c r="CG148" s="452" t="str">
        <f t="shared" si="219"/>
        <v/>
      </c>
      <c r="CH148" s="452" t="str">
        <f t="shared" si="219"/>
        <v/>
      </c>
      <c r="CI148" s="453" t="str">
        <f t="shared" si="219"/>
        <v/>
      </c>
      <c r="CJ148" s="451" t="str">
        <f t="shared" si="219"/>
        <v/>
      </c>
      <c r="CK148" s="452" t="str">
        <f t="shared" si="219"/>
        <v/>
      </c>
      <c r="CL148" s="452" t="str">
        <f t="shared" si="219"/>
        <v/>
      </c>
      <c r="CM148" s="452" t="str">
        <f t="shared" si="219"/>
        <v/>
      </c>
      <c r="CN148" s="453" t="str">
        <f t="shared" si="215"/>
        <v/>
      </c>
      <c r="CO148" s="451" t="str">
        <f t="shared" si="215"/>
        <v/>
      </c>
      <c r="CP148" s="452" t="str">
        <f t="shared" si="215"/>
        <v/>
      </c>
      <c r="CQ148" s="452" t="str">
        <f t="shared" si="215"/>
        <v/>
      </c>
      <c r="CR148" s="452" t="str">
        <f t="shared" si="215"/>
        <v/>
      </c>
      <c r="CS148" s="453" t="str">
        <f t="shared" si="215"/>
        <v/>
      </c>
      <c r="CT148" s="451" t="str">
        <f t="shared" si="215"/>
        <v/>
      </c>
      <c r="CU148" s="452" t="str">
        <f t="shared" si="215"/>
        <v/>
      </c>
      <c r="CV148" s="452" t="str">
        <f t="shared" si="215"/>
        <v/>
      </c>
      <c r="CW148" s="452" t="str">
        <f t="shared" si="215"/>
        <v/>
      </c>
      <c r="CX148" s="453" t="str">
        <f t="shared" si="215"/>
        <v/>
      </c>
      <c r="CY148" s="451" t="str">
        <f t="shared" si="215"/>
        <v/>
      </c>
      <c r="CZ148" s="452" t="str">
        <f t="shared" si="215"/>
        <v/>
      </c>
      <c r="DA148" s="452" t="str">
        <f t="shared" si="215"/>
        <v/>
      </c>
      <c r="DB148" s="452" t="str">
        <f t="shared" si="215"/>
        <v/>
      </c>
      <c r="DC148" s="453" t="str">
        <f t="shared" si="216"/>
        <v/>
      </c>
      <c r="DD148" s="451" t="str">
        <f t="shared" si="216"/>
        <v/>
      </c>
      <c r="DE148" s="452" t="str">
        <f t="shared" si="216"/>
        <v/>
      </c>
      <c r="DF148" s="452" t="str">
        <f t="shared" si="216"/>
        <v/>
      </c>
      <c r="DG148" s="452" t="str">
        <f t="shared" si="216"/>
        <v/>
      </c>
      <c r="DH148" s="453" t="str">
        <f t="shared" si="216"/>
        <v/>
      </c>
      <c r="DI148" s="451" t="str">
        <f t="shared" si="216"/>
        <v/>
      </c>
      <c r="DJ148" s="452" t="str">
        <f t="shared" si="216"/>
        <v/>
      </c>
      <c r="DK148" s="452" t="str">
        <f t="shared" si="216"/>
        <v/>
      </c>
      <c r="DL148" s="452" t="str">
        <f t="shared" si="216"/>
        <v/>
      </c>
      <c r="DM148" s="453" t="str">
        <f t="shared" si="216"/>
        <v/>
      </c>
      <c r="DN148" s="451" t="str">
        <f t="shared" si="216"/>
        <v/>
      </c>
      <c r="DO148" s="452" t="str">
        <f t="shared" si="216"/>
        <v/>
      </c>
      <c r="DP148" s="452" t="str">
        <f t="shared" si="216"/>
        <v/>
      </c>
      <c r="DQ148" s="452" t="str">
        <f t="shared" si="216"/>
        <v/>
      </c>
      <c r="DR148" s="453" t="str">
        <f t="shared" si="216"/>
        <v/>
      </c>
      <c r="DS148" s="451" t="str">
        <f t="shared" si="222"/>
        <v/>
      </c>
      <c r="DT148" s="452" t="str">
        <f t="shared" si="222"/>
        <v/>
      </c>
      <c r="DU148" s="452" t="str">
        <f t="shared" si="222"/>
        <v/>
      </c>
      <c r="DV148" s="452" t="str">
        <f t="shared" si="222"/>
        <v/>
      </c>
      <c r="DW148" s="453" t="str">
        <f t="shared" si="222"/>
        <v/>
      </c>
      <c r="DX148" s="451" t="str">
        <f t="shared" si="222"/>
        <v/>
      </c>
      <c r="DY148" s="452" t="str">
        <f t="shared" si="222"/>
        <v/>
      </c>
      <c r="DZ148" s="452" t="str">
        <f t="shared" si="222"/>
        <v/>
      </c>
      <c r="EA148" s="452" t="str">
        <f t="shared" si="222"/>
        <v/>
      </c>
      <c r="EB148" s="453" t="str">
        <f t="shared" si="222"/>
        <v/>
      </c>
      <c r="EC148" s="451" t="str">
        <f t="shared" si="222"/>
        <v/>
      </c>
      <c r="ED148" s="452" t="str">
        <f t="shared" si="222"/>
        <v/>
      </c>
      <c r="EE148" s="452" t="str">
        <f t="shared" si="222"/>
        <v/>
      </c>
      <c r="EF148" s="452" t="str">
        <f t="shared" si="222"/>
        <v/>
      </c>
      <c r="EG148" s="453" t="str">
        <f t="shared" si="222"/>
        <v/>
      </c>
      <c r="EH148" s="451" t="str">
        <f t="shared" si="222"/>
        <v/>
      </c>
      <c r="EI148" s="452" t="str">
        <f t="shared" si="201"/>
        <v/>
      </c>
      <c r="EJ148" s="452" t="str">
        <f t="shared" si="201"/>
        <v/>
      </c>
      <c r="EK148" s="452" t="str">
        <f t="shared" si="201"/>
        <v/>
      </c>
      <c r="EL148" s="453" t="str">
        <f t="shared" si="201"/>
        <v/>
      </c>
      <c r="EM148" s="451" t="str">
        <f t="shared" si="201"/>
        <v/>
      </c>
      <c r="EN148" s="452" t="str">
        <f t="shared" si="201"/>
        <v/>
      </c>
      <c r="EO148" s="452" t="str">
        <f t="shared" si="201"/>
        <v/>
      </c>
      <c r="EP148" s="452" t="str">
        <f t="shared" si="201"/>
        <v/>
      </c>
      <c r="EQ148" s="453" t="str">
        <f t="shared" si="201"/>
        <v/>
      </c>
      <c r="ER148" s="451" t="str">
        <f t="shared" si="201"/>
        <v/>
      </c>
      <c r="ES148" s="452" t="str">
        <f t="shared" si="201"/>
        <v/>
      </c>
      <c r="ET148" s="452" t="str">
        <f t="shared" si="201"/>
        <v/>
      </c>
      <c r="EU148" s="452" t="str">
        <f t="shared" si="201"/>
        <v/>
      </c>
      <c r="EV148" s="453" t="str">
        <f t="shared" si="201"/>
        <v/>
      </c>
      <c r="EW148" s="451" t="str">
        <f t="shared" si="201"/>
        <v/>
      </c>
      <c r="EX148" s="452" t="str">
        <f t="shared" ref="EX148:EX159" si="226">IF(AND(EX$2&gt;=$J148,EX$2&lt;=$K148),1,"")</f>
        <v/>
      </c>
      <c r="EY148" s="452" t="str">
        <f t="shared" si="202"/>
        <v/>
      </c>
      <c r="EZ148" s="452" t="str">
        <f t="shared" si="202"/>
        <v/>
      </c>
      <c r="FA148" s="453" t="str">
        <f t="shared" si="202"/>
        <v/>
      </c>
      <c r="FB148" s="451" t="str">
        <f t="shared" si="202"/>
        <v/>
      </c>
      <c r="FC148" s="452" t="str">
        <f t="shared" si="202"/>
        <v/>
      </c>
      <c r="FD148" s="452" t="str">
        <f t="shared" si="202"/>
        <v/>
      </c>
      <c r="FE148" s="452" t="str">
        <f t="shared" si="202"/>
        <v/>
      </c>
      <c r="FF148" s="453" t="str">
        <f t="shared" si="202"/>
        <v/>
      </c>
      <c r="FG148" s="451" t="str">
        <f t="shared" si="202"/>
        <v/>
      </c>
      <c r="FH148" s="452" t="str">
        <f t="shared" si="202"/>
        <v/>
      </c>
      <c r="FI148" s="452" t="str">
        <f t="shared" si="202"/>
        <v/>
      </c>
      <c r="FJ148" s="452" t="str">
        <f t="shared" si="202"/>
        <v/>
      </c>
      <c r="FK148" s="453" t="str">
        <f t="shared" si="202"/>
        <v/>
      </c>
      <c r="FL148" s="451" t="str">
        <f t="shared" si="202"/>
        <v/>
      </c>
      <c r="FM148" s="452" t="str">
        <f t="shared" si="202"/>
        <v/>
      </c>
      <c r="FN148" s="452" t="str">
        <f t="shared" si="202"/>
        <v/>
      </c>
      <c r="FO148" s="452" t="str">
        <f t="shared" ref="FO148:GD163" si="227">IF(AND(FO$2&gt;=$J148,FO$2&lt;=$K148),1,"")</f>
        <v/>
      </c>
      <c r="FP148" s="453" t="str">
        <f t="shared" si="227"/>
        <v/>
      </c>
      <c r="FQ148" s="451" t="str">
        <f t="shared" si="227"/>
        <v/>
      </c>
      <c r="FR148" s="452" t="str">
        <f t="shared" si="227"/>
        <v/>
      </c>
      <c r="FS148" s="452" t="str">
        <f t="shared" si="227"/>
        <v/>
      </c>
      <c r="FT148" s="452" t="str">
        <f t="shared" si="227"/>
        <v/>
      </c>
      <c r="FU148" s="453" t="str">
        <f t="shared" si="227"/>
        <v/>
      </c>
      <c r="FV148" s="451" t="str">
        <f t="shared" si="227"/>
        <v/>
      </c>
      <c r="FW148" s="452" t="str">
        <f t="shared" si="227"/>
        <v/>
      </c>
      <c r="FX148" s="452" t="str">
        <f t="shared" si="227"/>
        <v/>
      </c>
      <c r="FY148" s="452" t="str">
        <f t="shared" si="227"/>
        <v/>
      </c>
      <c r="FZ148" s="453" t="str">
        <f t="shared" si="227"/>
        <v/>
      </c>
      <c r="GA148" s="451" t="str">
        <f t="shared" si="227"/>
        <v/>
      </c>
      <c r="GB148" s="452" t="str">
        <f t="shared" si="227"/>
        <v/>
      </c>
      <c r="GC148" s="452" t="str">
        <f t="shared" si="227"/>
        <v/>
      </c>
      <c r="GD148" s="452" t="str">
        <f t="shared" si="227"/>
        <v/>
      </c>
      <c r="GE148" s="453" t="str">
        <f t="shared" si="211"/>
        <v/>
      </c>
      <c r="GF148" s="451" t="str">
        <f t="shared" si="211"/>
        <v/>
      </c>
      <c r="GG148" s="452" t="str">
        <f t="shared" si="203"/>
        <v/>
      </c>
      <c r="GH148" s="452" t="str">
        <f t="shared" si="203"/>
        <v/>
      </c>
      <c r="GI148" s="452" t="str">
        <f t="shared" si="203"/>
        <v/>
      </c>
      <c r="GJ148" s="453" t="str">
        <f t="shared" si="203"/>
        <v/>
      </c>
      <c r="GK148" s="451" t="str">
        <f t="shared" si="203"/>
        <v/>
      </c>
      <c r="GL148" s="452" t="str">
        <f t="shared" si="203"/>
        <v/>
      </c>
      <c r="GM148" s="452" t="str">
        <f t="shared" si="203"/>
        <v/>
      </c>
      <c r="GN148" s="452" t="str">
        <f t="shared" si="203"/>
        <v/>
      </c>
      <c r="GO148" s="453" t="str">
        <f t="shared" si="203"/>
        <v/>
      </c>
      <c r="GP148" s="451" t="str">
        <f t="shared" si="203"/>
        <v/>
      </c>
      <c r="GQ148" s="452" t="str">
        <f t="shared" si="203"/>
        <v/>
      </c>
      <c r="GR148" s="452" t="str">
        <f t="shared" si="203"/>
        <v/>
      </c>
      <c r="GS148" s="452" t="str">
        <f t="shared" si="203"/>
        <v/>
      </c>
      <c r="GT148" s="453" t="str">
        <f t="shared" si="203"/>
        <v/>
      </c>
      <c r="GU148" s="451" t="str">
        <f t="shared" si="203"/>
        <v/>
      </c>
      <c r="GV148" s="452" t="str">
        <f t="shared" si="203"/>
        <v/>
      </c>
      <c r="GW148" s="452" t="str">
        <f t="shared" ref="GW148:HM163" si="228">IF(AND(GW$2&gt;=$J148,GW$2&lt;=$K148),1,"")</f>
        <v/>
      </c>
      <c r="GX148" s="452" t="str">
        <f t="shared" si="228"/>
        <v/>
      </c>
      <c r="GY148" s="453" t="str">
        <f t="shared" si="228"/>
        <v/>
      </c>
      <c r="GZ148" s="451" t="str">
        <f t="shared" si="228"/>
        <v/>
      </c>
      <c r="HA148" s="452" t="str">
        <f t="shared" si="228"/>
        <v/>
      </c>
      <c r="HB148" s="452" t="str">
        <f t="shared" si="228"/>
        <v/>
      </c>
      <c r="HC148" s="452" t="str">
        <f t="shared" si="228"/>
        <v/>
      </c>
      <c r="HD148" s="453" t="str">
        <f t="shared" si="228"/>
        <v/>
      </c>
      <c r="HE148" s="451" t="str">
        <f t="shared" si="228"/>
        <v/>
      </c>
      <c r="HF148" s="452" t="str">
        <f t="shared" si="228"/>
        <v/>
      </c>
      <c r="HG148" s="452" t="str">
        <f t="shared" si="228"/>
        <v/>
      </c>
      <c r="HH148" s="452" t="str">
        <f t="shared" si="228"/>
        <v/>
      </c>
      <c r="HI148" s="453" t="str">
        <f t="shared" si="228"/>
        <v/>
      </c>
      <c r="HJ148" s="451" t="str">
        <f t="shared" si="228"/>
        <v/>
      </c>
      <c r="HK148" s="452" t="str">
        <f t="shared" si="228"/>
        <v/>
      </c>
      <c r="HL148" s="452" t="str">
        <f t="shared" si="207"/>
        <v/>
      </c>
      <c r="HM148" s="452" t="str">
        <f t="shared" si="207"/>
        <v/>
      </c>
      <c r="HN148" s="453" t="str">
        <f t="shared" si="207"/>
        <v/>
      </c>
      <c r="HO148" s="451" t="str">
        <f t="shared" si="207"/>
        <v/>
      </c>
      <c r="HP148" s="452" t="str">
        <f t="shared" si="207"/>
        <v/>
      </c>
      <c r="HQ148" s="452" t="str">
        <f t="shared" si="207"/>
        <v/>
      </c>
      <c r="HR148" s="452" t="str">
        <f t="shared" si="207"/>
        <v/>
      </c>
      <c r="HS148" s="453" t="str">
        <f t="shared" si="207"/>
        <v/>
      </c>
      <c r="HT148" s="451" t="str">
        <f t="shared" si="207"/>
        <v/>
      </c>
      <c r="HU148" s="452" t="str">
        <f t="shared" si="207"/>
        <v/>
      </c>
      <c r="HV148" s="452" t="str">
        <f t="shared" si="207"/>
        <v/>
      </c>
      <c r="HW148" s="452" t="str">
        <f t="shared" si="207"/>
        <v/>
      </c>
      <c r="HX148" s="453" t="str">
        <f t="shared" si="207"/>
        <v/>
      </c>
      <c r="HY148" s="451" t="str">
        <f t="shared" si="207"/>
        <v/>
      </c>
      <c r="HZ148" s="452" t="str">
        <f t="shared" si="207"/>
        <v/>
      </c>
      <c r="IA148" s="452" t="str">
        <f t="shared" si="213"/>
        <v/>
      </c>
      <c r="IB148" s="452" t="str">
        <f t="shared" si="213"/>
        <v/>
      </c>
      <c r="IC148" s="453" t="str">
        <f t="shared" si="213"/>
        <v/>
      </c>
      <c r="ID148" s="451" t="str">
        <f t="shared" si="213"/>
        <v/>
      </c>
      <c r="IE148" s="452" t="str">
        <f t="shared" si="213"/>
        <v/>
      </c>
      <c r="IF148" s="452" t="str">
        <f t="shared" si="213"/>
        <v/>
      </c>
      <c r="IG148" s="452" t="str">
        <f t="shared" si="213"/>
        <v/>
      </c>
      <c r="IH148" s="453" t="str">
        <f t="shared" si="213"/>
        <v/>
      </c>
      <c r="II148" s="451" t="str">
        <f t="shared" si="213"/>
        <v/>
      </c>
      <c r="IJ148" s="452" t="str">
        <f t="shared" si="213"/>
        <v/>
      </c>
      <c r="IK148" s="452" t="str">
        <f t="shared" si="213"/>
        <v/>
      </c>
      <c r="IL148" s="452" t="str">
        <f t="shared" si="213"/>
        <v/>
      </c>
      <c r="IM148" s="453" t="str">
        <f t="shared" si="213"/>
        <v/>
      </c>
      <c r="IN148" s="451" t="str">
        <f t="shared" si="213"/>
        <v/>
      </c>
      <c r="IO148" s="452" t="str">
        <f t="shared" si="213"/>
        <v/>
      </c>
      <c r="IP148" s="452" t="str">
        <f t="shared" si="213"/>
        <v/>
      </c>
      <c r="IQ148" s="452" t="str">
        <f t="shared" si="214"/>
        <v/>
      </c>
      <c r="IR148" s="453" t="str">
        <f t="shared" si="214"/>
        <v/>
      </c>
    </row>
    <row r="149" spans="1:252" x14ac:dyDescent="0.2">
      <c r="A149" s="461">
        <v>14.2</v>
      </c>
      <c r="C149" s="447" t="s">
        <v>1352</v>
      </c>
      <c r="D149" s="447"/>
      <c r="E149" s="448"/>
      <c r="F149" s="448"/>
      <c r="G149" s="448"/>
      <c r="H149" s="448"/>
      <c r="I149" s="448"/>
      <c r="J149" s="449" t="str">
        <f t="shared" si="224"/>
        <v/>
      </c>
      <c r="K149" s="449" t="str">
        <f t="shared" si="225"/>
        <v/>
      </c>
      <c r="L149" s="450">
        <f t="shared" si="223"/>
        <v>0</v>
      </c>
      <c r="M149" s="451" t="str">
        <f t="shared" si="212"/>
        <v/>
      </c>
      <c r="N149" s="452" t="str">
        <f t="shared" si="212"/>
        <v/>
      </c>
      <c r="O149" s="452" t="str">
        <f t="shared" si="212"/>
        <v/>
      </c>
      <c r="P149" s="452" t="str">
        <f t="shared" si="212"/>
        <v/>
      </c>
      <c r="Q149" s="453" t="str">
        <f t="shared" si="212"/>
        <v/>
      </c>
      <c r="R149" s="451" t="str">
        <f t="shared" si="212"/>
        <v/>
      </c>
      <c r="S149" s="452" t="str">
        <f t="shared" si="212"/>
        <v/>
      </c>
      <c r="T149" s="452" t="str">
        <f t="shared" si="212"/>
        <v/>
      </c>
      <c r="U149" s="452" t="str">
        <f t="shared" si="212"/>
        <v/>
      </c>
      <c r="V149" s="453" t="str">
        <f t="shared" si="212"/>
        <v/>
      </c>
      <c r="W149" s="451" t="str">
        <f t="shared" si="212"/>
        <v/>
      </c>
      <c r="X149" s="452" t="str">
        <f t="shared" si="212"/>
        <v/>
      </c>
      <c r="Y149" s="452" t="str">
        <f t="shared" si="212"/>
        <v/>
      </c>
      <c r="Z149" s="452" t="str">
        <f t="shared" si="212"/>
        <v/>
      </c>
      <c r="AA149" s="453" t="str">
        <f t="shared" si="212"/>
        <v/>
      </c>
      <c r="AB149" s="451" t="str">
        <f t="shared" si="212"/>
        <v/>
      </c>
      <c r="AC149" s="452" t="str">
        <f t="shared" si="221"/>
        <v/>
      </c>
      <c r="AD149" s="452" t="str">
        <f t="shared" si="221"/>
        <v/>
      </c>
      <c r="AE149" s="452" t="str">
        <f t="shared" si="221"/>
        <v/>
      </c>
      <c r="AF149" s="453" t="str">
        <f t="shared" si="221"/>
        <v/>
      </c>
      <c r="AG149" s="451" t="str">
        <f t="shared" si="221"/>
        <v/>
      </c>
      <c r="AH149" s="452" t="str">
        <f t="shared" si="221"/>
        <v/>
      </c>
      <c r="AI149" s="452" t="str">
        <f t="shared" si="221"/>
        <v/>
      </c>
      <c r="AJ149" s="452" t="str">
        <f t="shared" si="221"/>
        <v/>
      </c>
      <c r="AK149" s="453" t="str">
        <f t="shared" si="221"/>
        <v/>
      </c>
      <c r="AL149" s="451" t="str">
        <f t="shared" si="221"/>
        <v/>
      </c>
      <c r="AM149" s="452" t="str">
        <f t="shared" si="221"/>
        <v/>
      </c>
      <c r="AN149" s="452" t="str">
        <f t="shared" si="221"/>
        <v/>
      </c>
      <c r="AO149" s="452" t="str">
        <f t="shared" si="221"/>
        <v/>
      </c>
      <c r="AP149" s="453" t="str">
        <f t="shared" si="221"/>
        <v/>
      </c>
      <c r="AQ149" s="451" t="str">
        <f t="shared" si="221"/>
        <v/>
      </c>
      <c r="AR149" s="452" t="str">
        <f t="shared" si="221"/>
        <v/>
      </c>
      <c r="AS149" s="452" t="str">
        <f t="shared" si="217"/>
        <v/>
      </c>
      <c r="AT149" s="452" t="str">
        <f t="shared" si="217"/>
        <v/>
      </c>
      <c r="AU149" s="453" t="str">
        <f t="shared" si="217"/>
        <v/>
      </c>
      <c r="AV149" s="451" t="str">
        <f t="shared" si="217"/>
        <v/>
      </c>
      <c r="AW149" s="452" t="str">
        <f t="shared" si="217"/>
        <v/>
      </c>
      <c r="AX149" s="452" t="str">
        <f t="shared" si="217"/>
        <v/>
      </c>
      <c r="AY149" s="452" t="str">
        <f t="shared" si="217"/>
        <v/>
      </c>
      <c r="AZ149" s="453" t="str">
        <f t="shared" si="217"/>
        <v/>
      </c>
      <c r="BA149" s="451" t="str">
        <f t="shared" si="217"/>
        <v/>
      </c>
      <c r="BB149" s="452" t="str">
        <f t="shared" si="217"/>
        <v/>
      </c>
      <c r="BC149" s="452" t="str">
        <f t="shared" si="217"/>
        <v/>
      </c>
      <c r="BD149" s="452" t="str">
        <f t="shared" si="217"/>
        <v/>
      </c>
      <c r="BE149" s="453" t="str">
        <f t="shared" si="217"/>
        <v/>
      </c>
      <c r="BF149" s="451" t="str">
        <f t="shared" si="217"/>
        <v/>
      </c>
      <c r="BG149" s="452" t="str">
        <f t="shared" si="217"/>
        <v/>
      </c>
      <c r="BH149" s="452" t="str">
        <f t="shared" si="218"/>
        <v/>
      </c>
      <c r="BI149" s="452" t="str">
        <f t="shared" si="218"/>
        <v/>
      </c>
      <c r="BJ149" s="453" t="str">
        <f t="shared" si="218"/>
        <v/>
      </c>
      <c r="BK149" s="451" t="str">
        <f t="shared" si="218"/>
        <v/>
      </c>
      <c r="BL149" s="452" t="str">
        <f t="shared" si="218"/>
        <v/>
      </c>
      <c r="BM149" s="452" t="str">
        <f t="shared" si="218"/>
        <v/>
      </c>
      <c r="BN149" s="452" t="str">
        <f t="shared" si="218"/>
        <v/>
      </c>
      <c r="BO149" s="453" t="str">
        <f t="shared" si="218"/>
        <v/>
      </c>
      <c r="BP149" s="451" t="str">
        <f t="shared" si="218"/>
        <v/>
      </c>
      <c r="BQ149" s="452" t="str">
        <f t="shared" si="218"/>
        <v/>
      </c>
      <c r="BR149" s="452" t="str">
        <f t="shared" si="218"/>
        <v/>
      </c>
      <c r="BS149" s="452" t="str">
        <f t="shared" si="218"/>
        <v/>
      </c>
      <c r="BT149" s="453" t="str">
        <f t="shared" si="218"/>
        <v/>
      </c>
      <c r="BU149" s="451" t="str">
        <f t="shared" si="218"/>
        <v/>
      </c>
      <c r="BV149" s="452" t="str">
        <f t="shared" si="218"/>
        <v/>
      </c>
      <c r="BW149" s="452" t="str">
        <f t="shared" si="218"/>
        <v/>
      </c>
      <c r="BX149" s="452" t="str">
        <f t="shared" si="219"/>
        <v/>
      </c>
      <c r="BY149" s="453" t="str">
        <f t="shared" si="219"/>
        <v/>
      </c>
      <c r="BZ149" s="451" t="str">
        <f t="shared" si="219"/>
        <v/>
      </c>
      <c r="CA149" s="452" t="str">
        <f t="shared" si="219"/>
        <v/>
      </c>
      <c r="CB149" s="452" t="str">
        <f t="shared" si="219"/>
        <v/>
      </c>
      <c r="CC149" s="452" t="str">
        <f t="shared" si="219"/>
        <v/>
      </c>
      <c r="CD149" s="453" t="str">
        <f t="shared" si="219"/>
        <v/>
      </c>
      <c r="CE149" s="451" t="str">
        <f t="shared" si="219"/>
        <v/>
      </c>
      <c r="CF149" s="452" t="str">
        <f t="shared" si="219"/>
        <v/>
      </c>
      <c r="CG149" s="452" t="str">
        <f t="shared" si="219"/>
        <v/>
      </c>
      <c r="CH149" s="452" t="str">
        <f t="shared" si="219"/>
        <v/>
      </c>
      <c r="CI149" s="453" t="str">
        <f t="shared" si="219"/>
        <v/>
      </c>
      <c r="CJ149" s="451" t="str">
        <f t="shared" si="219"/>
        <v/>
      </c>
      <c r="CK149" s="452" t="str">
        <f t="shared" si="219"/>
        <v/>
      </c>
      <c r="CL149" s="452" t="str">
        <f t="shared" si="219"/>
        <v/>
      </c>
      <c r="CM149" s="452" t="str">
        <f t="shared" si="219"/>
        <v/>
      </c>
      <c r="CN149" s="453" t="str">
        <f t="shared" si="215"/>
        <v/>
      </c>
      <c r="CO149" s="451" t="str">
        <f t="shared" si="215"/>
        <v/>
      </c>
      <c r="CP149" s="452" t="str">
        <f t="shared" si="215"/>
        <v/>
      </c>
      <c r="CQ149" s="452" t="str">
        <f t="shared" si="215"/>
        <v/>
      </c>
      <c r="CR149" s="452" t="str">
        <f t="shared" si="215"/>
        <v/>
      </c>
      <c r="CS149" s="453" t="str">
        <f t="shared" si="215"/>
        <v/>
      </c>
      <c r="CT149" s="451" t="str">
        <f t="shared" si="215"/>
        <v/>
      </c>
      <c r="CU149" s="452" t="str">
        <f t="shared" si="215"/>
        <v/>
      </c>
      <c r="CV149" s="452" t="str">
        <f t="shared" si="215"/>
        <v/>
      </c>
      <c r="CW149" s="452" t="str">
        <f t="shared" si="215"/>
        <v/>
      </c>
      <c r="CX149" s="453" t="str">
        <f t="shared" si="215"/>
        <v/>
      </c>
      <c r="CY149" s="451" t="str">
        <f t="shared" si="215"/>
        <v/>
      </c>
      <c r="CZ149" s="452" t="str">
        <f t="shared" si="215"/>
        <v/>
      </c>
      <c r="DA149" s="452" t="str">
        <f t="shared" si="215"/>
        <v/>
      </c>
      <c r="DB149" s="452" t="str">
        <f t="shared" si="215"/>
        <v/>
      </c>
      <c r="DC149" s="453" t="str">
        <f t="shared" si="216"/>
        <v/>
      </c>
      <c r="DD149" s="451" t="str">
        <f t="shared" si="216"/>
        <v/>
      </c>
      <c r="DE149" s="452" t="str">
        <f t="shared" si="216"/>
        <v/>
      </c>
      <c r="DF149" s="452" t="str">
        <f t="shared" si="216"/>
        <v/>
      </c>
      <c r="DG149" s="452" t="str">
        <f t="shared" si="216"/>
        <v/>
      </c>
      <c r="DH149" s="453" t="str">
        <f t="shared" si="216"/>
        <v/>
      </c>
      <c r="DI149" s="451" t="str">
        <f t="shared" si="216"/>
        <v/>
      </c>
      <c r="DJ149" s="452" t="str">
        <f t="shared" si="216"/>
        <v/>
      </c>
      <c r="DK149" s="452" t="str">
        <f t="shared" si="216"/>
        <v/>
      </c>
      <c r="DL149" s="452" t="str">
        <f t="shared" si="216"/>
        <v/>
      </c>
      <c r="DM149" s="453" t="str">
        <f t="shared" si="216"/>
        <v/>
      </c>
      <c r="DN149" s="451" t="str">
        <f t="shared" si="216"/>
        <v/>
      </c>
      <c r="DO149" s="452" t="str">
        <f t="shared" si="216"/>
        <v/>
      </c>
      <c r="DP149" s="452" t="str">
        <f t="shared" si="216"/>
        <v/>
      </c>
      <c r="DQ149" s="452" t="str">
        <f t="shared" si="216"/>
        <v/>
      </c>
      <c r="DR149" s="453" t="str">
        <f t="shared" si="216"/>
        <v/>
      </c>
      <c r="DS149" s="451" t="str">
        <f t="shared" si="222"/>
        <v/>
      </c>
      <c r="DT149" s="452" t="str">
        <f t="shared" si="222"/>
        <v/>
      </c>
      <c r="DU149" s="452" t="str">
        <f t="shared" si="222"/>
        <v/>
      </c>
      <c r="DV149" s="452" t="str">
        <f t="shared" si="222"/>
        <v/>
      </c>
      <c r="DW149" s="453" t="str">
        <f t="shared" si="222"/>
        <v/>
      </c>
      <c r="DX149" s="451" t="str">
        <f t="shared" si="222"/>
        <v/>
      </c>
      <c r="DY149" s="452" t="str">
        <f t="shared" si="222"/>
        <v/>
      </c>
      <c r="DZ149" s="452" t="str">
        <f t="shared" si="222"/>
        <v/>
      </c>
      <c r="EA149" s="452" t="str">
        <f t="shared" si="222"/>
        <v/>
      </c>
      <c r="EB149" s="453" t="str">
        <f t="shared" si="222"/>
        <v/>
      </c>
      <c r="EC149" s="451" t="str">
        <f t="shared" si="222"/>
        <v/>
      </c>
      <c r="ED149" s="452" t="str">
        <f t="shared" si="222"/>
        <v/>
      </c>
      <c r="EE149" s="452" t="str">
        <f t="shared" si="222"/>
        <v/>
      </c>
      <c r="EF149" s="452" t="str">
        <f t="shared" si="222"/>
        <v/>
      </c>
      <c r="EG149" s="453" t="str">
        <f t="shared" si="222"/>
        <v/>
      </c>
      <c r="EH149" s="451" t="str">
        <f t="shared" si="222"/>
        <v/>
      </c>
      <c r="EI149" s="452" t="str">
        <f t="shared" ref="EI149:EX164" si="229">IF(AND(EI$2&gt;=$J149,EI$2&lt;=$K149),1,"")</f>
        <v/>
      </c>
      <c r="EJ149" s="452" t="str">
        <f t="shared" si="229"/>
        <v/>
      </c>
      <c r="EK149" s="452" t="str">
        <f t="shared" si="229"/>
        <v/>
      </c>
      <c r="EL149" s="453" t="str">
        <f t="shared" si="229"/>
        <v/>
      </c>
      <c r="EM149" s="451" t="str">
        <f t="shared" si="229"/>
        <v/>
      </c>
      <c r="EN149" s="452" t="str">
        <f t="shared" si="229"/>
        <v/>
      </c>
      <c r="EO149" s="452" t="str">
        <f t="shared" si="229"/>
        <v/>
      </c>
      <c r="EP149" s="452" t="str">
        <f t="shared" si="229"/>
        <v/>
      </c>
      <c r="EQ149" s="453" t="str">
        <f t="shared" si="229"/>
        <v/>
      </c>
      <c r="ER149" s="451" t="str">
        <f t="shared" si="229"/>
        <v/>
      </c>
      <c r="ES149" s="452" t="str">
        <f t="shared" si="229"/>
        <v/>
      </c>
      <c r="ET149" s="452" t="str">
        <f t="shared" si="229"/>
        <v/>
      </c>
      <c r="EU149" s="452" t="str">
        <f t="shared" si="229"/>
        <v/>
      </c>
      <c r="EV149" s="453" t="str">
        <f t="shared" si="229"/>
        <v/>
      </c>
      <c r="EW149" s="451" t="str">
        <f t="shared" si="229"/>
        <v/>
      </c>
      <c r="EX149" s="452" t="str">
        <f t="shared" si="229"/>
        <v/>
      </c>
      <c r="EY149" s="452" t="str">
        <f t="shared" ref="EY149:FN164" si="230">IF(AND(EY$2&gt;=$J149,EY$2&lt;=$K149),1,"")</f>
        <v/>
      </c>
      <c r="EZ149" s="452" t="str">
        <f t="shared" si="230"/>
        <v/>
      </c>
      <c r="FA149" s="453" t="str">
        <f t="shared" si="230"/>
        <v/>
      </c>
      <c r="FB149" s="451" t="str">
        <f t="shared" si="230"/>
        <v/>
      </c>
      <c r="FC149" s="452" t="str">
        <f t="shared" si="230"/>
        <v/>
      </c>
      <c r="FD149" s="452" t="str">
        <f t="shared" si="230"/>
        <v/>
      </c>
      <c r="FE149" s="452" t="str">
        <f t="shared" si="230"/>
        <v/>
      </c>
      <c r="FF149" s="453" t="str">
        <f t="shared" si="230"/>
        <v/>
      </c>
      <c r="FG149" s="451" t="str">
        <f t="shared" si="230"/>
        <v/>
      </c>
      <c r="FH149" s="452" t="str">
        <f t="shared" si="230"/>
        <v/>
      </c>
      <c r="FI149" s="452" t="str">
        <f t="shared" si="230"/>
        <v/>
      </c>
      <c r="FJ149" s="452" t="str">
        <f t="shared" si="230"/>
        <v/>
      </c>
      <c r="FK149" s="453" t="str">
        <f t="shared" si="230"/>
        <v/>
      </c>
      <c r="FL149" s="451" t="str">
        <f t="shared" si="230"/>
        <v/>
      </c>
      <c r="FM149" s="452" t="str">
        <f t="shared" si="230"/>
        <v/>
      </c>
      <c r="FN149" s="452" t="str">
        <f t="shared" si="230"/>
        <v/>
      </c>
      <c r="FO149" s="452" t="str">
        <f t="shared" si="227"/>
        <v/>
      </c>
      <c r="FP149" s="453" t="str">
        <f t="shared" si="227"/>
        <v/>
      </c>
      <c r="FQ149" s="451" t="str">
        <f t="shared" si="227"/>
        <v/>
      </c>
      <c r="FR149" s="452" t="str">
        <f t="shared" si="227"/>
        <v/>
      </c>
      <c r="FS149" s="452" t="str">
        <f t="shared" si="227"/>
        <v/>
      </c>
      <c r="FT149" s="452" t="str">
        <f t="shared" si="227"/>
        <v/>
      </c>
      <c r="FU149" s="453" t="str">
        <f t="shared" si="227"/>
        <v/>
      </c>
      <c r="FV149" s="451" t="str">
        <f t="shared" si="227"/>
        <v/>
      </c>
      <c r="FW149" s="452" t="str">
        <f t="shared" si="227"/>
        <v/>
      </c>
      <c r="FX149" s="452" t="str">
        <f t="shared" si="227"/>
        <v/>
      </c>
      <c r="FY149" s="452" t="str">
        <f t="shared" si="227"/>
        <v/>
      </c>
      <c r="FZ149" s="453" t="str">
        <f t="shared" si="227"/>
        <v/>
      </c>
      <c r="GA149" s="451" t="str">
        <f t="shared" si="227"/>
        <v/>
      </c>
      <c r="GB149" s="452" t="str">
        <f t="shared" si="227"/>
        <v/>
      </c>
      <c r="GC149" s="452" t="str">
        <f t="shared" si="227"/>
        <v/>
      </c>
      <c r="GD149" s="452" t="str">
        <f t="shared" si="227"/>
        <v/>
      </c>
      <c r="GE149" s="453" t="str">
        <f t="shared" si="211"/>
        <v/>
      </c>
      <c r="GF149" s="451" t="str">
        <f t="shared" si="211"/>
        <v/>
      </c>
      <c r="GG149" s="452" t="str">
        <f t="shared" si="211"/>
        <v/>
      </c>
      <c r="GH149" s="452" t="str">
        <f t="shared" si="211"/>
        <v/>
      </c>
      <c r="GI149" s="452" t="str">
        <f t="shared" si="211"/>
        <v/>
      </c>
      <c r="GJ149" s="453" t="str">
        <f t="shared" si="211"/>
        <v/>
      </c>
      <c r="GK149" s="451" t="str">
        <f t="shared" si="211"/>
        <v/>
      </c>
      <c r="GL149" s="452" t="str">
        <f t="shared" si="211"/>
        <v/>
      </c>
      <c r="GM149" s="452" t="str">
        <f t="shared" si="211"/>
        <v/>
      </c>
      <c r="GN149" s="452" t="str">
        <f t="shared" si="211"/>
        <v/>
      </c>
      <c r="GO149" s="453" t="str">
        <f t="shared" si="211"/>
        <v/>
      </c>
      <c r="GP149" s="451" t="str">
        <f t="shared" si="211"/>
        <v/>
      </c>
      <c r="GQ149" s="452" t="str">
        <f t="shared" si="211"/>
        <v/>
      </c>
      <c r="GR149" s="452" t="str">
        <f t="shared" si="211"/>
        <v/>
      </c>
      <c r="GS149" s="452" t="str">
        <f t="shared" si="211"/>
        <v/>
      </c>
      <c r="GT149" s="453" t="str">
        <f t="shared" ref="GT149:HI164" si="231">IF(AND(GT$2&gt;=$J149,GT$2&lt;=$K149),1,"")</f>
        <v/>
      </c>
      <c r="GU149" s="451" t="str">
        <f t="shared" si="231"/>
        <v/>
      </c>
      <c r="GV149" s="452" t="str">
        <f t="shared" si="231"/>
        <v/>
      </c>
      <c r="GW149" s="452" t="str">
        <f t="shared" si="228"/>
        <v/>
      </c>
      <c r="GX149" s="452" t="str">
        <f t="shared" si="228"/>
        <v/>
      </c>
      <c r="GY149" s="453" t="str">
        <f t="shared" si="228"/>
        <v/>
      </c>
      <c r="GZ149" s="451" t="str">
        <f t="shared" si="228"/>
        <v/>
      </c>
      <c r="HA149" s="452" t="str">
        <f t="shared" si="228"/>
        <v/>
      </c>
      <c r="HB149" s="452" t="str">
        <f t="shared" si="228"/>
        <v/>
      </c>
      <c r="HC149" s="452" t="str">
        <f t="shared" si="228"/>
        <v/>
      </c>
      <c r="HD149" s="453" t="str">
        <f t="shared" si="228"/>
        <v/>
      </c>
      <c r="HE149" s="451" t="str">
        <f t="shared" si="228"/>
        <v/>
      </c>
      <c r="HF149" s="452" t="str">
        <f t="shared" si="228"/>
        <v/>
      </c>
      <c r="HG149" s="452" t="str">
        <f t="shared" si="228"/>
        <v/>
      </c>
      <c r="HH149" s="452" t="str">
        <f t="shared" si="228"/>
        <v/>
      </c>
      <c r="HI149" s="453" t="str">
        <f t="shared" si="228"/>
        <v/>
      </c>
      <c r="HJ149" s="451" t="str">
        <f t="shared" si="228"/>
        <v/>
      </c>
      <c r="HK149" s="452" t="str">
        <f t="shared" si="228"/>
        <v/>
      </c>
      <c r="HL149" s="452" t="str">
        <f t="shared" si="207"/>
        <v/>
      </c>
      <c r="HM149" s="452" t="str">
        <f t="shared" si="207"/>
        <v/>
      </c>
      <c r="HN149" s="453" t="str">
        <f t="shared" si="207"/>
        <v/>
      </c>
      <c r="HO149" s="451" t="str">
        <f t="shared" si="207"/>
        <v/>
      </c>
      <c r="HP149" s="452" t="str">
        <f t="shared" si="207"/>
        <v/>
      </c>
      <c r="HQ149" s="452" t="str">
        <f t="shared" si="207"/>
        <v/>
      </c>
      <c r="HR149" s="452" t="str">
        <f t="shared" si="207"/>
        <v/>
      </c>
      <c r="HS149" s="453" t="str">
        <f t="shared" si="207"/>
        <v/>
      </c>
      <c r="HT149" s="451" t="str">
        <f t="shared" si="207"/>
        <v/>
      </c>
      <c r="HU149" s="452" t="str">
        <f t="shared" si="207"/>
        <v/>
      </c>
      <c r="HV149" s="452" t="str">
        <f t="shared" si="207"/>
        <v/>
      </c>
      <c r="HW149" s="452" t="str">
        <f t="shared" si="207"/>
        <v/>
      </c>
      <c r="HX149" s="453" t="str">
        <f t="shared" si="207"/>
        <v/>
      </c>
      <c r="HY149" s="451" t="str">
        <f t="shared" si="207"/>
        <v/>
      </c>
      <c r="HZ149" s="452" t="str">
        <f t="shared" si="207"/>
        <v/>
      </c>
      <c r="IA149" s="452" t="str">
        <f t="shared" si="213"/>
        <v/>
      </c>
      <c r="IB149" s="452" t="str">
        <f t="shared" si="213"/>
        <v/>
      </c>
      <c r="IC149" s="453" t="str">
        <f t="shared" si="213"/>
        <v/>
      </c>
      <c r="ID149" s="451" t="str">
        <f t="shared" si="213"/>
        <v/>
      </c>
      <c r="IE149" s="452" t="str">
        <f t="shared" si="213"/>
        <v/>
      </c>
      <c r="IF149" s="452" t="str">
        <f t="shared" si="213"/>
        <v/>
      </c>
      <c r="IG149" s="452" t="str">
        <f t="shared" si="213"/>
        <v/>
      </c>
      <c r="IH149" s="453" t="str">
        <f t="shared" si="213"/>
        <v/>
      </c>
      <c r="II149" s="451" t="str">
        <f t="shared" si="213"/>
        <v/>
      </c>
      <c r="IJ149" s="452" t="str">
        <f t="shared" si="213"/>
        <v/>
      </c>
      <c r="IK149" s="452" t="str">
        <f t="shared" si="213"/>
        <v/>
      </c>
      <c r="IL149" s="452" t="str">
        <f t="shared" si="213"/>
        <v/>
      </c>
      <c r="IM149" s="453" t="str">
        <f t="shared" si="213"/>
        <v/>
      </c>
      <c r="IN149" s="451" t="str">
        <f t="shared" si="213"/>
        <v/>
      </c>
      <c r="IO149" s="452" t="str">
        <f t="shared" si="213"/>
        <v/>
      </c>
      <c r="IP149" s="452" t="str">
        <f t="shared" si="213"/>
        <v/>
      </c>
      <c r="IQ149" s="452" t="str">
        <f t="shared" si="214"/>
        <v/>
      </c>
      <c r="IR149" s="453" t="str">
        <f t="shared" si="214"/>
        <v/>
      </c>
    </row>
    <row r="150" spans="1:252" x14ac:dyDescent="0.2">
      <c r="A150" s="461">
        <v>14.3</v>
      </c>
      <c r="C150" s="447" t="s">
        <v>1353</v>
      </c>
      <c r="D150" s="447"/>
      <c r="E150" s="448"/>
      <c r="F150" s="448"/>
      <c r="G150" s="448"/>
      <c r="H150" s="448"/>
      <c r="I150" s="448"/>
      <c r="J150" s="449" t="str">
        <f t="shared" si="224"/>
        <v/>
      </c>
      <c r="K150" s="449" t="str">
        <f t="shared" si="225"/>
        <v/>
      </c>
      <c r="L150" s="450">
        <f t="shared" si="223"/>
        <v>0</v>
      </c>
      <c r="M150" s="451" t="str">
        <f t="shared" si="212"/>
        <v/>
      </c>
      <c r="N150" s="452" t="str">
        <f t="shared" si="212"/>
        <v/>
      </c>
      <c r="O150" s="452" t="str">
        <f t="shared" si="212"/>
        <v/>
      </c>
      <c r="P150" s="452" t="str">
        <f t="shared" si="212"/>
        <v/>
      </c>
      <c r="Q150" s="453" t="str">
        <f t="shared" si="212"/>
        <v/>
      </c>
      <c r="R150" s="451" t="str">
        <f t="shared" si="212"/>
        <v/>
      </c>
      <c r="S150" s="452" t="str">
        <f t="shared" si="212"/>
        <v/>
      </c>
      <c r="T150" s="452" t="str">
        <f t="shared" si="212"/>
        <v/>
      </c>
      <c r="U150" s="452" t="str">
        <f t="shared" si="212"/>
        <v/>
      </c>
      <c r="V150" s="453" t="str">
        <f t="shared" si="212"/>
        <v/>
      </c>
      <c r="W150" s="451" t="str">
        <f t="shared" si="212"/>
        <v/>
      </c>
      <c r="X150" s="452" t="str">
        <f t="shared" si="212"/>
        <v/>
      </c>
      <c r="Y150" s="452" t="str">
        <f t="shared" si="212"/>
        <v/>
      </c>
      <c r="Z150" s="452" t="str">
        <f t="shared" si="212"/>
        <v/>
      </c>
      <c r="AA150" s="453" t="str">
        <f t="shared" si="212"/>
        <v/>
      </c>
      <c r="AB150" s="451" t="str">
        <f t="shared" si="212"/>
        <v/>
      </c>
      <c r="AC150" s="452" t="str">
        <f t="shared" si="221"/>
        <v/>
      </c>
      <c r="AD150" s="452" t="str">
        <f t="shared" si="221"/>
        <v/>
      </c>
      <c r="AE150" s="452" t="str">
        <f t="shared" si="221"/>
        <v/>
      </c>
      <c r="AF150" s="453" t="str">
        <f t="shared" si="221"/>
        <v/>
      </c>
      <c r="AG150" s="451" t="str">
        <f t="shared" si="221"/>
        <v/>
      </c>
      <c r="AH150" s="452" t="str">
        <f t="shared" si="221"/>
        <v/>
      </c>
      <c r="AI150" s="452" t="str">
        <f t="shared" si="221"/>
        <v/>
      </c>
      <c r="AJ150" s="452" t="str">
        <f t="shared" si="221"/>
        <v/>
      </c>
      <c r="AK150" s="453" t="str">
        <f t="shared" si="221"/>
        <v/>
      </c>
      <c r="AL150" s="451" t="str">
        <f t="shared" si="221"/>
        <v/>
      </c>
      <c r="AM150" s="452" t="str">
        <f t="shared" si="221"/>
        <v/>
      </c>
      <c r="AN150" s="452" t="str">
        <f t="shared" si="221"/>
        <v/>
      </c>
      <c r="AO150" s="452" t="str">
        <f t="shared" si="221"/>
        <v/>
      </c>
      <c r="AP150" s="453" t="str">
        <f t="shared" si="221"/>
        <v/>
      </c>
      <c r="AQ150" s="451" t="str">
        <f t="shared" si="221"/>
        <v/>
      </c>
      <c r="AR150" s="452" t="str">
        <f t="shared" si="221"/>
        <v/>
      </c>
      <c r="AS150" s="452" t="str">
        <f t="shared" si="217"/>
        <v/>
      </c>
      <c r="AT150" s="452" t="str">
        <f t="shared" si="217"/>
        <v/>
      </c>
      <c r="AU150" s="453" t="str">
        <f t="shared" si="217"/>
        <v/>
      </c>
      <c r="AV150" s="451" t="str">
        <f t="shared" si="217"/>
        <v/>
      </c>
      <c r="AW150" s="452" t="str">
        <f t="shared" si="217"/>
        <v/>
      </c>
      <c r="AX150" s="452" t="str">
        <f t="shared" si="217"/>
        <v/>
      </c>
      <c r="AY150" s="452" t="str">
        <f t="shared" si="217"/>
        <v/>
      </c>
      <c r="AZ150" s="453" t="str">
        <f t="shared" si="217"/>
        <v/>
      </c>
      <c r="BA150" s="451" t="str">
        <f t="shared" si="217"/>
        <v/>
      </c>
      <c r="BB150" s="452" t="str">
        <f t="shared" si="217"/>
        <v/>
      </c>
      <c r="BC150" s="452" t="str">
        <f t="shared" si="217"/>
        <v/>
      </c>
      <c r="BD150" s="452" t="str">
        <f t="shared" si="217"/>
        <v/>
      </c>
      <c r="BE150" s="453" t="str">
        <f t="shared" si="217"/>
        <v/>
      </c>
      <c r="BF150" s="451" t="str">
        <f t="shared" si="217"/>
        <v/>
      </c>
      <c r="BG150" s="452" t="str">
        <f t="shared" si="217"/>
        <v/>
      </c>
      <c r="BH150" s="452" t="str">
        <f t="shared" si="218"/>
        <v/>
      </c>
      <c r="BI150" s="452" t="str">
        <f t="shared" si="218"/>
        <v/>
      </c>
      <c r="BJ150" s="453" t="str">
        <f t="shared" si="218"/>
        <v/>
      </c>
      <c r="BK150" s="451" t="str">
        <f t="shared" si="218"/>
        <v/>
      </c>
      <c r="BL150" s="452" t="str">
        <f t="shared" si="218"/>
        <v/>
      </c>
      <c r="BM150" s="452" t="str">
        <f t="shared" si="218"/>
        <v/>
      </c>
      <c r="BN150" s="452" t="str">
        <f t="shared" si="218"/>
        <v/>
      </c>
      <c r="BO150" s="453" t="str">
        <f t="shared" si="218"/>
        <v/>
      </c>
      <c r="BP150" s="451" t="str">
        <f t="shared" si="218"/>
        <v/>
      </c>
      <c r="BQ150" s="452" t="str">
        <f t="shared" si="218"/>
        <v/>
      </c>
      <c r="BR150" s="452" t="str">
        <f t="shared" si="218"/>
        <v/>
      </c>
      <c r="BS150" s="452" t="str">
        <f t="shared" si="218"/>
        <v/>
      </c>
      <c r="BT150" s="453" t="str">
        <f t="shared" si="218"/>
        <v/>
      </c>
      <c r="BU150" s="451" t="str">
        <f t="shared" si="218"/>
        <v/>
      </c>
      <c r="BV150" s="452" t="str">
        <f t="shared" si="218"/>
        <v/>
      </c>
      <c r="BW150" s="452" t="str">
        <f t="shared" si="218"/>
        <v/>
      </c>
      <c r="BX150" s="452" t="str">
        <f t="shared" si="219"/>
        <v/>
      </c>
      <c r="BY150" s="453" t="str">
        <f t="shared" si="219"/>
        <v/>
      </c>
      <c r="BZ150" s="451" t="str">
        <f t="shared" si="219"/>
        <v/>
      </c>
      <c r="CA150" s="452" t="str">
        <f t="shared" si="219"/>
        <v/>
      </c>
      <c r="CB150" s="452" t="str">
        <f t="shared" si="219"/>
        <v/>
      </c>
      <c r="CC150" s="452" t="str">
        <f t="shared" si="219"/>
        <v/>
      </c>
      <c r="CD150" s="453" t="str">
        <f t="shared" si="219"/>
        <v/>
      </c>
      <c r="CE150" s="451" t="str">
        <f t="shared" si="219"/>
        <v/>
      </c>
      <c r="CF150" s="452" t="str">
        <f t="shared" si="219"/>
        <v/>
      </c>
      <c r="CG150" s="452" t="str">
        <f t="shared" si="219"/>
        <v/>
      </c>
      <c r="CH150" s="452" t="str">
        <f t="shared" si="219"/>
        <v/>
      </c>
      <c r="CI150" s="453" t="str">
        <f t="shared" si="219"/>
        <v/>
      </c>
      <c r="CJ150" s="451" t="str">
        <f t="shared" si="219"/>
        <v/>
      </c>
      <c r="CK150" s="452" t="str">
        <f t="shared" si="219"/>
        <v/>
      </c>
      <c r="CL150" s="452" t="str">
        <f t="shared" si="219"/>
        <v/>
      </c>
      <c r="CM150" s="452" t="str">
        <f t="shared" si="219"/>
        <v/>
      </c>
      <c r="CN150" s="453" t="str">
        <f t="shared" si="215"/>
        <v/>
      </c>
      <c r="CO150" s="451" t="str">
        <f t="shared" si="215"/>
        <v/>
      </c>
      <c r="CP150" s="452" t="str">
        <f t="shared" si="215"/>
        <v/>
      </c>
      <c r="CQ150" s="452" t="str">
        <f t="shared" si="215"/>
        <v/>
      </c>
      <c r="CR150" s="452" t="str">
        <f t="shared" si="215"/>
        <v/>
      </c>
      <c r="CS150" s="453" t="str">
        <f t="shared" si="215"/>
        <v/>
      </c>
      <c r="CT150" s="451" t="str">
        <f t="shared" si="215"/>
        <v/>
      </c>
      <c r="CU150" s="452" t="str">
        <f t="shared" si="215"/>
        <v/>
      </c>
      <c r="CV150" s="452" t="str">
        <f t="shared" si="215"/>
        <v/>
      </c>
      <c r="CW150" s="452" t="str">
        <f t="shared" si="215"/>
        <v/>
      </c>
      <c r="CX150" s="453" t="str">
        <f t="shared" si="215"/>
        <v/>
      </c>
      <c r="CY150" s="451" t="str">
        <f t="shared" si="215"/>
        <v/>
      </c>
      <c r="CZ150" s="452" t="str">
        <f t="shared" si="215"/>
        <v/>
      </c>
      <c r="DA150" s="452" t="str">
        <f t="shared" si="215"/>
        <v/>
      </c>
      <c r="DB150" s="452" t="str">
        <f t="shared" si="215"/>
        <v/>
      </c>
      <c r="DC150" s="453" t="str">
        <f t="shared" si="216"/>
        <v/>
      </c>
      <c r="DD150" s="451" t="str">
        <f t="shared" si="216"/>
        <v/>
      </c>
      <c r="DE150" s="452" t="str">
        <f t="shared" si="216"/>
        <v/>
      </c>
      <c r="DF150" s="452" t="str">
        <f t="shared" si="216"/>
        <v/>
      </c>
      <c r="DG150" s="452" t="str">
        <f t="shared" si="216"/>
        <v/>
      </c>
      <c r="DH150" s="453" t="str">
        <f t="shared" si="216"/>
        <v/>
      </c>
      <c r="DI150" s="451" t="str">
        <f t="shared" si="216"/>
        <v/>
      </c>
      <c r="DJ150" s="452" t="str">
        <f t="shared" si="216"/>
        <v/>
      </c>
      <c r="DK150" s="452" t="str">
        <f t="shared" si="216"/>
        <v/>
      </c>
      <c r="DL150" s="452" t="str">
        <f t="shared" si="216"/>
        <v/>
      </c>
      <c r="DM150" s="453" t="str">
        <f t="shared" si="216"/>
        <v/>
      </c>
      <c r="DN150" s="451" t="str">
        <f t="shared" si="216"/>
        <v/>
      </c>
      <c r="DO150" s="452" t="str">
        <f t="shared" si="216"/>
        <v/>
      </c>
      <c r="DP150" s="452" t="str">
        <f t="shared" si="216"/>
        <v/>
      </c>
      <c r="DQ150" s="452" t="str">
        <f t="shared" si="216"/>
        <v/>
      </c>
      <c r="DR150" s="453" t="str">
        <f t="shared" si="216"/>
        <v/>
      </c>
      <c r="DS150" s="451" t="str">
        <f t="shared" si="222"/>
        <v/>
      </c>
      <c r="DT150" s="452" t="str">
        <f t="shared" si="222"/>
        <v/>
      </c>
      <c r="DU150" s="452" t="str">
        <f t="shared" si="222"/>
        <v/>
      </c>
      <c r="DV150" s="452" t="str">
        <f t="shared" si="222"/>
        <v/>
      </c>
      <c r="DW150" s="453" t="str">
        <f t="shared" si="222"/>
        <v/>
      </c>
      <c r="DX150" s="451" t="str">
        <f t="shared" si="222"/>
        <v/>
      </c>
      <c r="DY150" s="452" t="str">
        <f t="shared" si="222"/>
        <v/>
      </c>
      <c r="DZ150" s="452" t="str">
        <f t="shared" si="222"/>
        <v/>
      </c>
      <c r="EA150" s="452" t="str">
        <f t="shared" si="222"/>
        <v/>
      </c>
      <c r="EB150" s="453" t="str">
        <f t="shared" si="222"/>
        <v/>
      </c>
      <c r="EC150" s="451" t="str">
        <f t="shared" si="222"/>
        <v/>
      </c>
      <c r="ED150" s="452" t="str">
        <f t="shared" si="222"/>
        <v/>
      </c>
      <c r="EE150" s="452" t="str">
        <f t="shared" si="222"/>
        <v/>
      </c>
      <c r="EF150" s="452" t="str">
        <f t="shared" si="222"/>
        <v/>
      </c>
      <c r="EG150" s="453" t="str">
        <f t="shared" si="222"/>
        <v/>
      </c>
      <c r="EH150" s="451" t="str">
        <f t="shared" si="222"/>
        <v/>
      </c>
      <c r="EI150" s="452" t="str">
        <f t="shared" si="229"/>
        <v/>
      </c>
      <c r="EJ150" s="452" t="str">
        <f t="shared" si="229"/>
        <v/>
      </c>
      <c r="EK150" s="452" t="str">
        <f t="shared" si="229"/>
        <v/>
      </c>
      <c r="EL150" s="453" t="str">
        <f t="shared" si="229"/>
        <v/>
      </c>
      <c r="EM150" s="451" t="str">
        <f t="shared" si="229"/>
        <v/>
      </c>
      <c r="EN150" s="452" t="str">
        <f t="shared" si="229"/>
        <v/>
      </c>
      <c r="EO150" s="452" t="str">
        <f t="shared" si="229"/>
        <v/>
      </c>
      <c r="EP150" s="452" t="str">
        <f t="shared" si="229"/>
        <v/>
      </c>
      <c r="EQ150" s="453" t="str">
        <f t="shared" si="229"/>
        <v/>
      </c>
      <c r="ER150" s="451" t="str">
        <f t="shared" si="229"/>
        <v/>
      </c>
      <c r="ES150" s="452" t="str">
        <f t="shared" si="229"/>
        <v/>
      </c>
      <c r="ET150" s="452" t="str">
        <f t="shared" si="229"/>
        <v/>
      </c>
      <c r="EU150" s="452" t="str">
        <f t="shared" si="229"/>
        <v/>
      </c>
      <c r="EV150" s="453" t="str">
        <f t="shared" si="229"/>
        <v/>
      </c>
      <c r="EW150" s="451" t="str">
        <f t="shared" si="229"/>
        <v/>
      </c>
      <c r="EX150" s="452" t="str">
        <f t="shared" si="229"/>
        <v/>
      </c>
      <c r="EY150" s="452" t="str">
        <f t="shared" si="230"/>
        <v/>
      </c>
      <c r="EZ150" s="452" t="str">
        <f t="shared" si="230"/>
        <v/>
      </c>
      <c r="FA150" s="453" t="str">
        <f t="shared" si="230"/>
        <v/>
      </c>
      <c r="FB150" s="451" t="str">
        <f t="shared" si="230"/>
        <v/>
      </c>
      <c r="FC150" s="452" t="str">
        <f t="shared" si="230"/>
        <v/>
      </c>
      <c r="FD150" s="452" t="str">
        <f t="shared" si="230"/>
        <v/>
      </c>
      <c r="FE150" s="452" t="str">
        <f t="shared" si="230"/>
        <v/>
      </c>
      <c r="FF150" s="453" t="str">
        <f t="shared" si="230"/>
        <v/>
      </c>
      <c r="FG150" s="451" t="str">
        <f t="shared" si="230"/>
        <v/>
      </c>
      <c r="FH150" s="452" t="str">
        <f t="shared" si="230"/>
        <v/>
      </c>
      <c r="FI150" s="452" t="str">
        <f t="shared" si="230"/>
        <v/>
      </c>
      <c r="FJ150" s="452" t="str">
        <f t="shared" si="230"/>
        <v/>
      </c>
      <c r="FK150" s="453" t="str">
        <f t="shared" si="230"/>
        <v/>
      </c>
      <c r="FL150" s="451" t="str">
        <f t="shared" si="230"/>
        <v/>
      </c>
      <c r="FM150" s="452" t="str">
        <f t="shared" si="230"/>
        <v/>
      </c>
      <c r="FN150" s="452" t="str">
        <f t="shared" si="230"/>
        <v/>
      </c>
      <c r="FO150" s="452" t="str">
        <f t="shared" si="227"/>
        <v/>
      </c>
      <c r="FP150" s="453" t="str">
        <f t="shared" si="227"/>
        <v/>
      </c>
      <c r="FQ150" s="451" t="str">
        <f t="shared" si="227"/>
        <v/>
      </c>
      <c r="FR150" s="452" t="str">
        <f t="shared" si="227"/>
        <v/>
      </c>
      <c r="FS150" s="452" t="str">
        <f t="shared" si="227"/>
        <v/>
      </c>
      <c r="FT150" s="452" t="str">
        <f t="shared" si="227"/>
        <v/>
      </c>
      <c r="FU150" s="453" t="str">
        <f t="shared" si="227"/>
        <v/>
      </c>
      <c r="FV150" s="451" t="str">
        <f t="shared" si="227"/>
        <v/>
      </c>
      <c r="FW150" s="452" t="str">
        <f t="shared" si="227"/>
        <v/>
      </c>
      <c r="FX150" s="452" t="str">
        <f t="shared" si="227"/>
        <v/>
      </c>
      <c r="FY150" s="452" t="str">
        <f t="shared" si="227"/>
        <v/>
      </c>
      <c r="FZ150" s="453" t="str">
        <f t="shared" si="227"/>
        <v/>
      </c>
      <c r="GA150" s="451" t="str">
        <f t="shared" si="227"/>
        <v/>
      </c>
      <c r="GB150" s="452" t="str">
        <f t="shared" si="227"/>
        <v/>
      </c>
      <c r="GC150" s="452" t="str">
        <f t="shared" si="227"/>
        <v/>
      </c>
      <c r="GD150" s="452" t="str">
        <f t="shared" si="211"/>
        <v/>
      </c>
      <c r="GE150" s="453" t="str">
        <f t="shared" si="211"/>
        <v/>
      </c>
      <c r="GF150" s="451" t="str">
        <f t="shared" si="211"/>
        <v/>
      </c>
      <c r="GG150" s="452" t="str">
        <f t="shared" si="211"/>
        <v/>
      </c>
      <c r="GH150" s="452" t="str">
        <f t="shared" si="211"/>
        <v/>
      </c>
      <c r="GI150" s="452" t="str">
        <f t="shared" si="211"/>
        <v/>
      </c>
      <c r="GJ150" s="453" t="str">
        <f t="shared" si="211"/>
        <v/>
      </c>
      <c r="GK150" s="451" t="str">
        <f t="shared" si="211"/>
        <v/>
      </c>
      <c r="GL150" s="452" t="str">
        <f t="shared" si="211"/>
        <v/>
      </c>
      <c r="GM150" s="452" t="str">
        <f t="shared" si="211"/>
        <v/>
      </c>
      <c r="GN150" s="452" t="str">
        <f t="shared" si="211"/>
        <v/>
      </c>
      <c r="GO150" s="453" t="str">
        <f t="shared" si="211"/>
        <v/>
      </c>
      <c r="GP150" s="451" t="str">
        <f t="shared" si="211"/>
        <v/>
      </c>
      <c r="GQ150" s="452" t="str">
        <f t="shared" si="211"/>
        <v/>
      </c>
      <c r="GR150" s="452" t="str">
        <f t="shared" si="211"/>
        <v/>
      </c>
      <c r="GS150" s="452" t="str">
        <f t="shared" si="211"/>
        <v/>
      </c>
      <c r="GT150" s="453" t="str">
        <f t="shared" si="231"/>
        <v/>
      </c>
      <c r="GU150" s="451" t="str">
        <f t="shared" si="231"/>
        <v/>
      </c>
      <c r="GV150" s="452" t="str">
        <f t="shared" si="231"/>
        <v/>
      </c>
      <c r="GW150" s="452" t="str">
        <f t="shared" si="228"/>
        <v/>
      </c>
      <c r="GX150" s="452" t="str">
        <f t="shared" si="228"/>
        <v/>
      </c>
      <c r="GY150" s="453" t="str">
        <f t="shared" si="228"/>
        <v/>
      </c>
      <c r="GZ150" s="451" t="str">
        <f t="shared" si="228"/>
        <v/>
      </c>
      <c r="HA150" s="452" t="str">
        <f t="shared" si="228"/>
        <v/>
      </c>
      <c r="HB150" s="452" t="str">
        <f t="shared" si="228"/>
        <v/>
      </c>
      <c r="HC150" s="452" t="str">
        <f t="shared" si="228"/>
        <v/>
      </c>
      <c r="HD150" s="453" t="str">
        <f t="shared" si="228"/>
        <v/>
      </c>
      <c r="HE150" s="451" t="str">
        <f t="shared" si="228"/>
        <v/>
      </c>
      <c r="HF150" s="452" t="str">
        <f t="shared" si="228"/>
        <v/>
      </c>
      <c r="HG150" s="452" t="str">
        <f t="shared" si="228"/>
        <v/>
      </c>
      <c r="HH150" s="452" t="str">
        <f t="shared" si="228"/>
        <v/>
      </c>
      <c r="HI150" s="453" t="str">
        <f t="shared" si="228"/>
        <v/>
      </c>
      <c r="HJ150" s="451" t="str">
        <f t="shared" si="228"/>
        <v/>
      </c>
      <c r="HK150" s="452" t="str">
        <f t="shared" si="228"/>
        <v/>
      </c>
      <c r="HL150" s="452" t="str">
        <f t="shared" si="207"/>
        <v/>
      </c>
      <c r="HM150" s="452" t="str">
        <f t="shared" si="207"/>
        <v/>
      </c>
      <c r="HN150" s="453" t="str">
        <f t="shared" si="207"/>
        <v/>
      </c>
      <c r="HO150" s="451" t="str">
        <f t="shared" si="207"/>
        <v/>
      </c>
      <c r="HP150" s="452" t="str">
        <f t="shared" si="207"/>
        <v/>
      </c>
      <c r="HQ150" s="452" t="str">
        <f t="shared" si="207"/>
        <v/>
      </c>
      <c r="HR150" s="452" t="str">
        <f t="shared" si="207"/>
        <v/>
      </c>
      <c r="HS150" s="453" t="str">
        <f t="shared" si="207"/>
        <v/>
      </c>
      <c r="HT150" s="451" t="str">
        <f t="shared" si="207"/>
        <v/>
      </c>
      <c r="HU150" s="452" t="str">
        <f t="shared" si="207"/>
        <v/>
      </c>
      <c r="HV150" s="452" t="str">
        <f t="shared" si="207"/>
        <v/>
      </c>
      <c r="HW150" s="452" t="str">
        <f t="shared" si="207"/>
        <v/>
      </c>
      <c r="HX150" s="453" t="str">
        <f t="shared" si="207"/>
        <v/>
      </c>
      <c r="HY150" s="451" t="str">
        <f t="shared" si="207"/>
        <v/>
      </c>
      <c r="HZ150" s="452" t="str">
        <f t="shared" si="207"/>
        <v/>
      </c>
      <c r="IA150" s="452" t="str">
        <f t="shared" si="213"/>
        <v/>
      </c>
      <c r="IB150" s="452" t="str">
        <f t="shared" si="213"/>
        <v/>
      </c>
      <c r="IC150" s="453" t="str">
        <f t="shared" si="213"/>
        <v/>
      </c>
      <c r="ID150" s="451" t="str">
        <f t="shared" si="213"/>
        <v/>
      </c>
      <c r="IE150" s="452" t="str">
        <f t="shared" si="213"/>
        <v/>
      </c>
      <c r="IF150" s="452" t="str">
        <f t="shared" si="213"/>
        <v/>
      </c>
      <c r="IG150" s="452" t="str">
        <f t="shared" si="213"/>
        <v/>
      </c>
      <c r="IH150" s="453" t="str">
        <f t="shared" si="213"/>
        <v/>
      </c>
      <c r="II150" s="451" t="str">
        <f t="shared" si="213"/>
        <v/>
      </c>
      <c r="IJ150" s="452" t="str">
        <f t="shared" si="213"/>
        <v/>
      </c>
      <c r="IK150" s="452" t="str">
        <f t="shared" si="213"/>
        <v/>
      </c>
      <c r="IL150" s="452" t="str">
        <f t="shared" si="213"/>
        <v/>
      </c>
      <c r="IM150" s="453" t="str">
        <f t="shared" si="213"/>
        <v/>
      </c>
      <c r="IN150" s="451" t="str">
        <f t="shared" si="213"/>
        <v/>
      </c>
      <c r="IO150" s="452" t="str">
        <f t="shared" si="213"/>
        <v/>
      </c>
      <c r="IP150" s="452" t="str">
        <f t="shared" si="213"/>
        <v/>
      </c>
      <c r="IQ150" s="452" t="str">
        <f t="shared" si="214"/>
        <v/>
      </c>
      <c r="IR150" s="453" t="str">
        <f t="shared" si="214"/>
        <v/>
      </c>
    </row>
    <row r="151" spans="1:252" x14ac:dyDescent="0.2">
      <c r="A151" s="461">
        <v>14.4</v>
      </c>
      <c r="C151" s="447" t="s">
        <v>1354</v>
      </c>
      <c r="D151" s="447"/>
      <c r="E151" s="448"/>
      <c r="F151" s="448"/>
      <c r="G151" s="448"/>
      <c r="H151" s="448"/>
      <c r="I151" s="448"/>
      <c r="J151" s="449" t="str">
        <f t="shared" si="224"/>
        <v/>
      </c>
      <c r="K151" s="449" t="str">
        <f t="shared" si="225"/>
        <v/>
      </c>
      <c r="L151" s="450">
        <f t="shared" si="223"/>
        <v>0</v>
      </c>
      <c r="M151" s="451" t="str">
        <f t="shared" si="212"/>
        <v/>
      </c>
      <c r="N151" s="452" t="str">
        <f t="shared" si="212"/>
        <v/>
      </c>
      <c r="O151" s="452" t="str">
        <f t="shared" si="212"/>
        <v/>
      </c>
      <c r="P151" s="452" t="str">
        <f t="shared" si="212"/>
        <v/>
      </c>
      <c r="Q151" s="453" t="str">
        <f t="shared" si="212"/>
        <v/>
      </c>
      <c r="R151" s="451" t="str">
        <f t="shared" si="212"/>
        <v/>
      </c>
      <c r="S151" s="452" t="str">
        <f t="shared" si="212"/>
        <v/>
      </c>
      <c r="T151" s="452" t="str">
        <f t="shared" si="212"/>
        <v/>
      </c>
      <c r="U151" s="452" t="str">
        <f t="shared" si="212"/>
        <v/>
      </c>
      <c r="V151" s="453" t="str">
        <f t="shared" si="212"/>
        <v/>
      </c>
      <c r="W151" s="451" t="str">
        <f t="shared" si="212"/>
        <v/>
      </c>
      <c r="X151" s="452" t="str">
        <f t="shared" si="212"/>
        <v/>
      </c>
      <c r="Y151" s="452" t="str">
        <f t="shared" si="212"/>
        <v/>
      </c>
      <c r="Z151" s="452" t="str">
        <f t="shared" si="212"/>
        <v/>
      </c>
      <c r="AA151" s="453" t="str">
        <f t="shared" si="212"/>
        <v/>
      </c>
      <c r="AB151" s="451" t="str">
        <f t="shared" si="212"/>
        <v/>
      </c>
      <c r="AC151" s="452" t="str">
        <f t="shared" si="221"/>
        <v/>
      </c>
      <c r="AD151" s="452" t="str">
        <f t="shared" si="221"/>
        <v/>
      </c>
      <c r="AE151" s="452" t="str">
        <f t="shared" si="221"/>
        <v/>
      </c>
      <c r="AF151" s="453" t="str">
        <f t="shared" si="221"/>
        <v/>
      </c>
      <c r="AG151" s="451" t="str">
        <f t="shared" si="221"/>
        <v/>
      </c>
      <c r="AH151" s="452" t="str">
        <f t="shared" si="221"/>
        <v/>
      </c>
      <c r="AI151" s="452" t="str">
        <f t="shared" si="221"/>
        <v/>
      </c>
      <c r="AJ151" s="452" t="str">
        <f t="shared" si="221"/>
        <v/>
      </c>
      <c r="AK151" s="453" t="str">
        <f t="shared" si="221"/>
        <v/>
      </c>
      <c r="AL151" s="451" t="str">
        <f t="shared" si="221"/>
        <v/>
      </c>
      <c r="AM151" s="452" t="str">
        <f t="shared" si="221"/>
        <v/>
      </c>
      <c r="AN151" s="452" t="str">
        <f t="shared" si="221"/>
        <v/>
      </c>
      <c r="AO151" s="452" t="str">
        <f t="shared" si="221"/>
        <v/>
      </c>
      <c r="AP151" s="453" t="str">
        <f t="shared" si="221"/>
        <v/>
      </c>
      <c r="AQ151" s="451" t="str">
        <f t="shared" si="221"/>
        <v/>
      </c>
      <c r="AR151" s="452" t="str">
        <f t="shared" si="221"/>
        <v/>
      </c>
      <c r="AS151" s="452" t="str">
        <f t="shared" si="217"/>
        <v/>
      </c>
      <c r="AT151" s="452" t="str">
        <f t="shared" si="217"/>
        <v/>
      </c>
      <c r="AU151" s="453" t="str">
        <f t="shared" si="217"/>
        <v/>
      </c>
      <c r="AV151" s="451" t="str">
        <f t="shared" si="217"/>
        <v/>
      </c>
      <c r="AW151" s="452" t="str">
        <f t="shared" si="217"/>
        <v/>
      </c>
      <c r="AX151" s="452" t="str">
        <f t="shared" si="217"/>
        <v/>
      </c>
      <c r="AY151" s="452" t="str">
        <f t="shared" si="217"/>
        <v/>
      </c>
      <c r="AZ151" s="453" t="str">
        <f t="shared" si="217"/>
        <v/>
      </c>
      <c r="BA151" s="451" t="str">
        <f t="shared" si="217"/>
        <v/>
      </c>
      <c r="BB151" s="452" t="str">
        <f t="shared" si="217"/>
        <v/>
      </c>
      <c r="BC151" s="452" t="str">
        <f t="shared" si="217"/>
        <v/>
      </c>
      <c r="BD151" s="452" t="str">
        <f t="shared" si="217"/>
        <v/>
      </c>
      <c r="BE151" s="453" t="str">
        <f t="shared" si="217"/>
        <v/>
      </c>
      <c r="BF151" s="451" t="str">
        <f t="shared" si="217"/>
        <v/>
      </c>
      <c r="BG151" s="452" t="str">
        <f t="shared" si="217"/>
        <v/>
      </c>
      <c r="BH151" s="452" t="str">
        <f t="shared" si="218"/>
        <v/>
      </c>
      <c r="BI151" s="452" t="str">
        <f t="shared" si="218"/>
        <v/>
      </c>
      <c r="BJ151" s="453" t="str">
        <f t="shared" si="218"/>
        <v/>
      </c>
      <c r="BK151" s="451" t="str">
        <f t="shared" si="218"/>
        <v/>
      </c>
      <c r="BL151" s="452" t="str">
        <f t="shared" si="218"/>
        <v/>
      </c>
      <c r="BM151" s="452" t="str">
        <f t="shared" si="218"/>
        <v/>
      </c>
      <c r="BN151" s="452" t="str">
        <f t="shared" si="218"/>
        <v/>
      </c>
      <c r="BO151" s="453" t="str">
        <f t="shared" si="218"/>
        <v/>
      </c>
      <c r="BP151" s="451" t="str">
        <f t="shared" si="218"/>
        <v/>
      </c>
      <c r="BQ151" s="452" t="str">
        <f t="shared" si="218"/>
        <v/>
      </c>
      <c r="BR151" s="452" t="str">
        <f t="shared" si="218"/>
        <v/>
      </c>
      <c r="BS151" s="452" t="str">
        <f t="shared" si="218"/>
        <v/>
      </c>
      <c r="BT151" s="453" t="str">
        <f t="shared" si="218"/>
        <v/>
      </c>
      <c r="BU151" s="451" t="str">
        <f t="shared" si="218"/>
        <v/>
      </c>
      <c r="BV151" s="452" t="str">
        <f t="shared" si="218"/>
        <v/>
      </c>
      <c r="BW151" s="452" t="str">
        <f t="shared" si="218"/>
        <v/>
      </c>
      <c r="BX151" s="452" t="str">
        <f t="shared" si="219"/>
        <v/>
      </c>
      <c r="BY151" s="453" t="str">
        <f t="shared" si="219"/>
        <v/>
      </c>
      <c r="BZ151" s="451" t="str">
        <f t="shared" si="219"/>
        <v/>
      </c>
      <c r="CA151" s="452" t="str">
        <f t="shared" si="219"/>
        <v/>
      </c>
      <c r="CB151" s="452" t="str">
        <f t="shared" si="219"/>
        <v/>
      </c>
      <c r="CC151" s="452" t="str">
        <f t="shared" si="219"/>
        <v/>
      </c>
      <c r="CD151" s="453" t="str">
        <f t="shared" si="219"/>
        <v/>
      </c>
      <c r="CE151" s="451" t="str">
        <f t="shared" si="219"/>
        <v/>
      </c>
      <c r="CF151" s="452" t="str">
        <f t="shared" si="219"/>
        <v/>
      </c>
      <c r="CG151" s="452" t="str">
        <f t="shared" si="219"/>
        <v/>
      </c>
      <c r="CH151" s="452" t="str">
        <f t="shared" si="219"/>
        <v/>
      </c>
      <c r="CI151" s="453" t="str">
        <f t="shared" si="219"/>
        <v/>
      </c>
      <c r="CJ151" s="451" t="str">
        <f t="shared" si="219"/>
        <v/>
      </c>
      <c r="CK151" s="452" t="str">
        <f t="shared" si="219"/>
        <v/>
      </c>
      <c r="CL151" s="452" t="str">
        <f t="shared" si="219"/>
        <v/>
      </c>
      <c r="CM151" s="452" t="str">
        <f t="shared" si="219"/>
        <v/>
      </c>
      <c r="CN151" s="453" t="str">
        <f t="shared" si="215"/>
        <v/>
      </c>
      <c r="CO151" s="451" t="str">
        <f t="shared" si="215"/>
        <v/>
      </c>
      <c r="CP151" s="452" t="str">
        <f t="shared" si="215"/>
        <v/>
      </c>
      <c r="CQ151" s="452" t="str">
        <f t="shared" si="215"/>
        <v/>
      </c>
      <c r="CR151" s="452" t="str">
        <f t="shared" si="215"/>
        <v/>
      </c>
      <c r="CS151" s="453" t="str">
        <f t="shared" si="215"/>
        <v/>
      </c>
      <c r="CT151" s="451" t="str">
        <f t="shared" si="215"/>
        <v/>
      </c>
      <c r="CU151" s="452" t="str">
        <f t="shared" si="215"/>
        <v/>
      </c>
      <c r="CV151" s="452" t="str">
        <f t="shared" si="215"/>
        <v/>
      </c>
      <c r="CW151" s="452" t="str">
        <f t="shared" si="215"/>
        <v/>
      </c>
      <c r="CX151" s="453" t="str">
        <f t="shared" si="215"/>
        <v/>
      </c>
      <c r="CY151" s="451" t="str">
        <f t="shared" si="215"/>
        <v/>
      </c>
      <c r="CZ151" s="452" t="str">
        <f t="shared" si="215"/>
        <v/>
      </c>
      <c r="DA151" s="452" t="str">
        <f t="shared" si="215"/>
        <v/>
      </c>
      <c r="DB151" s="452" t="str">
        <f t="shared" si="215"/>
        <v/>
      </c>
      <c r="DC151" s="453" t="str">
        <f t="shared" si="216"/>
        <v/>
      </c>
      <c r="DD151" s="451" t="str">
        <f t="shared" si="216"/>
        <v/>
      </c>
      <c r="DE151" s="452" t="str">
        <f t="shared" si="216"/>
        <v/>
      </c>
      <c r="DF151" s="452" t="str">
        <f t="shared" si="216"/>
        <v/>
      </c>
      <c r="DG151" s="452" t="str">
        <f t="shared" si="216"/>
        <v/>
      </c>
      <c r="DH151" s="453" t="str">
        <f t="shared" si="216"/>
        <v/>
      </c>
      <c r="DI151" s="451" t="str">
        <f t="shared" si="216"/>
        <v/>
      </c>
      <c r="DJ151" s="452" t="str">
        <f t="shared" si="216"/>
        <v/>
      </c>
      <c r="DK151" s="452" t="str">
        <f t="shared" si="216"/>
        <v/>
      </c>
      <c r="DL151" s="452" t="str">
        <f t="shared" si="216"/>
        <v/>
      </c>
      <c r="DM151" s="453" t="str">
        <f t="shared" si="216"/>
        <v/>
      </c>
      <c r="DN151" s="451" t="str">
        <f t="shared" si="216"/>
        <v/>
      </c>
      <c r="DO151" s="452" t="str">
        <f t="shared" si="216"/>
        <v/>
      </c>
      <c r="DP151" s="452" t="str">
        <f t="shared" si="216"/>
        <v/>
      </c>
      <c r="DQ151" s="452" t="str">
        <f t="shared" si="216"/>
        <v/>
      </c>
      <c r="DR151" s="453" t="str">
        <f t="shared" si="216"/>
        <v/>
      </c>
      <c r="DS151" s="451" t="str">
        <f t="shared" si="222"/>
        <v/>
      </c>
      <c r="DT151" s="452" t="str">
        <f t="shared" si="222"/>
        <v/>
      </c>
      <c r="DU151" s="452" t="str">
        <f t="shared" si="222"/>
        <v/>
      </c>
      <c r="DV151" s="452" t="str">
        <f t="shared" si="222"/>
        <v/>
      </c>
      <c r="DW151" s="453" t="str">
        <f t="shared" si="222"/>
        <v/>
      </c>
      <c r="DX151" s="451" t="str">
        <f t="shared" si="222"/>
        <v/>
      </c>
      <c r="DY151" s="452" t="str">
        <f t="shared" si="222"/>
        <v/>
      </c>
      <c r="DZ151" s="452" t="str">
        <f t="shared" si="222"/>
        <v/>
      </c>
      <c r="EA151" s="452" t="str">
        <f t="shared" si="222"/>
        <v/>
      </c>
      <c r="EB151" s="453" t="str">
        <f t="shared" si="222"/>
        <v/>
      </c>
      <c r="EC151" s="451" t="str">
        <f t="shared" si="222"/>
        <v/>
      </c>
      <c r="ED151" s="452" t="str">
        <f t="shared" si="222"/>
        <v/>
      </c>
      <c r="EE151" s="452" t="str">
        <f t="shared" si="222"/>
        <v/>
      </c>
      <c r="EF151" s="452" t="str">
        <f t="shared" si="222"/>
        <v/>
      </c>
      <c r="EG151" s="453" t="str">
        <f t="shared" si="222"/>
        <v/>
      </c>
      <c r="EH151" s="451" t="str">
        <f t="shared" si="222"/>
        <v/>
      </c>
      <c r="EI151" s="452" t="str">
        <f t="shared" si="229"/>
        <v/>
      </c>
      <c r="EJ151" s="452" t="str">
        <f t="shared" si="229"/>
        <v/>
      </c>
      <c r="EK151" s="452" t="str">
        <f t="shared" si="229"/>
        <v/>
      </c>
      <c r="EL151" s="453" t="str">
        <f t="shared" si="229"/>
        <v/>
      </c>
      <c r="EM151" s="451" t="str">
        <f t="shared" si="229"/>
        <v/>
      </c>
      <c r="EN151" s="452" t="str">
        <f t="shared" si="229"/>
        <v/>
      </c>
      <c r="EO151" s="452" t="str">
        <f t="shared" si="229"/>
        <v/>
      </c>
      <c r="EP151" s="452" t="str">
        <f t="shared" si="229"/>
        <v/>
      </c>
      <c r="EQ151" s="453" t="str">
        <f t="shared" si="229"/>
        <v/>
      </c>
      <c r="ER151" s="451" t="str">
        <f t="shared" si="229"/>
        <v/>
      </c>
      <c r="ES151" s="452" t="str">
        <f t="shared" si="229"/>
        <v/>
      </c>
      <c r="ET151" s="452" t="str">
        <f t="shared" si="229"/>
        <v/>
      </c>
      <c r="EU151" s="452" t="str">
        <f t="shared" si="229"/>
        <v/>
      </c>
      <c r="EV151" s="453" t="str">
        <f t="shared" si="229"/>
        <v/>
      </c>
      <c r="EW151" s="451" t="str">
        <f t="shared" si="229"/>
        <v/>
      </c>
      <c r="EX151" s="452" t="str">
        <f t="shared" si="229"/>
        <v/>
      </c>
      <c r="EY151" s="452" t="str">
        <f t="shared" si="230"/>
        <v/>
      </c>
      <c r="EZ151" s="452" t="str">
        <f t="shared" si="230"/>
        <v/>
      </c>
      <c r="FA151" s="453" t="str">
        <f t="shared" si="230"/>
        <v/>
      </c>
      <c r="FB151" s="451" t="str">
        <f t="shared" si="230"/>
        <v/>
      </c>
      <c r="FC151" s="452" t="str">
        <f t="shared" si="230"/>
        <v/>
      </c>
      <c r="FD151" s="452" t="str">
        <f t="shared" si="230"/>
        <v/>
      </c>
      <c r="FE151" s="452" t="str">
        <f t="shared" si="230"/>
        <v/>
      </c>
      <c r="FF151" s="453" t="str">
        <f t="shared" si="230"/>
        <v/>
      </c>
      <c r="FG151" s="451" t="str">
        <f t="shared" si="230"/>
        <v/>
      </c>
      <c r="FH151" s="452" t="str">
        <f t="shared" si="230"/>
        <v/>
      </c>
      <c r="FI151" s="452" t="str">
        <f t="shared" si="230"/>
        <v/>
      </c>
      <c r="FJ151" s="452" t="str">
        <f t="shared" si="230"/>
        <v/>
      </c>
      <c r="FK151" s="453" t="str">
        <f t="shared" si="230"/>
        <v/>
      </c>
      <c r="FL151" s="451" t="str">
        <f t="shared" si="230"/>
        <v/>
      </c>
      <c r="FM151" s="452" t="str">
        <f t="shared" si="230"/>
        <v/>
      </c>
      <c r="FN151" s="452" t="str">
        <f t="shared" si="230"/>
        <v/>
      </c>
      <c r="FO151" s="452" t="str">
        <f t="shared" si="227"/>
        <v/>
      </c>
      <c r="FP151" s="453" t="str">
        <f t="shared" si="227"/>
        <v/>
      </c>
      <c r="FQ151" s="451" t="str">
        <f t="shared" si="227"/>
        <v/>
      </c>
      <c r="FR151" s="452" t="str">
        <f t="shared" si="227"/>
        <v/>
      </c>
      <c r="FS151" s="452" t="str">
        <f t="shared" si="227"/>
        <v/>
      </c>
      <c r="FT151" s="452" t="str">
        <f t="shared" si="227"/>
        <v/>
      </c>
      <c r="FU151" s="453" t="str">
        <f t="shared" si="227"/>
        <v/>
      </c>
      <c r="FV151" s="451" t="str">
        <f t="shared" si="227"/>
        <v/>
      </c>
      <c r="FW151" s="452" t="str">
        <f t="shared" si="227"/>
        <v/>
      </c>
      <c r="FX151" s="452" t="str">
        <f t="shared" si="227"/>
        <v/>
      </c>
      <c r="FY151" s="452" t="str">
        <f t="shared" si="227"/>
        <v/>
      </c>
      <c r="FZ151" s="453" t="str">
        <f t="shared" si="227"/>
        <v/>
      </c>
      <c r="GA151" s="451" t="str">
        <f t="shared" si="227"/>
        <v/>
      </c>
      <c r="GB151" s="452" t="str">
        <f t="shared" si="227"/>
        <v/>
      </c>
      <c r="GC151" s="452" t="str">
        <f t="shared" si="227"/>
        <v/>
      </c>
      <c r="GD151" s="452" t="str">
        <f t="shared" si="211"/>
        <v/>
      </c>
      <c r="GE151" s="453" t="str">
        <f t="shared" si="211"/>
        <v/>
      </c>
      <c r="GF151" s="451" t="str">
        <f t="shared" si="211"/>
        <v/>
      </c>
      <c r="GG151" s="452" t="str">
        <f t="shared" si="211"/>
        <v/>
      </c>
      <c r="GH151" s="452" t="str">
        <f t="shared" si="211"/>
        <v/>
      </c>
      <c r="GI151" s="452" t="str">
        <f t="shared" si="211"/>
        <v/>
      </c>
      <c r="GJ151" s="453" t="str">
        <f t="shared" si="211"/>
        <v/>
      </c>
      <c r="GK151" s="451" t="str">
        <f t="shared" si="211"/>
        <v/>
      </c>
      <c r="GL151" s="452" t="str">
        <f t="shared" si="211"/>
        <v/>
      </c>
      <c r="GM151" s="452" t="str">
        <f t="shared" si="211"/>
        <v/>
      </c>
      <c r="GN151" s="452" t="str">
        <f t="shared" si="211"/>
        <v/>
      </c>
      <c r="GO151" s="453" t="str">
        <f t="shared" si="211"/>
        <v/>
      </c>
      <c r="GP151" s="451" t="str">
        <f t="shared" si="211"/>
        <v/>
      </c>
      <c r="GQ151" s="452" t="str">
        <f t="shared" si="211"/>
        <v/>
      </c>
      <c r="GR151" s="452" t="str">
        <f t="shared" si="211"/>
        <v/>
      </c>
      <c r="GS151" s="452" t="str">
        <f t="shared" si="211"/>
        <v/>
      </c>
      <c r="GT151" s="453" t="str">
        <f t="shared" si="231"/>
        <v/>
      </c>
      <c r="GU151" s="451" t="str">
        <f t="shared" si="231"/>
        <v/>
      </c>
      <c r="GV151" s="452" t="str">
        <f t="shared" si="231"/>
        <v/>
      </c>
      <c r="GW151" s="452" t="str">
        <f t="shared" si="228"/>
        <v/>
      </c>
      <c r="GX151" s="452" t="str">
        <f t="shared" si="228"/>
        <v/>
      </c>
      <c r="GY151" s="453" t="str">
        <f t="shared" si="228"/>
        <v/>
      </c>
      <c r="GZ151" s="451" t="str">
        <f t="shared" si="228"/>
        <v/>
      </c>
      <c r="HA151" s="452" t="str">
        <f t="shared" si="228"/>
        <v/>
      </c>
      <c r="HB151" s="452" t="str">
        <f t="shared" si="228"/>
        <v/>
      </c>
      <c r="HC151" s="452" t="str">
        <f t="shared" si="228"/>
        <v/>
      </c>
      <c r="HD151" s="453" t="str">
        <f t="shared" si="228"/>
        <v/>
      </c>
      <c r="HE151" s="451" t="str">
        <f t="shared" si="228"/>
        <v/>
      </c>
      <c r="HF151" s="452" t="str">
        <f t="shared" si="228"/>
        <v/>
      </c>
      <c r="HG151" s="452" t="str">
        <f t="shared" si="228"/>
        <v/>
      </c>
      <c r="HH151" s="452" t="str">
        <f t="shared" si="228"/>
        <v/>
      </c>
      <c r="HI151" s="453" t="str">
        <f t="shared" si="228"/>
        <v/>
      </c>
      <c r="HJ151" s="451" t="str">
        <f t="shared" si="228"/>
        <v/>
      </c>
      <c r="HK151" s="452" t="str">
        <f t="shared" si="228"/>
        <v/>
      </c>
      <c r="HL151" s="452" t="str">
        <f t="shared" si="207"/>
        <v/>
      </c>
      <c r="HM151" s="452" t="str">
        <f t="shared" si="207"/>
        <v/>
      </c>
      <c r="HN151" s="453" t="str">
        <f t="shared" si="207"/>
        <v/>
      </c>
      <c r="HO151" s="451" t="str">
        <f t="shared" si="207"/>
        <v/>
      </c>
      <c r="HP151" s="452" t="str">
        <f t="shared" si="207"/>
        <v/>
      </c>
      <c r="HQ151" s="452" t="str">
        <f t="shared" si="207"/>
        <v/>
      </c>
      <c r="HR151" s="452" t="str">
        <f t="shared" si="207"/>
        <v/>
      </c>
      <c r="HS151" s="453" t="str">
        <f t="shared" si="207"/>
        <v/>
      </c>
      <c r="HT151" s="451" t="str">
        <f t="shared" si="207"/>
        <v/>
      </c>
      <c r="HU151" s="452" t="str">
        <f t="shared" si="207"/>
        <v/>
      </c>
      <c r="HV151" s="452" t="str">
        <f t="shared" si="207"/>
        <v/>
      </c>
      <c r="HW151" s="452" t="str">
        <f t="shared" si="207"/>
        <v/>
      </c>
      <c r="HX151" s="453" t="str">
        <f t="shared" si="207"/>
        <v/>
      </c>
      <c r="HY151" s="451" t="str">
        <f t="shared" si="207"/>
        <v/>
      </c>
      <c r="HZ151" s="452" t="str">
        <f t="shared" si="207"/>
        <v/>
      </c>
      <c r="IA151" s="452" t="str">
        <f t="shared" si="213"/>
        <v/>
      </c>
      <c r="IB151" s="452" t="str">
        <f t="shared" si="213"/>
        <v/>
      </c>
      <c r="IC151" s="453" t="str">
        <f t="shared" si="213"/>
        <v/>
      </c>
      <c r="ID151" s="451" t="str">
        <f t="shared" si="213"/>
        <v/>
      </c>
      <c r="IE151" s="452" t="str">
        <f t="shared" si="213"/>
        <v/>
      </c>
      <c r="IF151" s="452" t="str">
        <f t="shared" si="213"/>
        <v/>
      </c>
      <c r="IG151" s="452" t="str">
        <f t="shared" si="213"/>
        <v/>
      </c>
      <c r="IH151" s="453" t="str">
        <f t="shared" si="213"/>
        <v/>
      </c>
      <c r="II151" s="451" t="str">
        <f t="shared" si="213"/>
        <v/>
      </c>
      <c r="IJ151" s="452" t="str">
        <f t="shared" si="213"/>
        <v/>
      </c>
      <c r="IK151" s="452" t="str">
        <f t="shared" si="213"/>
        <v/>
      </c>
      <c r="IL151" s="452" t="str">
        <f t="shared" si="213"/>
        <v/>
      </c>
      <c r="IM151" s="453" t="str">
        <f t="shared" si="213"/>
        <v/>
      </c>
      <c r="IN151" s="451" t="str">
        <f t="shared" si="213"/>
        <v/>
      </c>
      <c r="IO151" s="452" t="str">
        <f t="shared" si="213"/>
        <v/>
      </c>
      <c r="IP151" s="452" t="str">
        <f t="shared" si="213"/>
        <v/>
      </c>
      <c r="IQ151" s="452" t="str">
        <f t="shared" si="214"/>
        <v/>
      </c>
      <c r="IR151" s="453" t="str">
        <f t="shared" si="214"/>
        <v/>
      </c>
    </row>
    <row r="152" spans="1:252" x14ac:dyDescent="0.2">
      <c r="A152" s="461">
        <v>14.5</v>
      </c>
      <c r="C152" s="447" t="s">
        <v>1355</v>
      </c>
      <c r="D152" s="447"/>
      <c r="E152" s="448"/>
      <c r="F152" s="448"/>
      <c r="G152" s="448"/>
      <c r="H152" s="448"/>
      <c r="I152" s="448"/>
      <c r="J152" s="449" t="str">
        <f t="shared" si="224"/>
        <v/>
      </c>
      <c r="K152" s="449" t="str">
        <f t="shared" si="225"/>
        <v/>
      </c>
      <c r="L152" s="450">
        <f t="shared" si="223"/>
        <v>0</v>
      </c>
      <c r="M152" s="451" t="str">
        <f t="shared" si="212"/>
        <v/>
      </c>
      <c r="N152" s="452" t="str">
        <f t="shared" si="212"/>
        <v/>
      </c>
      <c r="O152" s="452" t="str">
        <f t="shared" si="212"/>
        <v/>
      </c>
      <c r="P152" s="452" t="str">
        <f t="shared" si="212"/>
        <v/>
      </c>
      <c r="Q152" s="453" t="str">
        <f t="shared" si="212"/>
        <v/>
      </c>
      <c r="R152" s="451" t="str">
        <f t="shared" si="212"/>
        <v/>
      </c>
      <c r="S152" s="452" t="str">
        <f t="shared" si="212"/>
        <v/>
      </c>
      <c r="T152" s="452" t="str">
        <f t="shared" si="212"/>
        <v/>
      </c>
      <c r="U152" s="452" t="str">
        <f t="shared" si="212"/>
        <v/>
      </c>
      <c r="V152" s="453" t="str">
        <f t="shared" si="212"/>
        <v/>
      </c>
      <c r="W152" s="451" t="str">
        <f t="shared" si="212"/>
        <v/>
      </c>
      <c r="X152" s="452" t="str">
        <f t="shared" si="212"/>
        <v/>
      </c>
      <c r="Y152" s="452" t="str">
        <f t="shared" si="212"/>
        <v/>
      </c>
      <c r="Z152" s="452" t="str">
        <f t="shared" si="212"/>
        <v/>
      </c>
      <c r="AA152" s="453" t="str">
        <f t="shared" si="212"/>
        <v/>
      </c>
      <c r="AB152" s="451" t="str">
        <f t="shared" si="212"/>
        <v/>
      </c>
      <c r="AC152" s="452" t="str">
        <f t="shared" si="221"/>
        <v/>
      </c>
      <c r="AD152" s="452" t="str">
        <f t="shared" si="221"/>
        <v/>
      </c>
      <c r="AE152" s="452" t="str">
        <f t="shared" si="221"/>
        <v/>
      </c>
      <c r="AF152" s="453" t="str">
        <f t="shared" si="221"/>
        <v/>
      </c>
      <c r="AG152" s="451" t="str">
        <f t="shared" si="221"/>
        <v/>
      </c>
      <c r="AH152" s="452" t="str">
        <f t="shared" si="221"/>
        <v/>
      </c>
      <c r="AI152" s="452" t="str">
        <f t="shared" si="221"/>
        <v/>
      </c>
      <c r="AJ152" s="452" t="str">
        <f t="shared" si="221"/>
        <v/>
      </c>
      <c r="AK152" s="453" t="str">
        <f t="shared" si="221"/>
        <v/>
      </c>
      <c r="AL152" s="451" t="str">
        <f t="shared" si="221"/>
        <v/>
      </c>
      <c r="AM152" s="452" t="str">
        <f t="shared" si="221"/>
        <v/>
      </c>
      <c r="AN152" s="452" t="str">
        <f t="shared" si="221"/>
        <v/>
      </c>
      <c r="AO152" s="452" t="str">
        <f t="shared" si="221"/>
        <v/>
      </c>
      <c r="AP152" s="453" t="str">
        <f t="shared" si="221"/>
        <v/>
      </c>
      <c r="AQ152" s="451" t="str">
        <f t="shared" si="221"/>
        <v/>
      </c>
      <c r="AR152" s="452" t="str">
        <f t="shared" si="221"/>
        <v/>
      </c>
      <c r="AS152" s="452" t="str">
        <f t="shared" si="217"/>
        <v/>
      </c>
      <c r="AT152" s="452" t="str">
        <f t="shared" si="217"/>
        <v/>
      </c>
      <c r="AU152" s="453" t="str">
        <f t="shared" si="217"/>
        <v/>
      </c>
      <c r="AV152" s="451" t="str">
        <f t="shared" si="217"/>
        <v/>
      </c>
      <c r="AW152" s="452" t="str">
        <f t="shared" si="217"/>
        <v/>
      </c>
      <c r="AX152" s="452" t="str">
        <f t="shared" si="217"/>
        <v/>
      </c>
      <c r="AY152" s="452" t="str">
        <f t="shared" si="217"/>
        <v/>
      </c>
      <c r="AZ152" s="453" t="str">
        <f t="shared" si="217"/>
        <v/>
      </c>
      <c r="BA152" s="451" t="str">
        <f t="shared" si="217"/>
        <v/>
      </c>
      <c r="BB152" s="452" t="str">
        <f t="shared" si="217"/>
        <v/>
      </c>
      <c r="BC152" s="452" t="str">
        <f t="shared" si="217"/>
        <v/>
      </c>
      <c r="BD152" s="452" t="str">
        <f t="shared" si="217"/>
        <v/>
      </c>
      <c r="BE152" s="453" t="str">
        <f t="shared" si="217"/>
        <v/>
      </c>
      <c r="BF152" s="451" t="str">
        <f t="shared" si="217"/>
        <v/>
      </c>
      <c r="BG152" s="452" t="str">
        <f t="shared" si="217"/>
        <v/>
      </c>
      <c r="BH152" s="452" t="str">
        <f t="shared" si="218"/>
        <v/>
      </c>
      <c r="BI152" s="452" t="str">
        <f t="shared" si="218"/>
        <v/>
      </c>
      <c r="BJ152" s="453" t="str">
        <f t="shared" si="218"/>
        <v/>
      </c>
      <c r="BK152" s="451" t="str">
        <f t="shared" si="218"/>
        <v/>
      </c>
      <c r="BL152" s="452" t="str">
        <f t="shared" si="218"/>
        <v/>
      </c>
      <c r="BM152" s="452" t="str">
        <f t="shared" si="218"/>
        <v/>
      </c>
      <c r="BN152" s="452" t="str">
        <f t="shared" si="218"/>
        <v/>
      </c>
      <c r="BO152" s="453" t="str">
        <f t="shared" si="218"/>
        <v/>
      </c>
      <c r="BP152" s="451" t="str">
        <f t="shared" si="218"/>
        <v/>
      </c>
      <c r="BQ152" s="452" t="str">
        <f t="shared" si="218"/>
        <v/>
      </c>
      <c r="BR152" s="452" t="str">
        <f t="shared" si="218"/>
        <v/>
      </c>
      <c r="BS152" s="452" t="str">
        <f t="shared" si="218"/>
        <v/>
      </c>
      <c r="BT152" s="453" t="str">
        <f t="shared" si="218"/>
        <v/>
      </c>
      <c r="BU152" s="451" t="str">
        <f t="shared" si="218"/>
        <v/>
      </c>
      <c r="BV152" s="452" t="str">
        <f t="shared" si="218"/>
        <v/>
      </c>
      <c r="BW152" s="452" t="str">
        <f t="shared" si="218"/>
        <v/>
      </c>
      <c r="BX152" s="452" t="str">
        <f t="shared" si="219"/>
        <v/>
      </c>
      <c r="BY152" s="453" t="str">
        <f t="shared" si="219"/>
        <v/>
      </c>
      <c r="BZ152" s="451" t="str">
        <f t="shared" si="219"/>
        <v/>
      </c>
      <c r="CA152" s="452" t="str">
        <f t="shared" si="219"/>
        <v/>
      </c>
      <c r="CB152" s="452" t="str">
        <f t="shared" si="219"/>
        <v/>
      </c>
      <c r="CC152" s="452" t="str">
        <f t="shared" si="219"/>
        <v/>
      </c>
      <c r="CD152" s="453" t="str">
        <f t="shared" si="219"/>
        <v/>
      </c>
      <c r="CE152" s="451" t="str">
        <f t="shared" si="219"/>
        <v/>
      </c>
      <c r="CF152" s="452" t="str">
        <f t="shared" si="219"/>
        <v/>
      </c>
      <c r="CG152" s="452" t="str">
        <f t="shared" si="219"/>
        <v/>
      </c>
      <c r="CH152" s="452" t="str">
        <f t="shared" si="219"/>
        <v/>
      </c>
      <c r="CI152" s="453" t="str">
        <f t="shared" si="219"/>
        <v/>
      </c>
      <c r="CJ152" s="451" t="str">
        <f t="shared" si="219"/>
        <v/>
      </c>
      <c r="CK152" s="452" t="str">
        <f t="shared" si="219"/>
        <v/>
      </c>
      <c r="CL152" s="452" t="str">
        <f t="shared" si="219"/>
        <v/>
      </c>
      <c r="CM152" s="452" t="str">
        <f t="shared" si="219"/>
        <v/>
      </c>
      <c r="CN152" s="453" t="str">
        <f t="shared" si="215"/>
        <v/>
      </c>
      <c r="CO152" s="451" t="str">
        <f t="shared" si="215"/>
        <v/>
      </c>
      <c r="CP152" s="452" t="str">
        <f t="shared" si="215"/>
        <v/>
      </c>
      <c r="CQ152" s="452" t="str">
        <f t="shared" si="215"/>
        <v/>
      </c>
      <c r="CR152" s="452" t="str">
        <f t="shared" si="215"/>
        <v/>
      </c>
      <c r="CS152" s="453" t="str">
        <f t="shared" si="215"/>
        <v/>
      </c>
      <c r="CT152" s="451" t="str">
        <f t="shared" si="215"/>
        <v/>
      </c>
      <c r="CU152" s="452" t="str">
        <f t="shared" si="215"/>
        <v/>
      </c>
      <c r="CV152" s="452" t="str">
        <f t="shared" si="215"/>
        <v/>
      </c>
      <c r="CW152" s="452" t="str">
        <f t="shared" si="215"/>
        <v/>
      </c>
      <c r="CX152" s="453" t="str">
        <f t="shared" si="215"/>
        <v/>
      </c>
      <c r="CY152" s="451" t="str">
        <f t="shared" si="215"/>
        <v/>
      </c>
      <c r="CZ152" s="452" t="str">
        <f t="shared" si="215"/>
        <v/>
      </c>
      <c r="DA152" s="452" t="str">
        <f t="shared" si="215"/>
        <v/>
      </c>
      <c r="DB152" s="452" t="str">
        <f t="shared" si="215"/>
        <v/>
      </c>
      <c r="DC152" s="453" t="str">
        <f t="shared" si="216"/>
        <v/>
      </c>
      <c r="DD152" s="451" t="str">
        <f t="shared" si="216"/>
        <v/>
      </c>
      <c r="DE152" s="452" t="str">
        <f t="shared" si="216"/>
        <v/>
      </c>
      <c r="DF152" s="452" t="str">
        <f t="shared" si="216"/>
        <v/>
      </c>
      <c r="DG152" s="452" t="str">
        <f t="shared" si="216"/>
        <v/>
      </c>
      <c r="DH152" s="453" t="str">
        <f t="shared" si="216"/>
        <v/>
      </c>
      <c r="DI152" s="451" t="str">
        <f t="shared" si="216"/>
        <v/>
      </c>
      <c r="DJ152" s="452" t="str">
        <f t="shared" si="216"/>
        <v/>
      </c>
      <c r="DK152" s="452" t="str">
        <f t="shared" si="216"/>
        <v/>
      </c>
      <c r="DL152" s="452" t="str">
        <f t="shared" si="216"/>
        <v/>
      </c>
      <c r="DM152" s="453" t="str">
        <f t="shared" si="216"/>
        <v/>
      </c>
      <c r="DN152" s="451" t="str">
        <f t="shared" si="216"/>
        <v/>
      </c>
      <c r="DO152" s="452" t="str">
        <f t="shared" si="216"/>
        <v/>
      </c>
      <c r="DP152" s="452" t="str">
        <f t="shared" si="216"/>
        <v/>
      </c>
      <c r="DQ152" s="452" t="str">
        <f t="shared" si="216"/>
        <v/>
      </c>
      <c r="DR152" s="453" t="str">
        <f t="shared" si="216"/>
        <v/>
      </c>
      <c r="DS152" s="451" t="str">
        <f t="shared" si="222"/>
        <v/>
      </c>
      <c r="DT152" s="452" t="str">
        <f t="shared" si="222"/>
        <v/>
      </c>
      <c r="DU152" s="452" t="str">
        <f t="shared" si="222"/>
        <v/>
      </c>
      <c r="DV152" s="452" t="str">
        <f t="shared" si="222"/>
        <v/>
      </c>
      <c r="DW152" s="453" t="str">
        <f t="shared" si="222"/>
        <v/>
      </c>
      <c r="DX152" s="451" t="str">
        <f t="shared" si="222"/>
        <v/>
      </c>
      <c r="DY152" s="452" t="str">
        <f t="shared" si="222"/>
        <v/>
      </c>
      <c r="DZ152" s="452" t="str">
        <f t="shared" si="222"/>
        <v/>
      </c>
      <c r="EA152" s="452" t="str">
        <f t="shared" si="222"/>
        <v/>
      </c>
      <c r="EB152" s="453" t="str">
        <f t="shared" si="222"/>
        <v/>
      </c>
      <c r="EC152" s="451" t="str">
        <f t="shared" si="222"/>
        <v/>
      </c>
      <c r="ED152" s="452" t="str">
        <f t="shared" si="222"/>
        <v/>
      </c>
      <c r="EE152" s="452" t="str">
        <f t="shared" si="222"/>
        <v/>
      </c>
      <c r="EF152" s="452" t="str">
        <f t="shared" si="222"/>
        <v/>
      </c>
      <c r="EG152" s="453" t="str">
        <f t="shared" si="222"/>
        <v/>
      </c>
      <c r="EH152" s="451" t="str">
        <f t="shared" si="222"/>
        <v/>
      </c>
      <c r="EI152" s="452" t="str">
        <f t="shared" si="229"/>
        <v/>
      </c>
      <c r="EJ152" s="452" t="str">
        <f t="shared" si="229"/>
        <v/>
      </c>
      <c r="EK152" s="452" t="str">
        <f t="shared" si="229"/>
        <v/>
      </c>
      <c r="EL152" s="453" t="str">
        <f t="shared" si="229"/>
        <v/>
      </c>
      <c r="EM152" s="451" t="str">
        <f t="shared" si="229"/>
        <v/>
      </c>
      <c r="EN152" s="452" t="str">
        <f t="shared" si="229"/>
        <v/>
      </c>
      <c r="EO152" s="452" t="str">
        <f t="shared" si="229"/>
        <v/>
      </c>
      <c r="EP152" s="452" t="str">
        <f t="shared" si="229"/>
        <v/>
      </c>
      <c r="EQ152" s="453" t="str">
        <f t="shared" si="229"/>
        <v/>
      </c>
      <c r="ER152" s="451" t="str">
        <f t="shared" si="229"/>
        <v/>
      </c>
      <c r="ES152" s="452" t="str">
        <f t="shared" si="229"/>
        <v/>
      </c>
      <c r="ET152" s="452" t="str">
        <f t="shared" si="229"/>
        <v/>
      </c>
      <c r="EU152" s="452" t="str">
        <f t="shared" si="229"/>
        <v/>
      </c>
      <c r="EV152" s="453" t="str">
        <f t="shared" si="229"/>
        <v/>
      </c>
      <c r="EW152" s="451" t="str">
        <f t="shared" si="229"/>
        <v/>
      </c>
      <c r="EX152" s="452" t="str">
        <f t="shared" si="229"/>
        <v/>
      </c>
      <c r="EY152" s="452" t="str">
        <f t="shared" si="230"/>
        <v/>
      </c>
      <c r="EZ152" s="452" t="str">
        <f t="shared" si="230"/>
        <v/>
      </c>
      <c r="FA152" s="453" t="str">
        <f t="shared" si="230"/>
        <v/>
      </c>
      <c r="FB152" s="451" t="str">
        <f t="shared" si="230"/>
        <v/>
      </c>
      <c r="FC152" s="452" t="str">
        <f t="shared" si="230"/>
        <v/>
      </c>
      <c r="FD152" s="452" t="str">
        <f t="shared" si="230"/>
        <v/>
      </c>
      <c r="FE152" s="452" t="str">
        <f t="shared" si="230"/>
        <v/>
      </c>
      <c r="FF152" s="453" t="str">
        <f t="shared" si="230"/>
        <v/>
      </c>
      <c r="FG152" s="451" t="str">
        <f t="shared" si="230"/>
        <v/>
      </c>
      <c r="FH152" s="452" t="str">
        <f t="shared" si="230"/>
        <v/>
      </c>
      <c r="FI152" s="452" t="str">
        <f t="shared" si="230"/>
        <v/>
      </c>
      <c r="FJ152" s="452" t="str">
        <f t="shared" si="230"/>
        <v/>
      </c>
      <c r="FK152" s="453" t="str">
        <f t="shared" si="230"/>
        <v/>
      </c>
      <c r="FL152" s="451" t="str">
        <f t="shared" si="230"/>
        <v/>
      </c>
      <c r="FM152" s="452" t="str">
        <f t="shared" si="230"/>
        <v/>
      </c>
      <c r="FN152" s="452" t="str">
        <f t="shared" si="230"/>
        <v/>
      </c>
      <c r="FO152" s="452" t="str">
        <f t="shared" si="227"/>
        <v/>
      </c>
      <c r="FP152" s="453" t="str">
        <f t="shared" si="227"/>
        <v/>
      </c>
      <c r="FQ152" s="451" t="str">
        <f t="shared" si="227"/>
        <v/>
      </c>
      <c r="FR152" s="452" t="str">
        <f t="shared" si="227"/>
        <v/>
      </c>
      <c r="FS152" s="452" t="str">
        <f t="shared" si="227"/>
        <v/>
      </c>
      <c r="FT152" s="452" t="str">
        <f t="shared" si="227"/>
        <v/>
      </c>
      <c r="FU152" s="453" t="str">
        <f t="shared" si="227"/>
        <v/>
      </c>
      <c r="FV152" s="451" t="str">
        <f t="shared" si="227"/>
        <v/>
      </c>
      <c r="FW152" s="452" t="str">
        <f t="shared" si="227"/>
        <v/>
      </c>
      <c r="FX152" s="452" t="str">
        <f t="shared" si="227"/>
        <v/>
      </c>
      <c r="FY152" s="452" t="str">
        <f t="shared" si="227"/>
        <v/>
      </c>
      <c r="FZ152" s="453" t="str">
        <f t="shared" si="227"/>
        <v/>
      </c>
      <c r="GA152" s="451" t="str">
        <f t="shared" si="227"/>
        <v/>
      </c>
      <c r="GB152" s="452" t="str">
        <f t="shared" si="227"/>
        <v/>
      </c>
      <c r="GC152" s="452" t="str">
        <f t="shared" si="227"/>
        <v/>
      </c>
      <c r="GD152" s="452" t="str">
        <f t="shared" si="211"/>
        <v/>
      </c>
      <c r="GE152" s="453" t="str">
        <f t="shared" si="211"/>
        <v/>
      </c>
      <c r="GF152" s="451" t="str">
        <f t="shared" si="211"/>
        <v/>
      </c>
      <c r="GG152" s="452" t="str">
        <f t="shared" si="211"/>
        <v/>
      </c>
      <c r="GH152" s="452" t="str">
        <f t="shared" si="211"/>
        <v/>
      </c>
      <c r="GI152" s="452" t="str">
        <f t="shared" si="211"/>
        <v/>
      </c>
      <c r="GJ152" s="453" t="str">
        <f t="shared" si="211"/>
        <v/>
      </c>
      <c r="GK152" s="451" t="str">
        <f t="shared" si="211"/>
        <v/>
      </c>
      <c r="GL152" s="452" t="str">
        <f t="shared" si="211"/>
        <v/>
      </c>
      <c r="GM152" s="452" t="str">
        <f t="shared" si="211"/>
        <v/>
      </c>
      <c r="GN152" s="452" t="str">
        <f t="shared" si="211"/>
        <v/>
      </c>
      <c r="GO152" s="453" t="str">
        <f t="shared" si="211"/>
        <v/>
      </c>
      <c r="GP152" s="451" t="str">
        <f t="shared" si="211"/>
        <v/>
      </c>
      <c r="GQ152" s="452" t="str">
        <f t="shared" si="211"/>
        <v/>
      </c>
      <c r="GR152" s="452" t="str">
        <f t="shared" si="211"/>
        <v/>
      </c>
      <c r="GS152" s="452" t="str">
        <f t="shared" si="211"/>
        <v/>
      </c>
      <c r="GT152" s="453" t="str">
        <f t="shared" si="231"/>
        <v/>
      </c>
      <c r="GU152" s="451" t="str">
        <f t="shared" si="231"/>
        <v/>
      </c>
      <c r="GV152" s="452" t="str">
        <f t="shared" si="231"/>
        <v/>
      </c>
      <c r="GW152" s="452" t="str">
        <f t="shared" si="228"/>
        <v/>
      </c>
      <c r="GX152" s="452" t="str">
        <f t="shared" si="228"/>
        <v/>
      </c>
      <c r="GY152" s="453" t="str">
        <f t="shared" si="228"/>
        <v/>
      </c>
      <c r="GZ152" s="451" t="str">
        <f t="shared" si="228"/>
        <v/>
      </c>
      <c r="HA152" s="452" t="str">
        <f t="shared" si="228"/>
        <v/>
      </c>
      <c r="HB152" s="452" t="str">
        <f t="shared" si="228"/>
        <v/>
      </c>
      <c r="HC152" s="452" t="str">
        <f t="shared" si="228"/>
        <v/>
      </c>
      <c r="HD152" s="453" t="str">
        <f t="shared" si="228"/>
        <v/>
      </c>
      <c r="HE152" s="451" t="str">
        <f t="shared" si="228"/>
        <v/>
      </c>
      <c r="HF152" s="452" t="str">
        <f t="shared" si="228"/>
        <v/>
      </c>
      <c r="HG152" s="452" t="str">
        <f t="shared" si="228"/>
        <v/>
      </c>
      <c r="HH152" s="452" t="str">
        <f t="shared" si="228"/>
        <v/>
      </c>
      <c r="HI152" s="453" t="str">
        <f t="shared" si="228"/>
        <v/>
      </c>
      <c r="HJ152" s="451" t="str">
        <f t="shared" si="228"/>
        <v/>
      </c>
      <c r="HK152" s="452" t="str">
        <f t="shared" si="228"/>
        <v/>
      </c>
      <c r="HL152" s="452" t="str">
        <f t="shared" si="228"/>
        <v/>
      </c>
      <c r="HM152" s="452" t="str">
        <f t="shared" si="228"/>
        <v/>
      </c>
      <c r="HN152" s="453" t="str">
        <f t="shared" ref="HN152:IC169" si="232">IF(AND(HN$2&gt;=$J152,HN$2&lt;=$K152),1,"")</f>
        <v/>
      </c>
      <c r="HO152" s="451" t="str">
        <f t="shared" si="232"/>
        <v/>
      </c>
      <c r="HP152" s="452" t="str">
        <f t="shared" si="232"/>
        <v/>
      </c>
      <c r="HQ152" s="452" t="str">
        <f t="shared" si="232"/>
        <v/>
      </c>
      <c r="HR152" s="452" t="str">
        <f t="shared" si="232"/>
        <v/>
      </c>
      <c r="HS152" s="453" t="str">
        <f t="shared" si="232"/>
        <v/>
      </c>
      <c r="HT152" s="451" t="str">
        <f t="shared" si="232"/>
        <v/>
      </c>
      <c r="HU152" s="452" t="str">
        <f t="shared" si="232"/>
        <v/>
      </c>
      <c r="HV152" s="452" t="str">
        <f t="shared" si="232"/>
        <v/>
      </c>
      <c r="HW152" s="452" t="str">
        <f t="shared" si="232"/>
        <v/>
      </c>
      <c r="HX152" s="453" t="str">
        <f t="shared" si="232"/>
        <v/>
      </c>
      <c r="HY152" s="451" t="str">
        <f t="shared" si="232"/>
        <v/>
      </c>
      <c r="HZ152" s="452" t="str">
        <f t="shared" si="232"/>
        <v/>
      </c>
      <c r="IA152" s="452" t="str">
        <f t="shared" si="232"/>
        <v/>
      </c>
      <c r="IB152" s="452" t="str">
        <f t="shared" si="232"/>
        <v/>
      </c>
      <c r="IC152" s="453" t="str">
        <f t="shared" si="232"/>
        <v/>
      </c>
      <c r="ID152" s="451" t="str">
        <f t="shared" si="213"/>
        <v/>
      </c>
      <c r="IE152" s="452" t="str">
        <f t="shared" si="213"/>
        <v/>
      </c>
      <c r="IF152" s="452" t="str">
        <f t="shared" si="213"/>
        <v/>
      </c>
      <c r="IG152" s="452" t="str">
        <f t="shared" si="213"/>
        <v/>
      </c>
      <c r="IH152" s="453" t="str">
        <f t="shared" si="213"/>
        <v/>
      </c>
      <c r="II152" s="451" t="str">
        <f t="shared" si="213"/>
        <v/>
      </c>
      <c r="IJ152" s="452" t="str">
        <f t="shared" si="213"/>
        <v/>
      </c>
      <c r="IK152" s="452" t="str">
        <f t="shared" si="213"/>
        <v/>
      </c>
      <c r="IL152" s="452" t="str">
        <f t="shared" si="213"/>
        <v/>
      </c>
      <c r="IM152" s="453" t="str">
        <f t="shared" si="213"/>
        <v/>
      </c>
      <c r="IN152" s="451" t="str">
        <f t="shared" si="213"/>
        <v/>
      </c>
      <c r="IO152" s="452" t="str">
        <f t="shared" si="213"/>
        <v/>
      </c>
      <c r="IP152" s="452" t="str">
        <f t="shared" si="213"/>
        <v/>
      </c>
      <c r="IQ152" s="452" t="str">
        <f t="shared" si="214"/>
        <v/>
      </c>
      <c r="IR152" s="453" t="str">
        <f t="shared" si="214"/>
        <v/>
      </c>
    </row>
    <row r="153" spans="1:252" x14ac:dyDescent="0.2">
      <c r="A153" s="461">
        <v>14.6</v>
      </c>
      <c r="C153" s="447" t="s">
        <v>1356</v>
      </c>
      <c r="D153" s="447"/>
      <c r="E153" s="448"/>
      <c r="F153" s="448"/>
      <c r="G153" s="448"/>
      <c r="H153" s="448"/>
      <c r="I153" s="448"/>
      <c r="J153" s="449" t="str">
        <f t="shared" si="224"/>
        <v/>
      </c>
      <c r="K153" s="449" t="str">
        <f t="shared" si="225"/>
        <v/>
      </c>
      <c r="L153" s="450">
        <f t="shared" si="223"/>
        <v>0</v>
      </c>
      <c r="M153" s="451" t="str">
        <f t="shared" si="212"/>
        <v/>
      </c>
      <c r="N153" s="452" t="str">
        <f t="shared" si="212"/>
        <v/>
      </c>
      <c r="O153" s="452" t="str">
        <f t="shared" si="212"/>
        <v/>
      </c>
      <c r="P153" s="452" t="str">
        <f t="shared" si="212"/>
        <v/>
      </c>
      <c r="Q153" s="453" t="str">
        <f t="shared" si="212"/>
        <v/>
      </c>
      <c r="R153" s="451" t="str">
        <f t="shared" si="212"/>
        <v/>
      </c>
      <c r="S153" s="452" t="str">
        <f t="shared" si="212"/>
        <v/>
      </c>
      <c r="T153" s="452" t="str">
        <f t="shared" si="212"/>
        <v/>
      </c>
      <c r="U153" s="452" t="str">
        <f t="shared" si="212"/>
        <v/>
      </c>
      <c r="V153" s="453" t="str">
        <f t="shared" si="212"/>
        <v/>
      </c>
      <c r="W153" s="451" t="str">
        <f t="shared" si="212"/>
        <v/>
      </c>
      <c r="X153" s="452" t="str">
        <f t="shared" si="212"/>
        <v/>
      </c>
      <c r="Y153" s="452" t="str">
        <f t="shared" si="212"/>
        <v/>
      </c>
      <c r="Z153" s="452" t="str">
        <f t="shared" si="212"/>
        <v/>
      </c>
      <c r="AA153" s="453" t="str">
        <f t="shared" si="212"/>
        <v/>
      </c>
      <c r="AB153" s="451" t="str">
        <f t="shared" si="212"/>
        <v/>
      </c>
      <c r="AC153" s="452" t="str">
        <f t="shared" si="221"/>
        <v/>
      </c>
      <c r="AD153" s="452" t="str">
        <f t="shared" si="221"/>
        <v/>
      </c>
      <c r="AE153" s="452" t="str">
        <f t="shared" si="221"/>
        <v/>
      </c>
      <c r="AF153" s="453" t="str">
        <f t="shared" si="221"/>
        <v/>
      </c>
      <c r="AG153" s="451" t="str">
        <f t="shared" si="221"/>
        <v/>
      </c>
      <c r="AH153" s="452" t="str">
        <f t="shared" si="221"/>
        <v/>
      </c>
      <c r="AI153" s="452" t="str">
        <f t="shared" si="221"/>
        <v/>
      </c>
      <c r="AJ153" s="452" t="str">
        <f t="shared" si="221"/>
        <v/>
      </c>
      <c r="AK153" s="453" t="str">
        <f t="shared" si="221"/>
        <v/>
      </c>
      <c r="AL153" s="451" t="str">
        <f t="shared" si="221"/>
        <v/>
      </c>
      <c r="AM153" s="452" t="str">
        <f t="shared" si="221"/>
        <v/>
      </c>
      <c r="AN153" s="452" t="str">
        <f t="shared" si="221"/>
        <v/>
      </c>
      <c r="AO153" s="452" t="str">
        <f t="shared" si="221"/>
        <v/>
      </c>
      <c r="AP153" s="453" t="str">
        <f t="shared" si="221"/>
        <v/>
      </c>
      <c r="AQ153" s="451" t="str">
        <f t="shared" si="221"/>
        <v/>
      </c>
      <c r="AR153" s="452" t="str">
        <f t="shared" si="221"/>
        <v/>
      </c>
      <c r="AS153" s="452" t="str">
        <f t="shared" si="217"/>
        <v/>
      </c>
      <c r="AT153" s="452" t="str">
        <f t="shared" si="217"/>
        <v/>
      </c>
      <c r="AU153" s="453" t="str">
        <f t="shared" si="217"/>
        <v/>
      </c>
      <c r="AV153" s="451" t="str">
        <f t="shared" si="217"/>
        <v/>
      </c>
      <c r="AW153" s="452" t="str">
        <f t="shared" si="217"/>
        <v/>
      </c>
      <c r="AX153" s="452" t="str">
        <f t="shared" si="217"/>
        <v/>
      </c>
      <c r="AY153" s="452" t="str">
        <f t="shared" si="217"/>
        <v/>
      </c>
      <c r="AZ153" s="453" t="str">
        <f t="shared" si="217"/>
        <v/>
      </c>
      <c r="BA153" s="451" t="str">
        <f t="shared" si="217"/>
        <v/>
      </c>
      <c r="BB153" s="452" t="str">
        <f t="shared" si="217"/>
        <v/>
      </c>
      <c r="BC153" s="452" t="str">
        <f t="shared" si="217"/>
        <v/>
      </c>
      <c r="BD153" s="452" t="str">
        <f t="shared" si="217"/>
        <v/>
      </c>
      <c r="BE153" s="453" t="str">
        <f t="shared" si="217"/>
        <v/>
      </c>
      <c r="BF153" s="451" t="str">
        <f t="shared" si="217"/>
        <v/>
      </c>
      <c r="BG153" s="452" t="str">
        <f t="shared" si="217"/>
        <v/>
      </c>
      <c r="BH153" s="452" t="str">
        <f t="shared" si="218"/>
        <v/>
      </c>
      <c r="BI153" s="452" t="str">
        <f t="shared" si="218"/>
        <v/>
      </c>
      <c r="BJ153" s="453" t="str">
        <f t="shared" si="218"/>
        <v/>
      </c>
      <c r="BK153" s="451" t="str">
        <f t="shared" si="218"/>
        <v/>
      </c>
      <c r="BL153" s="452" t="str">
        <f t="shared" si="218"/>
        <v/>
      </c>
      <c r="BM153" s="452" t="str">
        <f t="shared" si="218"/>
        <v/>
      </c>
      <c r="BN153" s="452" t="str">
        <f t="shared" si="218"/>
        <v/>
      </c>
      <c r="BO153" s="453" t="str">
        <f t="shared" si="218"/>
        <v/>
      </c>
      <c r="BP153" s="451" t="str">
        <f t="shared" si="218"/>
        <v/>
      </c>
      <c r="BQ153" s="452" t="str">
        <f t="shared" si="218"/>
        <v/>
      </c>
      <c r="BR153" s="452" t="str">
        <f t="shared" si="218"/>
        <v/>
      </c>
      <c r="BS153" s="452" t="str">
        <f t="shared" si="218"/>
        <v/>
      </c>
      <c r="BT153" s="453" t="str">
        <f t="shared" si="218"/>
        <v/>
      </c>
      <c r="BU153" s="451" t="str">
        <f t="shared" si="218"/>
        <v/>
      </c>
      <c r="BV153" s="452" t="str">
        <f t="shared" si="218"/>
        <v/>
      </c>
      <c r="BW153" s="452" t="str">
        <f t="shared" si="218"/>
        <v/>
      </c>
      <c r="BX153" s="452" t="str">
        <f t="shared" si="219"/>
        <v/>
      </c>
      <c r="BY153" s="453" t="str">
        <f t="shared" si="219"/>
        <v/>
      </c>
      <c r="BZ153" s="451" t="str">
        <f t="shared" si="219"/>
        <v/>
      </c>
      <c r="CA153" s="452" t="str">
        <f t="shared" si="219"/>
        <v/>
      </c>
      <c r="CB153" s="452" t="str">
        <f t="shared" si="219"/>
        <v/>
      </c>
      <c r="CC153" s="452" t="str">
        <f t="shared" si="219"/>
        <v/>
      </c>
      <c r="CD153" s="453" t="str">
        <f t="shared" si="219"/>
        <v/>
      </c>
      <c r="CE153" s="451" t="str">
        <f t="shared" si="219"/>
        <v/>
      </c>
      <c r="CF153" s="452" t="str">
        <f t="shared" si="219"/>
        <v/>
      </c>
      <c r="CG153" s="452" t="str">
        <f t="shared" si="219"/>
        <v/>
      </c>
      <c r="CH153" s="452" t="str">
        <f t="shared" si="219"/>
        <v/>
      </c>
      <c r="CI153" s="453" t="str">
        <f t="shared" si="219"/>
        <v/>
      </c>
      <c r="CJ153" s="451" t="str">
        <f t="shared" si="219"/>
        <v/>
      </c>
      <c r="CK153" s="452" t="str">
        <f t="shared" si="219"/>
        <v/>
      </c>
      <c r="CL153" s="452" t="str">
        <f t="shared" si="219"/>
        <v/>
      </c>
      <c r="CM153" s="452" t="str">
        <f t="shared" si="219"/>
        <v/>
      </c>
      <c r="CN153" s="453" t="str">
        <f t="shared" si="215"/>
        <v/>
      </c>
      <c r="CO153" s="451" t="str">
        <f t="shared" si="215"/>
        <v/>
      </c>
      <c r="CP153" s="452" t="str">
        <f t="shared" si="215"/>
        <v/>
      </c>
      <c r="CQ153" s="452" t="str">
        <f t="shared" si="215"/>
        <v/>
      </c>
      <c r="CR153" s="452" t="str">
        <f t="shared" si="215"/>
        <v/>
      </c>
      <c r="CS153" s="453" t="str">
        <f t="shared" si="215"/>
        <v/>
      </c>
      <c r="CT153" s="451" t="str">
        <f t="shared" si="215"/>
        <v/>
      </c>
      <c r="CU153" s="452" t="str">
        <f t="shared" si="215"/>
        <v/>
      </c>
      <c r="CV153" s="452" t="str">
        <f t="shared" si="215"/>
        <v/>
      </c>
      <c r="CW153" s="452" t="str">
        <f t="shared" si="215"/>
        <v/>
      </c>
      <c r="CX153" s="453" t="str">
        <f t="shared" si="215"/>
        <v/>
      </c>
      <c r="CY153" s="451" t="str">
        <f t="shared" si="215"/>
        <v/>
      </c>
      <c r="CZ153" s="452" t="str">
        <f t="shared" si="215"/>
        <v/>
      </c>
      <c r="DA153" s="452" t="str">
        <f t="shared" si="215"/>
        <v/>
      </c>
      <c r="DB153" s="452" t="str">
        <f t="shared" si="215"/>
        <v/>
      </c>
      <c r="DC153" s="453" t="str">
        <f t="shared" si="216"/>
        <v/>
      </c>
      <c r="DD153" s="451" t="str">
        <f t="shared" si="216"/>
        <v/>
      </c>
      <c r="DE153" s="452" t="str">
        <f t="shared" si="216"/>
        <v/>
      </c>
      <c r="DF153" s="452" t="str">
        <f t="shared" si="216"/>
        <v/>
      </c>
      <c r="DG153" s="452" t="str">
        <f t="shared" si="216"/>
        <v/>
      </c>
      <c r="DH153" s="453" t="str">
        <f t="shared" si="216"/>
        <v/>
      </c>
      <c r="DI153" s="451" t="str">
        <f t="shared" si="216"/>
        <v/>
      </c>
      <c r="DJ153" s="452" t="str">
        <f t="shared" si="216"/>
        <v/>
      </c>
      <c r="DK153" s="452" t="str">
        <f t="shared" si="216"/>
        <v/>
      </c>
      <c r="DL153" s="452" t="str">
        <f t="shared" si="216"/>
        <v/>
      </c>
      <c r="DM153" s="453" t="str">
        <f t="shared" si="216"/>
        <v/>
      </c>
      <c r="DN153" s="451" t="str">
        <f t="shared" si="216"/>
        <v/>
      </c>
      <c r="DO153" s="452" t="str">
        <f t="shared" si="216"/>
        <v/>
      </c>
      <c r="DP153" s="452" t="str">
        <f t="shared" si="216"/>
        <v/>
      </c>
      <c r="DQ153" s="452" t="str">
        <f t="shared" si="216"/>
        <v/>
      </c>
      <c r="DR153" s="453" t="str">
        <f t="shared" si="216"/>
        <v/>
      </c>
      <c r="DS153" s="451" t="str">
        <f t="shared" si="222"/>
        <v/>
      </c>
      <c r="DT153" s="452" t="str">
        <f t="shared" si="222"/>
        <v/>
      </c>
      <c r="DU153" s="452" t="str">
        <f t="shared" si="222"/>
        <v/>
      </c>
      <c r="DV153" s="452" t="str">
        <f t="shared" si="222"/>
        <v/>
      </c>
      <c r="DW153" s="453" t="str">
        <f t="shared" si="222"/>
        <v/>
      </c>
      <c r="DX153" s="451" t="str">
        <f t="shared" si="222"/>
        <v/>
      </c>
      <c r="DY153" s="452" t="str">
        <f t="shared" si="222"/>
        <v/>
      </c>
      <c r="DZ153" s="452" t="str">
        <f t="shared" si="222"/>
        <v/>
      </c>
      <c r="EA153" s="452" t="str">
        <f t="shared" si="222"/>
        <v/>
      </c>
      <c r="EB153" s="453" t="str">
        <f t="shared" si="222"/>
        <v/>
      </c>
      <c r="EC153" s="451" t="str">
        <f t="shared" si="222"/>
        <v/>
      </c>
      <c r="ED153" s="452" t="str">
        <f t="shared" si="222"/>
        <v/>
      </c>
      <c r="EE153" s="452" t="str">
        <f t="shared" si="222"/>
        <v/>
      </c>
      <c r="EF153" s="452" t="str">
        <f t="shared" si="222"/>
        <v/>
      </c>
      <c r="EG153" s="453" t="str">
        <f t="shared" si="222"/>
        <v/>
      </c>
      <c r="EH153" s="451" t="str">
        <f t="shared" si="222"/>
        <v/>
      </c>
      <c r="EI153" s="452" t="str">
        <f t="shared" si="229"/>
        <v/>
      </c>
      <c r="EJ153" s="452" t="str">
        <f t="shared" si="229"/>
        <v/>
      </c>
      <c r="EK153" s="452" t="str">
        <f t="shared" si="229"/>
        <v/>
      </c>
      <c r="EL153" s="453" t="str">
        <f t="shared" si="229"/>
        <v/>
      </c>
      <c r="EM153" s="451" t="str">
        <f t="shared" si="229"/>
        <v/>
      </c>
      <c r="EN153" s="452" t="str">
        <f t="shared" si="229"/>
        <v/>
      </c>
      <c r="EO153" s="452" t="str">
        <f t="shared" si="229"/>
        <v/>
      </c>
      <c r="EP153" s="452" t="str">
        <f t="shared" si="229"/>
        <v/>
      </c>
      <c r="EQ153" s="453" t="str">
        <f t="shared" si="229"/>
        <v/>
      </c>
      <c r="ER153" s="451" t="str">
        <f t="shared" si="229"/>
        <v/>
      </c>
      <c r="ES153" s="452" t="str">
        <f t="shared" si="229"/>
        <v/>
      </c>
      <c r="ET153" s="452" t="str">
        <f t="shared" si="229"/>
        <v/>
      </c>
      <c r="EU153" s="452" t="str">
        <f t="shared" si="229"/>
        <v/>
      </c>
      <c r="EV153" s="453" t="str">
        <f t="shared" si="229"/>
        <v/>
      </c>
      <c r="EW153" s="451" t="str">
        <f t="shared" si="229"/>
        <v/>
      </c>
      <c r="EX153" s="452" t="str">
        <f t="shared" si="229"/>
        <v/>
      </c>
      <c r="EY153" s="452" t="str">
        <f t="shared" si="230"/>
        <v/>
      </c>
      <c r="EZ153" s="452" t="str">
        <f t="shared" si="230"/>
        <v/>
      </c>
      <c r="FA153" s="453" t="str">
        <f t="shared" si="230"/>
        <v/>
      </c>
      <c r="FB153" s="451" t="str">
        <f t="shared" si="230"/>
        <v/>
      </c>
      <c r="FC153" s="452" t="str">
        <f t="shared" si="230"/>
        <v/>
      </c>
      <c r="FD153" s="452" t="str">
        <f t="shared" si="230"/>
        <v/>
      </c>
      <c r="FE153" s="452" t="str">
        <f t="shared" si="230"/>
        <v/>
      </c>
      <c r="FF153" s="453" t="str">
        <f t="shared" si="230"/>
        <v/>
      </c>
      <c r="FG153" s="451" t="str">
        <f t="shared" si="230"/>
        <v/>
      </c>
      <c r="FH153" s="452" t="str">
        <f t="shared" si="230"/>
        <v/>
      </c>
      <c r="FI153" s="452" t="str">
        <f t="shared" si="230"/>
        <v/>
      </c>
      <c r="FJ153" s="452" t="str">
        <f t="shared" si="230"/>
        <v/>
      </c>
      <c r="FK153" s="453" t="str">
        <f t="shared" si="230"/>
        <v/>
      </c>
      <c r="FL153" s="451" t="str">
        <f t="shared" si="230"/>
        <v/>
      </c>
      <c r="FM153" s="452" t="str">
        <f t="shared" si="230"/>
        <v/>
      </c>
      <c r="FN153" s="452" t="str">
        <f t="shared" si="230"/>
        <v/>
      </c>
      <c r="FO153" s="452" t="str">
        <f t="shared" si="227"/>
        <v/>
      </c>
      <c r="FP153" s="453" t="str">
        <f t="shared" si="227"/>
        <v/>
      </c>
      <c r="FQ153" s="451" t="str">
        <f t="shared" si="227"/>
        <v/>
      </c>
      <c r="FR153" s="452" t="str">
        <f t="shared" si="227"/>
        <v/>
      </c>
      <c r="FS153" s="452" t="str">
        <f t="shared" si="227"/>
        <v/>
      </c>
      <c r="FT153" s="452" t="str">
        <f t="shared" si="227"/>
        <v/>
      </c>
      <c r="FU153" s="453" t="str">
        <f t="shared" si="227"/>
        <v/>
      </c>
      <c r="FV153" s="451" t="str">
        <f t="shared" si="227"/>
        <v/>
      </c>
      <c r="FW153" s="452" t="str">
        <f t="shared" si="227"/>
        <v/>
      </c>
      <c r="FX153" s="452" t="str">
        <f t="shared" si="227"/>
        <v/>
      </c>
      <c r="FY153" s="452" t="str">
        <f t="shared" si="227"/>
        <v/>
      </c>
      <c r="FZ153" s="453" t="str">
        <f t="shared" si="227"/>
        <v/>
      </c>
      <c r="GA153" s="451" t="str">
        <f t="shared" si="227"/>
        <v/>
      </c>
      <c r="GB153" s="452" t="str">
        <f t="shared" si="227"/>
        <v/>
      </c>
      <c r="GC153" s="452" t="str">
        <f t="shared" si="227"/>
        <v/>
      </c>
      <c r="GD153" s="452" t="str">
        <f t="shared" si="211"/>
        <v/>
      </c>
      <c r="GE153" s="453" t="str">
        <f t="shared" si="211"/>
        <v/>
      </c>
      <c r="GF153" s="451" t="str">
        <f t="shared" si="211"/>
        <v/>
      </c>
      <c r="GG153" s="452" t="str">
        <f t="shared" si="211"/>
        <v/>
      </c>
      <c r="GH153" s="452" t="str">
        <f t="shared" si="211"/>
        <v/>
      </c>
      <c r="GI153" s="452" t="str">
        <f t="shared" si="211"/>
        <v/>
      </c>
      <c r="GJ153" s="453" t="str">
        <f t="shared" si="211"/>
        <v/>
      </c>
      <c r="GK153" s="451" t="str">
        <f t="shared" si="211"/>
        <v/>
      </c>
      <c r="GL153" s="452" t="str">
        <f t="shared" si="211"/>
        <v/>
      </c>
      <c r="GM153" s="452" t="str">
        <f t="shared" si="211"/>
        <v/>
      </c>
      <c r="GN153" s="452" t="str">
        <f t="shared" si="211"/>
        <v/>
      </c>
      <c r="GO153" s="453" t="str">
        <f t="shared" si="211"/>
        <v/>
      </c>
      <c r="GP153" s="451" t="str">
        <f t="shared" si="211"/>
        <v/>
      </c>
      <c r="GQ153" s="452" t="str">
        <f t="shared" si="211"/>
        <v/>
      </c>
      <c r="GR153" s="452" t="str">
        <f t="shared" si="211"/>
        <v/>
      </c>
      <c r="GS153" s="452" t="str">
        <f t="shared" si="211"/>
        <v/>
      </c>
      <c r="GT153" s="453" t="str">
        <f t="shared" si="231"/>
        <v/>
      </c>
      <c r="GU153" s="451" t="str">
        <f t="shared" si="231"/>
        <v/>
      </c>
      <c r="GV153" s="452" t="str">
        <f t="shared" si="231"/>
        <v/>
      </c>
      <c r="GW153" s="452" t="str">
        <f t="shared" si="231"/>
        <v/>
      </c>
      <c r="GX153" s="452" t="str">
        <f t="shared" si="231"/>
        <v/>
      </c>
      <c r="GY153" s="453" t="str">
        <f t="shared" si="231"/>
        <v/>
      </c>
      <c r="GZ153" s="451" t="str">
        <f t="shared" si="231"/>
        <v/>
      </c>
      <c r="HA153" s="452" t="str">
        <f t="shared" si="231"/>
        <v/>
      </c>
      <c r="HB153" s="452" t="str">
        <f t="shared" si="231"/>
        <v/>
      </c>
      <c r="HC153" s="452" t="str">
        <f t="shared" si="231"/>
        <v/>
      </c>
      <c r="HD153" s="453" t="str">
        <f t="shared" si="231"/>
        <v/>
      </c>
      <c r="HE153" s="451" t="str">
        <f t="shared" si="231"/>
        <v/>
      </c>
      <c r="HF153" s="452" t="str">
        <f t="shared" si="231"/>
        <v/>
      </c>
      <c r="HG153" s="452" t="str">
        <f t="shared" si="231"/>
        <v/>
      </c>
      <c r="HH153" s="452" t="str">
        <f t="shared" si="231"/>
        <v/>
      </c>
      <c r="HI153" s="453" t="str">
        <f t="shared" si="231"/>
        <v/>
      </c>
      <c r="HJ153" s="451" t="str">
        <f t="shared" si="228"/>
        <v/>
      </c>
      <c r="HK153" s="452" t="str">
        <f t="shared" si="228"/>
        <v/>
      </c>
      <c r="HL153" s="452" t="str">
        <f t="shared" si="228"/>
        <v/>
      </c>
      <c r="HM153" s="452" t="str">
        <f t="shared" si="228"/>
        <v/>
      </c>
      <c r="HN153" s="453" t="str">
        <f t="shared" si="232"/>
        <v/>
      </c>
      <c r="HO153" s="451" t="str">
        <f t="shared" si="232"/>
        <v/>
      </c>
      <c r="HP153" s="452" t="str">
        <f t="shared" si="232"/>
        <v/>
      </c>
      <c r="HQ153" s="452" t="str">
        <f t="shared" si="232"/>
        <v/>
      </c>
      <c r="HR153" s="452" t="str">
        <f t="shared" si="232"/>
        <v/>
      </c>
      <c r="HS153" s="453" t="str">
        <f t="shared" si="232"/>
        <v/>
      </c>
      <c r="HT153" s="451" t="str">
        <f t="shared" si="232"/>
        <v/>
      </c>
      <c r="HU153" s="452" t="str">
        <f t="shared" si="232"/>
        <v/>
      </c>
      <c r="HV153" s="452" t="str">
        <f t="shared" si="232"/>
        <v/>
      </c>
      <c r="HW153" s="452" t="str">
        <f t="shared" si="232"/>
        <v/>
      </c>
      <c r="HX153" s="453" t="str">
        <f t="shared" si="232"/>
        <v/>
      </c>
      <c r="HY153" s="451" t="str">
        <f t="shared" si="232"/>
        <v/>
      </c>
      <c r="HZ153" s="452" t="str">
        <f t="shared" si="232"/>
        <v/>
      </c>
      <c r="IA153" s="452" t="str">
        <f t="shared" si="213"/>
        <v/>
      </c>
      <c r="IB153" s="452" t="str">
        <f t="shared" si="213"/>
        <v/>
      </c>
      <c r="IC153" s="453" t="str">
        <f t="shared" si="213"/>
        <v/>
      </c>
      <c r="ID153" s="451" t="str">
        <f t="shared" si="213"/>
        <v/>
      </c>
      <c r="IE153" s="452" t="str">
        <f t="shared" si="213"/>
        <v/>
      </c>
      <c r="IF153" s="452" t="str">
        <f t="shared" si="213"/>
        <v/>
      </c>
      <c r="IG153" s="452" t="str">
        <f t="shared" si="213"/>
        <v/>
      </c>
      <c r="IH153" s="453" t="str">
        <f t="shared" si="213"/>
        <v/>
      </c>
      <c r="II153" s="451" t="str">
        <f t="shared" si="213"/>
        <v/>
      </c>
      <c r="IJ153" s="452" t="str">
        <f t="shared" si="213"/>
        <v/>
      </c>
      <c r="IK153" s="452" t="str">
        <f t="shared" si="213"/>
        <v/>
      </c>
      <c r="IL153" s="452" t="str">
        <f t="shared" si="213"/>
        <v/>
      </c>
      <c r="IM153" s="453" t="str">
        <f t="shared" si="213"/>
        <v/>
      </c>
      <c r="IN153" s="451" t="str">
        <f t="shared" si="213"/>
        <v/>
      </c>
      <c r="IO153" s="452" t="str">
        <f t="shared" si="213"/>
        <v/>
      </c>
      <c r="IP153" s="452" t="str">
        <f t="shared" si="213"/>
        <v/>
      </c>
      <c r="IQ153" s="452" t="str">
        <f t="shared" si="214"/>
        <v/>
      </c>
      <c r="IR153" s="453" t="str">
        <f t="shared" si="214"/>
        <v/>
      </c>
    </row>
    <row r="154" spans="1:252" x14ac:dyDescent="0.2">
      <c r="A154" s="461">
        <v>14.7</v>
      </c>
      <c r="C154" s="447" t="s">
        <v>1357</v>
      </c>
      <c r="D154" s="447"/>
      <c r="E154" s="448"/>
      <c r="F154" s="448"/>
      <c r="G154" s="448"/>
      <c r="H154" s="448"/>
      <c r="I154" s="448"/>
      <c r="J154" s="449" t="str">
        <f t="shared" si="224"/>
        <v/>
      </c>
      <c r="K154" s="449" t="str">
        <f t="shared" si="225"/>
        <v/>
      </c>
      <c r="L154" s="450">
        <f t="shared" si="223"/>
        <v>0</v>
      </c>
      <c r="M154" s="451" t="str">
        <f t="shared" si="212"/>
        <v/>
      </c>
      <c r="N154" s="452" t="str">
        <f t="shared" si="212"/>
        <v/>
      </c>
      <c r="O154" s="452" t="str">
        <f t="shared" si="212"/>
        <v/>
      </c>
      <c r="P154" s="452" t="str">
        <f t="shared" si="212"/>
        <v/>
      </c>
      <c r="Q154" s="453" t="str">
        <f t="shared" si="212"/>
        <v/>
      </c>
      <c r="R154" s="451" t="str">
        <f t="shared" si="212"/>
        <v/>
      </c>
      <c r="S154" s="452" t="str">
        <f t="shared" si="212"/>
        <v/>
      </c>
      <c r="T154" s="452" t="str">
        <f t="shared" si="212"/>
        <v/>
      </c>
      <c r="U154" s="452" t="str">
        <f t="shared" si="212"/>
        <v/>
      </c>
      <c r="V154" s="453" t="str">
        <f t="shared" si="212"/>
        <v/>
      </c>
      <c r="W154" s="451" t="str">
        <f t="shared" si="212"/>
        <v/>
      </c>
      <c r="X154" s="452" t="str">
        <f t="shared" si="212"/>
        <v/>
      </c>
      <c r="Y154" s="452" t="str">
        <f t="shared" si="212"/>
        <v/>
      </c>
      <c r="Z154" s="452" t="str">
        <f t="shared" si="212"/>
        <v/>
      </c>
      <c r="AA154" s="453" t="str">
        <f t="shared" si="212"/>
        <v/>
      </c>
      <c r="AB154" s="451" t="str">
        <f t="shared" si="212"/>
        <v/>
      </c>
      <c r="AC154" s="452" t="str">
        <f t="shared" si="221"/>
        <v/>
      </c>
      <c r="AD154" s="452" t="str">
        <f t="shared" si="221"/>
        <v/>
      </c>
      <c r="AE154" s="452" t="str">
        <f t="shared" si="221"/>
        <v/>
      </c>
      <c r="AF154" s="453" t="str">
        <f t="shared" si="221"/>
        <v/>
      </c>
      <c r="AG154" s="451" t="str">
        <f t="shared" si="221"/>
        <v/>
      </c>
      <c r="AH154" s="452" t="str">
        <f t="shared" si="221"/>
        <v/>
      </c>
      <c r="AI154" s="452" t="str">
        <f t="shared" si="221"/>
        <v/>
      </c>
      <c r="AJ154" s="452" t="str">
        <f t="shared" si="221"/>
        <v/>
      </c>
      <c r="AK154" s="453" t="str">
        <f t="shared" si="221"/>
        <v/>
      </c>
      <c r="AL154" s="451" t="str">
        <f t="shared" si="221"/>
        <v/>
      </c>
      <c r="AM154" s="452" t="str">
        <f t="shared" si="221"/>
        <v/>
      </c>
      <c r="AN154" s="452" t="str">
        <f t="shared" si="221"/>
        <v/>
      </c>
      <c r="AO154" s="452" t="str">
        <f t="shared" si="221"/>
        <v/>
      </c>
      <c r="AP154" s="453" t="str">
        <f t="shared" si="221"/>
        <v/>
      </c>
      <c r="AQ154" s="451" t="str">
        <f t="shared" si="221"/>
        <v/>
      </c>
      <c r="AR154" s="452" t="str">
        <f t="shared" si="221"/>
        <v/>
      </c>
      <c r="AS154" s="452" t="str">
        <f t="shared" si="217"/>
        <v/>
      </c>
      <c r="AT154" s="452" t="str">
        <f t="shared" si="217"/>
        <v/>
      </c>
      <c r="AU154" s="453" t="str">
        <f t="shared" si="217"/>
        <v/>
      </c>
      <c r="AV154" s="451" t="str">
        <f t="shared" si="217"/>
        <v/>
      </c>
      <c r="AW154" s="452" t="str">
        <f t="shared" si="217"/>
        <v/>
      </c>
      <c r="AX154" s="452" t="str">
        <f t="shared" si="217"/>
        <v/>
      </c>
      <c r="AY154" s="452" t="str">
        <f t="shared" si="217"/>
        <v/>
      </c>
      <c r="AZ154" s="453" t="str">
        <f t="shared" si="217"/>
        <v/>
      </c>
      <c r="BA154" s="451" t="str">
        <f t="shared" si="217"/>
        <v/>
      </c>
      <c r="BB154" s="452" t="str">
        <f t="shared" si="217"/>
        <v/>
      </c>
      <c r="BC154" s="452" t="str">
        <f t="shared" si="217"/>
        <v/>
      </c>
      <c r="BD154" s="452" t="str">
        <f t="shared" si="217"/>
        <v/>
      </c>
      <c r="BE154" s="453" t="str">
        <f t="shared" si="217"/>
        <v/>
      </c>
      <c r="BF154" s="451" t="str">
        <f t="shared" si="217"/>
        <v/>
      </c>
      <c r="BG154" s="452" t="str">
        <f t="shared" si="217"/>
        <v/>
      </c>
      <c r="BH154" s="452" t="str">
        <f t="shared" si="218"/>
        <v/>
      </c>
      <c r="BI154" s="452" t="str">
        <f t="shared" si="218"/>
        <v/>
      </c>
      <c r="BJ154" s="453" t="str">
        <f t="shared" si="218"/>
        <v/>
      </c>
      <c r="BK154" s="451" t="str">
        <f t="shared" si="218"/>
        <v/>
      </c>
      <c r="BL154" s="452" t="str">
        <f t="shared" si="218"/>
        <v/>
      </c>
      <c r="BM154" s="452" t="str">
        <f t="shared" si="218"/>
        <v/>
      </c>
      <c r="BN154" s="452" t="str">
        <f t="shared" si="218"/>
        <v/>
      </c>
      <c r="BO154" s="453" t="str">
        <f t="shared" si="218"/>
        <v/>
      </c>
      <c r="BP154" s="451" t="str">
        <f t="shared" si="218"/>
        <v/>
      </c>
      <c r="BQ154" s="452" t="str">
        <f t="shared" si="218"/>
        <v/>
      </c>
      <c r="BR154" s="452" t="str">
        <f t="shared" si="218"/>
        <v/>
      </c>
      <c r="BS154" s="452" t="str">
        <f t="shared" si="218"/>
        <v/>
      </c>
      <c r="BT154" s="453" t="str">
        <f t="shared" si="218"/>
        <v/>
      </c>
      <c r="BU154" s="451" t="str">
        <f t="shared" si="218"/>
        <v/>
      </c>
      <c r="BV154" s="452" t="str">
        <f t="shared" si="218"/>
        <v/>
      </c>
      <c r="BW154" s="452" t="str">
        <f t="shared" si="218"/>
        <v/>
      </c>
      <c r="BX154" s="452" t="str">
        <f t="shared" si="219"/>
        <v/>
      </c>
      <c r="BY154" s="453" t="str">
        <f t="shared" si="219"/>
        <v/>
      </c>
      <c r="BZ154" s="451" t="str">
        <f t="shared" si="219"/>
        <v/>
      </c>
      <c r="CA154" s="452" t="str">
        <f t="shared" si="219"/>
        <v/>
      </c>
      <c r="CB154" s="452" t="str">
        <f t="shared" si="219"/>
        <v/>
      </c>
      <c r="CC154" s="452" t="str">
        <f t="shared" si="219"/>
        <v/>
      </c>
      <c r="CD154" s="453" t="str">
        <f t="shared" si="219"/>
        <v/>
      </c>
      <c r="CE154" s="451" t="str">
        <f t="shared" si="219"/>
        <v/>
      </c>
      <c r="CF154" s="452" t="str">
        <f t="shared" si="219"/>
        <v/>
      </c>
      <c r="CG154" s="452" t="str">
        <f t="shared" si="219"/>
        <v/>
      </c>
      <c r="CH154" s="452" t="str">
        <f t="shared" si="219"/>
        <v/>
      </c>
      <c r="CI154" s="453" t="str">
        <f t="shared" si="219"/>
        <v/>
      </c>
      <c r="CJ154" s="451" t="str">
        <f t="shared" si="219"/>
        <v/>
      </c>
      <c r="CK154" s="452" t="str">
        <f t="shared" si="219"/>
        <v/>
      </c>
      <c r="CL154" s="452" t="str">
        <f t="shared" si="219"/>
        <v/>
      </c>
      <c r="CM154" s="452" t="str">
        <f t="shared" si="215"/>
        <v/>
      </c>
      <c r="CN154" s="453" t="str">
        <f t="shared" si="215"/>
        <v/>
      </c>
      <c r="CO154" s="451" t="str">
        <f t="shared" si="215"/>
        <v/>
      </c>
      <c r="CP154" s="452" t="str">
        <f t="shared" si="215"/>
        <v/>
      </c>
      <c r="CQ154" s="452" t="str">
        <f t="shared" si="215"/>
        <v/>
      </c>
      <c r="CR154" s="452" t="str">
        <f t="shared" si="215"/>
        <v/>
      </c>
      <c r="CS154" s="453" t="str">
        <f t="shared" si="215"/>
        <v/>
      </c>
      <c r="CT154" s="451" t="str">
        <f t="shared" si="215"/>
        <v/>
      </c>
      <c r="CU154" s="452" t="str">
        <f t="shared" si="215"/>
        <v/>
      </c>
      <c r="CV154" s="452" t="str">
        <f t="shared" si="215"/>
        <v/>
      </c>
      <c r="CW154" s="452" t="str">
        <f t="shared" si="215"/>
        <v/>
      </c>
      <c r="CX154" s="453" t="str">
        <f t="shared" si="215"/>
        <v/>
      </c>
      <c r="CY154" s="451" t="str">
        <f t="shared" si="215"/>
        <v/>
      </c>
      <c r="CZ154" s="452" t="str">
        <f t="shared" si="215"/>
        <v/>
      </c>
      <c r="DA154" s="452" t="str">
        <f t="shared" si="215"/>
        <v/>
      </c>
      <c r="DB154" s="452" t="str">
        <f t="shared" si="215"/>
        <v/>
      </c>
      <c r="DC154" s="453" t="str">
        <f t="shared" si="216"/>
        <v/>
      </c>
      <c r="DD154" s="451" t="str">
        <f t="shared" si="216"/>
        <v/>
      </c>
      <c r="DE154" s="452" t="str">
        <f t="shared" si="216"/>
        <v/>
      </c>
      <c r="DF154" s="452" t="str">
        <f t="shared" si="216"/>
        <v/>
      </c>
      <c r="DG154" s="452" t="str">
        <f t="shared" si="216"/>
        <v/>
      </c>
      <c r="DH154" s="453" t="str">
        <f t="shared" si="216"/>
        <v/>
      </c>
      <c r="DI154" s="451" t="str">
        <f t="shared" si="216"/>
        <v/>
      </c>
      <c r="DJ154" s="452" t="str">
        <f t="shared" si="216"/>
        <v/>
      </c>
      <c r="DK154" s="452" t="str">
        <f t="shared" si="216"/>
        <v/>
      </c>
      <c r="DL154" s="452" t="str">
        <f t="shared" si="216"/>
        <v/>
      </c>
      <c r="DM154" s="453" t="str">
        <f t="shared" si="216"/>
        <v/>
      </c>
      <c r="DN154" s="451" t="str">
        <f t="shared" si="216"/>
        <v/>
      </c>
      <c r="DO154" s="452" t="str">
        <f t="shared" si="216"/>
        <v/>
      </c>
      <c r="DP154" s="452" t="str">
        <f t="shared" si="216"/>
        <v/>
      </c>
      <c r="DQ154" s="452" t="str">
        <f t="shared" si="216"/>
        <v/>
      </c>
      <c r="DR154" s="453" t="str">
        <f t="shared" si="216"/>
        <v/>
      </c>
      <c r="DS154" s="451" t="str">
        <f t="shared" si="222"/>
        <v/>
      </c>
      <c r="DT154" s="452" t="str">
        <f t="shared" si="222"/>
        <v/>
      </c>
      <c r="DU154" s="452" t="str">
        <f t="shared" si="222"/>
        <v/>
      </c>
      <c r="DV154" s="452" t="str">
        <f t="shared" si="222"/>
        <v/>
      </c>
      <c r="DW154" s="453" t="str">
        <f t="shared" si="222"/>
        <v/>
      </c>
      <c r="DX154" s="451" t="str">
        <f t="shared" si="222"/>
        <v/>
      </c>
      <c r="DY154" s="452" t="str">
        <f t="shared" si="222"/>
        <v/>
      </c>
      <c r="DZ154" s="452" t="str">
        <f t="shared" si="222"/>
        <v/>
      </c>
      <c r="EA154" s="452" t="str">
        <f t="shared" si="222"/>
        <v/>
      </c>
      <c r="EB154" s="453" t="str">
        <f t="shared" si="222"/>
        <v/>
      </c>
      <c r="EC154" s="451" t="str">
        <f t="shared" si="222"/>
        <v/>
      </c>
      <c r="ED154" s="452" t="str">
        <f t="shared" si="222"/>
        <v/>
      </c>
      <c r="EE154" s="452" t="str">
        <f t="shared" si="222"/>
        <v/>
      </c>
      <c r="EF154" s="452" t="str">
        <f t="shared" si="222"/>
        <v/>
      </c>
      <c r="EG154" s="453" t="str">
        <f t="shared" si="222"/>
        <v/>
      </c>
      <c r="EH154" s="451" t="str">
        <f t="shared" si="222"/>
        <v/>
      </c>
      <c r="EI154" s="452" t="str">
        <f t="shared" si="229"/>
        <v/>
      </c>
      <c r="EJ154" s="452" t="str">
        <f t="shared" si="229"/>
        <v/>
      </c>
      <c r="EK154" s="452" t="str">
        <f t="shared" si="229"/>
        <v/>
      </c>
      <c r="EL154" s="453" t="str">
        <f t="shared" si="229"/>
        <v/>
      </c>
      <c r="EM154" s="451" t="str">
        <f t="shared" si="229"/>
        <v/>
      </c>
      <c r="EN154" s="452" t="str">
        <f t="shared" si="229"/>
        <v/>
      </c>
      <c r="EO154" s="452" t="str">
        <f t="shared" si="229"/>
        <v/>
      </c>
      <c r="EP154" s="452" t="str">
        <f t="shared" si="229"/>
        <v/>
      </c>
      <c r="EQ154" s="453" t="str">
        <f t="shared" si="229"/>
        <v/>
      </c>
      <c r="ER154" s="451" t="str">
        <f t="shared" si="229"/>
        <v/>
      </c>
      <c r="ES154" s="452" t="str">
        <f t="shared" si="229"/>
        <v/>
      </c>
      <c r="ET154" s="452" t="str">
        <f t="shared" si="229"/>
        <v/>
      </c>
      <c r="EU154" s="452" t="str">
        <f t="shared" si="229"/>
        <v/>
      </c>
      <c r="EV154" s="453" t="str">
        <f t="shared" si="229"/>
        <v/>
      </c>
      <c r="EW154" s="451" t="str">
        <f t="shared" si="229"/>
        <v/>
      </c>
      <c r="EX154" s="452" t="str">
        <f t="shared" si="229"/>
        <v/>
      </c>
      <c r="EY154" s="452" t="str">
        <f t="shared" si="230"/>
        <v/>
      </c>
      <c r="EZ154" s="452" t="str">
        <f t="shared" si="230"/>
        <v/>
      </c>
      <c r="FA154" s="453" t="str">
        <f t="shared" si="230"/>
        <v/>
      </c>
      <c r="FB154" s="451" t="str">
        <f t="shared" si="230"/>
        <v/>
      </c>
      <c r="FC154" s="452" t="str">
        <f t="shared" si="230"/>
        <v/>
      </c>
      <c r="FD154" s="452" t="str">
        <f t="shared" si="230"/>
        <v/>
      </c>
      <c r="FE154" s="452" t="str">
        <f t="shared" si="230"/>
        <v/>
      </c>
      <c r="FF154" s="453" t="str">
        <f t="shared" si="230"/>
        <v/>
      </c>
      <c r="FG154" s="451" t="str">
        <f t="shared" si="230"/>
        <v/>
      </c>
      <c r="FH154" s="452" t="str">
        <f t="shared" si="230"/>
        <v/>
      </c>
      <c r="FI154" s="452" t="str">
        <f t="shared" si="230"/>
        <v/>
      </c>
      <c r="FJ154" s="452" t="str">
        <f t="shared" si="230"/>
        <v/>
      </c>
      <c r="FK154" s="453" t="str">
        <f t="shared" si="230"/>
        <v/>
      </c>
      <c r="FL154" s="451" t="str">
        <f t="shared" si="230"/>
        <v/>
      </c>
      <c r="FM154" s="452" t="str">
        <f t="shared" si="230"/>
        <v/>
      </c>
      <c r="FN154" s="452" t="str">
        <f t="shared" si="230"/>
        <v/>
      </c>
      <c r="FO154" s="452" t="str">
        <f t="shared" si="227"/>
        <v/>
      </c>
      <c r="FP154" s="453" t="str">
        <f t="shared" si="227"/>
        <v/>
      </c>
      <c r="FQ154" s="451" t="str">
        <f t="shared" si="227"/>
        <v/>
      </c>
      <c r="FR154" s="452" t="str">
        <f t="shared" si="227"/>
        <v/>
      </c>
      <c r="FS154" s="452" t="str">
        <f t="shared" si="227"/>
        <v/>
      </c>
      <c r="FT154" s="452" t="str">
        <f t="shared" si="227"/>
        <v/>
      </c>
      <c r="FU154" s="453" t="str">
        <f t="shared" si="227"/>
        <v/>
      </c>
      <c r="FV154" s="451" t="str">
        <f t="shared" si="227"/>
        <v/>
      </c>
      <c r="FW154" s="452" t="str">
        <f t="shared" si="227"/>
        <v/>
      </c>
      <c r="FX154" s="452" t="str">
        <f t="shared" si="227"/>
        <v/>
      </c>
      <c r="FY154" s="452" t="str">
        <f t="shared" si="227"/>
        <v/>
      </c>
      <c r="FZ154" s="453" t="str">
        <f t="shared" si="227"/>
        <v/>
      </c>
      <c r="GA154" s="451" t="str">
        <f t="shared" si="227"/>
        <v/>
      </c>
      <c r="GB154" s="452" t="str">
        <f t="shared" si="227"/>
        <v/>
      </c>
      <c r="GC154" s="452" t="str">
        <f t="shared" si="227"/>
        <v/>
      </c>
      <c r="GD154" s="452" t="str">
        <f t="shared" si="211"/>
        <v/>
      </c>
      <c r="GE154" s="453" t="str">
        <f t="shared" si="211"/>
        <v/>
      </c>
      <c r="GF154" s="451" t="str">
        <f t="shared" si="211"/>
        <v/>
      </c>
      <c r="GG154" s="452" t="str">
        <f t="shared" si="211"/>
        <v/>
      </c>
      <c r="GH154" s="452" t="str">
        <f t="shared" si="211"/>
        <v/>
      </c>
      <c r="GI154" s="452" t="str">
        <f t="shared" si="211"/>
        <v/>
      </c>
      <c r="GJ154" s="453" t="str">
        <f t="shared" si="211"/>
        <v/>
      </c>
      <c r="GK154" s="451" t="str">
        <f t="shared" si="211"/>
        <v/>
      </c>
      <c r="GL154" s="452" t="str">
        <f t="shared" si="211"/>
        <v/>
      </c>
      <c r="GM154" s="452" t="str">
        <f t="shared" si="211"/>
        <v/>
      </c>
      <c r="GN154" s="452" t="str">
        <f t="shared" si="211"/>
        <v/>
      </c>
      <c r="GO154" s="453" t="str">
        <f t="shared" si="211"/>
        <v/>
      </c>
      <c r="GP154" s="451" t="str">
        <f t="shared" si="211"/>
        <v/>
      </c>
      <c r="GQ154" s="452" t="str">
        <f t="shared" si="211"/>
        <v/>
      </c>
      <c r="GR154" s="452" t="str">
        <f t="shared" si="211"/>
        <v/>
      </c>
      <c r="GS154" s="452" t="str">
        <f t="shared" si="211"/>
        <v/>
      </c>
      <c r="GT154" s="453" t="str">
        <f t="shared" si="231"/>
        <v/>
      </c>
      <c r="GU154" s="451" t="str">
        <f t="shared" si="231"/>
        <v/>
      </c>
      <c r="GV154" s="452" t="str">
        <f t="shared" si="231"/>
        <v/>
      </c>
      <c r="GW154" s="452" t="str">
        <f t="shared" si="231"/>
        <v/>
      </c>
      <c r="GX154" s="452" t="str">
        <f t="shared" si="231"/>
        <v/>
      </c>
      <c r="GY154" s="453" t="str">
        <f t="shared" si="231"/>
        <v/>
      </c>
      <c r="GZ154" s="451" t="str">
        <f t="shared" si="231"/>
        <v/>
      </c>
      <c r="HA154" s="452" t="str">
        <f t="shared" si="231"/>
        <v/>
      </c>
      <c r="HB154" s="452" t="str">
        <f t="shared" si="231"/>
        <v/>
      </c>
      <c r="HC154" s="452" t="str">
        <f t="shared" si="231"/>
        <v/>
      </c>
      <c r="HD154" s="453" t="str">
        <f t="shared" si="231"/>
        <v/>
      </c>
      <c r="HE154" s="451" t="str">
        <f t="shared" si="231"/>
        <v/>
      </c>
      <c r="HF154" s="452" t="str">
        <f t="shared" si="231"/>
        <v/>
      </c>
      <c r="HG154" s="452" t="str">
        <f t="shared" si="231"/>
        <v/>
      </c>
      <c r="HH154" s="452" t="str">
        <f t="shared" si="231"/>
        <v/>
      </c>
      <c r="HI154" s="453" t="str">
        <f t="shared" si="231"/>
        <v/>
      </c>
      <c r="HJ154" s="451" t="str">
        <f t="shared" si="228"/>
        <v/>
      </c>
      <c r="HK154" s="452" t="str">
        <f t="shared" si="228"/>
        <v/>
      </c>
      <c r="HL154" s="452" t="str">
        <f t="shared" si="228"/>
        <v/>
      </c>
      <c r="HM154" s="452" t="str">
        <f t="shared" si="228"/>
        <v/>
      </c>
      <c r="HN154" s="453" t="str">
        <f t="shared" si="232"/>
        <v/>
      </c>
      <c r="HO154" s="451" t="str">
        <f t="shared" si="232"/>
        <v/>
      </c>
      <c r="HP154" s="452" t="str">
        <f t="shared" si="232"/>
        <v/>
      </c>
      <c r="HQ154" s="452" t="str">
        <f t="shared" si="232"/>
        <v/>
      </c>
      <c r="HR154" s="452" t="str">
        <f t="shared" si="232"/>
        <v/>
      </c>
      <c r="HS154" s="453" t="str">
        <f t="shared" si="232"/>
        <v/>
      </c>
      <c r="HT154" s="451" t="str">
        <f t="shared" si="232"/>
        <v/>
      </c>
      <c r="HU154" s="452" t="str">
        <f t="shared" si="232"/>
        <v/>
      </c>
      <c r="HV154" s="452" t="str">
        <f t="shared" si="232"/>
        <v/>
      </c>
      <c r="HW154" s="452" t="str">
        <f t="shared" si="232"/>
        <v/>
      </c>
      <c r="HX154" s="453" t="str">
        <f t="shared" si="232"/>
        <v/>
      </c>
      <c r="HY154" s="451" t="str">
        <f t="shared" si="232"/>
        <v/>
      </c>
      <c r="HZ154" s="452" t="str">
        <f t="shared" si="232"/>
        <v/>
      </c>
      <c r="IA154" s="452" t="str">
        <f t="shared" si="213"/>
        <v/>
      </c>
      <c r="IB154" s="452" t="str">
        <f t="shared" si="213"/>
        <v/>
      </c>
      <c r="IC154" s="453" t="str">
        <f t="shared" si="213"/>
        <v/>
      </c>
      <c r="ID154" s="451" t="str">
        <f t="shared" si="213"/>
        <v/>
      </c>
      <c r="IE154" s="452" t="str">
        <f t="shared" si="213"/>
        <v/>
      </c>
      <c r="IF154" s="452" t="str">
        <f t="shared" si="213"/>
        <v/>
      </c>
      <c r="IG154" s="452" t="str">
        <f t="shared" si="213"/>
        <v/>
      </c>
      <c r="IH154" s="453" t="str">
        <f t="shared" si="213"/>
        <v/>
      </c>
      <c r="II154" s="451" t="str">
        <f t="shared" si="213"/>
        <v/>
      </c>
      <c r="IJ154" s="452" t="str">
        <f t="shared" si="213"/>
        <v/>
      </c>
      <c r="IK154" s="452" t="str">
        <f t="shared" si="213"/>
        <v/>
      </c>
      <c r="IL154" s="452" t="str">
        <f t="shared" si="213"/>
        <v/>
      </c>
      <c r="IM154" s="453" t="str">
        <f t="shared" si="213"/>
        <v/>
      </c>
      <c r="IN154" s="451" t="str">
        <f t="shared" si="213"/>
        <v/>
      </c>
      <c r="IO154" s="452" t="str">
        <f t="shared" si="213"/>
        <v/>
      </c>
      <c r="IP154" s="452" t="str">
        <f t="shared" si="213"/>
        <v/>
      </c>
      <c r="IQ154" s="452" t="str">
        <f t="shared" si="214"/>
        <v/>
      </c>
      <c r="IR154" s="453" t="str">
        <f t="shared" si="214"/>
        <v/>
      </c>
    </row>
    <row r="155" spans="1:252" x14ac:dyDescent="0.2">
      <c r="A155" s="461">
        <v>14.8</v>
      </c>
      <c r="C155" s="447" t="s">
        <v>1358</v>
      </c>
      <c r="D155" s="447"/>
      <c r="E155" s="448"/>
      <c r="F155" s="448"/>
      <c r="G155" s="448"/>
      <c r="H155" s="448"/>
      <c r="I155" s="448"/>
      <c r="J155" s="449" t="str">
        <f t="shared" si="224"/>
        <v/>
      </c>
      <c r="K155" s="449" t="str">
        <f t="shared" si="225"/>
        <v/>
      </c>
      <c r="L155" s="450">
        <f t="shared" si="223"/>
        <v>0</v>
      </c>
      <c r="M155" s="451" t="str">
        <f t="shared" si="212"/>
        <v/>
      </c>
      <c r="N155" s="452" t="str">
        <f t="shared" si="212"/>
        <v/>
      </c>
      <c r="O155" s="452" t="str">
        <f t="shared" si="212"/>
        <v/>
      </c>
      <c r="P155" s="452" t="str">
        <f t="shared" si="212"/>
        <v/>
      </c>
      <c r="Q155" s="453" t="str">
        <f t="shared" si="212"/>
        <v/>
      </c>
      <c r="R155" s="451" t="str">
        <f t="shared" si="212"/>
        <v/>
      </c>
      <c r="S155" s="452" t="str">
        <f t="shared" si="212"/>
        <v/>
      </c>
      <c r="T155" s="452" t="str">
        <f t="shared" si="212"/>
        <v/>
      </c>
      <c r="U155" s="452" t="str">
        <f t="shared" si="212"/>
        <v/>
      </c>
      <c r="V155" s="453" t="str">
        <f t="shared" si="212"/>
        <v/>
      </c>
      <c r="W155" s="451" t="str">
        <f t="shared" si="212"/>
        <v/>
      </c>
      <c r="X155" s="452" t="str">
        <f t="shared" si="212"/>
        <v/>
      </c>
      <c r="Y155" s="452" t="str">
        <f t="shared" si="212"/>
        <v/>
      </c>
      <c r="Z155" s="452" t="str">
        <f t="shared" si="212"/>
        <v/>
      </c>
      <c r="AA155" s="453" t="str">
        <f t="shared" si="212"/>
        <v/>
      </c>
      <c r="AB155" s="451" t="str">
        <f t="shared" ref="AB155" si="233">IF(AND(AB$2&gt;=$J155,AB$2&lt;=$K155),1,"")</f>
        <v/>
      </c>
      <c r="AC155" s="452" t="str">
        <f t="shared" si="221"/>
        <v/>
      </c>
      <c r="AD155" s="452" t="str">
        <f t="shared" si="221"/>
        <v/>
      </c>
      <c r="AE155" s="452" t="str">
        <f t="shared" si="221"/>
        <v/>
      </c>
      <c r="AF155" s="453" t="str">
        <f t="shared" si="221"/>
        <v/>
      </c>
      <c r="AG155" s="451" t="str">
        <f t="shared" si="221"/>
        <v/>
      </c>
      <c r="AH155" s="452" t="str">
        <f t="shared" si="221"/>
        <v/>
      </c>
      <c r="AI155" s="452" t="str">
        <f t="shared" si="221"/>
        <v/>
      </c>
      <c r="AJ155" s="452" t="str">
        <f t="shared" si="221"/>
        <v/>
      </c>
      <c r="AK155" s="453" t="str">
        <f t="shared" si="221"/>
        <v/>
      </c>
      <c r="AL155" s="451" t="str">
        <f t="shared" si="221"/>
        <v/>
      </c>
      <c r="AM155" s="452" t="str">
        <f t="shared" si="221"/>
        <v/>
      </c>
      <c r="AN155" s="452" t="str">
        <f t="shared" si="221"/>
        <v/>
      </c>
      <c r="AO155" s="452" t="str">
        <f t="shared" si="221"/>
        <v/>
      </c>
      <c r="AP155" s="453" t="str">
        <f t="shared" si="221"/>
        <v/>
      </c>
      <c r="AQ155" s="451" t="str">
        <f t="shared" si="221"/>
        <v/>
      </c>
      <c r="AR155" s="452" t="str">
        <f t="shared" si="217"/>
        <v/>
      </c>
      <c r="AS155" s="452" t="str">
        <f t="shared" si="217"/>
        <v/>
      </c>
      <c r="AT155" s="452" t="str">
        <f t="shared" si="217"/>
        <v/>
      </c>
      <c r="AU155" s="453" t="str">
        <f t="shared" si="217"/>
        <v/>
      </c>
      <c r="AV155" s="451" t="str">
        <f t="shared" si="217"/>
        <v/>
      </c>
      <c r="AW155" s="452" t="str">
        <f t="shared" si="217"/>
        <v/>
      </c>
      <c r="AX155" s="452" t="str">
        <f t="shared" si="217"/>
        <v/>
      </c>
      <c r="AY155" s="452" t="str">
        <f t="shared" si="217"/>
        <v/>
      </c>
      <c r="AZ155" s="453" t="str">
        <f t="shared" si="217"/>
        <v/>
      </c>
      <c r="BA155" s="451" t="str">
        <f t="shared" si="217"/>
        <v/>
      </c>
      <c r="BB155" s="452" t="str">
        <f t="shared" si="217"/>
        <v/>
      </c>
      <c r="BC155" s="452" t="str">
        <f t="shared" si="217"/>
        <v/>
      </c>
      <c r="BD155" s="452" t="str">
        <f t="shared" si="217"/>
        <v/>
      </c>
      <c r="BE155" s="453" t="str">
        <f t="shared" si="217"/>
        <v/>
      </c>
      <c r="BF155" s="451" t="str">
        <f t="shared" si="217"/>
        <v/>
      </c>
      <c r="BG155" s="452" t="str">
        <f t="shared" si="217"/>
        <v/>
      </c>
      <c r="BH155" s="452" t="str">
        <f t="shared" si="218"/>
        <v/>
      </c>
      <c r="BI155" s="452" t="str">
        <f t="shared" si="218"/>
        <v/>
      </c>
      <c r="BJ155" s="453" t="str">
        <f t="shared" si="218"/>
        <v/>
      </c>
      <c r="BK155" s="451" t="str">
        <f t="shared" si="218"/>
        <v/>
      </c>
      <c r="BL155" s="452" t="str">
        <f t="shared" si="218"/>
        <v/>
      </c>
      <c r="BM155" s="452" t="str">
        <f t="shared" si="218"/>
        <v/>
      </c>
      <c r="BN155" s="452" t="str">
        <f t="shared" si="218"/>
        <v/>
      </c>
      <c r="BO155" s="453" t="str">
        <f t="shared" si="218"/>
        <v/>
      </c>
      <c r="BP155" s="451" t="str">
        <f t="shared" si="218"/>
        <v/>
      </c>
      <c r="BQ155" s="452" t="str">
        <f t="shared" si="218"/>
        <v/>
      </c>
      <c r="BR155" s="452" t="str">
        <f t="shared" si="218"/>
        <v/>
      </c>
      <c r="BS155" s="452" t="str">
        <f t="shared" si="218"/>
        <v/>
      </c>
      <c r="BT155" s="453" t="str">
        <f t="shared" si="218"/>
        <v/>
      </c>
      <c r="BU155" s="451" t="str">
        <f t="shared" si="218"/>
        <v/>
      </c>
      <c r="BV155" s="452" t="str">
        <f t="shared" si="218"/>
        <v/>
      </c>
      <c r="BW155" s="452" t="str">
        <f t="shared" si="218"/>
        <v/>
      </c>
      <c r="BX155" s="452" t="str">
        <f t="shared" si="219"/>
        <v/>
      </c>
      <c r="BY155" s="453" t="str">
        <f t="shared" si="219"/>
        <v/>
      </c>
      <c r="BZ155" s="451" t="str">
        <f t="shared" si="219"/>
        <v/>
      </c>
      <c r="CA155" s="452" t="str">
        <f t="shared" si="219"/>
        <v/>
      </c>
      <c r="CB155" s="452" t="str">
        <f t="shared" si="219"/>
        <v/>
      </c>
      <c r="CC155" s="452" t="str">
        <f t="shared" si="219"/>
        <v/>
      </c>
      <c r="CD155" s="453" t="str">
        <f t="shared" si="219"/>
        <v/>
      </c>
      <c r="CE155" s="451" t="str">
        <f t="shared" si="219"/>
        <v/>
      </c>
      <c r="CF155" s="452" t="str">
        <f t="shared" si="219"/>
        <v/>
      </c>
      <c r="CG155" s="452" t="str">
        <f t="shared" si="219"/>
        <v/>
      </c>
      <c r="CH155" s="452" t="str">
        <f t="shared" si="219"/>
        <v/>
      </c>
      <c r="CI155" s="453" t="str">
        <f t="shared" si="219"/>
        <v/>
      </c>
      <c r="CJ155" s="451" t="str">
        <f t="shared" si="219"/>
        <v/>
      </c>
      <c r="CK155" s="452" t="str">
        <f t="shared" si="219"/>
        <v/>
      </c>
      <c r="CL155" s="452" t="str">
        <f t="shared" si="219"/>
        <v/>
      </c>
      <c r="CM155" s="452" t="str">
        <f t="shared" si="219"/>
        <v/>
      </c>
      <c r="CN155" s="453" t="str">
        <f t="shared" si="215"/>
        <v/>
      </c>
      <c r="CO155" s="451" t="str">
        <f t="shared" si="215"/>
        <v/>
      </c>
      <c r="CP155" s="452" t="str">
        <f t="shared" si="215"/>
        <v/>
      </c>
      <c r="CQ155" s="452" t="str">
        <f t="shared" si="215"/>
        <v/>
      </c>
      <c r="CR155" s="452" t="str">
        <f t="shared" si="215"/>
        <v/>
      </c>
      <c r="CS155" s="453" t="str">
        <f t="shared" si="215"/>
        <v/>
      </c>
      <c r="CT155" s="451" t="str">
        <f t="shared" si="215"/>
        <v/>
      </c>
      <c r="CU155" s="452" t="str">
        <f t="shared" si="215"/>
        <v/>
      </c>
      <c r="CV155" s="452" t="str">
        <f t="shared" si="215"/>
        <v/>
      </c>
      <c r="CW155" s="452" t="str">
        <f t="shared" si="215"/>
        <v/>
      </c>
      <c r="CX155" s="453" t="str">
        <f t="shared" si="215"/>
        <v/>
      </c>
      <c r="CY155" s="451" t="str">
        <f t="shared" si="215"/>
        <v/>
      </c>
      <c r="CZ155" s="452" t="str">
        <f t="shared" si="215"/>
        <v/>
      </c>
      <c r="DA155" s="452" t="str">
        <f t="shared" si="215"/>
        <v/>
      </c>
      <c r="DB155" s="452" t="str">
        <f t="shared" si="215"/>
        <v/>
      </c>
      <c r="DC155" s="453" t="str">
        <f t="shared" si="216"/>
        <v/>
      </c>
      <c r="DD155" s="451" t="str">
        <f t="shared" si="216"/>
        <v/>
      </c>
      <c r="DE155" s="452" t="str">
        <f t="shared" si="216"/>
        <v/>
      </c>
      <c r="DF155" s="452" t="str">
        <f t="shared" si="216"/>
        <v/>
      </c>
      <c r="DG155" s="452" t="str">
        <f t="shared" si="216"/>
        <v/>
      </c>
      <c r="DH155" s="453" t="str">
        <f t="shared" si="216"/>
        <v/>
      </c>
      <c r="DI155" s="451" t="str">
        <f t="shared" si="216"/>
        <v/>
      </c>
      <c r="DJ155" s="452" t="str">
        <f t="shared" si="216"/>
        <v/>
      </c>
      <c r="DK155" s="452" t="str">
        <f t="shared" si="216"/>
        <v/>
      </c>
      <c r="DL155" s="452" t="str">
        <f t="shared" si="216"/>
        <v/>
      </c>
      <c r="DM155" s="453" t="str">
        <f t="shared" si="216"/>
        <v/>
      </c>
      <c r="DN155" s="451" t="str">
        <f t="shared" si="216"/>
        <v/>
      </c>
      <c r="DO155" s="452" t="str">
        <f t="shared" si="216"/>
        <v/>
      </c>
      <c r="DP155" s="452" t="str">
        <f t="shared" si="216"/>
        <v/>
      </c>
      <c r="DQ155" s="452" t="str">
        <f t="shared" si="216"/>
        <v/>
      </c>
      <c r="DR155" s="453" t="str">
        <f t="shared" si="216"/>
        <v/>
      </c>
      <c r="DS155" s="451" t="str">
        <f t="shared" si="222"/>
        <v/>
      </c>
      <c r="DT155" s="452" t="str">
        <f t="shared" si="222"/>
        <v/>
      </c>
      <c r="DU155" s="452" t="str">
        <f t="shared" si="222"/>
        <v/>
      </c>
      <c r="DV155" s="452" t="str">
        <f t="shared" si="222"/>
        <v/>
      </c>
      <c r="DW155" s="453" t="str">
        <f t="shared" si="222"/>
        <v/>
      </c>
      <c r="DX155" s="451" t="str">
        <f t="shared" si="222"/>
        <v/>
      </c>
      <c r="DY155" s="452" t="str">
        <f t="shared" si="222"/>
        <v/>
      </c>
      <c r="DZ155" s="452" t="str">
        <f t="shared" si="222"/>
        <v/>
      </c>
      <c r="EA155" s="452" t="str">
        <f t="shared" si="222"/>
        <v/>
      </c>
      <c r="EB155" s="453" t="str">
        <f t="shared" si="222"/>
        <v/>
      </c>
      <c r="EC155" s="451" t="str">
        <f t="shared" si="222"/>
        <v/>
      </c>
      <c r="ED155" s="452" t="str">
        <f t="shared" si="222"/>
        <v/>
      </c>
      <c r="EE155" s="452" t="str">
        <f t="shared" si="222"/>
        <v/>
      </c>
      <c r="EF155" s="452" t="str">
        <f t="shared" si="222"/>
        <v/>
      </c>
      <c r="EG155" s="453" t="str">
        <f t="shared" si="222"/>
        <v/>
      </c>
      <c r="EH155" s="451" t="str">
        <f t="shared" si="222"/>
        <v/>
      </c>
      <c r="EI155" s="452" t="str">
        <f t="shared" si="229"/>
        <v/>
      </c>
      <c r="EJ155" s="452" t="str">
        <f t="shared" si="229"/>
        <v/>
      </c>
      <c r="EK155" s="452" t="str">
        <f t="shared" si="229"/>
        <v/>
      </c>
      <c r="EL155" s="453" t="str">
        <f t="shared" si="229"/>
        <v/>
      </c>
      <c r="EM155" s="451" t="str">
        <f t="shared" si="229"/>
        <v/>
      </c>
      <c r="EN155" s="452" t="str">
        <f t="shared" si="229"/>
        <v/>
      </c>
      <c r="EO155" s="452" t="str">
        <f t="shared" si="229"/>
        <v/>
      </c>
      <c r="EP155" s="452" t="str">
        <f t="shared" si="229"/>
        <v/>
      </c>
      <c r="EQ155" s="453" t="str">
        <f t="shared" si="229"/>
        <v/>
      </c>
      <c r="ER155" s="451" t="str">
        <f t="shared" si="229"/>
        <v/>
      </c>
      <c r="ES155" s="452" t="str">
        <f t="shared" si="229"/>
        <v/>
      </c>
      <c r="ET155" s="452" t="str">
        <f t="shared" si="229"/>
        <v/>
      </c>
      <c r="EU155" s="452" t="str">
        <f t="shared" si="229"/>
        <v/>
      </c>
      <c r="EV155" s="453" t="str">
        <f t="shared" si="229"/>
        <v/>
      </c>
      <c r="EW155" s="451" t="str">
        <f t="shared" si="229"/>
        <v/>
      </c>
      <c r="EX155" s="452" t="str">
        <f t="shared" si="229"/>
        <v/>
      </c>
      <c r="EY155" s="452" t="str">
        <f t="shared" si="230"/>
        <v/>
      </c>
      <c r="EZ155" s="452" t="str">
        <f t="shared" si="230"/>
        <v/>
      </c>
      <c r="FA155" s="453" t="str">
        <f t="shared" si="230"/>
        <v/>
      </c>
      <c r="FB155" s="451" t="str">
        <f t="shared" si="230"/>
        <v/>
      </c>
      <c r="FC155" s="452" t="str">
        <f t="shared" si="230"/>
        <v/>
      </c>
      <c r="FD155" s="452" t="str">
        <f t="shared" si="230"/>
        <v/>
      </c>
      <c r="FE155" s="452" t="str">
        <f t="shared" si="230"/>
        <v/>
      </c>
      <c r="FF155" s="453" t="str">
        <f t="shared" si="230"/>
        <v/>
      </c>
      <c r="FG155" s="451" t="str">
        <f t="shared" si="230"/>
        <v/>
      </c>
      <c r="FH155" s="452" t="str">
        <f t="shared" si="230"/>
        <v/>
      </c>
      <c r="FI155" s="452" t="str">
        <f t="shared" si="230"/>
        <v/>
      </c>
      <c r="FJ155" s="452" t="str">
        <f t="shared" si="230"/>
        <v/>
      </c>
      <c r="FK155" s="453" t="str">
        <f t="shared" si="230"/>
        <v/>
      </c>
      <c r="FL155" s="451" t="str">
        <f t="shared" si="230"/>
        <v/>
      </c>
      <c r="FM155" s="452" t="str">
        <f t="shared" si="230"/>
        <v/>
      </c>
      <c r="FN155" s="452" t="str">
        <f t="shared" si="230"/>
        <v/>
      </c>
      <c r="FO155" s="452" t="str">
        <f t="shared" si="227"/>
        <v/>
      </c>
      <c r="FP155" s="453" t="str">
        <f t="shared" si="227"/>
        <v/>
      </c>
      <c r="FQ155" s="451" t="str">
        <f t="shared" si="227"/>
        <v/>
      </c>
      <c r="FR155" s="452" t="str">
        <f t="shared" si="227"/>
        <v/>
      </c>
      <c r="FS155" s="452" t="str">
        <f t="shared" si="227"/>
        <v/>
      </c>
      <c r="FT155" s="452" t="str">
        <f t="shared" si="227"/>
        <v/>
      </c>
      <c r="FU155" s="453" t="str">
        <f t="shared" si="227"/>
        <v/>
      </c>
      <c r="FV155" s="451" t="str">
        <f t="shared" si="227"/>
        <v/>
      </c>
      <c r="FW155" s="452" t="str">
        <f t="shared" si="227"/>
        <v/>
      </c>
      <c r="FX155" s="452" t="str">
        <f t="shared" si="227"/>
        <v/>
      </c>
      <c r="FY155" s="452" t="str">
        <f t="shared" si="227"/>
        <v/>
      </c>
      <c r="FZ155" s="453" t="str">
        <f t="shared" si="227"/>
        <v/>
      </c>
      <c r="GA155" s="451" t="str">
        <f t="shared" si="227"/>
        <v/>
      </c>
      <c r="GB155" s="452" t="str">
        <f t="shared" si="227"/>
        <v/>
      </c>
      <c r="GC155" s="452" t="str">
        <f t="shared" si="227"/>
        <v/>
      </c>
      <c r="GD155" s="452" t="str">
        <f t="shared" si="227"/>
        <v/>
      </c>
      <c r="GE155" s="453" t="str">
        <f t="shared" ref="GE155:GT163" si="234">IF(AND(GE$2&gt;=$J155,GE$2&lt;=$K155),1,"")</f>
        <v/>
      </c>
      <c r="GF155" s="451" t="str">
        <f t="shared" si="234"/>
        <v/>
      </c>
      <c r="GG155" s="452" t="str">
        <f t="shared" si="234"/>
        <v/>
      </c>
      <c r="GH155" s="452" t="str">
        <f t="shared" si="234"/>
        <v/>
      </c>
      <c r="GI155" s="452" t="str">
        <f t="shared" si="234"/>
        <v/>
      </c>
      <c r="GJ155" s="453" t="str">
        <f t="shared" si="234"/>
        <v/>
      </c>
      <c r="GK155" s="451" t="str">
        <f t="shared" si="234"/>
        <v/>
      </c>
      <c r="GL155" s="452" t="str">
        <f t="shared" si="234"/>
        <v/>
      </c>
      <c r="GM155" s="452" t="str">
        <f t="shared" si="234"/>
        <v/>
      </c>
      <c r="GN155" s="452" t="str">
        <f t="shared" si="234"/>
        <v/>
      </c>
      <c r="GO155" s="453" t="str">
        <f t="shared" si="234"/>
        <v/>
      </c>
      <c r="GP155" s="451" t="str">
        <f t="shared" si="234"/>
        <v/>
      </c>
      <c r="GQ155" s="452" t="str">
        <f t="shared" si="234"/>
        <v/>
      </c>
      <c r="GR155" s="452" t="str">
        <f t="shared" si="234"/>
        <v/>
      </c>
      <c r="GS155" s="452" t="str">
        <f t="shared" si="234"/>
        <v/>
      </c>
      <c r="GT155" s="453" t="str">
        <f t="shared" si="234"/>
        <v/>
      </c>
      <c r="GU155" s="451" t="str">
        <f t="shared" si="231"/>
        <v/>
      </c>
      <c r="GV155" s="452" t="str">
        <f t="shared" si="231"/>
        <v/>
      </c>
      <c r="GW155" s="452" t="str">
        <f t="shared" si="228"/>
        <v/>
      </c>
      <c r="GX155" s="452" t="str">
        <f t="shared" si="228"/>
        <v/>
      </c>
      <c r="GY155" s="453" t="str">
        <f t="shared" si="228"/>
        <v/>
      </c>
      <c r="GZ155" s="451" t="str">
        <f t="shared" si="228"/>
        <v/>
      </c>
      <c r="HA155" s="452" t="str">
        <f t="shared" si="228"/>
        <v/>
      </c>
      <c r="HB155" s="452" t="str">
        <f t="shared" si="228"/>
        <v/>
      </c>
      <c r="HC155" s="452" t="str">
        <f t="shared" si="228"/>
        <v/>
      </c>
      <c r="HD155" s="453" t="str">
        <f t="shared" si="228"/>
        <v/>
      </c>
      <c r="HE155" s="451" t="str">
        <f t="shared" si="228"/>
        <v/>
      </c>
      <c r="HF155" s="452" t="str">
        <f t="shared" si="228"/>
        <v/>
      </c>
      <c r="HG155" s="452" t="str">
        <f t="shared" si="228"/>
        <v/>
      </c>
      <c r="HH155" s="452" t="str">
        <f t="shared" si="228"/>
        <v/>
      </c>
      <c r="HI155" s="453" t="str">
        <f t="shared" si="228"/>
        <v/>
      </c>
      <c r="HJ155" s="451" t="str">
        <f t="shared" si="228"/>
        <v/>
      </c>
      <c r="HK155" s="452" t="str">
        <f t="shared" si="228"/>
        <v/>
      </c>
      <c r="HL155" s="452" t="str">
        <f t="shared" si="228"/>
        <v/>
      </c>
      <c r="HM155" s="452" t="str">
        <f t="shared" si="228"/>
        <v/>
      </c>
      <c r="HN155" s="453" t="str">
        <f t="shared" si="232"/>
        <v/>
      </c>
      <c r="HO155" s="451" t="str">
        <f t="shared" si="232"/>
        <v/>
      </c>
      <c r="HP155" s="452" t="str">
        <f t="shared" si="232"/>
        <v/>
      </c>
      <c r="HQ155" s="452" t="str">
        <f t="shared" si="232"/>
        <v/>
      </c>
      <c r="HR155" s="452" t="str">
        <f t="shared" si="232"/>
        <v/>
      </c>
      <c r="HS155" s="453" t="str">
        <f t="shared" si="232"/>
        <v/>
      </c>
      <c r="HT155" s="451" t="str">
        <f t="shared" si="232"/>
        <v/>
      </c>
      <c r="HU155" s="452" t="str">
        <f t="shared" si="232"/>
        <v/>
      </c>
      <c r="HV155" s="452" t="str">
        <f t="shared" si="232"/>
        <v/>
      </c>
      <c r="HW155" s="452" t="str">
        <f t="shared" si="232"/>
        <v/>
      </c>
      <c r="HX155" s="453" t="str">
        <f t="shared" si="232"/>
        <v/>
      </c>
      <c r="HY155" s="451" t="str">
        <f t="shared" si="232"/>
        <v/>
      </c>
      <c r="HZ155" s="452" t="str">
        <f t="shared" si="232"/>
        <v/>
      </c>
      <c r="IA155" s="452" t="str">
        <f t="shared" si="213"/>
        <v/>
      </c>
      <c r="IB155" s="452" t="str">
        <f t="shared" si="213"/>
        <v/>
      </c>
      <c r="IC155" s="453" t="str">
        <f t="shared" si="213"/>
        <v/>
      </c>
      <c r="ID155" s="451" t="str">
        <f t="shared" si="213"/>
        <v/>
      </c>
      <c r="IE155" s="452" t="str">
        <f t="shared" si="213"/>
        <v/>
      </c>
      <c r="IF155" s="452" t="str">
        <f t="shared" si="213"/>
        <v/>
      </c>
      <c r="IG155" s="452" t="str">
        <f t="shared" si="213"/>
        <v/>
      </c>
      <c r="IH155" s="453" t="str">
        <f t="shared" si="213"/>
        <v/>
      </c>
      <c r="II155" s="451" t="str">
        <f t="shared" si="213"/>
        <v/>
      </c>
      <c r="IJ155" s="452" t="str">
        <f t="shared" si="213"/>
        <v/>
      </c>
      <c r="IK155" s="452" t="str">
        <f t="shared" si="213"/>
        <v/>
      </c>
      <c r="IL155" s="452" t="str">
        <f t="shared" si="213"/>
        <v/>
      </c>
      <c r="IM155" s="453" t="str">
        <f t="shared" si="213"/>
        <v/>
      </c>
      <c r="IN155" s="451" t="str">
        <f t="shared" si="213"/>
        <v/>
      </c>
      <c r="IO155" s="452" t="str">
        <f t="shared" si="213"/>
        <v/>
      </c>
      <c r="IP155" s="452" t="str">
        <f t="shared" si="213"/>
        <v/>
      </c>
      <c r="IQ155" s="452" t="str">
        <f t="shared" si="214"/>
        <v/>
      </c>
      <c r="IR155" s="453" t="str">
        <f t="shared" si="214"/>
        <v/>
      </c>
    </row>
    <row r="156" spans="1:252" x14ac:dyDescent="0.2">
      <c r="A156" s="461">
        <v>14.9</v>
      </c>
      <c r="C156" s="447" t="s">
        <v>1359</v>
      </c>
      <c r="D156" s="447"/>
      <c r="E156" s="448"/>
      <c r="F156" s="448"/>
      <c r="G156" s="448"/>
      <c r="H156" s="448"/>
      <c r="I156" s="448"/>
      <c r="J156" s="449" t="str">
        <f t="shared" si="224"/>
        <v/>
      </c>
      <c r="K156" s="449" t="str">
        <f t="shared" si="225"/>
        <v/>
      </c>
      <c r="L156" s="450">
        <f t="shared" si="223"/>
        <v>0</v>
      </c>
      <c r="M156" s="451" t="str">
        <f t="shared" ref="M156:AB171" si="235">IF(AND(M$2&gt;=$J156,M$2&lt;=$K156),1,"")</f>
        <v/>
      </c>
      <c r="N156" s="452" t="str">
        <f t="shared" si="235"/>
        <v/>
      </c>
      <c r="O156" s="452" t="str">
        <f t="shared" si="235"/>
        <v/>
      </c>
      <c r="P156" s="452" t="str">
        <f t="shared" si="235"/>
        <v/>
      </c>
      <c r="Q156" s="453" t="str">
        <f t="shared" si="235"/>
        <v/>
      </c>
      <c r="R156" s="451" t="str">
        <f t="shared" si="235"/>
        <v/>
      </c>
      <c r="S156" s="452" t="str">
        <f t="shared" si="235"/>
        <v/>
      </c>
      <c r="T156" s="452" t="str">
        <f t="shared" si="235"/>
        <v/>
      </c>
      <c r="U156" s="452" t="str">
        <f t="shared" si="235"/>
        <v/>
      </c>
      <c r="V156" s="453" t="str">
        <f t="shared" si="235"/>
        <v/>
      </c>
      <c r="W156" s="451" t="str">
        <f t="shared" si="235"/>
        <v/>
      </c>
      <c r="X156" s="452" t="str">
        <f t="shared" si="235"/>
        <v/>
      </c>
      <c r="Y156" s="452" t="str">
        <f t="shared" si="235"/>
        <v/>
      </c>
      <c r="Z156" s="452" t="str">
        <f t="shared" si="235"/>
        <v/>
      </c>
      <c r="AA156" s="453" t="str">
        <f t="shared" si="235"/>
        <v/>
      </c>
      <c r="AB156" s="451" t="str">
        <f t="shared" si="235"/>
        <v/>
      </c>
      <c r="AC156" s="452" t="str">
        <f t="shared" si="221"/>
        <v/>
      </c>
      <c r="AD156" s="452" t="str">
        <f t="shared" si="221"/>
        <v/>
      </c>
      <c r="AE156" s="452" t="str">
        <f t="shared" si="221"/>
        <v/>
      </c>
      <c r="AF156" s="453" t="str">
        <f t="shared" si="221"/>
        <v/>
      </c>
      <c r="AG156" s="451" t="str">
        <f t="shared" si="221"/>
        <v/>
      </c>
      <c r="AH156" s="452" t="str">
        <f t="shared" si="221"/>
        <v/>
      </c>
      <c r="AI156" s="452" t="str">
        <f t="shared" si="221"/>
        <v/>
      </c>
      <c r="AJ156" s="452" t="str">
        <f t="shared" si="221"/>
        <v/>
      </c>
      <c r="AK156" s="453" t="str">
        <f t="shared" si="221"/>
        <v/>
      </c>
      <c r="AL156" s="451" t="str">
        <f t="shared" si="221"/>
        <v/>
      </c>
      <c r="AM156" s="452" t="str">
        <f t="shared" si="221"/>
        <v/>
      </c>
      <c r="AN156" s="452" t="str">
        <f t="shared" si="221"/>
        <v/>
      </c>
      <c r="AO156" s="452" t="str">
        <f t="shared" si="221"/>
        <v/>
      </c>
      <c r="AP156" s="453" t="str">
        <f t="shared" si="221"/>
        <v/>
      </c>
      <c r="AQ156" s="451" t="str">
        <f t="shared" si="221"/>
        <v/>
      </c>
      <c r="AR156" s="452" t="str">
        <f t="shared" si="221"/>
        <v/>
      </c>
      <c r="AS156" s="452" t="str">
        <f t="shared" si="217"/>
        <v/>
      </c>
      <c r="AT156" s="452" t="str">
        <f t="shared" si="217"/>
        <v/>
      </c>
      <c r="AU156" s="453" t="str">
        <f t="shared" si="217"/>
        <v/>
      </c>
      <c r="AV156" s="451" t="str">
        <f t="shared" si="217"/>
        <v/>
      </c>
      <c r="AW156" s="452" t="str">
        <f t="shared" si="217"/>
        <v/>
      </c>
      <c r="AX156" s="452" t="str">
        <f t="shared" si="217"/>
        <v/>
      </c>
      <c r="AY156" s="452" t="str">
        <f t="shared" si="217"/>
        <v/>
      </c>
      <c r="AZ156" s="453" t="str">
        <f t="shared" si="217"/>
        <v/>
      </c>
      <c r="BA156" s="451" t="str">
        <f t="shared" si="217"/>
        <v/>
      </c>
      <c r="BB156" s="452" t="str">
        <f t="shared" si="217"/>
        <v/>
      </c>
      <c r="BC156" s="452" t="str">
        <f t="shared" si="217"/>
        <v/>
      </c>
      <c r="BD156" s="452" t="str">
        <f t="shared" si="217"/>
        <v/>
      </c>
      <c r="BE156" s="453" t="str">
        <f t="shared" si="217"/>
        <v/>
      </c>
      <c r="BF156" s="451" t="str">
        <f t="shared" si="217"/>
        <v/>
      </c>
      <c r="BG156" s="452" t="str">
        <f t="shared" si="217"/>
        <v/>
      </c>
      <c r="BH156" s="452" t="str">
        <f t="shared" si="218"/>
        <v/>
      </c>
      <c r="BI156" s="452" t="str">
        <f t="shared" si="218"/>
        <v/>
      </c>
      <c r="BJ156" s="453" t="str">
        <f t="shared" si="218"/>
        <v/>
      </c>
      <c r="BK156" s="451" t="str">
        <f t="shared" si="218"/>
        <v/>
      </c>
      <c r="BL156" s="452" t="str">
        <f t="shared" si="218"/>
        <v/>
      </c>
      <c r="BM156" s="452" t="str">
        <f t="shared" si="218"/>
        <v/>
      </c>
      <c r="BN156" s="452" t="str">
        <f t="shared" si="218"/>
        <v/>
      </c>
      <c r="BO156" s="453" t="str">
        <f t="shared" si="218"/>
        <v/>
      </c>
      <c r="BP156" s="451" t="str">
        <f t="shared" si="218"/>
        <v/>
      </c>
      <c r="BQ156" s="452" t="str">
        <f t="shared" si="218"/>
        <v/>
      </c>
      <c r="BR156" s="452" t="str">
        <f t="shared" si="218"/>
        <v/>
      </c>
      <c r="BS156" s="452" t="str">
        <f t="shared" si="218"/>
        <v/>
      </c>
      <c r="BT156" s="453" t="str">
        <f t="shared" si="218"/>
        <v/>
      </c>
      <c r="BU156" s="451" t="str">
        <f t="shared" si="218"/>
        <v/>
      </c>
      <c r="BV156" s="452" t="str">
        <f t="shared" si="218"/>
        <v/>
      </c>
      <c r="BW156" s="452" t="str">
        <f t="shared" si="218"/>
        <v/>
      </c>
      <c r="BX156" s="452" t="str">
        <f t="shared" si="219"/>
        <v/>
      </c>
      <c r="BY156" s="453" t="str">
        <f t="shared" si="219"/>
        <v/>
      </c>
      <c r="BZ156" s="451" t="str">
        <f t="shared" si="219"/>
        <v/>
      </c>
      <c r="CA156" s="452" t="str">
        <f t="shared" si="219"/>
        <v/>
      </c>
      <c r="CB156" s="452" t="str">
        <f t="shared" si="219"/>
        <v/>
      </c>
      <c r="CC156" s="452" t="str">
        <f t="shared" si="219"/>
        <v/>
      </c>
      <c r="CD156" s="453" t="str">
        <f t="shared" si="219"/>
        <v/>
      </c>
      <c r="CE156" s="451" t="str">
        <f t="shared" si="219"/>
        <v/>
      </c>
      <c r="CF156" s="452" t="str">
        <f t="shared" si="219"/>
        <v/>
      </c>
      <c r="CG156" s="452" t="str">
        <f t="shared" si="219"/>
        <v/>
      </c>
      <c r="CH156" s="452" t="str">
        <f t="shared" si="219"/>
        <v/>
      </c>
      <c r="CI156" s="453" t="str">
        <f t="shared" si="219"/>
        <v/>
      </c>
      <c r="CJ156" s="451" t="str">
        <f t="shared" si="219"/>
        <v/>
      </c>
      <c r="CK156" s="452" t="str">
        <f t="shared" si="219"/>
        <v/>
      </c>
      <c r="CL156" s="452" t="str">
        <f t="shared" si="219"/>
        <v/>
      </c>
      <c r="CM156" s="452" t="str">
        <f t="shared" si="219"/>
        <v/>
      </c>
      <c r="CN156" s="453" t="str">
        <f t="shared" si="215"/>
        <v/>
      </c>
      <c r="CO156" s="451" t="str">
        <f t="shared" si="215"/>
        <v/>
      </c>
      <c r="CP156" s="452" t="str">
        <f t="shared" si="215"/>
        <v/>
      </c>
      <c r="CQ156" s="452" t="str">
        <f t="shared" si="215"/>
        <v/>
      </c>
      <c r="CR156" s="452" t="str">
        <f t="shared" si="215"/>
        <v/>
      </c>
      <c r="CS156" s="453" t="str">
        <f t="shared" si="215"/>
        <v/>
      </c>
      <c r="CT156" s="451" t="str">
        <f t="shared" si="215"/>
        <v/>
      </c>
      <c r="CU156" s="452" t="str">
        <f t="shared" si="215"/>
        <v/>
      </c>
      <c r="CV156" s="452" t="str">
        <f t="shared" si="215"/>
        <v/>
      </c>
      <c r="CW156" s="452" t="str">
        <f t="shared" si="215"/>
        <v/>
      </c>
      <c r="CX156" s="453" t="str">
        <f t="shared" si="215"/>
        <v/>
      </c>
      <c r="CY156" s="451" t="str">
        <f t="shared" si="215"/>
        <v/>
      </c>
      <c r="CZ156" s="452" t="str">
        <f t="shared" si="215"/>
        <v/>
      </c>
      <c r="DA156" s="452" t="str">
        <f t="shared" si="215"/>
        <v/>
      </c>
      <c r="DB156" s="452" t="str">
        <f t="shared" si="215"/>
        <v/>
      </c>
      <c r="DC156" s="453" t="str">
        <f t="shared" si="216"/>
        <v/>
      </c>
      <c r="DD156" s="451" t="str">
        <f t="shared" si="216"/>
        <v/>
      </c>
      <c r="DE156" s="452" t="str">
        <f t="shared" si="216"/>
        <v/>
      </c>
      <c r="DF156" s="452" t="str">
        <f t="shared" si="216"/>
        <v/>
      </c>
      <c r="DG156" s="452" t="str">
        <f t="shared" si="216"/>
        <v/>
      </c>
      <c r="DH156" s="453" t="str">
        <f t="shared" si="216"/>
        <v/>
      </c>
      <c r="DI156" s="451" t="str">
        <f t="shared" si="216"/>
        <v/>
      </c>
      <c r="DJ156" s="452" t="str">
        <f t="shared" si="216"/>
        <v/>
      </c>
      <c r="DK156" s="452" t="str">
        <f t="shared" si="216"/>
        <v/>
      </c>
      <c r="DL156" s="452" t="str">
        <f t="shared" si="216"/>
        <v/>
      </c>
      <c r="DM156" s="453" t="str">
        <f t="shared" si="216"/>
        <v/>
      </c>
      <c r="DN156" s="451" t="str">
        <f t="shared" si="216"/>
        <v/>
      </c>
      <c r="DO156" s="452" t="str">
        <f t="shared" si="216"/>
        <v/>
      </c>
      <c r="DP156" s="452" t="str">
        <f t="shared" si="216"/>
        <v/>
      </c>
      <c r="DQ156" s="452" t="str">
        <f t="shared" si="216"/>
        <v/>
      </c>
      <c r="DR156" s="453" t="str">
        <f t="shared" si="216"/>
        <v/>
      </c>
      <c r="DS156" s="451" t="str">
        <f t="shared" si="222"/>
        <v/>
      </c>
      <c r="DT156" s="452" t="str">
        <f t="shared" si="222"/>
        <v/>
      </c>
      <c r="DU156" s="452" t="str">
        <f t="shared" si="222"/>
        <v/>
      </c>
      <c r="DV156" s="452" t="str">
        <f t="shared" si="222"/>
        <v/>
      </c>
      <c r="DW156" s="453" t="str">
        <f t="shared" si="222"/>
        <v/>
      </c>
      <c r="DX156" s="451" t="str">
        <f t="shared" si="222"/>
        <v/>
      </c>
      <c r="DY156" s="452" t="str">
        <f t="shared" si="222"/>
        <v/>
      </c>
      <c r="DZ156" s="452" t="str">
        <f t="shared" si="222"/>
        <v/>
      </c>
      <c r="EA156" s="452" t="str">
        <f t="shared" si="222"/>
        <v/>
      </c>
      <c r="EB156" s="453" t="str">
        <f t="shared" si="222"/>
        <v/>
      </c>
      <c r="EC156" s="451" t="str">
        <f t="shared" si="222"/>
        <v/>
      </c>
      <c r="ED156" s="452" t="str">
        <f t="shared" si="222"/>
        <v/>
      </c>
      <c r="EE156" s="452" t="str">
        <f t="shared" si="222"/>
        <v/>
      </c>
      <c r="EF156" s="452" t="str">
        <f t="shared" si="222"/>
        <v/>
      </c>
      <c r="EG156" s="453" t="str">
        <f t="shared" si="222"/>
        <v/>
      </c>
      <c r="EH156" s="451" t="str">
        <f t="shared" si="222"/>
        <v/>
      </c>
      <c r="EI156" s="452" t="str">
        <f t="shared" si="229"/>
        <v/>
      </c>
      <c r="EJ156" s="452" t="str">
        <f t="shared" si="229"/>
        <v/>
      </c>
      <c r="EK156" s="452" t="str">
        <f t="shared" si="229"/>
        <v/>
      </c>
      <c r="EL156" s="453" t="str">
        <f t="shared" si="229"/>
        <v/>
      </c>
      <c r="EM156" s="451" t="str">
        <f t="shared" si="229"/>
        <v/>
      </c>
      <c r="EN156" s="452" t="str">
        <f t="shared" si="229"/>
        <v/>
      </c>
      <c r="EO156" s="452" t="str">
        <f t="shared" si="229"/>
        <v/>
      </c>
      <c r="EP156" s="452" t="str">
        <f t="shared" si="229"/>
        <v/>
      </c>
      <c r="EQ156" s="453" t="str">
        <f t="shared" si="229"/>
        <v/>
      </c>
      <c r="ER156" s="451" t="str">
        <f t="shared" si="229"/>
        <v/>
      </c>
      <c r="ES156" s="452" t="str">
        <f t="shared" si="229"/>
        <v/>
      </c>
      <c r="ET156" s="452" t="str">
        <f t="shared" si="229"/>
        <v/>
      </c>
      <c r="EU156" s="452" t="str">
        <f t="shared" si="229"/>
        <v/>
      </c>
      <c r="EV156" s="453" t="str">
        <f t="shared" si="229"/>
        <v/>
      </c>
      <c r="EW156" s="451" t="str">
        <f t="shared" si="229"/>
        <v/>
      </c>
      <c r="EX156" s="452" t="str">
        <f t="shared" si="229"/>
        <v/>
      </c>
      <c r="EY156" s="452" t="str">
        <f t="shared" si="230"/>
        <v/>
      </c>
      <c r="EZ156" s="452" t="str">
        <f t="shared" si="230"/>
        <v/>
      </c>
      <c r="FA156" s="453" t="str">
        <f t="shared" si="230"/>
        <v/>
      </c>
      <c r="FB156" s="451" t="str">
        <f t="shared" si="230"/>
        <v/>
      </c>
      <c r="FC156" s="452" t="str">
        <f t="shared" si="230"/>
        <v/>
      </c>
      <c r="FD156" s="452" t="str">
        <f t="shared" si="230"/>
        <v/>
      </c>
      <c r="FE156" s="452" t="str">
        <f t="shared" si="230"/>
        <v/>
      </c>
      <c r="FF156" s="453" t="str">
        <f t="shared" si="230"/>
        <v/>
      </c>
      <c r="FG156" s="451" t="str">
        <f t="shared" si="230"/>
        <v/>
      </c>
      <c r="FH156" s="452" t="str">
        <f t="shared" si="230"/>
        <v/>
      </c>
      <c r="FI156" s="452" t="str">
        <f t="shared" si="230"/>
        <v/>
      </c>
      <c r="FJ156" s="452" t="str">
        <f t="shared" si="230"/>
        <v/>
      </c>
      <c r="FK156" s="453" t="str">
        <f t="shared" si="230"/>
        <v/>
      </c>
      <c r="FL156" s="451" t="str">
        <f t="shared" si="230"/>
        <v/>
      </c>
      <c r="FM156" s="452" t="str">
        <f t="shared" si="230"/>
        <v/>
      </c>
      <c r="FN156" s="452" t="str">
        <f t="shared" si="230"/>
        <v/>
      </c>
      <c r="FO156" s="452" t="str">
        <f t="shared" si="227"/>
        <v/>
      </c>
      <c r="FP156" s="453" t="str">
        <f t="shared" si="227"/>
        <v/>
      </c>
      <c r="FQ156" s="451" t="str">
        <f t="shared" si="227"/>
        <v/>
      </c>
      <c r="FR156" s="452" t="str">
        <f t="shared" si="227"/>
        <v/>
      </c>
      <c r="FS156" s="452" t="str">
        <f t="shared" si="227"/>
        <v/>
      </c>
      <c r="FT156" s="452" t="str">
        <f t="shared" si="227"/>
        <v/>
      </c>
      <c r="FU156" s="453" t="str">
        <f t="shared" si="227"/>
        <v/>
      </c>
      <c r="FV156" s="451" t="str">
        <f t="shared" si="227"/>
        <v/>
      </c>
      <c r="FW156" s="452" t="str">
        <f t="shared" si="227"/>
        <v/>
      </c>
      <c r="FX156" s="452" t="str">
        <f t="shared" si="227"/>
        <v/>
      </c>
      <c r="FY156" s="452" t="str">
        <f t="shared" si="227"/>
        <v/>
      </c>
      <c r="FZ156" s="453" t="str">
        <f t="shared" si="227"/>
        <v/>
      </c>
      <c r="GA156" s="451" t="str">
        <f t="shared" si="227"/>
        <v/>
      </c>
      <c r="GB156" s="452" t="str">
        <f t="shared" si="227"/>
        <v/>
      </c>
      <c r="GC156" s="452" t="str">
        <f t="shared" si="227"/>
        <v/>
      </c>
      <c r="GD156" s="452" t="str">
        <f t="shared" si="227"/>
        <v/>
      </c>
      <c r="GE156" s="453" t="str">
        <f t="shared" si="234"/>
        <v/>
      </c>
      <c r="GF156" s="451" t="str">
        <f t="shared" si="234"/>
        <v/>
      </c>
      <c r="GG156" s="452" t="str">
        <f t="shared" si="234"/>
        <v/>
      </c>
      <c r="GH156" s="452" t="str">
        <f t="shared" si="234"/>
        <v/>
      </c>
      <c r="GI156" s="452" t="str">
        <f t="shared" si="234"/>
        <v/>
      </c>
      <c r="GJ156" s="453" t="str">
        <f t="shared" si="234"/>
        <v/>
      </c>
      <c r="GK156" s="451" t="str">
        <f t="shared" si="234"/>
        <v/>
      </c>
      <c r="GL156" s="452" t="str">
        <f t="shared" si="234"/>
        <v/>
      </c>
      <c r="GM156" s="452" t="str">
        <f t="shared" si="234"/>
        <v/>
      </c>
      <c r="GN156" s="452" t="str">
        <f t="shared" si="234"/>
        <v/>
      </c>
      <c r="GO156" s="453" t="str">
        <f t="shared" si="234"/>
        <v/>
      </c>
      <c r="GP156" s="451" t="str">
        <f t="shared" si="234"/>
        <v/>
      </c>
      <c r="GQ156" s="452" t="str">
        <f t="shared" si="234"/>
        <v/>
      </c>
      <c r="GR156" s="452" t="str">
        <f t="shared" si="234"/>
        <v/>
      </c>
      <c r="GS156" s="452" t="str">
        <f t="shared" si="234"/>
        <v/>
      </c>
      <c r="GT156" s="453" t="str">
        <f t="shared" si="234"/>
        <v/>
      </c>
      <c r="GU156" s="451" t="str">
        <f t="shared" si="231"/>
        <v/>
      </c>
      <c r="GV156" s="452" t="str">
        <f t="shared" si="231"/>
        <v/>
      </c>
      <c r="GW156" s="452" t="str">
        <f t="shared" si="228"/>
        <v/>
      </c>
      <c r="GX156" s="452" t="str">
        <f t="shared" si="228"/>
        <v/>
      </c>
      <c r="GY156" s="453" t="str">
        <f t="shared" si="228"/>
        <v/>
      </c>
      <c r="GZ156" s="451" t="str">
        <f t="shared" si="228"/>
        <v/>
      </c>
      <c r="HA156" s="452" t="str">
        <f t="shared" si="228"/>
        <v/>
      </c>
      <c r="HB156" s="452" t="str">
        <f t="shared" si="228"/>
        <v/>
      </c>
      <c r="HC156" s="452" t="str">
        <f t="shared" si="228"/>
        <v/>
      </c>
      <c r="HD156" s="453" t="str">
        <f t="shared" si="228"/>
        <v/>
      </c>
      <c r="HE156" s="451" t="str">
        <f t="shared" si="228"/>
        <v/>
      </c>
      <c r="HF156" s="452" t="str">
        <f t="shared" si="228"/>
        <v/>
      </c>
      <c r="HG156" s="452" t="str">
        <f t="shared" si="228"/>
        <v/>
      </c>
      <c r="HH156" s="452" t="str">
        <f t="shared" si="228"/>
        <v/>
      </c>
      <c r="HI156" s="453" t="str">
        <f t="shared" si="228"/>
        <v/>
      </c>
      <c r="HJ156" s="451" t="str">
        <f t="shared" si="228"/>
        <v/>
      </c>
      <c r="HK156" s="452" t="str">
        <f t="shared" si="228"/>
        <v/>
      </c>
      <c r="HL156" s="452" t="str">
        <f t="shared" si="228"/>
        <v/>
      </c>
      <c r="HM156" s="452" t="str">
        <f t="shared" si="228"/>
        <v/>
      </c>
      <c r="HN156" s="453" t="str">
        <f t="shared" si="232"/>
        <v/>
      </c>
      <c r="HO156" s="451" t="str">
        <f t="shared" si="232"/>
        <v/>
      </c>
      <c r="HP156" s="452" t="str">
        <f t="shared" si="232"/>
        <v/>
      </c>
      <c r="HQ156" s="452" t="str">
        <f t="shared" si="232"/>
        <v/>
      </c>
      <c r="HR156" s="452" t="str">
        <f t="shared" si="232"/>
        <v/>
      </c>
      <c r="HS156" s="453" t="str">
        <f t="shared" si="232"/>
        <v/>
      </c>
      <c r="HT156" s="451" t="str">
        <f t="shared" si="232"/>
        <v/>
      </c>
      <c r="HU156" s="452" t="str">
        <f t="shared" si="232"/>
        <v/>
      </c>
      <c r="HV156" s="452" t="str">
        <f t="shared" si="232"/>
        <v/>
      </c>
      <c r="HW156" s="452" t="str">
        <f t="shared" si="232"/>
        <v/>
      </c>
      <c r="HX156" s="453" t="str">
        <f t="shared" si="232"/>
        <v/>
      </c>
      <c r="HY156" s="451" t="str">
        <f t="shared" si="232"/>
        <v/>
      </c>
      <c r="HZ156" s="452" t="str">
        <f t="shared" si="232"/>
        <v/>
      </c>
      <c r="IA156" s="452" t="str">
        <f t="shared" si="213"/>
        <v/>
      </c>
      <c r="IB156" s="452" t="str">
        <f t="shared" si="213"/>
        <v/>
      </c>
      <c r="IC156" s="453" t="str">
        <f t="shared" si="213"/>
        <v/>
      </c>
      <c r="ID156" s="451" t="str">
        <f t="shared" si="213"/>
        <v/>
      </c>
      <c r="IE156" s="452" t="str">
        <f t="shared" si="213"/>
        <v/>
      </c>
      <c r="IF156" s="452" t="str">
        <f t="shared" si="213"/>
        <v/>
      </c>
      <c r="IG156" s="452" t="str">
        <f t="shared" si="213"/>
        <v/>
      </c>
      <c r="IH156" s="453" t="str">
        <f t="shared" si="213"/>
        <v/>
      </c>
      <c r="II156" s="451" t="str">
        <f t="shared" si="213"/>
        <v/>
      </c>
      <c r="IJ156" s="452" t="str">
        <f t="shared" si="213"/>
        <v/>
      </c>
      <c r="IK156" s="452" t="str">
        <f t="shared" si="213"/>
        <v/>
      </c>
      <c r="IL156" s="452" t="str">
        <f t="shared" si="213"/>
        <v/>
      </c>
      <c r="IM156" s="453" t="str">
        <f t="shared" si="213"/>
        <v/>
      </c>
      <c r="IN156" s="451" t="str">
        <f t="shared" si="213"/>
        <v/>
      </c>
      <c r="IO156" s="452" t="str">
        <f t="shared" si="213"/>
        <v/>
      </c>
      <c r="IP156" s="452" t="str">
        <f t="shared" si="213"/>
        <v/>
      </c>
      <c r="IQ156" s="452" t="str">
        <f t="shared" si="214"/>
        <v/>
      </c>
      <c r="IR156" s="453" t="str">
        <f t="shared" si="214"/>
        <v/>
      </c>
    </row>
    <row r="157" spans="1:252" x14ac:dyDescent="0.2">
      <c r="A157" s="462">
        <v>14.1</v>
      </c>
      <c r="B157" s="463"/>
      <c r="C157" s="464" t="s">
        <v>1360</v>
      </c>
      <c r="D157" s="464"/>
      <c r="E157" s="465"/>
      <c r="F157" s="465"/>
      <c r="G157" s="465"/>
      <c r="H157" s="465"/>
      <c r="I157" s="466"/>
      <c r="J157" s="467" t="str">
        <f t="shared" si="224"/>
        <v/>
      </c>
      <c r="K157" s="467" t="str">
        <f t="shared" si="225"/>
        <v/>
      </c>
      <c r="L157" s="468">
        <f t="shared" si="223"/>
        <v>0</v>
      </c>
      <c r="M157" s="469" t="str">
        <f t="shared" si="235"/>
        <v/>
      </c>
      <c r="N157" s="470" t="str">
        <f t="shared" si="235"/>
        <v/>
      </c>
      <c r="O157" s="470" t="str">
        <f t="shared" si="235"/>
        <v/>
      </c>
      <c r="P157" s="470" t="str">
        <f t="shared" si="235"/>
        <v/>
      </c>
      <c r="Q157" s="471" t="str">
        <f t="shared" si="235"/>
        <v/>
      </c>
      <c r="R157" s="469" t="str">
        <f t="shared" si="235"/>
        <v/>
      </c>
      <c r="S157" s="470" t="str">
        <f t="shared" si="235"/>
        <v/>
      </c>
      <c r="T157" s="470" t="str">
        <f t="shared" si="235"/>
        <v/>
      </c>
      <c r="U157" s="470" t="str">
        <f t="shared" si="235"/>
        <v/>
      </c>
      <c r="V157" s="471" t="str">
        <f t="shared" si="235"/>
        <v/>
      </c>
      <c r="W157" s="469" t="str">
        <f t="shared" si="235"/>
        <v/>
      </c>
      <c r="X157" s="470" t="str">
        <f t="shared" si="235"/>
        <v/>
      </c>
      <c r="Y157" s="470" t="str">
        <f t="shared" si="235"/>
        <v/>
      </c>
      <c r="Z157" s="470" t="str">
        <f t="shared" si="235"/>
        <v/>
      </c>
      <c r="AA157" s="471" t="str">
        <f t="shared" si="235"/>
        <v/>
      </c>
      <c r="AB157" s="469" t="str">
        <f t="shared" si="235"/>
        <v/>
      </c>
      <c r="AC157" s="470" t="str">
        <f t="shared" si="221"/>
        <v/>
      </c>
      <c r="AD157" s="470" t="str">
        <f t="shared" si="221"/>
        <v/>
      </c>
      <c r="AE157" s="470" t="str">
        <f t="shared" si="221"/>
        <v/>
      </c>
      <c r="AF157" s="471" t="str">
        <f t="shared" si="221"/>
        <v/>
      </c>
      <c r="AG157" s="469" t="str">
        <f t="shared" si="221"/>
        <v/>
      </c>
      <c r="AH157" s="470" t="str">
        <f t="shared" si="221"/>
        <v/>
      </c>
      <c r="AI157" s="470" t="str">
        <f t="shared" si="221"/>
        <v/>
      </c>
      <c r="AJ157" s="470" t="str">
        <f t="shared" si="221"/>
        <v/>
      </c>
      <c r="AK157" s="471" t="str">
        <f t="shared" si="221"/>
        <v/>
      </c>
      <c r="AL157" s="469" t="str">
        <f t="shared" si="221"/>
        <v/>
      </c>
      <c r="AM157" s="470" t="str">
        <f t="shared" si="221"/>
        <v/>
      </c>
      <c r="AN157" s="470" t="str">
        <f t="shared" si="221"/>
        <v/>
      </c>
      <c r="AO157" s="470" t="str">
        <f t="shared" si="221"/>
        <v/>
      </c>
      <c r="AP157" s="471" t="str">
        <f t="shared" si="221"/>
        <v/>
      </c>
      <c r="AQ157" s="469" t="str">
        <f t="shared" si="221"/>
        <v/>
      </c>
      <c r="AR157" s="470" t="str">
        <f t="shared" si="221"/>
        <v/>
      </c>
      <c r="AS157" s="470" t="str">
        <f t="shared" si="217"/>
        <v/>
      </c>
      <c r="AT157" s="470" t="str">
        <f t="shared" si="217"/>
        <v/>
      </c>
      <c r="AU157" s="471" t="str">
        <f t="shared" si="217"/>
        <v/>
      </c>
      <c r="AV157" s="469" t="str">
        <f t="shared" si="217"/>
        <v/>
      </c>
      <c r="AW157" s="470" t="str">
        <f t="shared" si="217"/>
        <v/>
      </c>
      <c r="AX157" s="470" t="str">
        <f t="shared" si="217"/>
        <v/>
      </c>
      <c r="AY157" s="470" t="str">
        <f t="shared" si="217"/>
        <v/>
      </c>
      <c r="AZ157" s="471" t="str">
        <f t="shared" si="217"/>
        <v/>
      </c>
      <c r="BA157" s="469" t="str">
        <f t="shared" si="217"/>
        <v/>
      </c>
      <c r="BB157" s="470" t="str">
        <f t="shared" si="217"/>
        <v/>
      </c>
      <c r="BC157" s="470" t="str">
        <f t="shared" si="217"/>
        <v/>
      </c>
      <c r="BD157" s="470" t="str">
        <f t="shared" si="217"/>
        <v/>
      </c>
      <c r="BE157" s="471" t="str">
        <f t="shared" si="217"/>
        <v/>
      </c>
      <c r="BF157" s="469" t="str">
        <f t="shared" si="217"/>
        <v/>
      </c>
      <c r="BG157" s="470" t="str">
        <f t="shared" si="217"/>
        <v/>
      </c>
      <c r="BH157" s="470" t="str">
        <f t="shared" si="218"/>
        <v/>
      </c>
      <c r="BI157" s="470" t="str">
        <f t="shared" si="218"/>
        <v/>
      </c>
      <c r="BJ157" s="471" t="str">
        <f t="shared" si="218"/>
        <v/>
      </c>
      <c r="BK157" s="469" t="str">
        <f t="shared" si="218"/>
        <v/>
      </c>
      <c r="BL157" s="470" t="str">
        <f t="shared" si="218"/>
        <v/>
      </c>
      <c r="BM157" s="470" t="str">
        <f t="shared" si="218"/>
        <v/>
      </c>
      <c r="BN157" s="470" t="str">
        <f t="shared" si="218"/>
        <v/>
      </c>
      <c r="BO157" s="471" t="str">
        <f t="shared" si="218"/>
        <v/>
      </c>
      <c r="BP157" s="469" t="str">
        <f t="shared" si="218"/>
        <v/>
      </c>
      <c r="BQ157" s="470" t="str">
        <f t="shared" si="218"/>
        <v/>
      </c>
      <c r="BR157" s="470" t="str">
        <f t="shared" si="218"/>
        <v/>
      </c>
      <c r="BS157" s="470" t="str">
        <f t="shared" si="218"/>
        <v/>
      </c>
      <c r="BT157" s="471" t="str">
        <f t="shared" si="218"/>
        <v/>
      </c>
      <c r="BU157" s="469" t="str">
        <f t="shared" si="218"/>
        <v/>
      </c>
      <c r="BV157" s="470" t="str">
        <f t="shared" si="218"/>
        <v/>
      </c>
      <c r="BW157" s="470" t="str">
        <f t="shared" si="218"/>
        <v/>
      </c>
      <c r="BX157" s="470" t="str">
        <f t="shared" si="219"/>
        <v/>
      </c>
      <c r="BY157" s="471" t="str">
        <f t="shared" si="219"/>
        <v/>
      </c>
      <c r="BZ157" s="469" t="str">
        <f t="shared" si="219"/>
        <v/>
      </c>
      <c r="CA157" s="470" t="str">
        <f t="shared" si="219"/>
        <v/>
      </c>
      <c r="CB157" s="470" t="str">
        <f t="shared" si="219"/>
        <v/>
      </c>
      <c r="CC157" s="470" t="str">
        <f t="shared" si="219"/>
        <v/>
      </c>
      <c r="CD157" s="471" t="str">
        <f t="shared" si="219"/>
        <v/>
      </c>
      <c r="CE157" s="469" t="str">
        <f t="shared" si="219"/>
        <v/>
      </c>
      <c r="CF157" s="470" t="str">
        <f t="shared" si="219"/>
        <v/>
      </c>
      <c r="CG157" s="470" t="str">
        <f t="shared" si="219"/>
        <v/>
      </c>
      <c r="CH157" s="470" t="str">
        <f t="shared" si="219"/>
        <v/>
      </c>
      <c r="CI157" s="471" t="str">
        <f t="shared" si="219"/>
        <v/>
      </c>
      <c r="CJ157" s="469" t="str">
        <f t="shared" si="219"/>
        <v/>
      </c>
      <c r="CK157" s="470" t="str">
        <f t="shared" si="219"/>
        <v/>
      </c>
      <c r="CL157" s="470" t="str">
        <f t="shared" si="219"/>
        <v/>
      </c>
      <c r="CM157" s="470" t="str">
        <f t="shared" si="219"/>
        <v/>
      </c>
      <c r="CN157" s="471" t="str">
        <f t="shared" si="215"/>
        <v/>
      </c>
      <c r="CO157" s="469" t="str">
        <f t="shared" si="215"/>
        <v/>
      </c>
      <c r="CP157" s="470" t="str">
        <f t="shared" si="215"/>
        <v/>
      </c>
      <c r="CQ157" s="470" t="str">
        <f t="shared" si="215"/>
        <v/>
      </c>
      <c r="CR157" s="470" t="str">
        <f t="shared" si="215"/>
        <v/>
      </c>
      <c r="CS157" s="471" t="str">
        <f t="shared" si="215"/>
        <v/>
      </c>
      <c r="CT157" s="469" t="str">
        <f t="shared" si="215"/>
        <v/>
      </c>
      <c r="CU157" s="470" t="str">
        <f t="shared" si="215"/>
        <v/>
      </c>
      <c r="CV157" s="470" t="str">
        <f t="shared" si="215"/>
        <v/>
      </c>
      <c r="CW157" s="470" t="str">
        <f t="shared" si="215"/>
        <v/>
      </c>
      <c r="CX157" s="471" t="str">
        <f t="shared" si="215"/>
        <v/>
      </c>
      <c r="CY157" s="469" t="str">
        <f t="shared" si="215"/>
        <v/>
      </c>
      <c r="CZ157" s="470" t="str">
        <f t="shared" si="215"/>
        <v/>
      </c>
      <c r="DA157" s="470" t="str">
        <f t="shared" si="215"/>
        <v/>
      </c>
      <c r="DB157" s="470" t="str">
        <f t="shared" si="215"/>
        <v/>
      </c>
      <c r="DC157" s="471" t="str">
        <f t="shared" si="216"/>
        <v/>
      </c>
      <c r="DD157" s="469" t="str">
        <f t="shared" si="216"/>
        <v/>
      </c>
      <c r="DE157" s="470" t="str">
        <f t="shared" si="216"/>
        <v/>
      </c>
      <c r="DF157" s="470" t="str">
        <f t="shared" si="216"/>
        <v/>
      </c>
      <c r="DG157" s="470" t="str">
        <f t="shared" si="216"/>
        <v/>
      </c>
      <c r="DH157" s="471" t="str">
        <f t="shared" si="216"/>
        <v/>
      </c>
      <c r="DI157" s="469" t="str">
        <f t="shared" si="216"/>
        <v/>
      </c>
      <c r="DJ157" s="470" t="str">
        <f t="shared" si="216"/>
        <v/>
      </c>
      <c r="DK157" s="470" t="str">
        <f t="shared" si="216"/>
        <v/>
      </c>
      <c r="DL157" s="470" t="str">
        <f t="shared" si="216"/>
        <v/>
      </c>
      <c r="DM157" s="471" t="str">
        <f t="shared" si="216"/>
        <v/>
      </c>
      <c r="DN157" s="469" t="str">
        <f t="shared" si="216"/>
        <v/>
      </c>
      <c r="DO157" s="470" t="str">
        <f t="shared" si="216"/>
        <v/>
      </c>
      <c r="DP157" s="470" t="str">
        <f t="shared" si="216"/>
        <v/>
      </c>
      <c r="DQ157" s="470" t="str">
        <f t="shared" si="216"/>
        <v/>
      </c>
      <c r="DR157" s="471" t="str">
        <f t="shared" si="216"/>
        <v/>
      </c>
      <c r="DS157" s="469" t="str">
        <f t="shared" si="222"/>
        <v/>
      </c>
      <c r="DT157" s="470" t="str">
        <f t="shared" si="222"/>
        <v/>
      </c>
      <c r="DU157" s="470" t="str">
        <f t="shared" si="222"/>
        <v/>
      </c>
      <c r="DV157" s="470" t="str">
        <f t="shared" si="222"/>
        <v/>
      </c>
      <c r="DW157" s="471" t="str">
        <f t="shared" si="222"/>
        <v/>
      </c>
      <c r="DX157" s="469" t="str">
        <f t="shared" si="222"/>
        <v/>
      </c>
      <c r="DY157" s="470" t="str">
        <f t="shared" si="222"/>
        <v/>
      </c>
      <c r="DZ157" s="470" t="str">
        <f t="shared" si="222"/>
        <v/>
      </c>
      <c r="EA157" s="470" t="str">
        <f t="shared" si="222"/>
        <v/>
      </c>
      <c r="EB157" s="471" t="str">
        <f t="shared" si="222"/>
        <v/>
      </c>
      <c r="EC157" s="469" t="str">
        <f t="shared" si="222"/>
        <v/>
      </c>
      <c r="ED157" s="470" t="str">
        <f t="shared" si="222"/>
        <v/>
      </c>
      <c r="EE157" s="470" t="str">
        <f t="shared" si="222"/>
        <v/>
      </c>
      <c r="EF157" s="470" t="str">
        <f t="shared" si="222"/>
        <v/>
      </c>
      <c r="EG157" s="471" t="str">
        <f t="shared" si="222"/>
        <v/>
      </c>
      <c r="EH157" s="469" t="str">
        <f t="shared" si="222"/>
        <v/>
      </c>
      <c r="EI157" s="470" t="str">
        <f t="shared" si="229"/>
        <v/>
      </c>
      <c r="EJ157" s="470" t="str">
        <f t="shared" si="229"/>
        <v/>
      </c>
      <c r="EK157" s="470" t="str">
        <f t="shared" si="229"/>
        <v/>
      </c>
      <c r="EL157" s="471" t="str">
        <f t="shared" si="229"/>
        <v/>
      </c>
      <c r="EM157" s="469" t="str">
        <f t="shared" si="229"/>
        <v/>
      </c>
      <c r="EN157" s="470" t="str">
        <f t="shared" si="229"/>
        <v/>
      </c>
      <c r="EO157" s="470" t="str">
        <f t="shared" si="229"/>
        <v/>
      </c>
      <c r="EP157" s="470" t="str">
        <f t="shared" si="229"/>
        <v/>
      </c>
      <c r="EQ157" s="471" t="str">
        <f t="shared" si="229"/>
        <v/>
      </c>
      <c r="ER157" s="469" t="str">
        <f t="shared" si="229"/>
        <v/>
      </c>
      <c r="ES157" s="470" t="str">
        <f t="shared" si="229"/>
        <v/>
      </c>
      <c r="ET157" s="470" t="str">
        <f t="shared" si="229"/>
        <v/>
      </c>
      <c r="EU157" s="470" t="str">
        <f t="shared" si="229"/>
        <v/>
      </c>
      <c r="EV157" s="471" t="str">
        <f t="shared" si="229"/>
        <v/>
      </c>
      <c r="EW157" s="469" t="str">
        <f t="shared" si="229"/>
        <v/>
      </c>
      <c r="EX157" s="470" t="str">
        <f t="shared" si="229"/>
        <v/>
      </c>
      <c r="EY157" s="470" t="str">
        <f t="shared" si="230"/>
        <v/>
      </c>
      <c r="EZ157" s="470" t="str">
        <f t="shared" si="230"/>
        <v/>
      </c>
      <c r="FA157" s="471" t="str">
        <f t="shared" si="230"/>
        <v/>
      </c>
      <c r="FB157" s="469" t="str">
        <f t="shared" si="230"/>
        <v/>
      </c>
      <c r="FC157" s="470" t="str">
        <f t="shared" si="230"/>
        <v/>
      </c>
      <c r="FD157" s="470" t="str">
        <f t="shared" si="230"/>
        <v/>
      </c>
      <c r="FE157" s="470" t="str">
        <f t="shared" si="230"/>
        <v/>
      </c>
      <c r="FF157" s="471" t="str">
        <f t="shared" si="230"/>
        <v/>
      </c>
      <c r="FG157" s="469" t="str">
        <f t="shared" si="230"/>
        <v/>
      </c>
      <c r="FH157" s="470" t="str">
        <f t="shared" si="230"/>
        <v/>
      </c>
      <c r="FI157" s="470" t="str">
        <f t="shared" si="230"/>
        <v/>
      </c>
      <c r="FJ157" s="470" t="str">
        <f t="shared" si="230"/>
        <v/>
      </c>
      <c r="FK157" s="471" t="str">
        <f t="shared" si="230"/>
        <v/>
      </c>
      <c r="FL157" s="469" t="str">
        <f t="shared" si="230"/>
        <v/>
      </c>
      <c r="FM157" s="470" t="str">
        <f t="shared" si="230"/>
        <v/>
      </c>
      <c r="FN157" s="470" t="str">
        <f t="shared" si="230"/>
        <v/>
      </c>
      <c r="FO157" s="470" t="str">
        <f t="shared" si="227"/>
        <v/>
      </c>
      <c r="FP157" s="471" t="str">
        <f t="shared" si="227"/>
        <v/>
      </c>
      <c r="FQ157" s="469" t="str">
        <f t="shared" si="227"/>
        <v/>
      </c>
      <c r="FR157" s="470" t="str">
        <f t="shared" si="227"/>
        <v/>
      </c>
      <c r="FS157" s="470" t="str">
        <f t="shared" si="227"/>
        <v/>
      </c>
      <c r="FT157" s="470" t="str">
        <f t="shared" si="227"/>
        <v/>
      </c>
      <c r="FU157" s="471" t="str">
        <f t="shared" si="227"/>
        <v/>
      </c>
      <c r="FV157" s="469" t="str">
        <f t="shared" si="227"/>
        <v/>
      </c>
      <c r="FW157" s="470" t="str">
        <f t="shared" si="227"/>
        <v/>
      </c>
      <c r="FX157" s="470" t="str">
        <f t="shared" si="227"/>
        <v/>
      </c>
      <c r="FY157" s="470" t="str">
        <f t="shared" si="227"/>
        <v/>
      </c>
      <c r="FZ157" s="471" t="str">
        <f t="shared" si="227"/>
        <v/>
      </c>
      <c r="GA157" s="469" t="str">
        <f t="shared" si="227"/>
        <v/>
      </c>
      <c r="GB157" s="470" t="str">
        <f t="shared" si="227"/>
        <v/>
      </c>
      <c r="GC157" s="470" t="str">
        <f t="shared" si="227"/>
        <v/>
      </c>
      <c r="GD157" s="470" t="str">
        <f t="shared" si="227"/>
        <v/>
      </c>
      <c r="GE157" s="471" t="str">
        <f t="shared" si="234"/>
        <v/>
      </c>
      <c r="GF157" s="469" t="str">
        <f t="shared" si="234"/>
        <v/>
      </c>
      <c r="GG157" s="470" t="str">
        <f t="shared" si="234"/>
        <v/>
      </c>
      <c r="GH157" s="470" t="str">
        <f t="shared" si="234"/>
        <v/>
      </c>
      <c r="GI157" s="470" t="str">
        <f t="shared" si="234"/>
        <v/>
      </c>
      <c r="GJ157" s="471" t="str">
        <f t="shared" si="234"/>
        <v/>
      </c>
      <c r="GK157" s="469" t="str">
        <f t="shared" si="234"/>
        <v/>
      </c>
      <c r="GL157" s="470" t="str">
        <f t="shared" si="234"/>
        <v/>
      </c>
      <c r="GM157" s="470" t="str">
        <f t="shared" si="234"/>
        <v/>
      </c>
      <c r="GN157" s="470" t="str">
        <f t="shared" si="234"/>
        <v/>
      </c>
      <c r="GO157" s="471" t="str">
        <f t="shared" si="234"/>
        <v/>
      </c>
      <c r="GP157" s="469" t="str">
        <f t="shared" si="234"/>
        <v/>
      </c>
      <c r="GQ157" s="470" t="str">
        <f t="shared" si="234"/>
        <v/>
      </c>
      <c r="GR157" s="470" t="str">
        <f t="shared" si="234"/>
        <v/>
      </c>
      <c r="GS157" s="470" t="str">
        <f t="shared" si="234"/>
        <v/>
      </c>
      <c r="GT157" s="471" t="str">
        <f t="shared" si="234"/>
        <v/>
      </c>
      <c r="GU157" s="469" t="str">
        <f t="shared" si="231"/>
        <v/>
      </c>
      <c r="GV157" s="470" t="str">
        <f t="shared" si="231"/>
        <v/>
      </c>
      <c r="GW157" s="470" t="str">
        <f t="shared" si="228"/>
        <v/>
      </c>
      <c r="GX157" s="470" t="str">
        <f t="shared" si="228"/>
        <v/>
      </c>
      <c r="GY157" s="471" t="str">
        <f t="shared" si="228"/>
        <v/>
      </c>
      <c r="GZ157" s="469" t="str">
        <f t="shared" si="228"/>
        <v/>
      </c>
      <c r="HA157" s="470" t="str">
        <f t="shared" si="228"/>
        <v/>
      </c>
      <c r="HB157" s="470" t="str">
        <f t="shared" si="228"/>
        <v/>
      </c>
      <c r="HC157" s="470" t="str">
        <f t="shared" si="228"/>
        <v/>
      </c>
      <c r="HD157" s="471" t="str">
        <f t="shared" si="228"/>
        <v/>
      </c>
      <c r="HE157" s="469" t="str">
        <f t="shared" si="228"/>
        <v/>
      </c>
      <c r="HF157" s="470" t="str">
        <f t="shared" si="228"/>
        <v/>
      </c>
      <c r="HG157" s="470" t="str">
        <f t="shared" si="228"/>
        <v/>
      </c>
      <c r="HH157" s="470" t="str">
        <f t="shared" si="228"/>
        <v/>
      </c>
      <c r="HI157" s="471" t="str">
        <f t="shared" si="228"/>
        <v/>
      </c>
      <c r="HJ157" s="469" t="str">
        <f t="shared" si="228"/>
        <v/>
      </c>
      <c r="HK157" s="470" t="str">
        <f t="shared" si="228"/>
        <v/>
      </c>
      <c r="HL157" s="470" t="str">
        <f t="shared" si="228"/>
        <v/>
      </c>
      <c r="HM157" s="470" t="str">
        <f t="shared" si="228"/>
        <v/>
      </c>
      <c r="HN157" s="471" t="str">
        <f t="shared" si="232"/>
        <v/>
      </c>
      <c r="HO157" s="469" t="str">
        <f t="shared" si="232"/>
        <v/>
      </c>
      <c r="HP157" s="470" t="str">
        <f t="shared" si="232"/>
        <v/>
      </c>
      <c r="HQ157" s="470" t="str">
        <f t="shared" si="232"/>
        <v/>
      </c>
      <c r="HR157" s="470" t="str">
        <f t="shared" si="232"/>
        <v/>
      </c>
      <c r="HS157" s="471" t="str">
        <f t="shared" si="232"/>
        <v/>
      </c>
      <c r="HT157" s="469" t="str">
        <f t="shared" si="232"/>
        <v/>
      </c>
      <c r="HU157" s="470" t="str">
        <f t="shared" si="232"/>
        <v/>
      </c>
      <c r="HV157" s="470" t="str">
        <f t="shared" si="232"/>
        <v/>
      </c>
      <c r="HW157" s="470" t="str">
        <f t="shared" si="232"/>
        <v/>
      </c>
      <c r="HX157" s="471" t="str">
        <f t="shared" si="232"/>
        <v/>
      </c>
      <c r="HY157" s="469" t="str">
        <f t="shared" si="232"/>
        <v/>
      </c>
      <c r="HZ157" s="470" t="str">
        <f t="shared" si="232"/>
        <v/>
      </c>
      <c r="IA157" s="470" t="str">
        <f t="shared" si="213"/>
        <v/>
      </c>
      <c r="IB157" s="470" t="str">
        <f t="shared" si="213"/>
        <v/>
      </c>
      <c r="IC157" s="471" t="str">
        <f t="shared" si="213"/>
        <v/>
      </c>
      <c r="ID157" s="469" t="str">
        <f t="shared" si="213"/>
        <v/>
      </c>
      <c r="IE157" s="470" t="str">
        <f t="shared" si="213"/>
        <v/>
      </c>
      <c r="IF157" s="470" t="str">
        <f t="shared" si="213"/>
        <v/>
      </c>
      <c r="IG157" s="470" t="str">
        <f t="shared" si="213"/>
        <v/>
      </c>
      <c r="IH157" s="471" t="str">
        <f t="shared" si="213"/>
        <v/>
      </c>
      <c r="II157" s="469" t="str">
        <f t="shared" si="213"/>
        <v/>
      </c>
      <c r="IJ157" s="470" t="str">
        <f t="shared" si="213"/>
        <v/>
      </c>
      <c r="IK157" s="470" t="str">
        <f t="shared" si="213"/>
        <v/>
      </c>
      <c r="IL157" s="470" t="str">
        <f t="shared" si="213"/>
        <v/>
      </c>
      <c r="IM157" s="471" t="str">
        <f t="shared" si="213"/>
        <v/>
      </c>
      <c r="IN157" s="469" t="str">
        <f t="shared" si="213"/>
        <v/>
      </c>
      <c r="IO157" s="470" t="str">
        <f t="shared" si="213"/>
        <v/>
      </c>
      <c r="IP157" s="470" t="str">
        <f t="shared" si="213"/>
        <v/>
      </c>
      <c r="IQ157" s="470" t="str">
        <f t="shared" si="214"/>
        <v/>
      </c>
      <c r="IR157" s="471" t="str">
        <f t="shared" si="214"/>
        <v/>
      </c>
    </row>
    <row r="158" spans="1:252" x14ac:dyDescent="0.2">
      <c r="A158" s="455">
        <v>15</v>
      </c>
      <c r="B158" s="456"/>
      <c r="C158" s="456" t="str">
        <f>Breakdown!$A23</f>
        <v/>
      </c>
      <c r="D158" s="457"/>
      <c r="E158" s="437" t="str">
        <f>IF(E159="","",MIN(E159:E168))</f>
        <v/>
      </c>
      <c r="F158" s="437" t="str">
        <f>IF(F159="","",MAX(F159:F168))</f>
        <v/>
      </c>
      <c r="G158" s="437"/>
      <c r="H158" s="437"/>
      <c r="I158" s="458"/>
      <c r="J158" s="459">
        <f>MIN(J159:J168)</f>
        <v>0</v>
      </c>
      <c r="K158" s="459">
        <f>MAX(K159:K168)</f>
        <v>0</v>
      </c>
      <c r="L158" s="460">
        <f t="shared" ref="L158:L168" si="236">SUM(M158:IR158)</f>
        <v>0</v>
      </c>
      <c r="M158" s="451" t="str">
        <f t="shared" si="235"/>
        <v/>
      </c>
      <c r="N158" s="452" t="str">
        <f t="shared" si="235"/>
        <v/>
      </c>
      <c r="O158" s="452" t="str">
        <f t="shared" si="235"/>
        <v/>
      </c>
      <c r="P158" s="452" t="str">
        <f t="shared" si="235"/>
        <v/>
      </c>
      <c r="Q158" s="453" t="str">
        <f t="shared" si="235"/>
        <v/>
      </c>
      <c r="R158" s="451" t="str">
        <f t="shared" si="235"/>
        <v/>
      </c>
      <c r="S158" s="452" t="str">
        <f t="shared" si="235"/>
        <v/>
      </c>
      <c r="T158" s="452" t="str">
        <f t="shared" si="235"/>
        <v/>
      </c>
      <c r="U158" s="452" t="str">
        <f t="shared" si="235"/>
        <v/>
      </c>
      <c r="V158" s="453" t="str">
        <f t="shared" si="235"/>
        <v/>
      </c>
      <c r="W158" s="451" t="str">
        <f t="shared" si="235"/>
        <v/>
      </c>
      <c r="X158" s="452" t="str">
        <f t="shared" si="235"/>
        <v/>
      </c>
      <c r="Y158" s="452" t="str">
        <f t="shared" si="235"/>
        <v/>
      </c>
      <c r="Z158" s="452" t="str">
        <f t="shared" si="235"/>
        <v/>
      </c>
      <c r="AA158" s="453" t="str">
        <f t="shared" si="235"/>
        <v/>
      </c>
      <c r="AB158" s="451" t="str">
        <f t="shared" si="235"/>
        <v/>
      </c>
      <c r="AC158" s="452" t="str">
        <f t="shared" si="221"/>
        <v/>
      </c>
      <c r="AD158" s="452" t="str">
        <f t="shared" si="221"/>
        <v/>
      </c>
      <c r="AE158" s="452" t="str">
        <f t="shared" si="221"/>
        <v/>
      </c>
      <c r="AF158" s="453" t="str">
        <f t="shared" si="221"/>
        <v/>
      </c>
      <c r="AG158" s="451" t="str">
        <f t="shared" si="221"/>
        <v/>
      </c>
      <c r="AH158" s="452" t="str">
        <f t="shared" si="221"/>
        <v/>
      </c>
      <c r="AI158" s="452" t="str">
        <f t="shared" si="221"/>
        <v/>
      </c>
      <c r="AJ158" s="452" t="str">
        <f t="shared" si="221"/>
        <v/>
      </c>
      <c r="AK158" s="453" t="str">
        <f t="shared" si="221"/>
        <v/>
      </c>
      <c r="AL158" s="451" t="str">
        <f t="shared" si="221"/>
        <v/>
      </c>
      <c r="AM158" s="452" t="str">
        <f t="shared" si="221"/>
        <v/>
      </c>
      <c r="AN158" s="452" t="str">
        <f t="shared" si="221"/>
        <v/>
      </c>
      <c r="AO158" s="452" t="str">
        <f t="shared" si="221"/>
        <v/>
      </c>
      <c r="AP158" s="453" t="str">
        <f t="shared" si="221"/>
        <v/>
      </c>
      <c r="AQ158" s="451" t="str">
        <f t="shared" si="221"/>
        <v/>
      </c>
      <c r="AR158" s="452" t="str">
        <f t="shared" si="221"/>
        <v/>
      </c>
      <c r="AS158" s="452" t="str">
        <f t="shared" si="217"/>
        <v/>
      </c>
      <c r="AT158" s="452" t="str">
        <f t="shared" si="217"/>
        <v/>
      </c>
      <c r="AU158" s="453" t="str">
        <f t="shared" si="217"/>
        <v/>
      </c>
      <c r="AV158" s="451" t="str">
        <f t="shared" si="217"/>
        <v/>
      </c>
      <c r="AW158" s="452" t="str">
        <f t="shared" si="217"/>
        <v/>
      </c>
      <c r="AX158" s="452" t="str">
        <f t="shared" si="217"/>
        <v/>
      </c>
      <c r="AY158" s="452" t="str">
        <f t="shared" si="217"/>
        <v/>
      </c>
      <c r="AZ158" s="453" t="str">
        <f t="shared" si="217"/>
        <v/>
      </c>
      <c r="BA158" s="451" t="str">
        <f t="shared" si="217"/>
        <v/>
      </c>
      <c r="BB158" s="452" t="str">
        <f t="shared" si="217"/>
        <v/>
      </c>
      <c r="BC158" s="452" t="str">
        <f t="shared" si="217"/>
        <v/>
      </c>
      <c r="BD158" s="452" t="str">
        <f t="shared" si="217"/>
        <v/>
      </c>
      <c r="BE158" s="453" t="str">
        <f t="shared" si="217"/>
        <v/>
      </c>
      <c r="BF158" s="451" t="str">
        <f t="shared" si="217"/>
        <v/>
      </c>
      <c r="BG158" s="452" t="str">
        <f t="shared" si="217"/>
        <v/>
      </c>
      <c r="BH158" s="452" t="str">
        <f t="shared" si="218"/>
        <v/>
      </c>
      <c r="BI158" s="452" t="str">
        <f t="shared" si="218"/>
        <v/>
      </c>
      <c r="BJ158" s="453" t="str">
        <f t="shared" si="218"/>
        <v/>
      </c>
      <c r="BK158" s="451" t="str">
        <f t="shared" si="218"/>
        <v/>
      </c>
      <c r="BL158" s="452" t="str">
        <f t="shared" si="218"/>
        <v/>
      </c>
      <c r="BM158" s="452" t="str">
        <f t="shared" si="218"/>
        <v/>
      </c>
      <c r="BN158" s="452" t="str">
        <f t="shared" si="218"/>
        <v/>
      </c>
      <c r="BO158" s="453" t="str">
        <f t="shared" si="218"/>
        <v/>
      </c>
      <c r="BP158" s="451" t="str">
        <f t="shared" si="218"/>
        <v/>
      </c>
      <c r="BQ158" s="452" t="str">
        <f t="shared" si="218"/>
        <v/>
      </c>
      <c r="BR158" s="452" t="str">
        <f t="shared" si="218"/>
        <v/>
      </c>
      <c r="BS158" s="452" t="str">
        <f t="shared" si="218"/>
        <v/>
      </c>
      <c r="BT158" s="453" t="str">
        <f t="shared" si="218"/>
        <v/>
      </c>
      <c r="BU158" s="451" t="str">
        <f t="shared" si="218"/>
        <v/>
      </c>
      <c r="BV158" s="452" t="str">
        <f t="shared" si="218"/>
        <v/>
      </c>
      <c r="BW158" s="452" t="str">
        <f t="shared" si="218"/>
        <v/>
      </c>
      <c r="BX158" s="452" t="str">
        <f t="shared" si="219"/>
        <v/>
      </c>
      <c r="BY158" s="453" t="str">
        <f t="shared" si="219"/>
        <v/>
      </c>
      <c r="BZ158" s="451" t="str">
        <f t="shared" si="219"/>
        <v/>
      </c>
      <c r="CA158" s="452" t="str">
        <f t="shared" si="219"/>
        <v/>
      </c>
      <c r="CB158" s="452" t="str">
        <f t="shared" si="219"/>
        <v/>
      </c>
      <c r="CC158" s="452" t="str">
        <f t="shared" si="219"/>
        <v/>
      </c>
      <c r="CD158" s="453" t="str">
        <f t="shared" si="219"/>
        <v/>
      </c>
      <c r="CE158" s="451" t="str">
        <f t="shared" si="219"/>
        <v/>
      </c>
      <c r="CF158" s="452" t="str">
        <f t="shared" si="219"/>
        <v/>
      </c>
      <c r="CG158" s="452" t="str">
        <f t="shared" si="219"/>
        <v/>
      </c>
      <c r="CH158" s="452" t="str">
        <f t="shared" si="219"/>
        <v/>
      </c>
      <c r="CI158" s="453" t="str">
        <f t="shared" si="219"/>
        <v/>
      </c>
      <c r="CJ158" s="451" t="str">
        <f t="shared" si="219"/>
        <v/>
      </c>
      <c r="CK158" s="452" t="str">
        <f t="shared" si="219"/>
        <v/>
      </c>
      <c r="CL158" s="452" t="str">
        <f t="shared" si="219"/>
        <v/>
      </c>
      <c r="CM158" s="452" t="str">
        <f t="shared" si="219"/>
        <v/>
      </c>
      <c r="CN158" s="453" t="str">
        <f t="shared" si="215"/>
        <v/>
      </c>
      <c r="CO158" s="451" t="str">
        <f t="shared" si="215"/>
        <v/>
      </c>
      <c r="CP158" s="452" t="str">
        <f t="shared" si="215"/>
        <v/>
      </c>
      <c r="CQ158" s="452" t="str">
        <f t="shared" si="215"/>
        <v/>
      </c>
      <c r="CR158" s="452" t="str">
        <f t="shared" si="215"/>
        <v/>
      </c>
      <c r="CS158" s="453" t="str">
        <f t="shared" si="215"/>
        <v/>
      </c>
      <c r="CT158" s="451" t="str">
        <f t="shared" si="215"/>
        <v/>
      </c>
      <c r="CU158" s="452" t="str">
        <f t="shared" si="215"/>
        <v/>
      </c>
      <c r="CV158" s="452" t="str">
        <f t="shared" si="215"/>
        <v/>
      </c>
      <c r="CW158" s="452" t="str">
        <f t="shared" si="215"/>
        <v/>
      </c>
      <c r="CX158" s="453" t="str">
        <f t="shared" si="215"/>
        <v/>
      </c>
      <c r="CY158" s="451" t="str">
        <f t="shared" si="215"/>
        <v/>
      </c>
      <c r="CZ158" s="452" t="str">
        <f t="shared" si="215"/>
        <v/>
      </c>
      <c r="DA158" s="452" t="str">
        <f t="shared" si="215"/>
        <v/>
      </c>
      <c r="DB158" s="452" t="str">
        <f t="shared" si="215"/>
        <v/>
      </c>
      <c r="DC158" s="453" t="str">
        <f t="shared" si="216"/>
        <v/>
      </c>
      <c r="DD158" s="451" t="str">
        <f t="shared" si="216"/>
        <v/>
      </c>
      <c r="DE158" s="452" t="str">
        <f t="shared" si="216"/>
        <v/>
      </c>
      <c r="DF158" s="452" t="str">
        <f t="shared" si="216"/>
        <v/>
      </c>
      <c r="DG158" s="452" t="str">
        <f t="shared" si="216"/>
        <v/>
      </c>
      <c r="DH158" s="453" t="str">
        <f t="shared" si="216"/>
        <v/>
      </c>
      <c r="DI158" s="451" t="str">
        <f t="shared" si="216"/>
        <v/>
      </c>
      <c r="DJ158" s="452" t="str">
        <f t="shared" si="216"/>
        <v/>
      </c>
      <c r="DK158" s="452" t="str">
        <f t="shared" si="216"/>
        <v/>
      </c>
      <c r="DL158" s="452" t="str">
        <f t="shared" si="216"/>
        <v/>
      </c>
      <c r="DM158" s="453" t="str">
        <f t="shared" si="216"/>
        <v/>
      </c>
      <c r="DN158" s="451" t="str">
        <f t="shared" si="216"/>
        <v/>
      </c>
      <c r="DO158" s="452" t="str">
        <f t="shared" si="216"/>
        <v/>
      </c>
      <c r="DP158" s="452" t="str">
        <f t="shared" si="216"/>
        <v/>
      </c>
      <c r="DQ158" s="452" t="str">
        <f t="shared" si="216"/>
        <v/>
      </c>
      <c r="DR158" s="453" t="str">
        <f t="shared" si="216"/>
        <v/>
      </c>
      <c r="DS158" s="451" t="str">
        <f t="shared" si="222"/>
        <v/>
      </c>
      <c r="DT158" s="452" t="str">
        <f t="shared" si="222"/>
        <v/>
      </c>
      <c r="DU158" s="452" t="str">
        <f t="shared" si="222"/>
        <v/>
      </c>
      <c r="DV158" s="452" t="str">
        <f t="shared" si="222"/>
        <v/>
      </c>
      <c r="DW158" s="453" t="str">
        <f t="shared" si="222"/>
        <v/>
      </c>
      <c r="DX158" s="451" t="str">
        <f t="shared" si="222"/>
        <v/>
      </c>
      <c r="DY158" s="452" t="str">
        <f t="shared" si="222"/>
        <v/>
      </c>
      <c r="DZ158" s="452" t="str">
        <f t="shared" si="222"/>
        <v/>
      </c>
      <c r="EA158" s="452" t="str">
        <f t="shared" si="222"/>
        <v/>
      </c>
      <c r="EB158" s="453" t="str">
        <f t="shared" si="222"/>
        <v/>
      </c>
      <c r="EC158" s="451" t="str">
        <f t="shared" si="222"/>
        <v/>
      </c>
      <c r="ED158" s="452" t="str">
        <f t="shared" si="222"/>
        <v/>
      </c>
      <c r="EE158" s="452" t="str">
        <f t="shared" si="222"/>
        <v/>
      </c>
      <c r="EF158" s="452" t="str">
        <f t="shared" si="222"/>
        <v/>
      </c>
      <c r="EG158" s="453" t="str">
        <f t="shared" si="222"/>
        <v/>
      </c>
      <c r="EH158" s="451" t="str">
        <f t="shared" si="222"/>
        <v/>
      </c>
      <c r="EI158" s="452" t="str">
        <f t="shared" si="229"/>
        <v/>
      </c>
      <c r="EJ158" s="452" t="str">
        <f t="shared" si="229"/>
        <v/>
      </c>
      <c r="EK158" s="452" t="str">
        <f t="shared" si="229"/>
        <v/>
      </c>
      <c r="EL158" s="453" t="str">
        <f t="shared" si="229"/>
        <v/>
      </c>
      <c r="EM158" s="451" t="str">
        <f t="shared" si="229"/>
        <v/>
      </c>
      <c r="EN158" s="452" t="str">
        <f t="shared" si="229"/>
        <v/>
      </c>
      <c r="EO158" s="452" t="str">
        <f t="shared" si="229"/>
        <v/>
      </c>
      <c r="EP158" s="452" t="str">
        <f t="shared" si="229"/>
        <v/>
      </c>
      <c r="EQ158" s="453" t="str">
        <f t="shared" si="229"/>
        <v/>
      </c>
      <c r="ER158" s="451" t="str">
        <f t="shared" si="229"/>
        <v/>
      </c>
      <c r="ES158" s="452" t="str">
        <f t="shared" si="229"/>
        <v/>
      </c>
      <c r="ET158" s="452" t="str">
        <f t="shared" si="229"/>
        <v/>
      </c>
      <c r="EU158" s="452" t="str">
        <f t="shared" si="229"/>
        <v/>
      </c>
      <c r="EV158" s="453" t="str">
        <f t="shared" si="229"/>
        <v/>
      </c>
      <c r="EW158" s="451" t="str">
        <f t="shared" si="229"/>
        <v/>
      </c>
      <c r="EX158" s="452" t="str">
        <f t="shared" si="229"/>
        <v/>
      </c>
      <c r="EY158" s="452" t="str">
        <f t="shared" si="230"/>
        <v/>
      </c>
      <c r="EZ158" s="452" t="str">
        <f t="shared" si="230"/>
        <v/>
      </c>
      <c r="FA158" s="453" t="str">
        <f t="shared" si="230"/>
        <v/>
      </c>
      <c r="FB158" s="451" t="str">
        <f t="shared" si="230"/>
        <v/>
      </c>
      <c r="FC158" s="452" t="str">
        <f t="shared" si="230"/>
        <v/>
      </c>
      <c r="FD158" s="452" t="str">
        <f t="shared" si="230"/>
        <v/>
      </c>
      <c r="FE158" s="452" t="str">
        <f t="shared" si="230"/>
        <v/>
      </c>
      <c r="FF158" s="453" t="str">
        <f t="shared" si="230"/>
        <v/>
      </c>
      <c r="FG158" s="451" t="str">
        <f t="shared" si="230"/>
        <v/>
      </c>
      <c r="FH158" s="452" t="str">
        <f t="shared" si="230"/>
        <v/>
      </c>
      <c r="FI158" s="452" t="str">
        <f t="shared" si="230"/>
        <v/>
      </c>
      <c r="FJ158" s="452" t="str">
        <f t="shared" si="230"/>
        <v/>
      </c>
      <c r="FK158" s="453" t="str">
        <f t="shared" si="230"/>
        <v/>
      </c>
      <c r="FL158" s="451" t="str">
        <f t="shared" si="230"/>
        <v/>
      </c>
      <c r="FM158" s="452" t="str">
        <f t="shared" si="230"/>
        <v/>
      </c>
      <c r="FN158" s="452" t="str">
        <f t="shared" si="230"/>
        <v/>
      </c>
      <c r="FO158" s="452" t="str">
        <f t="shared" si="227"/>
        <v/>
      </c>
      <c r="FP158" s="453" t="str">
        <f t="shared" si="227"/>
        <v/>
      </c>
      <c r="FQ158" s="451" t="str">
        <f t="shared" si="227"/>
        <v/>
      </c>
      <c r="FR158" s="452" t="str">
        <f t="shared" si="227"/>
        <v/>
      </c>
      <c r="FS158" s="452" t="str">
        <f t="shared" si="227"/>
        <v/>
      </c>
      <c r="FT158" s="452" t="str">
        <f t="shared" si="227"/>
        <v/>
      </c>
      <c r="FU158" s="453" t="str">
        <f t="shared" si="227"/>
        <v/>
      </c>
      <c r="FV158" s="451" t="str">
        <f t="shared" si="227"/>
        <v/>
      </c>
      <c r="FW158" s="452" t="str">
        <f t="shared" si="227"/>
        <v/>
      </c>
      <c r="FX158" s="452" t="str">
        <f t="shared" si="227"/>
        <v/>
      </c>
      <c r="FY158" s="452" t="str">
        <f t="shared" si="227"/>
        <v/>
      </c>
      <c r="FZ158" s="453" t="str">
        <f t="shared" si="227"/>
        <v/>
      </c>
      <c r="GA158" s="451" t="str">
        <f t="shared" si="227"/>
        <v/>
      </c>
      <c r="GB158" s="452" t="str">
        <f t="shared" si="227"/>
        <v/>
      </c>
      <c r="GC158" s="452" t="str">
        <f t="shared" si="227"/>
        <v/>
      </c>
      <c r="GD158" s="452" t="str">
        <f t="shared" si="227"/>
        <v/>
      </c>
      <c r="GE158" s="453" t="str">
        <f t="shared" si="234"/>
        <v/>
      </c>
      <c r="GF158" s="451" t="str">
        <f t="shared" si="234"/>
        <v/>
      </c>
      <c r="GG158" s="452" t="str">
        <f t="shared" si="234"/>
        <v/>
      </c>
      <c r="GH158" s="452" t="str">
        <f t="shared" si="234"/>
        <v/>
      </c>
      <c r="GI158" s="452" t="str">
        <f t="shared" si="234"/>
        <v/>
      </c>
      <c r="GJ158" s="453" t="str">
        <f t="shared" si="234"/>
        <v/>
      </c>
      <c r="GK158" s="451" t="str">
        <f t="shared" si="234"/>
        <v/>
      </c>
      <c r="GL158" s="452" t="str">
        <f t="shared" si="234"/>
        <v/>
      </c>
      <c r="GM158" s="452" t="str">
        <f t="shared" si="234"/>
        <v/>
      </c>
      <c r="GN158" s="452" t="str">
        <f t="shared" si="234"/>
        <v/>
      </c>
      <c r="GO158" s="453" t="str">
        <f t="shared" si="234"/>
        <v/>
      </c>
      <c r="GP158" s="451" t="str">
        <f t="shared" si="234"/>
        <v/>
      </c>
      <c r="GQ158" s="452" t="str">
        <f t="shared" si="234"/>
        <v/>
      </c>
      <c r="GR158" s="452" t="str">
        <f t="shared" si="234"/>
        <v/>
      </c>
      <c r="GS158" s="452" t="str">
        <f t="shared" si="234"/>
        <v/>
      </c>
      <c r="GT158" s="453" t="str">
        <f t="shared" si="234"/>
        <v/>
      </c>
      <c r="GU158" s="451" t="str">
        <f t="shared" si="231"/>
        <v/>
      </c>
      <c r="GV158" s="452" t="str">
        <f t="shared" si="231"/>
        <v/>
      </c>
      <c r="GW158" s="452" t="str">
        <f t="shared" si="228"/>
        <v/>
      </c>
      <c r="GX158" s="452" t="str">
        <f t="shared" si="228"/>
        <v/>
      </c>
      <c r="GY158" s="453" t="str">
        <f t="shared" si="228"/>
        <v/>
      </c>
      <c r="GZ158" s="451" t="str">
        <f t="shared" si="228"/>
        <v/>
      </c>
      <c r="HA158" s="452" t="str">
        <f t="shared" si="228"/>
        <v/>
      </c>
      <c r="HB158" s="452" t="str">
        <f t="shared" si="228"/>
        <v/>
      </c>
      <c r="HC158" s="452" t="str">
        <f t="shared" si="228"/>
        <v/>
      </c>
      <c r="HD158" s="453" t="str">
        <f t="shared" si="228"/>
        <v/>
      </c>
      <c r="HE158" s="451" t="str">
        <f t="shared" si="228"/>
        <v/>
      </c>
      <c r="HF158" s="452" t="str">
        <f t="shared" si="228"/>
        <v/>
      </c>
      <c r="HG158" s="452" t="str">
        <f t="shared" si="228"/>
        <v/>
      </c>
      <c r="HH158" s="452" t="str">
        <f t="shared" si="228"/>
        <v/>
      </c>
      <c r="HI158" s="453" t="str">
        <f t="shared" si="228"/>
        <v/>
      </c>
      <c r="HJ158" s="451" t="str">
        <f t="shared" si="228"/>
        <v/>
      </c>
      <c r="HK158" s="452" t="str">
        <f t="shared" si="228"/>
        <v/>
      </c>
      <c r="HL158" s="452" t="str">
        <f t="shared" si="228"/>
        <v/>
      </c>
      <c r="HM158" s="452" t="str">
        <f t="shared" si="228"/>
        <v/>
      </c>
      <c r="HN158" s="453" t="str">
        <f t="shared" si="232"/>
        <v/>
      </c>
      <c r="HO158" s="451" t="str">
        <f t="shared" si="232"/>
        <v/>
      </c>
      <c r="HP158" s="452" t="str">
        <f t="shared" si="232"/>
        <v/>
      </c>
      <c r="HQ158" s="452" t="str">
        <f t="shared" si="232"/>
        <v/>
      </c>
      <c r="HR158" s="452" t="str">
        <f t="shared" si="232"/>
        <v/>
      </c>
      <c r="HS158" s="453" t="str">
        <f t="shared" si="232"/>
        <v/>
      </c>
      <c r="HT158" s="451" t="str">
        <f t="shared" si="232"/>
        <v/>
      </c>
      <c r="HU158" s="452" t="str">
        <f t="shared" si="232"/>
        <v/>
      </c>
      <c r="HV158" s="452" t="str">
        <f t="shared" si="232"/>
        <v/>
      </c>
      <c r="HW158" s="452" t="str">
        <f t="shared" si="232"/>
        <v/>
      </c>
      <c r="HX158" s="453" t="str">
        <f t="shared" si="232"/>
        <v/>
      </c>
      <c r="HY158" s="451" t="str">
        <f t="shared" si="232"/>
        <v/>
      </c>
      <c r="HZ158" s="452" t="str">
        <f t="shared" si="232"/>
        <v/>
      </c>
      <c r="IA158" s="452" t="str">
        <f t="shared" si="213"/>
        <v/>
      </c>
      <c r="IB158" s="452" t="str">
        <f t="shared" si="213"/>
        <v/>
      </c>
      <c r="IC158" s="453" t="str">
        <f t="shared" ref="IC158:IR173" si="237">IF(AND(IC$2&gt;=$J158,IC$2&lt;=$K158),1,"")</f>
        <v/>
      </c>
      <c r="ID158" s="451" t="str">
        <f t="shared" si="237"/>
        <v/>
      </c>
      <c r="IE158" s="452" t="str">
        <f t="shared" si="237"/>
        <v/>
      </c>
      <c r="IF158" s="452" t="str">
        <f t="shared" si="237"/>
        <v/>
      </c>
      <c r="IG158" s="452" t="str">
        <f t="shared" si="237"/>
        <v/>
      </c>
      <c r="IH158" s="453" t="str">
        <f t="shared" si="237"/>
        <v/>
      </c>
      <c r="II158" s="451" t="str">
        <f t="shared" si="237"/>
        <v/>
      </c>
      <c r="IJ158" s="452" t="str">
        <f t="shared" si="237"/>
        <v/>
      </c>
      <c r="IK158" s="452" t="str">
        <f t="shared" si="237"/>
        <v/>
      </c>
      <c r="IL158" s="452" t="str">
        <f t="shared" si="237"/>
        <v/>
      </c>
      <c r="IM158" s="453" t="str">
        <f t="shared" si="237"/>
        <v/>
      </c>
      <c r="IN158" s="451" t="str">
        <f t="shared" si="237"/>
        <v/>
      </c>
      <c r="IO158" s="452" t="str">
        <f t="shared" si="237"/>
        <v/>
      </c>
      <c r="IP158" s="452" t="str">
        <f t="shared" si="237"/>
        <v/>
      </c>
      <c r="IQ158" s="452" t="str">
        <f t="shared" si="214"/>
        <v/>
      </c>
      <c r="IR158" s="453" t="str">
        <f t="shared" si="214"/>
        <v/>
      </c>
    </row>
    <row r="159" spans="1:252" x14ac:dyDescent="0.2">
      <c r="A159" s="461">
        <v>15.1</v>
      </c>
      <c r="C159" s="447" t="s">
        <v>1351</v>
      </c>
      <c r="D159" s="447"/>
      <c r="E159" s="448"/>
      <c r="F159" s="448"/>
      <c r="G159" s="448"/>
      <c r="H159" s="448"/>
      <c r="I159" s="448"/>
      <c r="J159" s="449" t="str">
        <f t="shared" ref="J159:J168" si="238">IF(E159="","",E159-$M$3+1)</f>
        <v/>
      </c>
      <c r="K159" s="449" t="str">
        <f t="shared" ref="K159:K168" si="239">IF(F159="","",F159-$M$3+1)</f>
        <v/>
      </c>
      <c r="L159" s="450">
        <f t="shared" si="236"/>
        <v>0</v>
      </c>
      <c r="M159" s="451" t="str">
        <f t="shared" si="235"/>
        <v/>
      </c>
      <c r="N159" s="452" t="str">
        <f t="shared" si="235"/>
        <v/>
      </c>
      <c r="O159" s="452" t="str">
        <f t="shared" si="235"/>
        <v/>
      </c>
      <c r="P159" s="452" t="str">
        <f t="shared" si="235"/>
        <v/>
      </c>
      <c r="Q159" s="453" t="str">
        <f t="shared" si="235"/>
        <v/>
      </c>
      <c r="R159" s="451" t="str">
        <f t="shared" si="235"/>
        <v/>
      </c>
      <c r="S159" s="452" t="str">
        <f t="shared" si="235"/>
        <v/>
      </c>
      <c r="T159" s="452" t="str">
        <f t="shared" si="235"/>
        <v/>
      </c>
      <c r="U159" s="452" t="str">
        <f t="shared" si="235"/>
        <v/>
      </c>
      <c r="V159" s="453" t="str">
        <f t="shared" si="235"/>
        <v/>
      </c>
      <c r="W159" s="451" t="str">
        <f t="shared" si="235"/>
        <v/>
      </c>
      <c r="X159" s="452" t="str">
        <f t="shared" si="235"/>
        <v/>
      </c>
      <c r="Y159" s="452" t="str">
        <f t="shared" si="235"/>
        <v/>
      </c>
      <c r="Z159" s="452" t="str">
        <f t="shared" si="235"/>
        <v/>
      </c>
      <c r="AA159" s="453" t="str">
        <f t="shared" si="235"/>
        <v/>
      </c>
      <c r="AB159" s="451" t="str">
        <f t="shared" si="235"/>
        <v/>
      </c>
      <c r="AC159" s="452" t="str">
        <f t="shared" si="221"/>
        <v/>
      </c>
      <c r="AD159" s="452" t="str">
        <f t="shared" si="221"/>
        <v/>
      </c>
      <c r="AE159" s="452" t="str">
        <f t="shared" si="221"/>
        <v/>
      </c>
      <c r="AF159" s="453" t="str">
        <f t="shared" si="221"/>
        <v/>
      </c>
      <c r="AG159" s="451" t="str">
        <f t="shared" si="221"/>
        <v/>
      </c>
      <c r="AH159" s="452" t="str">
        <f t="shared" si="221"/>
        <v/>
      </c>
      <c r="AI159" s="452" t="str">
        <f t="shared" si="221"/>
        <v/>
      </c>
      <c r="AJ159" s="452" t="str">
        <f t="shared" si="221"/>
        <v/>
      </c>
      <c r="AK159" s="453" t="str">
        <f t="shared" si="221"/>
        <v/>
      </c>
      <c r="AL159" s="451" t="str">
        <f t="shared" si="221"/>
        <v/>
      </c>
      <c r="AM159" s="452" t="str">
        <f t="shared" si="221"/>
        <v/>
      </c>
      <c r="AN159" s="452" t="str">
        <f t="shared" si="221"/>
        <v/>
      </c>
      <c r="AO159" s="452" t="str">
        <f t="shared" si="221"/>
        <v/>
      </c>
      <c r="AP159" s="453" t="str">
        <f t="shared" si="221"/>
        <v/>
      </c>
      <c r="AQ159" s="451" t="str">
        <f t="shared" si="221"/>
        <v/>
      </c>
      <c r="AR159" s="452" t="str">
        <f t="shared" si="221"/>
        <v/>
      </c>
      <c r="AS159" s="452" t="str">
        <f t="shared" si="217"/>
        <v/>
      </c>
      <c r="AT159" s="452" t="str">
        <f t="shared" si="217"/>
        <v/>
      </c>
      <c r="AU159" s="453" t="str">
        <f t="shared" si="217"/>
        <v/>
      </c>
      <c r="AV159" s="451" t="str">
        <f t="shared" si="217"/>
        <v/>
      </c>
      <c r="AW159" s="452" t="str">
        <f t="shared" si="217"/>
        <v/>
      </c>
      <c r="AX159" s="452" t="str">
        <f t="shared" si="217"/>
        <v/>
      </c>
      <c r="AY159" s="452" t="str">
        <f t="shared" si="217"/>
        <v/>
      </c>
      <c r="AZ159" s="453" t="str">
        <f t="shared" si="217"/>
        <v/>
      </c>
      <c r="BA159" s="451" t="str">
        <f t="shared" si="217"/>
        <v/>
      </c>
      <c r="BB159" s="452" t="str">
        <f t="shared" si="217"/>
        <v/>
      </c>
      <c r="BC159" s="452" t="str">
        <f t="shared" si="217"/>
        <v/>
      </c>
      <c r="BD159" s="452" t="str">
        <f t="shared" si="217"/>
        <v/>
      </c>
      <c r="BE159" s="453" t="str">
        <f t="shared" si="217"/>
        <v/>
      </c>
      <c r="BF159" s="451" t="str">
        <f t="shared" si="217"/>
        <v/>
      </c>
      <c r="BG159" s="452" t="str">
        <f t="shared" si="217"/>
        <v/>
      </c>
      <c r="BH159" s="452" t="str">
        <f t="shared" si="218"/>
        <v/>
      </c>
      <c r="BI159" s="452" t="str">
        <f t="shared" si="218"/>
        <v/>
      </c>
      <c r="BJ159" s="453" t="str">
        <f t="shared" si="218"/>
        <v/>
      </c>
      <c r="BK159" s="451" t="str">
        <f t="shared" si="218"/>
        <v/>
      </c>
      <c r="BL159" s="452" t="str">
        <f t="shared" si="218"/>
        <v/>
      </c>
      <c r="BM159" s="452" t="str">
        <f t="shared" si="218"/>
        <v/>
      </c>
      <c r="BN159" s="452" t="str">
        <f t="shared" si="218"/>
        <v/>
      </c>
      <c r="BO159" s="453" t="str">
        <f t="shared" si="218"/>
        <v/>
      </c>
      <c r="BP159" s="451" t="str">
        <f t="shared" si="218"/>
        <v/>
      </c>
      <c r="BQ159" s="452" t="str">
        <f t="shared" si="218"/>
        <v/>
      </c>
      <c r="BR159" s="452" t="str">
        <f t="shared" si="218"/>
        <v/>
      </c>
      <c r="BS159" s="452" t="str">
        <f t="shared" si="218"/>
        <v/>
      </c>
      <c r="BT159" s="453" t="str">
        <f t="shared" si="218"/>
        <v/>
      </c>
      <c r="BU159" s="451" t="str">
        <f t="shared" si="218"/>
        <v/>
      </c>
      <c r="BV159" s="452" t="str">
        <f t="shared" si="218"/>
        <v/>
      </c>
      <c r="BW159" s="452" t="str">
        <f t="shared" ref="BW159:BW170" si="240">IF(AND(BW$2&gt;=$J159,BW$2&lt;=$K159),1,"")</f>
        <v/>
      </c>
      <c r="BX159" s="452" t="str">
        <f t="shared" si="219"/>
        <v/>
      </c>
      <c r="BY159" s="453" t="str">
        <f t="shared" si="219"/>
        <v/>
      </c>
      <c r="BZ159" s="451" t="str">
        <f t="shared" si="219"/>
        <v/>
      </c>
      <c r="CA159" s="452" t="str">
        <f t="shared" si="219"/>
        <v/>
      </c>
      <c r="CB159" s="452" t="str">
        <f t="shared" si="219"/>
        <v/>
      </c>
      <c r="CC159" s="452" t="str">
        <f t="shared" si="219"/>
        <v/>
      </c>
      <c r="CD159" s="453" t="str">
        <f t="shared" si="219"/>
        <v/>
      </c>
      <c r="CE159" s="451" t="str">
        <f t="shared" si="219"/>
        <v/>
      </c>
      <c r="CF159" s="452" t="str">
        <f t="shared" si="219"/>
        <v/>
      </c>
      <c r="CG159" s="452" t="str">
        <f t="shared" si="219"/>
        <v/>
      </c>
      <c r="CH159" s="452" t="str">
        <f t="shared" si="219"/>
        <v/>
      </c>
      <c r="CI159" s="453" t="str">
        <f t="shared" si="219"/>
        <v/>
      </c>
      <c r="CJ159" s="451" t="str">
        <f t="shared" si="219"/>
        <v/>
      </c>
      <c r="CK159" s="452" t="str">
        <f t="shared" si="219"/>
        <v/>
      </c>
      <c r="CL159" s="452" t="str">
        <f t="shared" si="219"/>
        <v/>
      </c>
      <c r="CM159" s="452" t="str">
        <f t="shared" si="219"/>
        <v/>
      </c>
      <c r="CN159" s="453" t="str">
        <f t="shared" ref="CN159:DC174" si="241">IF(AND(CN$2&gt;=$J159,CN$2&lt;=$K159),1,"")</f>
        <v/>
      </c>
      <c r="CO159" s="451" t="str">
        <f t="shared" si="241"/>
        <v/>
      </c>
      <c r="CP159" s="452" t="str">
        <f t="shared" si="241"/>
        <v/>
      </c>
      <c r="CQ159" s="452" t="str">
        <f t="shared" si="241"/>
        <v/>
      </c>
      <c r="CR159" s="452" t="str">
        <f t="shared" si="241"/>
        <v/>
      </c>
      <c r="CS159" s="453" t="str">
        <f t="shared" si="241"/>
        <v/>
      </c>
      <c r="CT159" s="451" t="str">
        <f t="shared" si="241"/>
        <v/>
      </c>
      <c r="CU159" s="452" t="str">
        <f t="shared" si="241"/>
        <v/>
      </c>
      <c r="CV159" s="452" t="str">
        <f t="shared" si="241"/>
        <v/>
      </c>
      <c r="CW159" s="452" t="str">
        <f t="shared" si="241"/>
        <v/>
      </c>
      <c r="CX159" s="453" t="str">
        <f t="shared" si="241"/>
        <v/>
      </c>
      <c r="CY159" s="451" t="str">
        <f t="shared" si="241"/>
        <v/>
      </c>
      <c r="CZ159" s="452" t="str">
        <f t="shared" si="241"/>
        <v/>
      </c>
      <c r="DA159" s="452" t="str">
        <f t="shared" si="241"/>
        <v/>
      </c>
      <c r="DB159" s="452" t="str">
        <f t="shared" si="241"/>
        <v/>
      </c>
      <c r="DC159" s="453" t="str">
        <f t="shared" si="241"/>
        <v/>
      </c>
      <c r="DD159" s="451" t="str">
        <f t="shared" ref="DD159:DS174" si="242">IF(AND(DD$2&gt;=$J159,DD$2&lt;=$K159),1,"")</f>
        <v/>
      </c>
      <c r="DE159" s="452" t="str">
        <f t="shared" si="242"/>
        <v/>
      </c>
      <c r="DF159" s="452" t="str">
        <f t="shared" si="242"/>
        <v/>
      </c>
      <c r="DG159" s="452" t="str">
        <f t="shared" si="242"/>
        <v/>
      </c>
      <c r="DH159" s="453" t="str">
        <f t="shared" si="242"/>
        <v/>
      </c>
      <c r="DI159" s="451" t="str">
        <f t="shared" si="242"/>
        <v/>
      </c>
      <c r="DJ159" s="452" t="str">
        <f t="shared" si="242"/>
        <v/>
      </c>
      <c r="DK159" s="452" t="str">
        <f t="shared" si="242"/>
        <v/>
      </c>
      <c r="DL159" s="452" t="str">
        <f t="shared" si="242"/>
        <v/>
      </c>
      <c r="DM159" s="453" t="str">
        <f t="shared" si="242"/>
        <v/>
      </c>
      <c r="DN159" s="451" t="str">
        <f t="shared" si="242"/>
        <v/>
      </c>
      <c r="DO159" s="452" t="str">
        <f t="shared" si="242"/>
        <v/>
      </c>
      <c r="DP159" s="452" t="str">
        <f t="shared" si="242"/>
        <v/>
      </c>
      <c r="DQ159" s="452" t="str">
        <f t="shared" si="242"/>
        <v/>
      </c>
      <c r="DR159" s="453" t="str">
        <f t="shared" si="242"/>
        <v/>
      </c>
      <c r="DS159" s="451" t="str">
        <f t="shared" si="222"/>
        <v/>
      </c>
      <c r="DT159" s="452" t="str">
        <f t="shared" si="222"/>
        <v/>
      </c>
      <c r="DU159" s="452" t="str">
        <f t="shared" si="222"/>
        <v/>
      </c>
      <c r="DV159" s="452" t="str">
        <f t="shared" si="222"/>
        <v/>
      </c>
      <c r="DW159" s="453" t="str">
        <f t="shared" si="222"/>
        <v/>
      </c>
      <c r="DX159" s="451" t="str">
        <f t="shared" si="222"/>
        <v/>
      </c>
      <c r="DY159" s="452" t="str">
        <f t="shared" si="222"/>
        <v/>
      </c>
      <c r="DZ159" s="452" t="str">
        <f t="shared" si="222"/>
        <v/>
      </c>
      <c r="EA159" s="452" t="str">
        <f t="shared" si="222"/>
        <v/>
      </c>
      <c r="EB159" s="453" t="str">
        <f t="shared" si="222"/>
        <v/>
      </c>
      <c r="EC159" s="451" t="str">
        <f t="shared" si="222"/>
        <v/>
      </c>
      <c r="ED159" s="452" t="str">
        <f t="shared" si="222"/>
        <v/>
      </c>
      <c r="EE159" s="452" t="str">
        <f t="shared" si="222"/>
        <v/>
      </c>
      <c r="EF159" s="452" t="str">
        <f t="shared" si="222"/>
        <v/>
      </c>
      <c r="EG159" s="453" t="str">
        <f t="shared" si="222"/>
        <v/>
      </c>
      <c r="EH159" s="451" t="str">
        <f t="shared" si="222"/>
        <v/>
      </c>
      <c r="EI159" s="452" t="str">
        <f t="shared" si="229"/>
        <v/>
      </c>
      <c r="EJ159" s="452" t="str">
        <f t="shared" si="229"/>
        <v/>
      </c>
      <c r="EK159" s="452" t="str">
        <f t="shared" si="229"/>
        <v/>
      </c>
      <c r="EL159" s="453" t="str">
        <f t="shared" si="229"/>
        <v/>
      </c>
      <c r="EM159" s="451" t="str">
        <f t="shared" si="229"/>
        <v/>
      </c>
      <c r="EN159" s="452" t="str">
        <f t="shared" si="229"/>
        <v/>
      </c>
      <c r="EO159" s="452" t="str">
        <f t="shared" si="229"/>
        <v/>
      </c>
      <c r="EP159" s="452" t="str">
        <f t="shared" si="229"/>
        <v/>
      </c>
      <c r="EQ159" s="453" t="str">
        <f t="shared" si="229"/>
        <v/>
      </c>
      <c r="ER159" s="451" t="str">
        <f t="shared" si="229"/>
        <v/>
      </c>
      <c r="ES159" s="452" t="str">
        <f t="shared" si="229"/>
        <v/>
      </c>
      <c r="ET159" s="452" t="str">
        <f t="shared" si="229"/>
        <v/>
      </c>
      <c r="EU159" s="452" t="str">
        <f t="shared" si="229"/>
        <v/>
      </c>
      <c r="EV159" s="453" t="str">
        <f t="shared" si="229"/>
        <v/>
      </c>
      <c r="EW159" s="451" t="str">
        <f t="shared" si="229"/>
        <v/>
      </c>
      <c r="EX159" s="452" t="str">
        <f t="shared" si="226"/>
        <v/>
      </c>
      <c r="EY159" s="452" t="str">
        <f t="shared" si="230"/>
        <v/>
      </c>
      <c r="EZ159" s="452" t="str">
        <f t="shared" si="230"/>
        <v/>
      </c>
      <c r="FA159" s="453" t="str">
        <f t="shared" si="230"/>
        <v/>
      </c>
      <c r="FB159" s="451" t="str">
        <f t="shared" si="230"/>
        <v/>
      </c>
      <c r="FC159" s="452" t="str">
        <f t="shared" si="230"/>
        <v/>
      </c>
      <c r="FD159" s="452" t="str">
        <f t="shared" si="230"/>
        <v/>
      </c>
      <c r="FE159" s="452" t="str">
        <f t="shared" si="230"/>
        <v/>
      </c>
      <c r="FF159" s="453" t="str">
        <f t="shared" si="230"/>
        <v/>
      </c>
      <c r="FG159" s="451" t="str">
        <f t="shared" si="230"/>
        <v/>
      </c>
      <c r="FH159" s="452" t="str">
        <f t="shared" si="230"/>
        <v/>
      </c>
      <c r="FI159" s="452" t="str">
        <f t="shared" si="230"/>
        <v/>
      </c>
      <c r="FJ159" s="452" t="str">
        <f t="shared" si="230"/>
        <v/>
      </c>
      <c r="FK159" s="453" t="str">
        <f t="shared" si="230"/>
        <v/>
      </c>
      <c r="FL159" s="451" t="str">
        <f t="shared" si="230"/>
        <v/>
      </c>
      <c r="FM159" s="452" t="str">
        <f t="shared" si="230"/>
        <v/>
      </c>
      <c r="FN159" s="452" t="str">
        <f t="shared" si="230"/>
        <v/>
      </c>
      <c r="FO159" s="452" t="str">
        <f t="shared" si="227"/>
        <v/>
      </c>
      <c r="FP159" s="453" t="str">
        <f t="shared" si="227"/>
        <v/>
      </c>
      <c r="FQ159" s="451" t="str">
        <f t="shared" si="227"/>
        <v/>
      </c>
      <c r="FR159" s="452" t="str">
        <f t="shared" si="227"/>
        <v/>
      </c>
      <c r="FS159" s="452" t="str">
        <f t="shared" si="227"/>
        <v/>
      </c>
      <c r="FT159" s="452" t="str">
        <f t="shared" si="227"/>
        <v/>
      </c>
      <c r="FU159" s="453" t="str">
        <f t="shared" si="227"/>
        <v/>
      </c>
      <c r="FV159" s="451" t="str">
        <f t="shared" si="227"/>
        <v/>
      </c>
      <c r="FW159" s="452" t="str">
        <f t="shared" si="227"/>
        <v/>
      </c>
      <c r="FX159" s="452" t="str">
        <f t="shared" si="227"/>
        <v/>
      </c>
      <c r="FY159" s="452" t="str">
        <f t="shared" si="227"/>
        <v/>
      </c>
      <c r="FZ159" s="453" t="str">
        <f t="shared" si="227"/>
        <v/>
      </c>
      <c r="GA159" s="451" t="str">
        <f t="shared" si="227"/>
        <v/>
      </c>
      <c r="GB159" s="452" t="str">
        <f t="shared" si="227"/>
        <v/>
      </c>
      <c r="GC159" s="452" t="str">
        <f t="shared" si="227"/>
        <v/>
      </c>
      <c r="GD159" s="452" t="str">
        <f t="shared" si="227"/>
        <v/>
      </c>
      <c r="GE159" s="453" t="str">
        <f t="shared" si="234"/>
        <v/>
      </c>
      <c r="GF159" s="451" t="str">
        <f t="shared" si="234"/>
        <v/>
      </c>
      <c r="GG159" s="452" t="str">
        <f t="shared" si="234"/>
        <v/>
      </c>
      <c r="GH159" s="452" t="str">
        <f t="shared" si="234"/>
        <v/>
      </c>
      <c r="GI159" s="452" t="str">
        <f t="shared" si="234"/>
        <v/>
      </c>
      <c r="GJ159" s="453" t="str">
        <f t="shared" si="234"/>
        <v/>
      </c>
      <c r="GK159" s="451" t="str">
        <f t="shared" si="234"/>
        <v/>
      </c>
      <c r="GL159" s="452" t="str">
        <f t="shared" si="234"/>
        <v/>
      </c>
      <c r="GM159" s="452" t="str">
        <f t="shared" si="234"/>
        <v/>
      </c>
      <c r="GN159" s="452" t="str">
        <f t="shared" si="234"/>
        <v/>
      </c>
      <c r="GO159" s="453" t="str">
        <f t="shared" si="234"/>
        <v/>
      </c>
      <c r="GP159" s="451" t="str">
        <f t="shared" si="234"/>
        <v/>
      </c>
      <c r="GQ159" s="452" t="str">
        <f t="shared" si="234"/>
        <v/>
      </c>
      <c r="GR159" s="452" t="str">
        <f t="shared" si="234"/>
        <v/>
      </c>
      <c r="GS159" s="452" t="str">
        <f t="shared" si="234"/>
        <v/>
      </c>
      <c r="GT159" s="453" t="str">
        <f t="shared" si="234"/>
        <v/>
      </c>
      <c r="GU159" s="451" t="str">
        <f t="shared" si="231"/>
        <v/>
      </c>
      <c r="GV159" s="452" t="str">
        <f t="shared" si="231"/>
        <v/>
      </c>
      <c r="GW159" s="452" t="str">
        <f t="shared" si="228"/>
        <v/>
      </c>
      <c r="GX159" s="452" t="str">
        <f t="shared" si="228"/>
        <v/>
      </c>
      <c r="GY159" s="453" t="str">
        <f t="shared" si="228"/>
        <v/>
      </c>
      <c r="GZ159" s="451" t="str">
        <f t="shared" si="228"/>
        <v/>
      </c>
      <c r="HA159" s="452" t="str">
        <f t="shared" si="228"/>
        <v/>
      </c>
      <c r="HB159" s="452" t="str">
        <f t="shared" si="228"/>
        <v/>
      </c>
      <c r="HC159" s="452" t="str">
        <f t="shared" si="228"/>
        <v/>
      </c>
      <c r="HD159" s="453" t="str">
        <f t="shared" si="228"/>
        <v/>
      </c>
      <c r="HE159" s="451" t="str">
        <f t="shared" si="228"/>
        <v/>
      </c>
      <c r="HF159" s="452" t="str">
        <f t="shared" si="228"/>
        <v/>
      </c>
      <c r="HG159" s="452" t="str">
        <f t="shared" si="228"/>
        <v/>
      </c>
      <c r="HH159" s="452" t="str">
        <f t="shared" si="228"/>
        <v/>
      </c>
      <c r="HI159" s="453" t="str">
        <f t="shared" si="228"/>
        <v/>
      </c>
      <c r="HJ159" s="451" t="str">
        <f t="shared" si="228"/>
        <v/>
      </c>
      <c r="HK159" s="452" t="str">
        <f t="shared" si="228"/>
        <v/>
      </c>
      <c r="HL159" s="452" t="str">
        <f t="shared" si="228"/>
        <v/>
      </c>
      <c r="HM159" s="452" t="str">
        <f t="shared" si="228"/>
        <v/>
      </c>
      <c r="HN159" s="453" t="str">
        <f t="shared" si="232"/>
        <v/>
      </c>
      <c r="HO159" s="451" t="str">
        <f t="shared" si="232"/>
        <v/>
      </c>
      <c r="HP159" s="452" t="str">
        <f t="shared" si="232"/>
        <v/>
      </c>
      <c r="HQ159" s="452" t="str">
        <f t="shared" si="232"/>
        <v/>
      </c>
      <c r="HR159" s="452" t="str">
        <f t="shared" si="232"/>
        <v/>
      </c>
      <c r="HS159" s="453" t="str">
        <f t="shared" si="232"/>
        <v/>
      </c>
      <c r="HT159" s="451" t="str">
        <f t="shared" si="232"/>
        <v/>
      </c>
      <c r="HU159" s="452" t="str">
        <f t="shared" si="232"/>
        <v/>
      </c>
      <c r="HV159" s="452" t="str">
        <f t="shared" si="232"/>
        <v/>
      </c>
      <c r="HW159" s="452" t="str">
        <f t="shared" si="232"/>
        <v/>
      </c>
      <c r="HX159" s="453" t="str">
        <f t="shared" si="232"/>
        <v/>
      </c>
      <c r="HY159" s="451" t="str">
        <f t="shared" si="232"/>
        <v/>
      </c>
      <c r="HZ159" s="452" t="str">
        <f t="shared" si="232"/>
        <v/>
      </c>
      <c r="IA159" s="452" t="str">
        <f t="shared" si="232"/>
        <v/>
      </c>
      <c r="IB159" s="452" t="str">
        <f t="shared" si="232"/>
        <v/>
      </c>
      <c r="IC159" s="453" t="str">
        <f t="shared" si="232"/>
        <v/>
      </c>
      <c r="ID159" s="451" t="str">
        <f t="shared" si="237"/>
        <v/>
      </c>
      <c r="IE159" s="452" t="str">
        <f t="shared" si="237"/>
        <v/>
      </c>
      <c r="IF159" s="452" t="str">
        <f t="shared" si="237"/>
        <v/>
      </c>
      <c r="IG159" s="452" t="str">
        <f t="shared" si="237"/>
        <v/>
      </c>
      <c r="IH159" s="453" t="str">
        <f t="shared" si="237"/>
        <v/>
      </c>
      <c r="II159" s="451" t="str">
        <f t="shared" si="237"/>
        <v/>
      </c>
      <c r="IJ159" s="452" t="str">
        <f t="shared" si="237"/>
        <v/>
      </c>
      <c r="IK159" s="452" t="str">
        <f t="shared" si="237"/>
        <v/>
      </c>
      <c r="IL159" s="452" t="str">
        <f t="shared" si="237"/>
        <v/>
      </c>
      <c r="IM159" s="453" t="str">
        <f t="shared" si="237"/>
        <v/>
      </c>
      <c r="IN159" s="451" t="str">
        <f t="shared" si="237"/>
        <v/>
      </c>
      <c r="IO159" s="452" t="str">
        <f t="shared" si="237"/>
        <v/>
      </c>
      <c r="IP159" s="452" t="str">
        <f t="shared" si="237"/>
        <v/>
      </c>
      <c r="IQ159" s="452" t="str">
        <f t="shared" si="237"/>
        <v/>
      </c>
      <c r="IR159" s="453" t="str">
        <f t="shared" si="237"/>
        <v/>
      </c>
    </row>
    <row r="160" spans="1:252" x14ac:dyDescent="0.2">
      <c r="A160" s="461">
        <v>15.2</v>
      </c>
      <c r="C160" s="447" t="s">
        <v>1352</v>
      </c>
      <c r="D160" s="447"/>
      <c r="E160" s="448"/>
      <c r="F160" s="448"/>
      <c r="G160" s="448"/>
      <c r="H160" s="448"/>
      <c r="I160" s="448"/>
      <c r="J160" s="449" t="str">
        <f t="shared" si="238"/>
        <v/>
      </c>
      <c r="K160" s="449" t="str">
        <f t="shared" si="239"/>
        <v/>
      </c>
      <c r="L160" s="450">
        <f t="shared" si="236"/>
        <v>0</v>
      </c>
      <c r="M160" s="451" t="str">
        <f t="shared" si="235"/>
        <v/>
      </c>
      <c r="N160" s="452" t="str">
        <f t="shared" si="235"/>
        <v/>
      </c>
      <c r="O160" s="452" t="str">
        <f t="shared" si="235"/>
        <v/>
      </c>
      <c r="P160" s="452" t="str">
        <f t="shared" si="235"/>
        <v/>
      </c>
      <c r="Q160" s="453" t="str">
        <f t="shared" si="235"/>
        <v/>
      </c>
      <c r="R160" s="451" t="str">
        <f t="shared" si="235"/>
        <v/>
      </c>
      <c r="S160" s="452" t="str">
        <f t="shared" si="235"/>
        <v/>
      </c>
      <c r="T160" s="452" t="str">
        <f t="shared" si="235"/>
        <v/>
      </c>
      <c r="U160" s="452" t="str">
        <f t="shared" si="235"/>
        <v/>
      </c>
      <c r="V160" s="453" t="str">
        <f t="shared" si="235"/>
        <v/>
      </c>
      <c r="W160" s="451" t="str">
        <f t="shared" si="235"/>
        <v/>
      </c>
      <c r="X160" s="452" t="str">
        <f t="shared" si="235"/>
        <v/>
      </c>
      <c r="Y160" s="452" t="str">
        <f t="shared" si="235"/>
        <v/>
      </c>
      <c r="Z160" s="452" t="str">
        <f t="shared" si="235"/>
        <v/>
      </c>
      <c r="AA160" s="453" t="str">
        <f t="shared" si="235"/>
        <v/>
      </c>
      <c r="AB160" s="451" t="str">
        <f t="shared" si="235"/>
        <v/>
      </c>
      <c r="AC160" s="452" t="str">
        <f t="shared" si="221"/>
        <v/>
      </c>
      <c r="AD160" s="452" t="str">
        <f t="shared" si="221"/>
        <v/>
      </c>
      <c r="AE160" s="452" t="str">
        <f t="shared" si="221"/>
        <v/>
      </c>
      <c r="AF160" s="453" t="str">
        <f t="shared" si="221"/>
        <v/>
      </c>
      <c r="AG160" s="451" t="str">
        <f t="shared" si="221"/>
        <v/>
      </c>
      <c r="AH160" s="452" t="str">
        <f t="shared" si="221"/>
        <v/>
      </c>
      <c r="AI160" s="452" t="str">
        <f t="shared" si="221"/>
        <v/>
      </c>
      <c r="AJ160" s="452" t="str">
        <f t="shared" si="221"/>
        <v/>
      </c>
      <c r="AK160" s="453" t="str">
        <f t="shared" si="221"/>
        <v/>
      </c>
      <c r="AL160" s="451" t="str">
        <f t="shared" si="221"/>
        <v/>
      </c>
      <c r="AM160" s="452" t="str">
        <f t="shared" si="221"/>
        <v/>
      </c>
      <c r="AN160" s="452" t="str">
        <f t="shared" si="221"/>
        <v/>
      </c>
      <c r="AO160" s="452" t="str">
        <f t="shared" si="221"/>
        <v/>
      </c>
      <c r="AP160" s="453" t="str">
        <f t="shared" si="221"/>
        <v/>
      </c>
      <c r="AQ160" s="451" t="str">
        <f t="shared" si="221"/>
        <v/>
      </c>
      <c r="AR160" s="452" t="str">
        <f t="shared" si="221"/>
        <v/>
      </c>
      <c r="AS160" s="452" t="str">
        <f t="shared" ref="AS160:BH175" si="243">IF(AND(AS$2&gt;=$J160,AS$2&lt;=$K160),1,"")</f>
        <v/>
      </c>
      <c r="AT160" s="452" t="str">
        <f t="shared" si="243"/>
        <v/>
      </c>
      <c r="AU160" s="453" t="str">
        <f t="shared" si="243"/>
        <v/>
      </c>
      <c r="AV160" s="451" t="str">
        <f t="shared" si="243"/>
        <v/>
      </c>
      <c r="AW160" s="452" t="str">
        <f t="shared" si="243"/>
        <v/>
      </c>
      <c r="AX160" s="452" t="str">
        <f t="shared" si="243"/>
        <v/>
      </c>
      <c r="AY160" s="452" t="str">
        <f t="shared" si="243"/>
        <v/>
      </c>
      <c r="AZ160" s="453" t="str">
        <f t="shared" si="243"/>
        <v/>
      </c>
      <c r="BA160" s="451" t="str">
        <f t="shared" si="243"/>
        <v/>
      </c>
      <c r="BB160" s="452" t="str">
        <f t="shared" si="243"/>
        <v/>
      </c>
      <c r="BC160" s="452" t="str">
        <f t="shared" si="243"/>
        <v/>
      </c>
      <c r="BD160" s="452" t="str">
        <f t="shared" si="243"/>
        <v/>
      </c>
      <c r="BE160" s="453" t="str">
        <f t="shared" si="243"/>
        <v/>
      </c>
      <c r="BF160" s="451" t="str">
        <f t="shared" si="243"/>
        <v/>
      </c>
      <c r="BG160" s="452" t="str">
        <f t="shared" si="243"/>
        <v/>
      </c>
      <c r="BH160" s="452" t="str">
        <f t="shared" si="243"/>
        <v/>
      </c>
      <c r="BI160" s="452" t="str">
        <f t="shared" ref="BI160:BX175" si="244">IF(AND(BI$2&gt;=$J160,BI$2&lt;=$K160),1,"")</f>
        <v/>
      </c>
      <c r="BJ160" s="453" t="str">
        <f t="shared" si="244"/>
        <v/>
      </c>
      <c r="BK160" s="451" t="str">
        <f t="shared" si="244"/>
        <v/>
      </c>
      <c r="BL160" s="452" t="str">
        <f t="shared" si="244"/>
        <v/>
      </c>
      <c r="BM160" s="452" t="str">
        <f t="shared" si="244"/>
        <v/>
      </c>
      <c r="BN160" s="452" t="str">
        <f t="shared" si="244"/>
        <v/>
      </c>
      <c r="BO160" s="453" t="str">
        <f t="shared" si="244"/>
        <v/>
      </c>
      <c r="BP160" s="451" t="str">
        <f t="shared" si="244"/>
        <v/>
      </c>
      <c r="BQ160" s="452" t="str">
        <f t="shared" si="244"/>
        <v/>
      </c>
      <c r="BR160" s="452" t="str">
        <f t="shared" si="244"/>
        <v/>
      </c>
      <c r="BS160" s="452" t="str">
        <f t="shared" si="244"/>
        <v/>
      </c>
      <c r="BT160" s="453" t="str">
        <f t="shared" si="244"/>
        <v/>
      </c>
      <c r="BU160" s="451" t="str">
        <f t="shared" si="244"/>
        <v/>
      </c>
      <c r="BV160" s="452" t="str">
        <f t="shared" si="244"/>
        <v/>
      </c>
      <c r="BW160" s="452" t="str">
        <f t="shared" si="244"/>
        <v/>
      </c>
      <c r="BX160" s="452" t="str">
        <f t="shared" si="244"/>
        <v/>
      </c>
      <c r="BY160" s="453" t="str">
        <f t="shared" ref="BY160:CN175" si="245">IF(AND(BY$2&gt;=$J160,BY$2&lt;=$K160),1,"")</f>
        <v/>
      </c>
      <c r="BZ160" s="451" t="str">
        <f t="shared" si="245"/>
        <v/>
      </c>
      <c r="CA160" s="452" t="str">
        <f t="shared" si="245"/>
        <v/>
      </c>
      <c r="CB160" s="452" t="str">
        <f t="shared" si="245"/>
        <v/>
      </c>
      <c r="CC160" s="452" t="str">
        <f t="shared" si="245"/>
        <v/>
      </c>
      <c r="CD160" s="453" t="str">
        <f t="shared" si="245"/>
        <v/>
      </c>
      <c r="CE160" s="451" t="str">
        <f t="shared" si="245"/>
        <v/>
      </c>
      <c r="CF160" s="452" t="str">
        <f t="shared" si="245"/>
        <v/>
      </c>
      <c r="CG160" s="452" t="str">
        <f t="shared" si="245"/>
        <v/>
      </c>
      <c r="CH160" s="452" t="str">
        <f t="shared" si="245"/>
        <v/>
      </c>
      <c r="CI160" s="453" t="str">
        <f t="shared" si="245"/>
        <v/>
      </c>
      <c r="CJ160" s="451" t="str">
        <f t="shared" si="245"/>
        <v/>
      </c>
      <c r="CK160" s="452" t="str">
        <f t="shared" si="245"/>
        <v/>
      </c>
      <c r="CL160" s="452" t="str">
        <f t="shared" si="245"/>
        <v/>
      </c>
      <c r="CM160" s="452" t="str">
        <f t="shared" si="245"/>
        <v/>
      </c>
      <c r="CN160" s="453" t="str">
        <f t="shared" si="241"/>
        <v/>
      </c>
      <c r="CO160" s="451" t="str">
        <f t="shared" si="241"/>
        <v/>
      </c>
      <c r="CP160" s="452" t="str">
        <f t="shared" si="241"/>
        <v/>
      </c>
      <c r="CQ160" s="452" t="str">
        <f t="shared" si="241"/>
        <v/>
      </c>
      <c r="CR160" s="452" t="str">
        <f t="shared" si="241"/>
        <v/>
      </c>
      <c r="CS160" s="453" t="str">
        <f t="shared" si="241"/>
        <v/>
      </c>
      <c r="CT160" s="451" t="str">
        <f t="shared" si="241"/>
        <v/>
      </c>
      <c r="CU160" s="452" t="str">
        <f t="shared" si="241"/>
        <v/>
      </c>
      <c r="CV160" s="452" t="str">
        <f t="shared" si="241"/>
        <v/>
      </c>
      <c r="CW160" s="452" t="str">
        <f t="shared" si="241"/>
        <v/>
      </c>
      <c r="CX160" s="453" t="str">
        <f t="shared" si="241"/>
        <v/>
      </c>
      <c r="CY160" s="451" t="str">
        <f t="shared" si="241"/>
        <v/>
      </c>
      <c r="CZ160" s="452" t="str">
        <f t="shared" si="241"/>
        <v/>
      </c>
      <c r="DA160" s="452" t="str">
        <f t="shared" si="241"/>
        <v/>
      </c>
      <c r="DB160" s="452" t="str">
        <f t="shared" si="241"/>
        <v/>
      </c>
      <c r="DC160" s="453" t="str">
        <f t="shared" si="241"/>
        <v/>
      </c>
      <c r="DD160" s="451" t="str">
        <f t="shared" si="242"/>
        <v/>
      </c>
      <c r="DE160" s="452" t="str">
        <f t="shared" si="242"/>
        <v/>
      </c>
      <c r="DF160" s="452" t="str">
        <f t="shared" si="242"/>
        <v/>
      </c>
      <c r="DG160" s="452" t="str">
        <f t="shared" si="242"/>
        <v/>
      </c>
      <c r="DH160" s="453" t="str">
        <f t="shared" si="242"/>
        <v/>
      </c>
      <c r="DI160" s="451" t="str">
        <f t="shared" si="242"/>
        <v/>
      </c>
      <c r="DJ160" s="452" t="str">
        <f t="shared" si="242"/>
        <v/>
      </c>
      <c r="DK160" s="452" t="str">
        <f t="shared" si="242"/>
        <v/>
      </c>
      <c r="DL160" s="452" t="str">
        <f t="shared" si="242"/>
        <v/>
      </c>
      <c r="DM160" s="453" t="str">
        <f t="shared" si="242"/>
        <v/>
      </c>
      <c r="DN160" s="451" t="str">
        <f t="shared" si="242"/>
        <v/>
      </c>
      <c r="DO160" s="452" t="str">
        <f t="shared" si="242"/>
        <v/>
      </c>
      <c r="DP160" s="452" t="str">
        <f t="shared" si="242"/>
        <v/>
      </c>
      <c r="DQ160" s="452" t="str">
        <f t="shared" si="242"/>
        <v/>
      </c>
      <c r="DR160" s="453" t="str">
        <f t="shared" si="242"/>
        <v/>
      </c>
      <c r="DS160" s="451" t="str">
        <f t="shared" si="222"/>
        <v/>
      </c>
      <c r="DT160" s="452" t="str">
        <f t="shared" si="222"/>
        <v/>
      </c>
      <c r="DU160" s="452" t="str">
        <f t="shared" si="222"/>
        <v/>
      </c>
      <c r="DV160" s="452" t="str">
        <f t="shared" si="222"/>
        <v/>
      </c>
      <c r="DW160" s="453" t="str">
        <f t="shared" si="222"/>
        <v/>
      </c>
      <c r="DX160" s="451" t="str">
        <f t="shared" si="222"/>
        <v/>
      </c>
      <c r="DY160" s="452" t="str">
        <f t="shared" si="222"/>
        <v/>
      </c>
      <c r="DZ160" s="452" t="str">
        <f t="shared" si="222"/>
        <v/>
      </c>
      <c r="EA160" s="452" t="str">
        <f t="shared" si="222"/>
        <v/>
      </c>
      <c r="EB160" s="453" t="str">
        <f t="shared" si="222"/>
        <v/>
      </c>
      <c r="EC160" s="451" t="str">
        <f t="shared" si="222"/>
        <v/>
      </c>
      <c r="ED160" s="452" t="str">
        <f t="shared" si="222"/>
        <v/>
      </c>
      <c r="EE160" s="452" t="str">
        <f t="shared" si="222"/>
        <v/>
      </c>
      <c r="EF160" s="452" t="str">
        <f t="shared" si="222"/>
        <v/>
      </c>
      <c r="EG160" s="453" t="str">
        <f t="shared" si="222"/>
        <v/>
      </c>
      <c r="EH160" s="451" t="str">
        <f t="shared" si="222"/>
        <v/>
      </c>
      <c r="EI160" s="452" t="str">
        <f t="shared" si="229"/>
        <v/>
      </c>
      <c r="EJ160" s="452" t="str">
        <f t="shared" si="229"/>
        <v/>
      </c>
      <c r="EK160" s="452" t="str">
        <f t="shared" si="229"/>
        <v/>
      </c>
      <c r="EL160" s="453" t="str">
        <f t="shared" si="229"/>
        <v/>
      </c>
      <c r="EM160" s="451" t="str">
        <f t="shared" si="229"/>
        <v/>
      </c>
      <c r="EN160" s="452" t="str">
        <f t="shared" si="229"/>
        <v/>
      </c>
      <c r="EO160" s="452" t="str">
        <f t="shared" si="229"/>
        <v/>
      </c>
      <c r="EP160" s="452" t="str">
        <f t="shared" si="229"/>
        <v/>
      </c>
      <c r="EQ160" s="453" t="str">
        <f t="shared" si="229"/>
        <v/>
      </c>
      <c r="ER160" s="451" t="str">
        <f t="shared" si="229"/>
        <v/>
      </c>
      <c r="ES160" s="452" t="str">
        <f t="shared" si="229"/>
        <v/>
      </c>
      <c r="ET160" s="452" t="str">
        <f t="shared" si="229"/>
        <v/>
      </c>
      <c r="EU160" s="452" t="str">
        <f t="shared" si="229"/>
        <v/>
      </c>
      <c r="EV160" s="453" t="str">
        <f t="shared" si="229"/>
        <v/>
      </c>
      <c r="EW160" s="451" t="str">
        <f t="shared" si="229"/>
        <v/>
      </c>
      <c r="EX160" s="452" t="str">
        <f t="shared" si="229"/>
        <v/>
      </c>
      <c r="EY160" s="452" t="str">
        <f t="shared" si="230"/>
        <v/>
      </c>
      <c r="EZ160" s="452" t="str">
        <f t="shared" si="230"/>
        <v/>
      </c>
      <c r="FA160" s="453" t="str">
        <f t="shared" si="230"/>
        <v/>
      </c>
      <c r="FB160" s="451" t="str">
        <f t="shared" si="230"/>
        <v/>
      </c>
      <c r="FC160" s="452" t="str">
        <f t="shared" si="230"/>
        <v/>
      </c>
      <c r="FD160" s="452" t="str">
        <f t="shared" si="230"/>
        <v/>
      </c>
      <c r="FE160" s="452" t="str">
        <f t="shared" si="230"/>
        <v/>
      </c>
      <c r="FF160" s="453" t="str">
        <f t="shared" si="230"/>
        <v/>
      </c>
      <c r="FG160" s="451" t="str">
        <f t="shared" si="230"/>
        <v/>
      </c>
      <c r="FH160" s="452" t="str">
        <f t="shared" si="230"/>
        <v/>
      </c>
      <c r="FI160" s="452" t="str">
        <f t="shared" si="230"/>
        <v/>
      </c>
      <c r="FJ160" s="452" t="str">
        <f t="shared" si="230"/>
        <v/>
      </c>
      <c r="FK160" s="453" t="str">
        <f t="shared" si="230"/>
        <v/>
      </c>
      <c r="FL160" s="451" t="str">
        <f t="shared" si="230"/>
        <v/>
      </c>
      <c r="FM160" s="452" t="str">
        <f t="shared" si="230"/>
        <v/>
      </c>
      <c r="FN160" s="452" t="str">
        <f t="shared" si="230"/>
        <v/>
      </c>
      <c r="FO160" s="452" t="str">
        <f t="shared" si="227"/>
        <v/>
      </c>
      <c r="FP160" s="453" t="str">
        <f t="shared" si="227"/>
        <v/>
      </c>
      <c r="FQ160" s="451" t="str">
        <f t="shared" si="227"/>
        <v/>
      </c>
      <c r="FR160" s="452" t="str">
        <f t="shared" si="227"/>
        <v/>
      </c>
      <c r="FS160" s="452" t="str">
        <f t="shared" si="227"/>
        <v/>
      </c>
      <c r="FT160" s="452" t="str">
        <f t="shared" si="227"/>
        <v/>
      </c>
      <c r="FU160" s="453" t="str">
        <f t="shared" si="227"/>
        <v/>
      </c>
      <c r="FV160" s="451" t="str">
        <f t="shared" si="227"/>
        <v/>
      </c>
      <c r="FW160" s="452" t="str">
        <f t="shared" si="227"/>
        <v/>
      </c>
      <c r="FX160" s="452" t="str">
        <f t="shared" si="227"/>
        <v/>
      </c>
      <c r="FY160" s="452" t="str">
        <f t="shared" si="227"/>
        <v/>
      </c>
      <c r="FZ160" s="453" t="str">
        <f t="shared" si="227"/>
        <v/>
      </c>
      <c r="GA160" s="451" t="str">
        <f t="shared" si="227"/>
        <v/>
      </c>
      <c r="GB160" s="452" t="str">
        <f t="shared" si="227"/>
        <v/>
      </c>
      <c r="GC160" s="452" t="str">
        <f t="shared" si="227"/>
        <v/>
      </c>
      <c r="GD160" s="452" t="str">
        <f t="shared" si="227"/>
        <v/>
      </c>
      <c r="GE160" s="453" t="str">
        <f t="shared" si="234"/>
        <v/>
      </c>
      <c r="GF160" s="451" t="str">
        <f t="shared" si="234"/>
        <v/>
      </c>
      <c r="GG160" s="452" t="str">
        <f t="shared" si="234"/>
        <v/>
      </c>
      <c r="GH160" s="452" t="str">
        <f t="shared" si="234"/>
        <v/>
      </c>
      <c r="GI160" s="452" t="str">
        <f t="shared" si="234"/>
        <v/>
      </c>
      <c r="GJ160" s="453" t="str">
        <f t="shared" si="234"/>
        <v/>
      </c>
      <c r="GK160" s="451" t="str">
        <f t="shared" si="234"/>
        <v/>
      </c>
      <c r="GL160" s="452" t="str">
        <f t="shared" si="234"/>
        <v/>
      </c>
      <c r="GM160" s="452" t="str">
        <f t="shared" si="234"/>
        <v/>
      </c>
      <c r="GN160" s="452" t="str">
        <f t="shared" si="234"/>
        <v/>
      </c>
      <c r="GO160" s="453" t="str">
        <f t="shared" si="234"/>
        <v/>
      </c>
      <c r="GP160" s="451" t="str">
        <f t="shared" si="234"/>
        <v/>
      </c>
      <c r="GQ160" s="452" t="str">
        <f t="shared" si="234"/>
        <v/>
      </c>
      <c r="GR160" s="452" t="str">
        <f t="shared" si="234"/>
        <v/>
      </c>
      <c r="GS160" s="452" t="str">
        <f t="shared" si="234"/>
        <v/>
      </c>
      <c r="GT160" s="453" t="str">
        <f t="shared" si="231"/>
        <v/>
      </c>
      <c r="GU160" s="451" t="str">
        <f t="shared" si="231"/>
        <v/>
      </c>
      <c r="GV160" s="452" t="str">
        <f t="shared" si="231"/>
        <v/>
      </c>
      <c r="GW160" s="452" t="str">
        <f t="shared" si="228"/>
        <v/>
      </c>
      <c r="GX160" s="452" t="str">
        <f t="shared" si="228"/>
        <v/>
      </c>
      <c r="GY160" s="453" t="str">
        <f t="shared" si="228"/>
        <v/>
      </c>
      <c r="GZ160" s="451" t="str">
        <f t="shared" si="228"/>
        <v/>
      </c>
      <c r="HA160" s="452" t="str">
        <f t="shared" si="228"/>
        <v/>
      </c>
      <c r="HB160" s="452" t="str">
        <f t="shared" si="228"/>
        <v/>
      </c>
      <c r="HC160" s="452" t="str">
        <f t="shared" si="228"/>
        <v/>
      </c>
      <c r="HD160" s="453" t="str">
        <f t="shared" si="228"/>
        <v/>
      </c>
      <c r="HE160" s="451" t="str">
        <f t="shared" si="228"/>
        <v/>
      </c>
      <c r="HF160" s="452" t="str">
        <f t="shared" si="228"/>
        <v/>
      </c>
      <c r="HG160" s="452" t="str">
        <f t="shared" si="228"/>
        <v/>
      </c>
      <c r="HH160" s="452" t="str">
        <f t="shared" si="228"/>
        <v/>
      </c>
      <c r="HI160" s="453" t="str">
        <f t="shared" si="228"/>
        <v/>
      </c>
      <c r="HJ160" s="451" t="str">
        <f t="shared" si="228"/>
        <v/>
      </c>
      <c r="HK160" s="452" t="str">
        <f t="shared" si="228"/>
        <v/>
      </c>
      <c r="HL160" s="452" t="str">
        <f t="shared" si="228"/>
        <v/>
      </c>
      <c r="HM160" s="452" t="str">
        <f t="shared" si="228"/>
        <v/>
      </c>
      <c r="HN160" s="453" t="str">
        <f t="shared" si="232"/>
        <v/>
      </c>
      <c r="HO160" s="451" t="str">
        <f t="shared" si="232"/>
        <v/>
      </c>
      <c r="HP160" s="452" t="str">
        <f t="shared" si="232"/>
        <v/>
      </c>
      <c r="HQ160" s="452" t="str">
        <f t="shared" si="232"/>
        <v/>
      </c>
      <c r="HR160" s="452" t="str">
        <f t="shared" si="232"/>
        <v/>
      </c>
      <c r="HS160" s="453" t="str">
        <f t="shared" si="232"/>
        <v/>
      </c>
      <c r="HT160" s="451" t="str">
        <f t="shared" si="232"/>
        <v/>
      </c>
      <c r="HU160" s="452" t="str">
        <f t="shared" si="232"/>
        <v/>
      </c>
      <c r="HV160" s="452" t="str">
        <f t="shared" si="232"/>
        <v/>
      </c>
      <c r="HW160" s="452" t="str">
        <f t="shared" si="232"/>
        <v/>
      </c>
      <c r="HX160" s="453" t="str">
        <f t="shared" si="232"/>
        <v/>
      </c>
      <c r="HY160" s="451" t="str">
        <f t="shared" si="232"/>
        <v/>
      </c>
      <c r="HZ160" s="452" t="str">
        <f t="shared" si="232"/>
        <v/>
      </c>
      <c r="IA160" s="452" t="str">
        <f t="shared" si="232"/>
        <v/>
      </c>
      <c r="IB160" s="452" t="str">
        <f t="shared" si="232"/>
        <v/>
      </c>
      <c r="IC160" s="453" t="str">
        <f t="shared" si="232"/>
        <v/>
      </c>
      <c r="ID160" s="451" t="str">
        <f t="shared" si="237"/>
        <v/>
      </c>
      <c r="IE160" s="452" t="str">
        <f t="shared" si="237"/>
        <v/>
      </c>
      <c r="IF160" s="452" t="str">
        <f t="shared" si="237"/>
        <v/>
      </c>
      <c r="IG160" s="452" t="str">
        <f t="shared" si="237"/>
        <v/>
      </c>
      <c r="IH160" s="453" t="str">
        <f t="shared" si="237"/>
        <v/>
      </c>
      <c r="II160" s="451" t="str">
        <f t="shared" si="237"/>
        <v/>
      </c>
      <c r="IJ160" s="452" t="str">
        <f t="shared" si="237"/>
        <v/>
      </c>
      <c r="IK160" s="452" t="str">
        <f t="shared" si="237"/>
        <v/>
      </c>
      <c r="IL160" s="452" t="str">
        <f t="shared" si="237"/>
        <v/>
      </c>
      <c r="IM160" s="453" t="str">
        <f t="shared" si="237"/>
        <v/>
      </c>
      <c r="IN160" s="451" t="str">
        <f t="shared" si="237"/>
        <v/>
      </c>
      <c r="IO160" s="452" t="str">
        <f t="shared" si="237"/>
        <v/>
      </c>
      <c r="IP160" s="452" t="str">
        <f t="shared" si="237"/>
        <v/>
      </c>
      <c r="IQ160" s="452" t="str">
        <f t="shared" si="237"/>
        <v/>
      </c>
      <c r="IR160" s="453" t="str">
        <f t="shared" si="237"/>
        <v/>
      </c>
    </row>
    <row r="161" spans="1:252" x14ac:dyDescent="0.2">
      <c r="A161" s="461">
        <v>15.3</v>
      </c>
      <c r="C161" s="447" t="s">
        <v>1353</v>
      </c>
      <c r="D161" s="447"/>
      <c r="E161" s="448"/>
      <c r="F161" s="448"/>
      <c r="G161" s="448"/>
      <c r="H161" s="448"/>
      <c r="I161" s="448"/>
      <c r="J161" s="449" t="str">
        <f t="shared" si="238"/>
        <v/>
      </c>
      <c r="K161" s="449" t="str">
        <f t="shared" si="239"/>
        <v/>
      </c>
      <c r="L161" s="450">
        <f t="shared" si="236"/>
        <v>0</v>
      </c>
      <c r="M161" s="451" t="str">
        <f t="shared" si="235"/>
        <v/>
      </c>
      <c r="N161" s="452" t="str">
        <f t="shared" si="235"/>
        <v/>
      </c>
      <c r="O161" s="452" t="str">
        <f t="shared" si="235"/>
        <v/>
      </c>
      <c r="P161" s="452" t="str">
        <f t="shared" si="235"/>
        <v/>
      </c>
      <c r="Q161" s="453" t="str">
        <f t="shared" si="235"/>
        <v/>
      </c>
      <c r="R161" s="451" t="str">
        <f t="shared" si="235"/>
        <v/>
      </c>
      <c r="S161" s="452" t="str">
        <f t="shared" si="235"/>
        <v/>
      </c>
      <c r="T161" s="452" t="str">
        <f t="shared" si="235"/>
        <v/>
      </c>
      <c r="U161" s="452" t="str">
        <f t="shared" si="235"/>
        <v/>
      </c>
      <c r="V161" s="453" t="str">
        <f t="shared" si="235"/>
        <v/>
      </c>
      <c r="W161" s="451" t="str">
        <f t="shared" si="235"/>
        <v/>
      </c>
      <c r="X161" s="452" t="str">
        <f t="shared" si="235"/>
        <v/>
      </c>
      <c r="Y161" s="452" t="str">
        <f t="shared" si="235"/>
        <v/>
      </c>
      <c r="Z161" s="452" t="str">
        <f t="shared" si="235"/>
        <v/>
      </c>
      <c r="AA161" s="453" t="str">
        <f t="shared" si="235"/>
        <v/>
      </c>
      <c r="AB161" s="451" t="str">
        <f t="shared" si="235"/>
        <v/>
      </c>
      <c r="AC161" s="452" t="str">
        <f t="shared" ref="AC161:AR176" si="246">IF(AND(AC$2&gt;=$J161,AC$2&lt;=$K161),1,"")</f>
        <v/>
      </c>
      <c r="AD161" s="452" t="str">
        <f t="shared" si="246"/>
        <v/>
      </c>
      <c r="AE161" s="452" t="str">
        <f t="shared" si="246"/>
        <v/>
      </c>
      <c r="AF161" s="453" t="str">
        <f t="shared" si="246"/>
        <v/>
      </c>
      <c r="AG161" s="451" t="str">
        <f t="shared" si="246"/>
        <v/>
      </c>
      <c r="AH161" s="452" t="str">
        <f t="shared" si="246"/>
        <v/>
      </c>
      <c r="AI161" s="452" t="str">
        <f t="shared" si="246"/>
        <v/>
      </c>
      <c r="AJ161" s="452" t="str">
        <f t="shared" si="246"/>
        <v/>
      </c>
      <c r="AK161" s="453" t="str">
        <f t="shared" si="246"/>
        <v/>
      </c>
      <c r="AL161" s="451" t="str">
        <f t="shared" si="246"/>
        <v/>
      </c>
      <c r="AM161" s="452" t="str">
        <f t="shared" si="246"/>
        <v/>
      </c>
      <c r="AN161" s="452" t="str">
        <f t="shared" si="246"/>
        <v/>
      </c>
      <c r="AO161" s="452" t="str">
        <f t="shared" si="246"/>
        <v/>
      </c>
      <c r="AP161" s="453" t="str">
        <f t="shared" si="246"/>
        <v/>
      </c>
      <c r="AQ161" s="451" t="str">
        <f t="shared" si="246"/>
        <v/>
      </c>
      <c r="AR161" s="452" t="str">
        <f t="shared" si="246"/>
        <v/>
      </c>
      <c r="AS161" s="452" t="str">
        <f t="shared" si="243"/>
        <v/>
      </c>
      <c r="AT161" s="452" t="str">
        <f t="shared" si="243"/>
        <v/>
      </c>
      <c r="AU161" s="453" t="str">
        <f t="shared" si="243"/>
        <v/>
      </c>
      <c r="AV161" s="451" t="str">
        <f t="shared" si="243"/>
        <v/>
      </c>
      <c r="AW161" s="452" t="str">
        <f t="shared" si="243"/>
        <v/>
      </c>
      <c r="AX161" s="452" t="str">
        <f t="shared" si="243"/>
        <v/>
      </c>
      <c r="AY161" s="452" t="str">
        <f t="shared" si="243"/>
        <v/>
      </c>
      <c r="AZ161" s="453" t="str">
        <f t="shared" si="243"/>
        <v/>
      </c>
      <c r="BA161" s="451" t="str">
        <f t="shared" si="243"/>
        <v/>
      </c>
      <c r="BB161" s="452" t="str">
        <f t="shared" si="243"/>
        <v/>
      </c>
      <c r="BC161" s="452" t="str">
        <f t="shared" si="243"/>
        <v/>
      </c>
      <c r="BD161" s="452" t="str">
        <f t="shared" si="243"/>
        <v/>
      </c>
      <c r="BE161" s="453" t="str">
        <f t="shared" si="243"/>
        <v/>
      </c>
      <c r="BF161" s="451" t="str">
        <f t="shared" si="243"/>
        <v/>
      </c>
      <c r="BG161" s="452" t="str">
        <f t="shared" si="243"/>
        <v/>
      </c>
      <c r="BH161" s="452" t="str">
        <f t="shared" si="243"/>
        <v/>
      </c>
      <c r="BI161" s="452" t="str">
        <f t="shared" si="244"/>
        <v/>
      </c>
      <c r="BJ161" s="453" t="str">
        <f t="shared" si="244"/>
        <v/>
      </c>
      <c r="BK161" s="451" t="str">
        <f t="shared" si="244"/>
        <v/>
      </c>
      <c r="BL161" s="452" t="str">
        <f t="shared" si="244"/>
        <v/>
      </c>
      <c r="BM161" s="452" t="str">
        <f t="shared" si="244"/>
        <v/>
      </c>
      <c r="BN161" s="452" t="str">
        <f t="shared" si="244"/>
        <v/>
      </c>
      <c r="BO161" s="453" t="str">
        <f t="shared" si="244"/>
        <v/>
      </c>
      <c r="BP161" s="451" t="str">
        <f t="shared" si="244"/>
        <v/>
      </c>
      <c r="BQ161" s="452" t="str">
        <f t="shared" si="244"/>
        <v/>
      </c>
      <c r="BR161" s="452" t="str">
        <f t="shared" si="244"/>
        <v/>
      </c>
      <c r="BS161" s="452" t="str">
        <f t="shared" si="244"/>
        <v/>
      </c>
      <c r="BT161" s="453" t="str">
        <f t="shared" si="244"/>
        <v/>
      </c>
      <c r="BU161" s="451" t="str">
        <f t="shared" si="244"/>
        <v/>
      </c>
      <c r="BV161" s="452" t="str">
        <f t="shared" si="244"/>
        <v/>
      </c>
      <c r="BW161" s="452" t="str">
        <f t="shared" si="244"/>
        <v/>
      </c>
      <c r="BX161" s="452" t="str">
        <f t="shared" si="244"/>
        <v/>
      </c>
      <c r="BY161" s="453" t="str">
        <f t="shared" si="245"/>
        <v/>
      </c>
      <c r="BZ161" s="451" t="str">
        <f t="shared" si="245"/>
        <v/>
      </c>
      <c r="CA161" s="452" t="str">
        <f t="shared" si="245"/>
        <v/>
      </c>
      <c r="CB161" s="452" t="str">
        <f t="shared" si="245"/>
        <v/>
      </c>
      <c r="CC161" s="452" t="str">
        <f t="shared" si="245"/>
        <v/>
      </c>
      <c r="CD161" s="453" t="str">
        <f t="shared" si="245"/>
        <v/>
      </c>
      <c r="CE161" s="451" t="str">
        <f t="shared" si="245"/>
        <v/>
      </c>
      <c r="CF161" s="452" t="str">
        <f t="shared" si="245"/>
        <v/>
      </c>
      <c r="CG161" s="452" t="str">
        <f t="shared" si="245"/>
        <v/>
      </c>
      <c r="CH161" s="452" t="str">
        <f t="shared" si="245"/>
        <v/>
      </c>
      <c r="CI161" s="453" t="str">
        <f t="shared" si="245"/>
        <v/>
      </c>
      <c r="CJ161" s="451" t="str">
        <f t="shared" si="245"/>
        <v/>
      </c>
      <c r="CK161" s="452" t="str">
        <f t="shared" si="245"/>
        <v/>
      </c>
      <c r="CL161" s="452" t="str">
        <f t="shared" si="245"/>
        <v/>
      </c>
      <c r="CM161" s="452" t="str">
        <f t="shared" si="245"/>
        <v/>
      </c>
      <c r="CN161" s="453" t="str">
        <f t="shared" si="241"/>
        <v/>
      </c>
      <c r="CO161" s="451" t="str">
        <f t="shared" si="241"/>
        <v/>
      </c>
      <c r="CP161" s="452" t="str">
        <f t="shared" si="241"/>
        <v/>
      </c>
      <c r="CQ161" s="452" t="str">
        <f t="shared" si="241"/>
        <v/>
      </c>
      <c r="CR161" s="452" t="str">
        <f t="shared" si="241"/>
        <v/>
      </c>
      <c r="CS161" s="453" t="str">
        <f t="shared" si="241"/>
        <v/>
      </c>
      <c r="CT161" s="451" t="str">
        <f t="shared" si="241"/>
        <v/>
      </c>
      <c r="CU161" s="452" t="str">
        <f t="shared" si="241"/>
        <v/>
      </c>
      <c r="CV161" s="452" t="str">
        <f t="shared" si="241"/>
        <v/>
      </c>
      <c r="CW161" s="452" t="str">
        <f t="shared" si="241"/>
        <v/>
      </c>
      <c r="CX161" s="453" t="str">
        <f t="shared" si="241"/>
        <v/>
      </c>
      <c r="CY161" s="451" t="str">
        <f t="shared" si="241"/>
        <v/>
      </c>
      <c r="CZ161" s="452" t="str">
        <f t="shared" si="241"/>
        <v/>
      </c>
      <c r="DA161" s="452" t="str">
        <f t="shared" si="241"/>
        <v/>
      </c>
      <c r="DB161" s="452" t="str">
        <f t="shared" si="241"/>
        <v/>
      </c>
      <c r="DC161" s="453" t="str">
        <f t="shared" si="241"/>
        <v/>
      </c>
      <c r="DD161" s="451" t="str">
        <f t="shared" si="242"/>
        <v/>
      </c>
      <c r="DE161" s="452" t="str">
        <f t="shared" si="242"/>
        <v/>
      </c>
      <c r="DF161" s="452" t="str">
        <f t="shared" si="242"/>
        <v/>
      </c>
      <c r="DG161" s="452" t="str">
        <f t="shared" si="242"/>
        <v/>
      </c>
      <c r="DH161" s="453" t="str">
        <f t="shared" si="242"/>
        <v/>
      </c>
      <c r="DI161" s="451" t="str">
        <f t="shared" si="242"/>
        <v/>
      </c>
      <c r="DJ161" s="452" t="str">
        <f t="shared" si="242"/>
        <v/>
      </c>
      <c r="DK161" s="452" t="str">
        <f t="shared" si="242"/>
        <v/>
      </c>
      <c r="DL161" s="452" t="str">
        <f t="shared" si="242"/>
        <v/>
      </c>
      <c r="DM161" s="453" t="str">
        <f t="shared" si="242"/>
        <v/>
      </c>
      <c r="DN161" s="451" t="str">
        <f t="shared" si="242"/>
        <v/>
      </c>
      <c r="DO161" s="452" t="str">
        <f t="shared" si="242"/>
        <v/>
      </c>
      <c r="DP161" s="452" t="str">
        <f t="shared" si="242"/>
        <v/>
      </c>
      <c r="DQ161" s="452" t="str">
        <f t="shared" si="242"/>
        <v/>
      </c>
      <c r="DR161" s="453" t="str">
        <f t="shared" si="242"/>
        <v/>
      </c>
      <c r="DS161" s="451" t="str">
        <f t="shared" si="242"/>
        <v/>
      </c>
      <c r="DT161" s="452" t="str">
        <f t="shared" ref="DT161:EI176" si="247">IF(AND(DT$2&gt;=$J161,DT$2&lt;=$K161),1,"")</f>
        <v/>
      </c>
      <c r="DU161" s="452" t="str">
        <f t="shared" si="247"/>
        <v/>
      </c>
      <c r="DV161" s="452" t="str">
        <f t="shared" si="247"/>
        <v/>
      </c>
      <c r="DW161" s="453" t="str">
        <f t="shared" si="247"/>
        <v/>
      </c>
      <c r="DX161" s="451" t="str">
        <f t="shared" si="247"/>
        <v/>
      </c>
      <c r="DY161" s="452" t="str">
        <f t="shared" si="247"/>
        <v/>
      </c>
      <c r="DZ161" s="452" t="str">
        <f t="shared" si="247"/>
        <v/>
      </c>
      <c r="EA161" s="452" t="str">
        <f t="shared" si="247"/>
        <v/>
      </c>
      <c r="EB161" s="453" t="str">
        <f t="shared" si="247"/>
        <v/>
      </c>
      <c r="EC161" s="451" t="str">
        <f t="shared" si="247"/>
        <v/>
      </c>
      <c r="ED161" s="452" t="str">
        <f t="shared" si="247"/>
        <v/>
      </c>
      <c r="EE161" s="452" t="str">
        <f t="shared" si="247"/>
        <v/>
      </c>
      <c r="EF161" s="452" t="str">
        <f t="shared" si="247"/>
        <v/>
      </c>
      <c r="EG161" s="453" t="str">
        <f t="shared" si="247"/>
        <v/>
      </c>
      <c r="EH161" s="451" t="str">
        <f t="shared" si="247"/>
        <v/>
      </c>
      <c r="EI161" s="452" t="str">
        <f t="shared" si="229"/>
        <v/>
      </c>
      <c r="EJ161" s="452" t="str">
        <f t="shared" si="229"/>
        <v/>
      </c>
      <c r="EK161" s="452" t="str">
        <f t="shared" si="229"/>
        <v/>
      </c>
      <c r="EL161" s="453" t="str">
        <f t="shared" si="229"/>
        <v/>
      </c>
      <c r="EM161" s="451" t="str">
        <f t="shared" si="229"/>
        <v/>
      </c>
      <c r="EN161" s="452" t="str">
        <f t="shared" si="229"/>
        <v/>
      </c>
      <c r="EO161" s="452" t="str">
        <f t="shared" si="229"/>
        <v/>
      </c>
      <c r="EP161" s="452" t="str">
        <f t="shared" si="229"/>
        <v/>
      </c>
      <c r="EQ161" s="453" t="str">
        <f t="shared" si="229"/>
        <v/>
      </c>
      <c r="ER161" s="451" t="str">
        <f t="shared" si="229"/>
        <v/>
      </c>
      <c r="ES161" s="452" t="str">
        <f t="shared" si="229"/>
        <v/>
      </c>
      <c r="ET161" s="452" t="str">
        <f t="shared" si="229"/>
        <v/>
      </c>
      <c r="EU161" s="452" t="str">
        <f t="shared" si="229"/>
        <v/>
      </c>
      <c r="EV161" s="453" t="str">
        <f t="shared" si="229"/>
        <v/>
      </c>
      <c r="EW161" s="451" t="str">
        <f t="shared" si="229"/>
        <v/>
      </c>
      <c r="EX161" s="452" t="str">
        <f t="shared" si="229"/>
        <v/>
      </c>
      <c r="EY161" s="452" t="str">
        <f t="shared" si="230"/>
        <v/>
      </c>
      <c r="EZ161" s="452" t="str">
        <f t="shared" si="230"/>
        <v/>
      </c>
      <c r="FA161" s="453" t="str">
        <f t="shared" si="230"/>
        <v/>
      </c>
      <c r="FB161" s="451" t="str">
        <f t="shared" si="230"/>
        <v/>
      </c>
      <c r="FC161" s="452" t="str">
        <f t="shared" si="230"/>
        <v/>
      </c>
      <c r="FD161" s="452" t="str">
        <f t="shared" si="230"/>
        <v/>
      </c>
      <c r="FE161" s="452" t="str">
        <f t="shared" si="230"/>
        <v/>
      </c>
      <c r="FF161" s="453" t="str">
        <f t="shared" si="230"/>
        <v/>
      </c>
      <c r="FG161" s="451" t="str">
        <f t="shared" si="230"/>
        <v/>
      </c>
      <c r="FH161" s="452" t="str">
        <f t="shared" si="230"/>
        <v/>
      </c>
      <c r="FI161" s="452" t="str">
        <f t="shared" si="230"/>
        <v/>
      </c>
      <c r="FJ161" s="452" t="str">
        <f t="shared" si="230"/>
        <v/>
      </c>
      <c r="FK161" s="453" t="str">
        <f t="shared" si="230"/>
        <v/>
      </c>
      <c r="FL161" s="451" t="str">
        <f t="shared" si="230"/>
        <v/>
      </c>
      <c r="FM161" s="452" t="str">
        <f t="shared" si="230"/>
        <v/>
      </c>
      <c r="FN161" s="452" t="str">
        <f t="shared" si="230"/>
        <v/>
      </c>
      <c r="FO161" s="452" t="str">
        <f t="shared" si="227"/>
        <v/>
      </c>
      <c r="FP161" s="453" t="str">
        <f t="shared" si="227"/>
        <v/>
      </c>
      <c r="FQ161" s="451" t="str">
        <f t="shared" si="227"/>
        <v/>
      </c>
      <c r="FR161" s="452" t="str">
        <f t="shared" si="227"/>
        <v/>
      </c>
      <c r="FS161" s="452" t="str">
        <f t="shared" si="227"/>
        <v/>
      </c>
      <c r="FT161" s="452" t="str">
        <f t="shared" si="227"/>
        <v/>
      </c>
      <c r="FU161" s="453" t="str">
        <f t="shared" si="227"/>
        <v/>
      </c>
      <c r="FV161" s="451" t="str">
        <f t="shared" si="227"/>
        <v/>
      </c>
      <c r="FW161" s="452" t="str">
        <f t="shared" si="227"/>
        <v/>
      </c>
      <c r="FX161" s="452" t="str">
        <f t="shared" si="227"/>
        <v/>
      </c>
      <c r="FY161" s="452" t="str">
        <f t="shared" si="227"/>
        <v/>
      </c>
      <c r="FZ161" s="453" t="str">
        <f t="shared" si="227"/>
        <v/>
      </c>
      <c r="GA161" s="451" t="str">
        <f t="shared" si="227"/>
        <v/>
      </c>
      <c r="GB161" s="452" t="str">
        <f t="shared" si="227"/>
        <v/>
      </c>
      <c r="GC161" s="452" t="str">
        <f t="shared" si="227"/>
        <v/>
      </c>
      <c r="GD161" s="452" t="str">
        <f t="shared" si="227"/>
        <v/>
      </c>
      <c r="GE161" s="453" t="str">
        <f t="shared" si="234"/>
        <v/>
      </c>
      <c r="GF161" s="451" t="str">
        <f t="shared" si="234"/>
        <v/>
      </c>
      <c r="GG161" s="452" t="str">
        <f t="shared" si="234"/>
        <v/>
      </c>
      <c r="GH161" s="452" t="str">
        <f t="shared" si="234"/>
        <v/>
      </c>
      <c r="GI161" s="452" t="str">
        <f t="shared" si="234"/>
        <v/>
      </c>
      <c r="GJ161" s="453" t="str">
        <f t="shared" si="234"/>
        <v/>
      </c>
      <c r="GK161" s="451" t="str">
        <f t="shared" si="234"/>
        <v/>
      </c>
      <c r="GL161" s="452" t="str">
        <f t="shared" si="234"/>
        <v/>
      </c>
      <c r="GM161" s="452" t="str">
        <f t="shared" si="234"/>
        <v/>
      </c>
      <c r="GN161" s="452" t="str">
        <f t="shared" si="234"/>
        <v/>
      </c>
      <c r="GO161" s="453" t="str">
        <f t="shared" si="234"/>
        <v/>
      </c>
      <c r="GP161" s="451" t="str">
        <f t="shared" si="234"/>
        <v/>
      </c>
      <c r="GQ161" s="452" t="str">
        <f t="shared" si="234"/>
        <v/>
      </c>
      <c r="GR161" s="452" t="str">
        <f t="shared" si="234"/>
        <v/>
      </c>
      <c r="GS161" s="452" t="str">
        <f t="shared" si="234"/>
        <v/>
      </c>
      <c r="GT161" s="453" t="str">
        <f t="shared" si="231"/>
        <v/>
      </c>
      <c r="GU161" s="451" t="str">
        <f t="shared" si="231"/>
        <v/>
      </c>
      <c r="GV161" s="452" t="str">
        <f t="shared" si="231"/>
        <v/>
      </c>
      <c r="GW161" s="452" t="str">
        <f t="shared" si="228"/>
        <v/>
      </c>
      <c r="GX161" s="452" t="str">
        <f t="shared" si="228"/>
        <v/>
      </c>
      <c r="GY161" s="453" t="str">
        <f t="shared" si="228"/>
        <v/>
      </c>
      <c r="GZ161" s="451" t="str">
        <f t="shared" si="228"/>
        <v/>
      </c>
      <c r="HA161" s="452" t="str">
        <f t="shared" si="228"/>
        <v/>
      </c>
      <c r="HB161" s="452" t="str">
        <f t="shared" si="228"/>
        <v/>
      </c>
      <c r="HC161" s="452" t="str">
        <f t="shared" si="228"/>
        <v/>
      </c>
      <c r="HD161" s="453" t="str">
        <f t="shared" si="228"/>
        <v/>
      </c>
      <c r="HE161" s="451" t="str">
        <f t="shared" si="228"/>
        <v/>
      </c>
      <c r="HF161" s="452" t="str">
        <f t="shared" si="228"/>
        <v/>
      </c>
      <c r="HG161" s="452" t="str">
        <f t="shared" si="228"/>
        <v/>
      </c>
      <c r="HH161" s="452" t="str">
        <f t="shared" si="228"/>
        <v/>
      </c>
      <c r="HI161" s="453" t="str">
        <f t="shared" si="228"/>
        <v/>
      </c>
      <c r="HJ161" s="451" t="str">
        <f t="shared" si="228"/>
        <v/>
      </c>
      <c r="HK161" s="452" t="str">
        <f t="shared" si="228"/>
        <v/>
      </c>
      <c r="HL161" s="452" t="str">
        <f t="shared" si="228"/>
        <v/>
      </c>
      <c r="HM161" s="452" t="str">
        <f t="shared" si="228"/>
        <v/>
      </c>
      <c r="HN161" s="453" t="str">
        <f t="shared" si="232"/>
        <v/>
      </c>
      <c r="HO161" s="451" t="str">
        <f t="shared" si="232"/>
        <v/>
      </c>
      <c r="HP161" s="452" t="str">
        <f t="shared" si="232"/>
        <v/>
      </c>
      <c r="HQ161" s="452" t="str">
        <f t="shared" si="232"/>
        <v/>
      </c>
      <c r="HR161" s="452" t="str">
        <f t="shared" si="232"/>
        <v/>
      </c>
      <c r="HS161" s="453" t="str">
        <f t="shared" si="232"/>
        <v/>
      </c>
      <c r="HT161" s="451" t="str">
        <f t="shared" si="232"/>
        <v/>
      </c>
      <c r="HU161" s="452" t="str">
        <f t="shared" si="232"/>
        <v/>
      </c>
      <c r="HV161" s="452" t="str">
        <f t="shared" si="232"/>
        <v/>
      </c>
      <c r="HW161" s="452" t="str">
        <f t="shared" si="232"/>
        <v/>
      </c>
      <c r="HX161" s="453" t="str">
        <f t="shared" si="232"/>
        <v/>
      </c>
      <c r="HY161" s="451" t="str">
        <f t="shared" si="232"/>
        <v/>
      </c>
      <c r="HZ161" s="452" t="str">
        <f t="shared" si="232"/>
        <v/>
      </c>
      <c r="IA161" s="452" t="str">
        <f t="shared" si="232"/>
        <v/>
      </c>
      <c r="IB161" s="452" t="str">
        <f t="shared" si="232"/>
        <v/>
      </c>
      <c r="IC161" s="453" t="str">
        <f t="shared" si="232"/>
        <v/>
      </c>
      <c r="ID161" s="451" t="str">
        <f t="shared" si="237"/>
        <v/>
      </c>
      <c r="IE161" s="452" t="str">
        <f t="shared" si="237"/>
        <v/>
      </c>
      <c r="IF161" s="452" t="str">
        <f t="shared" si="237"/>
        <v/>
      </c>
      <c r="IG161" s="452" t="str">
        <f t="shared" si="237"/>
        <v/>
      </c>
      <c r="IH161" s="453" t="str">
        <f t="shared" si="237"/>
        <v/>
      </c>
      <c r="II161" s="451" t="str">
        <f t="shared" si="237"/>
        <v/>
      </c>
      <c r="IJ161" s="452" t="str">
        <f t="shared" si="237"/>
        <v/>
      </c>
      <c r="IK161" s="452" t="str">
        <f t="shared" si="237"/>
        <v/>
      </c>
      <c r="IL161" s="452" t="str">
        <f t="shared" si="237"/>
        <v/>
      </c>
      <c r="IM161" s="453" t="str">
        <f t="shared" si="237"/>
        <v/>
      </c>
      <c r="IN161" s="451" t="str">
        <f t="shared" si="237"/>
        <v/>
      </c>
      <c r="IO161" s="452" t="str">
        <f t="shared" si="237"/>
        <v/>
      </c>
      <c r="IP161" s="452" t="str">
        <f t="shared" si="237"/>
        <v/>
      </c>
      <c r="IQ161" s="452" t="str">
        <f t="shared" si="237"/>
        <v/>
      </c>
      <c r="IR161" s="453" t="str">
        <f t="shared" si="237"/>
        <v/>
      </c>
    </row>
    <row r="162" spans="1:252" x14ac:dyDescent="0.2">
      <c r="A162" s="461">
        <v>15.4</v>
      </c>
      <c r="C162" s="447" t="s">
        <v>1354</v>
      </c>
      <c r="D162" s="447"/>
      <c r="E162" s="448"/>
      <c r="F162" s="448"/>
      <c r="G162" s="448"/>
      <c r="H162" s="448"/>
      <c r="I162" s="448"/>
      <c r="J162" s="449" t="str">
        <f t="shared" si="238"/>
        <v/>
      </c>
      <c r="K162" s="449" t="str">
        <f t="shared" si="239"/>
        <v/>
      </c>
      <c r="L162" s="450">
        <f t="shared" si="236"/>
        <v>0</v>
      </c>
      <c r="M162" s="451" t="str">
        <f t="shared" si="235"/>
        <v/>
      </c>
      <c r="N162" s="452" t="str">
        <f t="shared" si="235"/>
        <v/>
      </c>
      <c r="O162" s="452" t="str">
        <f t="shared" si="235"/>
        <v/>
      </c>
      <c r="P162" s="452" t="str">
        <f t="shared" si="235"/>
        <v/>
      </c>
      <c r="Q162" s="453" t="str">
        <f t="shared" si="235"/>
        <v/>
      </c>
      <c r="R162" s="451" t="str">
        <f t="shared" si="235"/>
        <v/>
      </c>
      <c r="S162" s="452" t="str">
        <f t="shared" si="235"/>
        <v/>
      </c>
      <c r="T162" s="452" t="str">
        <f t="shared" si="235"/>
        <v/>
      </c>
      <c r="U162" s="452" t="str">
        <f t="shared" si="235"/>
        <v/>
      </c>
      <c r="V162" s="453" t="str">
        <f t="shared" si="235"/>
        <v/>
      </c>
      <c r="W162" s="451" t="str">
        <f t="shared" si="235"/>
        <v/>
      </c>
      <c r="X162" s="452" t="str">
        <f t="shared" si="235"/>
        <v/>
      </c>
      <c r="Y162" s="452" t="str">
        <f t="shared" si="235"/>
        <v/>
      </c>
      <c r="Z162" s="452" t="str">
        <f t="shared" si="235"/>
        <v/>
      </c>
      <c r="AA162" s="453" t="str">
        <f t="shared" si="235"/>
        <v/>
      </c>
      <c r="AB162" s="451" t="str">
        <f t="shared" si="235"/>
        <v/>
      </c>
      <c r="AC162" s="452" t="str">
        <f t="shared" si="246"/>
        <v/>
      </c>
      <c r="AD162" s="452" t="str">
        <f t="shared" si="246"/>
        <v/>
      </c>
      <c r="AE162" s="452" t="str">
        <f t="shared" si="246"/>
        <v/>
      </c>
      <c r="AF162" s="453" t="str">
        <f t="shared" si="246"/>
        <v/>
      </c>
      <c r="AG162" s="451" t="str">
        <f t="shared" si="246"/>
        <v/>
      </c>
      <c r="AH162" s="452" t="str">
        <f t="shared" si="246"/>
        <v/>
      </c>
      <c r="AI162" s="452" t="str">
        <f t="shared" si="246"/>
        <v/>
      </c>
      <c r="AJ162" s="452" t="str">
        <f t="shared" si="246"/>
        <v/>
      </c>
      <c r="AK162" s="453" t="str">
        <f t="shared" si="246"/>
        <v/>
      </c>
      <c r="AL162" s="451" t="str">
        <f t="shared" si="246"/>
        <v/>
      </c>
      <c r="AM162" s="452" t="str">
        <f t="shared" si="246"/>
        <v/>
      </c>
      <c r="AN162" s="452" t="str">
        <f t="shared" si="246"/>
        <v/>
      </c>
      <c r="AO162" s="452" t="str">
        <f t="shared" si="246"/>
        <v/>
      </c>
      <c r="AP162" s="453" t="str">
        <f t="shared" si="246"/>
        <v/>
      </c>
      <c r="AQ162" s="451" t="str">
        <f t="shared" si="246"/>
        <v/>
      </c>
      <c r="AR162" s="452" t="str">
        <f t="shared" si="246"/>
        <v/>
      </c>
      <c r="AS162" s="452" t="str">
        <f t="shared" si="243"/>
        <v/>
      </c>
      <c r="AT162" s="452" t="str">
        <f t="shared" si="243"/>
        <v/>
      </c>
      <c r="AU162" s="453" t="str">
        <f t="shared" si="243"/>
        <v/>
      </c>
      <c r="AV162" s="451" t="str">
        <f t="shared" si="243"/>
        <v/>
      </c>
      <c r="AW162" s="452" t="str">
        <f t="shared" si="243"/>
        <v/>
      </c>
      <c r="AX162" s="452" t="str">
        <f t="shared" si="243"/>
        <v/>
      </c>
      <c r="AY162" s="452" t="str">
        <f t="shared" si="243"/>
        <v/>
      </c>
      <c r="AZ162" s="453" t="str">
        <f t="shared" si="243"/>
        <v/>
      </c>
      <c r="BA162" s="451" t="str">
        <f t="shared" si="243"/>
        <v/>
      </c>
      <c r="BB162" s="452" t="str">
        <f t="shared" si="243"/>
        <v/>
      </c>
      <c r="BC162" s="452" t="str">
        <f t="shared" si="243"/>
        <v/>
      </c>
      <c r="BD162" s="452" t="str">
        <f t="shared" si="243"/>
        <v/>
      </c>
      <c r="BE162" s="453" t="str">
        <f t="shared" si="243"/>
        <v/>
      </c>
      <c r="BF162" s="451" t="str">
        <f t="shared" si="243"/>
        <v/>
      </c>
      <c r="BG162" s="452" t="str">
        <f t="shared" si="243"/>
        <v/>
      </c>
      <c r="BH162" s="452" t="str">
        <f t="shared" si="243"/>
        <v/>
      </c>
      <c r="BI162" s="452" t="str">
        <f t="shared" si="244"/>
        <v/>
      </c>
      <c r="BJ162" s="453" t="str">
        <f t="shared" si="244"/>
        <v/>
      </c>
      <c r="BK162" s="451" t="str">
        <f t="shared" si="244"/>
        <v/>
      </c>
      <c r="BL162" s="452" t="str">
        <f t="shared" si="244"/>
        <v/>
      </c>
      <c r="BM162" s="452" t="str">
        <f t="shared" si="244"/>
        <v/>
      </c>
      <c r="BN162" s="452" t="str">
        <f t="shared" si="244"/>
        <v/>
      </c>
      <c r="BO162" s="453" t="str">
        <f t="shared" si="244"/>
        <v/>
      </c>
      <c r="BP162" s="451" t="str">
        <f t="shared" si="244"/>
        <v/>
      </c>
      <c r="BQ162" s="452" t="str">
        <f t="shared" si="244"/>
        <v/>
      </c>
      <c r="BR162" s="452" t="str">
        <f t="shared" si="244"/>
        <v/>
      </c>
      <c r="BS162" s="452" t="str">
        <f t="shared" si="244"/>
        <v/>
      </c>
      <c r="BT162" s="453" t="str">
        <f t="shared" si="244"/>
        <v/>
      </c>
      <c r="BU162" s="451" t="str">
        <f t="shared" si="244"/>
        <v/>
      </c>
      <c r="BV162" s="452" t="str">
        <f t="shared" si="244"/>
        <v/>
      </c>
      <c r="BW162" s="452" t="str">
        <f t="shared" si="244"/>
        <v/>
      </c>
      <c r="BX162" s="452" t="str">
        <f t="shared" si="244"/>
        <v/>
      </c>
      <c r="BY162" s="453" t="str">
        <f t="shared" si="245"/>
        <v/>
      </c>
      <c r="BZ162" s="451" t="str">
        <f t="shared" si="245"/>
        <v/>
      </c>
      <c r="CA162" s="452" t="str">
        <f t="shared" si="245"/>
        <v/>
      </c>
      <c r="CB162" s="452" t="str">
        <f t="shared" si="245"/>
        <v/>
      </c>
      <c r="CC162" s="452" t="str">
        <f t="shared" si="245"/>
        <v/>
      </c>
      <c r="CD162" s="453" t="str">
        <f t="shared" si="245"/>
        <v/>
      </c>
      <c r="CE162" s="451" t="str">
        <f t="shared" si="245"/>
        <v/>
      </c>
      <c r="CF162" s="452" t="str">
        <f t="shared" si="245"/>
        <v/>
      </c>
      <c r="CG162" s="452" t="str">
        <f t="shared" si="245"/>
        <v/>
      </c>
      <c r="CH162" s="452" t="str">
        <f t="shared" si="245"/>
        <v/>
      </c>
      <c r="CI162" s="453" t="str">
        <f t="shared" si="245"/>
        <v/>
      </c>
      <c r="CJ162" s="451" t="str">
        <f t="shared" si="245"/>
        <v/>
      </c>
      <c r="CK162" s="452" t="str">
        <f t="shared" si="245"/>
        <v/>
      </c>
      <c r="CL162" s="452" t="str">
        <f t="shared" si="245"/>
        <v/>
      </c>
      <c r="CM162" s="452" t="str">
        <f t="shared" si="245"/>
        <v/>
      </c>
      <c r="CN162" s="453" t="str">
        <f t="shared" si="241"/>
        <v/>
      </c>
      <c r="CO162" s="451" t="str">
        <f t="shared" si="241"/>
        <v/>
      </c>
      <c r="CP162" s="452" t="str">
        <f t="shared" si="241"/>
        <v/>
      </c>
      <c r="CQ162" s="452" t="str">
        <f t="shared" si="241"/>
        <v/>
      </c>
      <c r="CR162" s="452" t="str">
        <f t="shared" si="241"/>
        <v/>
      </c>
      <c r="CS162" s="453" t="str">
        <f t="shared" si="241"/>
        <v/>
      </c>
      <c r="CT162" s="451" t="str">
        <f t="shared" si="241"/>
        <v/>
      </c>
      <c r="CU162" s="452" t="str">
        <f t="shared" si="241"/>
        <v/>
      </c>
      <c r="CV162" s="452" t="str">
        <f t="shared" si="241"/>
        <v/>
      </c>
      <c r="CW162" s="452" t="str">
        <f t="shared" si="241"/>
        <v/>
      </c>
      <c r="CX162" s="453" t="str">
        <f t="shared" si="241"/>
        <v/>
      </c>
      <c r="CY162" s="451" t="str">
        <f t="shared" si="241"/>
        <v/>
      </c>
      <c r="CZ162" s="452" t="str">
        <f t="shared" si="241"/>
        <v/>
      </c>
      <c r="DA162" s="452" t="str">
        <f t="shared" si="241"/>
        <v/>
      </c>
      <c r="DB162" s="452" t="str">
        <f t="shared" si="241"/>
        <v/>
      </c>
      <c r="DC162" s="453" t="str">
        <f t="shared" si="241"/>
        <v/>
      </c>
      <c r="DD162" s="451" t="str">
        <f t="shared" si="242"/>
        <v/>
      </c>
      <c r="DE162" s="452" t="str">
        <f t="shared" si="242"/>
        <v/>
      </c>
      <c r="DF162" s="452" t="str">
        <f t="shared" si="242"/>
        <v/>
      </c>
      <c r="DG162" s="452" t="str">
        <f t="shared" si="242"/>
        <v/>
      </c>
      <c r="DH162" s="453" t="str">
        <f t="shared" si="242"/>
        <v/>
      </c>
      <c r="DI162" s="451" t="str">
        <f t="shared" si="242"/>
        <v/>
      </c>
      <c r="DJ162" s="452" t="str">
        <f t="shared" si="242"/>
        <v/>
      </c>
      <c r="DK162" s="452" t="str">
        <f t="shared" si="242"/>
        <v/>
      </c>
      <c r="DL162" s="452" t="str">
        <f t="shared" si="242"/>
        <v/>
      </c>
      <c r="DM162" s="453" t="str">
        <f t="shared" si="242"/>
        <v/>
      </c>
      <c r="DN162" s="451" t="str">
        <f t="shared" si="242"/>
        <v/>
      </c>
      <c r="DO162" s="452" t="str">
        <f t="shared" si="242"/>
        <v/>
      </c>
      <c r="DP162" s="452" t="str">
        <f t="shared" si="242"/>
        <v/>
      </c>
      <c r="DQ162" s="452" t="str">
        <f t="shared" si="242"/>
        <v/>
      </c>
      <c r="DR162" s="453" t="str">
        <f t="shared" si="242"/>
        <v/>
      </c>
      <c r="DS162" s="451" t="str">
        <f t="shared" si="242"/>
        <v/>
      </c>
      <c r="DT162" s="452" t="str">
        <f t="shared" si="247"/>
        <v/>
      </c>
      <c r="DU162" s="452" t="str">
        <f t="shared" si="247"/>
        <v/>
      </c>
      <c r="DV162" s="452" t="str">
        <f t="shared" si="247"/>
        <v/>
      </c>
      <c r="DW162" s="453" t="str">
        <f t="shared" si="247"/>
        <v/>
      </c>
      <c r="DX162" s="451" t="str">
        <f t="shared" si="247"/>
        <v/>
      </c>
      <c r="DY162" s="452" t="str">
        <f t="shared" si="247"/>
        <v/>
      </c>
      <c r="DZ162" s="452" t="str">
        <f t="shared" si="247"/>
        <v/>
      </c>
      <c r="EA162" s="452" t="str">
        <f t="shared" si="247"/>
        <v/>
      </c>
      <c r="EB162" s="453" t="str">
        <f t="shared" si="247"/>
        <v/>
      </c>
      <c r="EC162" s="451" t="str">
        <f t="shared" si="247"/>
        <v/>
      </c>
      <c r="ED162" s="452" t="str">
        <f t="shared" si="247"/>
        <v/>
      </c>
      <c r="EE162" s="452" t="str">
        <f t="shared" si="247"/>
        <v/>
      </c>
      <c r="EF162" s="452" t="str">
        <f t="shared" si="247"/>
        <v/>
      </c>
      <c r="EG162" s="453" t="str">
        <f t="shared" si="247"/>
        <v/>
      </c>
      <c r="EH162" s="451" t="str">
        <f t="shared" si="247"/>
        <v/>
      </c>
      <c r="EI162" s="452" t="str">
        <f t="shared" si="229"/>
        <v/>
      </c>
      <c r="EJ162" s="452" t="str">
        <f t="shared" si="229"/>
        <v/>
      </c>
      <c r="EK162" s="452" t="str">
        <f t="shared" si="229"/>
        <v/>
      </c>
      <c r="EL162" s="453" t="str">
        <f t="shared" si="229"/>
        <v/>
      </c>
      <c r="EM162" s="451" t="str">
        <f t="shared" si="229"/>
        <v/>
      </c>
      <c r="EN162" s="452" t="str">
        <f t="shared" si="229"/>
        <v/>
      </c>
      <c r="EO162" s="452" t="str">
        <f t="shared" si="229"/>
        <v/>
      </c>
      <c r="EP162" s="452" t="str">
        <f t="shared" si="229"/>
        <v/>
      </c>
      <c r="EQ162" s="453" t="str">
        <f t="shared" si="229"/>
        <v/>
      </c>
      <c r="ER162" s="451" t="str">
        <f t="shared" si="229"/>
        <v/>
      </c>
      <c r="ES162" s="452" t="str">
        <f t="shared" si="229"/>
        <v/>
      </c>
      <c r="ET162" s="452" t="str">
        <f t="shared" si="229"/>
        <v/>
      </c>
      <c r="EU162" s="452" t="str">
        <f t="shared" si="229"/>
        <v/>
      </c>
      <c r="EV162" s="453" t="str">
        <f t="shared" si="229"/>
        <v/>
      </c>
      <c r="EW162" s="451" t="str">
        <f t="shared" si="229"/>
        <v/>
      </c>
      <c r="EX162" s="452" t="str">
        <f t="shared" si="229"/>
        <v/>
      </c>
      <c r="EY162" s="452" t="str">
        <f t="shared" si="230"/>
        <v/>
      </c>
      <c r="EZ162" s="452" t="str">
        <f t="shared" si="230"/>
        <v/>
      </c>
      <c r="FA162" s="453" t="str">
        <f t="shared" si="230"/>
        <v/>
      </c>
      <c r="FB162" s="451" t="str">
        <f t="shared" si="230"/>
        <v/>
      </c>
      <c r="FC162" s="452" t="str">
        <f t="shared" si="230"/>
        <v/>
      </c>
      <c r="FD162" s="452" t="str">
        <f t="shared" si="230"/>
        <v/>
      </c>
      <c r="FE162" s="452" t="str">
        <f t="shared" si="230"/>
        <v/>
      </c>
      <c r="FF162" s="453" t="str">
        <f t="shared" si="230"/>
        <v/>
      </c>
      <c r="FG162" s="451" t="str">
        <f t="shared" si="230"/>
        <v/>
      </c>
      <c r="FH162" s="452" t="str">
        <f t="shared" si="230"/>
        <v/>
      </c>
      <c r="FI162" s="452" t="str">
        <f t="shared" si="230"/>
        <v/>
      </c>
      <c r="FJ162" s="452" t="str">
        <f t="shared" si="230"/>
        <v/>
      </c>
      <c r="FK162" s="453" t="str">
        <f t="shared" si="230"/>
        <v/>
      </c>
      <c r="FL162" s="451" t="str">
        <f t="shared" si="230"/>
        <v/>
      </c>
      <c r="FM162" s="452" t="str">
        <f t="shared" si="230"/>
        <v/>
      </c>
      <c r="FN162" s="452" t="str">
        <f t="shared" si="230"/>
        <v/>
      </c>
      <c r="FO162" s="452" t="str">
        <f t="shared" si="227"/>
        <v/>
      </c>
      <c r="FP162" s="453" t="str">
        <f t="shared" si="227"/>
        <v/>
      </c>
      <c r="FQ162" s="451" t="str">
        <f t="shared" si="227"/>
        <v/>
      </c>
      <c r="FR162" s="452" t="str">
        <f t="shared" si="227"/>
        <v/>
      </c>
      <c r="FS162" s="452" t="str">
        <f t="shared" si="227"/>
        <v/>
      </c>
      <c r="FT162" s="452" t="str">
        <f t="shared" si="227"/>
        <v/>
      </c>
      <c r="FU162" s="453" t="str">
        <f t="shared" si="227"/>
        <v/>
      </c>
      <c r="FV162" s="451" t="str">
        <f t="shared" si="227"/>
        <v/>
      </c>
      <c r="FW162" s="452" t="str">
        <f t="shared" si="227"/>
        <v/>
      </c>
      <c r="FX162" s="452" t="str">
        <f t="shared" si="227"/>
        <v/>
      </c>
      <c r="FY162" s="452" t="str">
        <f t="shared" si="227"/>
        <v/>
      </c>
      <c r="FZ162" s="453" t="str">
        <f t="shared" si="227"/>
        <v/>
      </c>
      <c r="GA162" s="451" t="str">
        <f t="shared" si="227"/>
        <v/>
      </c>
      <c r="GB162" s="452" t="str">
        <f t="shared" si="227"/>
        <v/>
      </c>
      <c r="GC162" s="452" t="str">
        <f t="shared" si="227"/>
        <v/>
      </c>
      <c r="GD162" s="452" t="str">
        <f t="shared" si="227"/>
        <v/>
      </c>
      <c r="GE162" s="453" t="str">
        <f t="shared" si="234"/>
        <v/>
      </c>
      <c r="GF162" s="451" t="str">
        <f t="shared" si="234"/>
        <v/>
      </c>
      <c r="GG162" s="452" t="str">
        <f t="shared" si="234"/>
        <v/>
      </c>
      <c r="GH162" s="452" t="str">
        <f t="shared" si="234"/>
        <v/>
      </c>
      <c r="GI162" s="452" t="str">
        <f t="shared" si="234"/>
        <v/>
      </c>
      <c r="GJ162" s="453" t="str">
        <f t="shared" si="234"/>
        <v/>
      </c>
      <c r="GK162" s="451" t="str">
        <f t="shared" si="234"/>
        <v/>
      </c>
      <c r="GL162" s="452" t="str">
        <f t="shared" si="234"/>
        <v/>
      </c>
      <c r="GM162" s="452" t="str">
        <f t="shared" si="234"/>
        <v/>
      </c>
      <c r="GN162" s="452" t="str">
        <f t="shared" si="234"/>
        <v/>
      </c>
      <c r="GO162" s="453" t="str">
        <f t="shared" si="234"/>
        <v/>
      </c>
      <c r="GP162" s="451" t="str">
        <f t="shared" si="234"/>
        <v/>
      </c>
      <c r="GQ162" s="452" t="str">
        <f t="shared" si="234"/>
        <v/>
      </c>
      <c r="GR162" s="452" t="str">
        <f t="shared" si="234"/>
        <v/>
      </c>
      <c r="GS162" s="452" t="str">
        <f t="shared" si="234"/>
        <v/>
      </c>
      <c r="GT162" s="453" t="str">
        <f t="shared" si="231"/>
        <v/>
      </c>
      <c r="GU162" s="451" t="str">
        <f t="shared" si="231"/>
        <v/>
      </c>
      <c r="GV162" s="452" t="str">
        <f t="shared" si="231"/>
        <v/>
      </c>
      <c r="GW162" s="452" t="str">
        <f t="shared" si="228"/>
        <v/>
      </c>
      <c r="GX162" s="452" t="str">
        <f t="shared" si="228"/>
        <v/>
      </c>
      <c r="GY162" s="453" t="str">
        <f t="shared" si="228"/>
        <v/>
      </c>
      <c r="GZ162" s="451" t="str">
        <f t="shared" si="228"/>
        <v/>
      </c>
      <c r="HA162" s="452" t="str">
        <f t="shared" si="228"/>
        <v/>
      </c>
      <c r="HB162" s="452" t="str">
        <f t="shared" si="228"/>
        <v/>
      </c>
      <c r="HC162" s="452" t="str">
        <f t="shared" si="228"/>
        <v/>
      </c>
      <c r="HD162" s="453" t="str">
        <f t="shared" si="228"/>
        <v/>
      </c>
      <c r="HE162" s="451" t="str">
        <f t="shared" si="228"/>
        <v/>
      </c>
      <c r="HF162" s="452" t="str">
        <f t="shared" si="228"/>
        <v/>
      </c>
      <c r="HG162" s="452" t="str">
        <f t="shared" si="228"/>
        <v/>
      </c>
      <c r="HH162" s="452" t="str">
        <f t="shared" si="228"/>
        <v/>
      </c>
      <c r="HI162" s="453" t="str">
        <f t="shared" si="228"/>
        <v/>
      </c>
      <c r="HJ162" s="451" t="str">
        <f t="shared" si="228"/>
        <v/>
      </c>
      <c r="HK162" s="452" t="str">
        <f t="shared" si="228"/>
        <v/>
      </c>
      <c r="HL162" s="452" t="str">
        <f t="shared" si="228"/>
        <v/>
      </c>
      <c r="HM162" s="452" t="str">
        <f t="shared" si="228"/>
        <v/>
      </c>
      <c r="HN162" s="453" t="str">
        <f t="shared" si="232"/>
        <v/>
      </c>
      <c r="HO162" s="451" t="str">
        <f t="shared" si="232"/>
        <v/>
      </c>
      <c r="HP162" s="452" t="str">
        <f t="shared" si="232"/>
        <v/>
      </c>
      <c r="HQ162" s="452" t="str">
        <f t="shared" si="232"/>
        <v/>
      </c>
      <c r="HR162" s="452" t="str">
        <f t="shared" si="232"/>
        <v/>
      </c>
      <c r="HS162" s="453" t="str">
        <f t="shared" si="232"/>
        <v/>
      </c>
      <c r="HT162" s="451" t="str">
        <f t="shared" si="232"/>
        <v/>
      </c>
      <c r="HU162" s="452" t="str">
        <f t="shared" si="232"/>
        <v/>
      </c>
      <c r="HV162" s="452" t="str">
        <f t="shared" si="232"/>
        <v/>
      </c>
      <c r="HW162" s="452" t="str">
        <f t="shared" si="232"/>
        <v/>
      </c>
      <c r="HX162" s="453" t="str">
        <f t="shared" si="232"/>
        <v/>
      </c>
      <c r="HY162" s="451" t="str">
        <f t="shared" si="232"/>
        <v/>
      </c>
      <c r="HZ162" s="452" t="str">
        <f t="shared" si="232"/>
        <v/>
      </c>
      <c r="IA162" s="452" t="str">
        <f t="shared" si="232"/>
        <v/>
      </c>
      <c r="IB162" s="452" t="str">
        <f t="shared" si="232"/>
        <v/>
      </c>
      <c r="IC162" s="453" t="str">
        <f t="shared" si="232"/>
        <v/>
      </c>
      <c r="ID162" s="451" t="str">
        <f t="shared" si="237"/>
        <v/>
      </c>
      <c r="IE162" s="452" t="str">
        <f t="shared" si="237"/>
        <v/>
      </c>
      <c r="IF162" s="452" t="str">
        <f t="shared" si="237"/>
        <v/>
      </c>
      <c r="IG162" s="452" t="str">
        <f t="shared" si="237"/>
        <v/>
      </c>
      <c r="IH162" s="453" t="str">
        <f t="shared" si="237"/>
        <v/>
      </c>
      <c r="II162" s="451" t="str">
        <f t="shared" si="237"/>
        <v/>
      </c>
      <c r="IJ162" s="452" t="str">
        <f t="shared" si="237"/>
        <v/>
      </c>
      <c r="IK162" s="452" t="str">
        <f t="shared" si="237"/>
        <v/>
      </c>
      <c r="IL162" s="452" t="str">
        <f t="shared" si="237"/>
        <v/>
      </c>
      <c r="IM162" s="453" t="str">
        <f t="shared" si="237"/>
        <v/>
      </c>
      <c r="IN162" s="451" t="str">
        <f t="shared" si="237"/>
        <v/>
      </c>
      <c r="IO162" s="452" t="str">
        <f t="shared" si="237"/>
        <v/>
      </c>
      <c r="IP162" s="452" t="str">
        <f t="shared" si="237"/>
        <v/>
      </c>
      <c r="IQ162" s="452" t="str">
        <f t="shared" si="237"/>
        <v/>
      </c>
      <c r="IR162" s="453" t="str">
        <f t="shared" si="237"/>
        <v/>
      </c>
    </row>
    <row r="163" spans="1:252" x14ac:dyDescent="0.2">
      <c r="A163" s="461">
        <v>15.5</v>
      </c>
      <c r="C163" s="447" t="s">
        <v>1355</v>
      </c>
      <c r="D163" s="447"/>
      <c r="E163" s="448"/>
      <c r="F163" s="448"/>
      <c r="G163" s="448"/>
      <c r="H163" s="448"/>
      <c r="I163" s="448"/>
      <c r="J163" s="449" t="str">
        <f t="shared" si="238"/>
        <v/>
      </c>
      <c r="K163" s="449" t="str">
        <f t="shared" si="239"/>
        <v/>
      </c>
      <c r="L163" s="450">
        <f t="shared" si="236"/>
        <v>0</v>
      </c>
      <c r="M163" s="451" t="str">
        <f t="shared" si="235"/>
        <v/>
      </c>
      <c r="N163" s="452" t="str">
        <f t="shared" si="235"/>
        <v/>
      </c>
      <c r="O163" s="452" t="str">
        <f t="shared" si="235"/>
        <v/>
      </c>
      <c r="P163" s="452" t="str">
        <f t="shared" si="235"/>
        <v/>
      </c>
      <c r="Q163" s="453" t="str">
        <f t="shared" si="235"/>
        <v/>
      </c>
      <c r="R163" s="451" t="str">
        <f t="shared" si="235"/>
        <v/>
      </c>
      <c r="S163" s="452" t="str">
        <f t="shared" si="235"/>
        <v/>
      </c>
      <c r="T163" s="452" t="str">
        <f t="shared" si="235"/>
        <v/>
      </c>
      <c r="U163" s="452" t="str">
        <f t="shared" si="235"/>
        <v/>
      </c>
      <c r="V163" s="453" t="str">
        <f t="shared" si="235"/>
        <v/>
      </c>
      <c r="W163" s="451" t="str">
        <f t="shared" si="235"/>
        <v/>
      </c>
      <c r="X163" s="452" t="str">
        <f t="shared" si="235"/>
        <v/>
      </c>
      <c r="Y163" s="452" t="str">
        <f t="shared" si="235"/>
        <v/>
      </c>
      <c r="Z163" s="452" t="str">
        <f t="shared" si="235"/>
        <v/>
      </c>
      <c r="AA163" s="453" t="str">
        <f t="shared" si="235"/>
        <v/>
      </c>
      <c r="AB163" s="451" t="str">
        <f t="shared" si="235"/>
        <v/>
      </c>
      <c r="AC163" s="452" t="str">
        <f t="shared" si="246"/>
        <v/>
      </c>
      <c r="AD163" s="452" t="str">
        <f t="shared" si="246"/>
        <v/>
      </c>
      <c r="AE163" s="452" t="str">
        <f t="shared" si="246"/>
        <v/>
      </c>
      <c r="AF163" s="453" t="str">
        <f t="shared" si="246"/>
        <v/>
      </c>
      <c r="AG163" s="451" t="str">
        <f t="shared" si="246"/>
        <v/>
      </c>
      <c r="AH163" s="452" t="str">
        <f t="shared" si="246"/>
        <v/>
      </c>
      <c r="AI163" s="452" t="str">
        <f t="shared" si="246"/>
        <v/>
      </c>
      <c r="AJ163" s="452" t="str">
        <f t="shared" si="246"/>
        <v/>
      </c>
      <c r="AK163" s="453" t="str">
        <f t="shared" si="246"/>
        <v/>
      </c>
      <c r="AL163" s="451" t="str">
        <f t="shared" si="246"/>
        <v/>
      </c>
      <c r="AM163" s="452" t="str">
        <f t="shared" si="246"/>
        <v/>
      </c>
      <c r="AN163" s="452" t="str">
        <f t="shared" si="246"/>
        <v/>
      </c>
      <c r="AO163" s="452" t="str">
        <f t="shared" si="246"/>
        <v/>
      </c>
      <c r="AP163" s="453" t="str">
        <f t="shared" si="246"/>
        <v/>
      </c>
      <c r="AQ163" s="451" t="str">
        <f t="shared" si="246"/>
        <v/>
      </c>
      <c r="AR163" s="452" t="str">
        <f t="shared" si="246"/>
        <v/>
      </c>
      <c r="AS163" s="452" t="str">
        <f t="shared" si="243"/>
        <v/>
      </c>
      <c r="AT163" s="452" t="str">
        <f t="shared" si="243"/>
        <v/>
      </c>
      <c r="AU163" s="453" t="str">
        <f t="shared" si="243"/>
        <v/>
      </c>
      <c r="AV163" s="451" t="str">
        <f t="shared" si="243"/>
        <v/>
      </c>
      <c r="AW163" s="452" t="str">
        <f t="shared" si="243"/>
        <v/>
      </c>
      <c r="AX163" s="452" t="str">
        <f t="shared" si="243"/>
        <v/>
      </c>
      <c r="AY163" s="452" t="str">
        <f t="shared" si="243"/>
        <v/>
      </c>
      <c r="AZ163" s="453" t="str">
        <f t="shared" si="243"/>
        <v/>
      </c>
      <c r="BA163" s="451" t="str">
        <f t="shared" si="243"/>
        <v/>
      </c>
      <c r="BB163" s="452" t="str">
        <f t="shared" si="243"/>
        <v/>
      </c>
      <c r="BC163" s="452" t="str">
        <f t="shared" si="243"/>
        <v/>
      </c>
      <c r="BD163" s="452" t="str">
        <f t="shared" si="243"/>
        <v/>
      </c>
      <c r="BE163" s="453" t="str">
        <f t="shared" si="243"/>
        <v/>
      </c>
      <c r="BF163" s="451" t="str">
        <f t="shared" si="243"/>
        <v/>
      </c>
      <c r="BG163" s="452" t="str">
        <f t="shared" si="243"/>
        <v/>
      </c>
      <c r="BH163" s="452" t="str">
        <f t="shared" si="243"/>
        <v/>
      </c>
      <c r="BI163" s="452" t="str">
        <f t="shared" si="244"/>
        <v/>
      </c>
      <c r="BJ163" s="453" t="str">
        <f t="shared" si="244"/>
        <v/>
      </c>
      <c r="BK163" s="451" t="str">
        <f t="shared" si="244"/>
        <v/>
      </c>
      <c r="BL163" s="452" t="str">
        <f t="shared" si="244"/>
        <v/>
      </c>
      <c r="BM163" s="452" t="str">
        <f t="shared" si="244"/>
        <v/>
      </c>
      <c r="BN163" s="452" t="str">
        <f t="shared" si="244"/>
        <v/>
      </c>
      <c r="BO163" s="453" t="str">
        <f t="shared" si="244"/>
        <v/>
      </c>
      <c r="BP163" s="451" t="str">
        <f t="shared" si="244"/>
        <v/>
      </c>
      <c r="BQ163" s="452" t="str">
        <f t="shared" si="244"/>
        <v/>
      </c>
      <c r="BR163" s="452" t="str">
        <f t="shared" si="244"/>
        <v/>
      </c>
      <c r="BS163" s="452" t="str">
        <f t="shared" si="244"/>
        <v/>
      </c>
      <c r="BT163" s="453" t="str">
        <f t="shared" si="244"/>
        <v/>
      </c>
      <c r="BU163" s="451" t="str">
        <f t="shared" si="244"/>
        <v/>
      </c>
      <c r="BV163" s="452" t="str">
        <f t="shared" si="244"/>
        <v/>
      </c>
      <c r="BW163" s="452" t="str">
        <f t="shared" si="244"/>
        <v/>
      </c>
      <c r="BX163" s="452" t="str">
        <f t="shared" si="244"/>
        <v/>
      </c>
      <c r="BY163" s="453" t="str">
        <f t="shared" si="245"/>
        <v/>
      </c>
      <c r="BZ163" s="451" t="str">
        <f t="shared" si="245"/>
        <v/>
      </c>
      <c r="CA163" s="452" t="str">
        <f t="shared" si="245"/>
        <v/>
      </c>
      <c r="CB163" s="452" t="str">
        <f t="shared" si="245"/>
        <v/>
      </c>
      <c r="CC163" s="452" t="str">
        <f t="shared" si="245"/>
        <v/>
      </c>
      <c r="CD163" s="453" t="str">
        <f t="shared" si="245"/>
        <v/>
      </c>
      <c r="CE163" s="451" t="str">
        <f t="shared" si="245"/>
        <v/>
      </c>
      <c r="CF163" s="452" t="str">
        <f t="shared" si="245"/>
        <v/>
      </c>
      <c r="CG163" s="452" t="str">
        <f t="shared" si="245"/>
        <v/>
      </c>
      <c r="CH163" s="452" t="str">
        <f t="shared" si="245"/>
        <v/>
      </c>
      <c r="CI163" s="453" t="str">
        <f t="shared" si="245"/>
        <v/>
      </c>
      <c r="CJ163" s="451" t="str">
        <f t="shared" si="245"/>
        <v/>
      </c>
      <c r="CK163" s="452" t="str">
        <f t="shared" si="245"/>
        <v/>
      </c>
      <c r="CL163" s="452" t="str">
        <f t="shared" si="245"/>
        <v/>
      </c>
      <c r="CM163" s="452" t="str">
        <f t="shared" si="245"/>
        <v/>
      </c>
      <c r="CN163" s="453" t="str">
        <f t="shared" si="241"/>
        <v/>
      </c>
      <c r="CO163" s="451" t="str">
        <f t="shared" si="241"/>
        <v/>
      </c>
      <c r="CP163" s="452" t="str">
        <f t="shared" si="241"/>
        <v/>
      </c>
      <c r="CQ163" s="452" t="str">
        <f t="shared" si="241"/>
        <v/>
      </c>
      <c r="CR163" s="452" t="str">
        <f t="shared" si="241"/>
        <v/>
      </c>
      <c r="CS163" s="453" t="str">
        <f t="shared" si="241"/>
        <v/>
      </c>
      <c r="CT163" s="451" t="str">
        <f t="shared" si="241"/>
        <v/>
      </c>
      <c r="CU163" s="452" t="str">
        <f t="shared" si="241"/>
        <v/>
      </c>
      <c r="CV163" s="452" t="str">
        <f t="shared" si="241"/>
        <v/>
      </c>
      <c r="CW163" s="452" t="str">
        <f t="shared" si="241"/>
        <v/>
      </c>
      <c r="CX163" s="453" t="str">
        <f t="shared" si="241"/>
        <v/>
      </c>
      <c r="CY163" s="451" t="str">
        <f t="shared" si="241"/>
        <v/>
      </c>
      <c r="CZ163" s="452" t="str">
        <f t="shared" si="241"/>
        <v/>
      </c>
      <c r="DA163" s="452" t="str">
        <f t="shared" si="241"/>
        <v/>
      </c>
      <c r="DB163" s="452" t="str">
        <f t="shared" si="241"/>
        <v/>
      </c>
      <c r="DC163" s="453" t="str">
        <f t="shared" si="241"/>
        <v/>
      </c>
      <c r="DD163" s="451" t="str">
        <f t="shared" si="242"/>
        <v/>
      </c>
      <c r="DE163" s="452" t="str">
        <f t="shared" si="242"/>
        <v/>
      </c>
      <c r="DF163" s="452" t="str">
        <f t="shared" si="242"/>
        <v/>
      </c>
      <c r="DG163" s="452" t="str">
        <f t="shared" si="242"/>
        <v/>
      </c>
      <c r="DH163" s="453" t="str">
        <f t="shared" si="242"/>
        <v/>
      </c>
      <c r="DI163" s="451" t="str">
        <f t="shared" si="242"/>
        <v/>
      </c>
      <c r="DJ163" s="452" t="str">
        <f t="shared" si="242"/>
        <v/>
      </c>
      <c r="DK163" s="452" t="str">
        <f t="shared" si="242"/>
        <v/>
      </c>
      <c r="DL163" s="452" t="str">
        <f t="shared" si="242"/>
        <v/>
      </c>
      <c r="DM163" s="453" t="str">
        <f t="shared" si="242"/>
        <v/>
      </c>
      <c r="DN163" s="451" t="str">
        <f t="shared" si="242"/>
        <v/>
      </c>
      <c r="DO163" s="452" t="str">
        <f t="shared" si="242"/>
        <v/>
      </c>
      <c r="DP163" s="452" t="str">
        <f t="shared" si="242"/>
        <v/>
      </c>
      <c r="DQ163" s="452" t="str">
        <f t="shared" si="242"/>
        <v/>
      </c>
      <c r="DR163" s="453" t="str">
        <f t="shared" si="242"/>
        <v/>
      </c>
      <c r="DS163" s="451" t="str">
        <f t="shared" si="242"/>
        <v/>
      </c>
      <c r="DT163" s="452" t="str">
        <f t="shared" si="247"/>
        <v/>
      </c>
      <c r="DU163" s="452" t="str">
        <f t="shared" si="247"/>
        <v/>
      </c>
      <c r="DV163" s="452" t="str">
        <f t="shared" si="247"/>
        <v/>
      </c>
      <c r="DW163" s="453" t="str">
        <f t="shared" si="247"/>
        <v/>
      </c>
      <c r="DX163" s="451" t="str">
        <f t="shared" si="247"/>
        <v/>
      </c>
      <c r="DY163" s="452" t="str">
        <f t="shared" si="247"/>
        <v/>
      </c>
      <c r="DZ163" s="452" t="str">
        <f t="shared" si="247"/>
        <v/>
      </c>
      <c r="EA163" s="452" t="str">
        <f t="shared" si="247"/>
        <v/>
      </c>
      <c r="EB163" s="453" t="str">
        <f t="shared" si="247"/>
        <v/>
      </c>
      <c r="EC163" s="451" t="str">
        <f t="shared" si="247"/>
        <v/>
      </c>
      <c r="ED163" s="452" t="str">
        <f t="shared" si="247"/>
        <v/>
      </c>
      <c r="EE163" s="452" t="str">
        <f t="shared" si="247"/>
        <v/>
      </c>
      <c r="EF163" s="452" t="str">
        <f t="shared" si="247"/>
        <v/>
      </c>
      <c r="EG163" s="453" t="str">
        <f t="shared" si="247"/>
        <v/>
      </c>
      <c r="EH163" s="451" t="str">
        <f t="shared" si="247"/>
        <v/>
      </c>
      <c r="EI163" s="452" t="str">
        <f t="shared" si="229"/>
        <v/>
      </c>
      <c r="EJ163" s="452" t="str">
        <f t="shared" si="229"/>
        <v/>
      </c>
      <c r="EK163" s="452" t="str">
        <f t="shared" si="229"/>
        <v/>
      </c>
      <c r="EL163" s="453" t="str">
        <f t="shared" si="229"/>
        <v/>
      </c>
      <c r="EM163" s="451" t="str">
        <f t="shared" si="229"/>
        <v/>
      </c>
      <c r="EN163" s="452" t="str">
        <f t="shared" si="229"/>
        <v/>
      </c>
      <c r="EO163" s="452" t="str">
        <f t="shared" si="229"/>
        <v/>
      </c>
      <c r="EP163" s="452" t="str">
        <f t="shared" si="229"/>
        <v/>
      </c>
      <c r="EQ163" s="453" t="str">
        <f t="shared" si="229"/>
        <v/>
      </c>
      <c r="ER163" s="451" t="str">
        <f t="shared" si="229"/>
        <v/>
      </c>
      <c r="ES163" s="452" t="str">
        <f t="shared" si="229"/>
        <v/>
      </c>
      <c r="ET163" s="452" t="str">
        <f t="shared" si="229"/>
        <v/>
      </c>
      <c r="EU163" s="452" t="str">
        <f t="shared" si="229"/>
        <v/>
      </c>
      <c r="EV163" s="453" t="str">
        <f t="shared" si="229"/>
        <v/>
      </c>
      <c r="EW163" s="451" t="str">
        <f t="shared" si="229"/>
        <v/>
      </c>
      <c r="EX163" s="452" t="str">
        <f t="shared" si="229"/>
        <v/>
      </c>
      <c r="EY163" s="452" t="str">
        <f t="shared" si="230"/>
        <v/>
      </c>
      <c r="EZ163" s="452" t="str">
        <f t="shared" si="230"/>
        <v/>
      </c>
      <c r="FA163" s="453" t="str">
        <f t="shared" si="230"/>
        <v/>
      </c>
      <c r="FB163" s="451" t="str">
        <f t="shared" si="230"/>
        <v/>
      </c>
      <c r="FC163" s="452" t="str">
        <f t="shared" si="230"/>
        <v/>
      </c>
      <c r="FD163" s="452" t="str">
        <f t="shared" si="230"/>
        <v/>
      </c>
      <c r="FE163" s="452" t="str">
        <f t="shared" si="230"/>
        <v/>
      </c>
      <c r="FF163" s="453" t="str">
        <f t="shared" si="230"/>
        <v/>
      </c>
      <c r="FG163" s="451" t="str">
        <f t="shared" si="230"/>
        <v/>
      </c>
      <c r="FH163" s="452" t="str">
        <f t="shared" si="230"/>
        <v/>
      </c>
      <c r="FI163" s="452" t="str">
        <f t="shared" si="230"/>
        <v/>
      </c>
      <c r="FJ163" s="452" t="str">
        <f t="shared" si="230"/>
        <v/>
      </c>
      <c r="FK163" s="453" t="str">
        <f t="shared" si="230"/>
        <v/>
      </c>
      <c r="FL163" s="451" t="str">
        <f t="shared" si="230"/>
        <v/>
      </c>
      <c r="FM163" s="452" t="str">
        <f t="shared" si="230"/>
        <v/>
      </c>
      <c r="FN163" s="452" t="str">
        <f t="shared" si="230"/>
        <v/>
      </c>
      <c r="FO163" s="452" t="str">
        <f t="shared" si="227"/>
        <v/>
      </c>
      <c r="FP163" s="453" t="str">
        <f t="shared" si="227"/>
        <v/>
      </c>
      <c r="FQ163" s="451" t="str">
        <f t="shared" si="227"/>
        <v/>
      </c>
      <c r="FR163" s="452" t="str">
        <f t="shared" si="227"/>
        <v/>
      </c>
      <c r="FS163" s="452" t="str">
        <f t="shared" si="227"/>
        <v/>
      </c>
      <c r="FT163" s="452" t="str">
        <f t="shared" si="227"/>
        <v/>
      </c>
      <c r="FU163" s="453" t="str">
        <f t="shared" si="227"/>
        <v/>
      </c>
      <c r="FV163" s="451" t="str">
        <f t="shared" si="227"/>
        <v/>
      </c>
      <c r="FW163" s="452" t="str">
        <f t="shared" si="227"/>
        <v/>
      </c>
      <c r="FX163" s="452" t="str">
        <f t="shared" si="227"/>
        <v/>
      </c>
      <c r="FY163" s="452" t="str">
        <f t="shared" si="227"/>
        <v/>
      </c>
      <c r="FZ163" s="453" t="str">
        <f t="shared" si="227"/>
        <v/>
      </c>
      <c r="GA163" s="451" t="str">
        <f t="shared" si="227"/>
        <v/>
      </c>
      <c r="GB163" s="452" t="str">
        <f t="shared" si="227"/>
        <v/>
      </c>
      <c r="GC163" s="452" t="str">
        <f t="shared" si="227"/>
        <v/>
      </c>
      <c r="GD163" s="452" t="str">
        <f t="shared" si="227"/>
        <v/>
      </c>
      <c r="GE163" s="453" t="str">
        <f t="shared" si="234"/>
        <v/>
      </c>
      <c r="GF163" s="451" t="str">
        <f t="shared" si="234"/>
        <v/>
      </c>
      <c r="GG163" s="452" t="str">
        <f t="shared" si="234"/>
        <v/>
      </c>
      <c r="GH163" s="452" t="str">
        <f t="shared" si="234"/>
        <v/>
      </c>
      <c r="GI163" s="452" t="str">
        <f t="shared" si="234"/>
        <v/>
      </c>
      <c r="GJ163" s="453" t="str">
        <f t="shared" si="234"/>
        <v/>
      </c>
      <c r="GK163" s="451" t="str">
        <f t="shared" si="234"/>
        <v/>
      </c>
      <c r="GL163" s="452" t="str">
        <f t="shared" si="234"/>
        <v/>
      </c>
      <c r="GM163" s="452" t="str">
        <f t="shared" si="234"/>
        <v/>
      </c>
      <c r="GN163" s="452" t="str">
        <f t="shared" si="234"/>
        <v/>
      </c>
      <c r="GO163" s="453" t="str">
        <f t="shared" si="234"/>
        <v/>
      </c>
      <c r="GP163" s="451" t="str">
        <f t="shared" si="234"/>
        <v/>
      </c>
      <c r="GQ163" s="452" t="str">
        <f t="shared" si="234"/>
        <v/>
      </c>
      <c r="GR163" s="452" t="str">
        <f t="shared" si="234"/>
        <v/>
      </c>
      <c r="GS163" s="452" t="str">
        <f t="shared" si="234"/>
        <v/>
      </c>
      <c r="GT163" s="453" t="str">
        <f t="shared" si="231"/>
        <v/>
      </c>
      <c r="GU163" s="451" t="str">
        <f t="shared" si="231"/>
        <v/>
      </c>
      <c r="GV163" s="452" t="str">
        <f t="shared" si="231"/>
        <v/>
      </c>
      <c r="GW163" s="452" t="str">
        <f t="shared" si="228"/>
        <v/>
      </c>
      <c r="GX163" s="452" t="str">
        <f t="shared" si="228"/>
        <v/>
      </c>
      <c r="GY163" s="453" t="str">
        <f t="shared" si="228"/>
        <v/>
      </c>
      <c r="GZ163" s="451" t="str">
        <f t="shared" si="228"/>
        <v/>
      </c>
      <c r="HA163" s="452" t="str">
        <f t="shared" si="228"/>
        <v/>
      </c>
      <c r="HB163" s="452" t="str">
        <f t="shared" si="228"/>
        <v/>
      </c>
      <c r="HC163" s="452" t="str">
        <f t="shared" si="228"/>
        <v/>
      </c>
      <c r="HD163" s="453" t="str">
        <f t="shared" si="228"/>
        <v/>
      </c>
      <c r="HE163" s="451" t="str">
        <f t="shared" si="228"/>
        <v/>
      </c>
      <c r="HF163" s="452" t="str">
        <f t="shared" si="228"/>
        <v/>
      </c>
      <c r="HG163" s="452" t="str">
        <f t="shared" si="228"/>
        <v/>
      </c>
      <c r="HH163" s="452" t="str">
        <f t="shared" si="228"/>
        <v/>
      </c>
      <c r="HI163" s="453" t="str">
        <f t="shared" si="228"/>
        <v/>
      </c>
      <c r="HJ163" s="451" t="str">
        <f t="shared" si="228"/>
        <v/>
      </c>
      <c r="HK163" s="452" t="str">
        <f t="shared" si="228"/>
        <v/>
      </c>
      <c r="HL163" s="452" t="str">
        <f t="shared" si="228"/>
        <v/>
      </c>
      <c r="HM163" s="452" t="str">
        <f t="shared" si="228"/>
        <v/>
      </c>
      <c r="HN163" s="453" t="str">
        <f t="shared" si="232"/>
        <v/>
      </c>
      <c r="HO163" s="451" t="str">
        <f t="shared" si="232"/>
        <v/>
      </c>
      <c r="HP163" s="452" t="str">
        <f t="shared" si="232"/>
        <v/>
      </c>
      <c r="HQ163" s="452" t="str">
        <f t="shared" si="232"/>
        <v/>
      </c>
      <c r="HR163" s="452" t="str">
        <f t="shared" si="232"/>
        <v/>
      </c>
      <c r="HS163" s="453" t="str">
        <f t="shared" si="232"/>
        <v/>
      </c>
      <c r="HT163" s="451" t="str">
        <f t="shared" si="232"/>
        <v/>
      </c>
      <c r="HU163" s="452" t="str">
        <f t="shared" si="232"/>
        <v/>
      </c>
      <c r="HV163" s="452" t="str">
        <f t="shared" si="232"/>
        <v/>
      </c>
      <c r="HW163" s="452" t="str">
        <f t="shared" si="232"/>
        <v/>
      </c>
      <c r="HX163" s="453" t="str">
        <f t="shared" si="232"/>
        <v/>
      </c>
      <c r="HY163" s="451" t="str">
        <f t="shared" si="232"/>
        <v/>
      </c>
      <c r="HZ163" s="452" t="str">
        <f t="shared" si="232"/>
        <v/>
      </c>
      <c r="IA163" s="452" t="str">
        <f t="shared" si="232"/>
        <v/>
      </c>
      <c r="IB163" s="452" t="str">
        <f t="shared" si="232"/>
        <v/>
      </c>
      <c r="IC163" s="453" t="str">
        <f t="shared" si="232"/>
        <v/>
      </c>
      <c r="ID163" s="451" t="str">
        <f t="shared" si="237"/>
        <v/>
      </c>
      <c r="IE163" s="452" t="str">
        <f t="shared" si="237"/>
        <v/>
      </c>
      <c r="IF163" s="452" t="str">
        <f t="shared" si="237"/>
        <v/>
      </c>
      <c r="IG163" s="452" t="str">
        <f t="shared" si="237"/>
        <v/>
      </c>
      <c r="IH163" s="453" t="str">
        <f t="shared" si="237"/>
        <v/>
      </c>
      <c r="II163" s="451" t="str">
        <f t="shared" si="237"/>
        <v/>
      </c>
      <c r="IJ163" s="452" t="str">
        <f t="shared" si="237"/>
        <v/>
      </c>
      <c r="IK163" s="452" t="str">
        <f t="shared" si="237"/>
        <v/>
      </c>
      <c r="IL163" s="452" t="str">
        <f t="shared" si="237"/>
        <v/>
      </c>
      <c r="IM163" s="453" t="str">
        <f t="shared" si="237"/>
        <v/>
      </c>
      <c r="IN163" s="451" t="str">
        <f t="shared" si="237"/>
        <v/>
      </c>
      <c r="IO163" s="452" t="str">
        <f t="shared" si="237"/>
        <v/>
      </c>
      <c r="IP163" s="452" t="str">
        <f t="shared" si="237"/>
        <v/>
      </c>
      <c r="IQ163" s="452" t="str">
        <f t="shared" si="237"/>
        <v/>
      </c>
      <c r="IR163" s="453" t="str">
        <f t="shared" si="237"/>
        <v/>
      </c>
    </row>
    <row r="164" spans="1:252" x14ac:dyDescent="0.2">
      <c r="A164" s="461">
        <v>15.6</v>
      </c>
      <c r="C164" s="447" t="s">
        <v>1356</v>
      </c>
      <c r="D164" s="447"/>
      <c r="E164" s="448"/>
      <c r="F164" s="448"/>
      <c r="G164" s="448"/>
      <c r="H164" s="448"/>
      <c r="I164" s="448"/>
      <c r="J164" s="449" t="str">
        <f t="shared" si="238"/>
        <v/>
      </c>
      <c r="K164" s="449" t="str">
        <f t="shared" si="239"/>
        <v/>
      </c>
      <c r="L164" s="450">
        <f t="shared" si="236"/>
        <v>0</v>
      </c>
      <c r="M164" s="451" t="str">
        <f t="shared" si="235"/>
        <v/>
      </c>
      <c r="N164" s="452" t="str">
        <f t="shared" si="235"/>
        <v/>
      </c>
      <c r="O164" s="452" t="str">
        <f t="shared" si="235"/>
        <v/>
      </c>
      <c r="P164" s="452" t="str">
        <f t="shared" si="235"/>
        <v/>
      </c>
      <c r="Q164" s="453" t="str">
        <f t="shared" si="235"/>
        <v/>
      </c>
      <c r="R164" s="451" t="str">
        <f t="shared" si="235"/>
        <v/>
      </c>
      <c r="S164" s="452" t="str">
        <f t="shared" si="235"/>
        <v/>
      </c>
      <c r="T164" s="452" t="str">
        <f t="shared" si="235"/>
        <v/>
      </c>
      <c r="U164" s="452" t="str">
        <f t="shared" si="235"/>
        <v/>
      </c>
      <c r="V164" s="453" t="str">
        <f t="shared" si="235"/>
        <v/>
      </c>
      <c r="W164" s="451" t="str">
        <f t="shared" si="235"/>
        <v/>
      </c>
      <c r="X164" s="452" t="str">
        <f t="shared" si="235"/>
        <v/>
      </c>
      <c r="Y164" s="452" t="str">
        <f t="shared" si="235"/>
        <v/>
      </c>
      <c r="Z164" s="452" t="str">
        <f t="shared" si="235"/>
        <v/>
      </c>
      <c r="AA164" s="453" t="str">
        <f t="shared" si="235"/>
        <v/>
      </c>
      <c r="AB164" s="451" t="str">
        <f t="shared" si="235"/>
        <v/>
      </c>
      <c r="AC164" s="452" t="str">
        <f t="shared" si="246"/>
        <v/>
      </c>
      <c r="AD164" s="452" t="str">
        <f t="shared" si="246"/>
        <v/>
      </c>
      <c r="AE164" s="452" t="str">
        <f t="shared" si="246"/>
        <v/>
      </c>
      <c r="AF164" s="453" t="str">
        <f t="shared" si="246"/>
        <v/>
      </c>
      <c r="AG164" s="451" t="str">
        <f t="shared" si="246"/>
        <v/>
      </c>
      <c r="AH164" s="452" t="str">
        <f t="shared" si="246"/>
        <v/>
      </c>
      <c r="AI164" s="452" t="str">
        <f t="shared" si="246"/>
        <v/>
      </c>
      <c r="AJ164" s="452" t="str">
        <f t="shared" si="246"/>
        <v/>
      </c>
      <c r="AK164" s="453" t="str">
        <f t="shared" si="246"/>
        <v/>
      </c>
      <c r="AL164" s="451" t="str">
        <f t="shared" si="246"/>
        <v/>
      </c>
      <c r="AM164" s="452" t="str">
        <f t="shared" si="246"/>
        <v/>
      </c>
      <c r="AN164" s="452" t="str">
        <f t="shared" si="246"/>
        <v/>
      </c>
      <c r="AO164" s="452" t="str">
        <f t="shared" si="246"/>
        <v/>
      </c>
      <c r="AP164" s="453" t="str">
        <f t="shared" si="246"/>
        <v/>
      </c>
      <c r="AQ164" s="451" t="str">
        <f t="shared" si="246"/>
        <v/>
      </c>
      <c r="AR164" s="452" t="str">
        <f t="shared" si="246"/>
        <v/>
      </c>
      <c r="AS164" s="452" t="str">
        <f t="shared" si="243"/>
        <v/>
      </c>
      <c r="AT164" s="452" t="str">
        <f t="shared" si="243"/>
        <v/>
      </c>
      <c r="AU164" s="453" t="str">
        <f t="shared" si="243"/>
        <v/>
      </c>
      <c r="AV164" s="451" t="str">
        <f t="shared" si="243"/>
        <v/>
      </c>
      <c r="AW164" s="452" t="str">
        <f t="shared" si="243"/>
        <v/>
      </c>
      <c r="AX164" s="452" t="str">
        <f t="shared" si="243"/>
        <v/>
      </c>
      <c r="AY164" s="452" t="str">
        <f t="shared" si="243"/>
        <v/>
      </c>
      <c r="AZ164" s="453" t="str">
        <f t="shared" si="243"/>
        <v/>
      </c>
      <c r="BA164" s="451" t="str">
        <f t="shared" si="243"/>
        <v/>
      </c>
      <c r="BB164" s="452" t="str">
        <f t="shared" si="243"/>
        <v/>
      </c>
      <c r="BC164" s="452" t="str">
        <f t="shared" si="243"/>
        <v/>
      </c>
      <c r="BD164" s="452" t="str">
        <f t="shared" si="243"/>
        <v/>
      </c>
      <c r="BE164" s="453" t="str">
        <f t="shared" si="243"/>
        <v/>
      </c>
      <c r="BF164" s="451" t="str">
        <f t="shared" si="243"/>
        <v/>
      </c>
      <c r="BG164" s="452" t="str">
        <f t="shared" si="243"/>
        <v/>
      </c>
      <c r="BH164" s="452" t="str">
        <f t="shared" si="243"/>
        <v/>
      </c>
      <c r="BI164" s="452" t="str">
        <f t="shared" si="244"/>
        <v/>
      </c>
      <c r="BJ164" s="453" t="str">
        <f t="shared" si="244"/>
        <v/>
      </c>
      <c r="BK164" s="451" t="str">
        <f t="shared" si="244"/>
        <v/>
      </c>
      <c r="BL164" s="452" t="str">
        <f t="shared" si="244"/>
        <v/>
      </c>
      <c r="BM164" s="452" t="str">
        <f t="shared" si="244"/>
        <v/>
      </c>
      <c r="BN164" s="452" t="str">
        <f t="shared" si="244"/>
        <v/>
      </c>
      <c r="BO164" s="453" t="str">
        <f t="shared" si="244"/>
        <v/>
      </c>
      <c r="BP164" s="451" t="str">
        <f t="shared" si="244"/>
        <v/>
      </c>
      <c r="BQ164" s="452" t="str">
        <f t="shared" si="244"/>
        <v/>
      </c>
      <c r="BR164" s="452" t="str">
        <f t="shared" si="244"/>
        <v/>
      </c>
      <c r="BS164" s="452" t="str">
        <f t="shared" si="244"/>
        <v/>
      </c>
      <c r="BT164" s="453" t="str">
        <f t="shared" si="244"/>
        <v/>
      </c>
      <c r="BU164" s="451" t="str">
        <f t="shared" si="244"/>
        <v/>
      </c>
      <c r="BV164" s="452" t="str">
        <f t="shared" si="244"/>
        <v/>
      </c>
      <c r="BW164" s="452" t="str">
        <f t="shared" si="244"/>
        <v/>
      </c>
      <c r="BX164" s="452" t="str">
        <f t="shared" si="244"/>
        <v/>
      </c>
      <c r="BY164" s="453" t="str">
        <f t="shared" si="245"/>
        <v/>
      </c>
      <c r="BZ164" s="451" t="str">
        <f t="shared" si="245"/>
        <v/>
      </c>
      <c r="CA164" s="452" t="str">
        <f t="shared" si="245"/>
        <v/>
      </c>
      <c r="CB164" s="452" t="str">
        <f t="shared" si="245"/>
        <v/>
      </c>
      <c r="CC164" s="452" t="str">
        <f t="shared" si="245"/>
        <v/>
      </c>
      <c r="CD164" s="453" t="str">
        <f t="shared" si="245"/>
        <v/>
      </c>
      <c r="CE164" s="451" t="str">
        <f t="shared" si="245"/>
        <v/>
      </c>
      <c r="CF164" s="452" t="str">
        <f t="shared" si="245"/>
        <v/>
      </c>
      <c r="CG164" s="452" t="str">
        <f t="shared" si="245"/>
        <v/>
      </c>
      <c r="CH164" s="452" t="str">
        <f t="shared" si="245"/>
        <v/>
      </c>
      <c r="CI164" s="453" t="str">
        <f t="shared" si="245"/>
        <v/>
      </c>
      <c r="CJ164" s="451" t="str">
        <f t="shared" si="245"/>
        <v/>
      </c>
      <c r="CK164" s="452" t="str">
        <f t="shared" si="245"/>
        <v/>
      </c>
      <c r="CL164" s="452" t="str">
        <f t="shared" si="245"/>
        <v/>
      </c>
      <c r="CM164" s="452" t="str">
        <f t="shared" si="245"/>
        <v/>
      </c>
      <c r="CN164" s="453" t="str">
        <f t="shared" si="241"/>
        <v/>
      </c>
      <c r="CO164" s="451" t="str">
        <f t="shared" si="241"/>
        <v/>
      </c>
      <c r="CP164" s="452" t="str">
        <f t="shared" si="241"/>
        <v/>
      </c>
      <c r="CQ164" s="452" t="str">
        <f t="shared" si="241"/>
        <v/>
      </c>
      <c r="CR164" s="452" t="str">
        <f t="shared" si="241"/>
        <v/>
      </c>
      <c r="CS164" s="453" t="str">
        <f t="shared" si="241"/>
        <v/>
      </c>
      <c r="CT164" s="451" t="str">
        <f t="shared" si="241"/>
        <v/>
      </c>
      <c r="CU164" s="452" t="str">
        <f t="shared" si="241"/>
        <v/>
      </c>
      <c r="CV164" s="452" t="str">
        <f t="shared" si="241"/>
        <v/>
      </c>
      <c r="CW164" s="452" t="str">
        <f t="shared" si="241"/>
        <v/>
      </c>
      <c r="CX164" s="453" t="str">
        <f t="shared" si="241"/>
        <v/>
      </c>
      <c r="CY164" s="451" t="str">
        <f t="shared" si="241"/>
        <v/>
      </c>
      <c r="CZ164" s="452" t="str">
        <f t="shared" si="241"/>
        <v/>
      </c>
      <c r="DA164" s="452" t="str">
        <f t="shared" si="241"/>
        <v/>
      </c>
      <c r="DB164" s="452" t="str">
        <f t="shared" si="241"/>
        <v/>
      </c>
      <c r="DC164" s="453" t="str">
        <f t="shared" si="241"/>
        <v/>
      </c>
      <c r="DD164" s="451" t="str">
        <f t="shared" si="242"/>
        <v/>
      </c>
      <c r="DE164" s="452" t="str">
        <f t="shared" si="242"/>
        <v/>
      </c>
      <c r="DF164" s="452" t="str">
        <f t="shared" si="242"/>
        <v/>
      </c>
      <c r="DG164" s="452" t="str">
        <f t="shared" si="242"/>
        <v/>
      </c>
      <c r="DH164" s="453" t="str">
        <f t="shared" si="242"/>
        <v/>
      </c>
      <c r="DI164" s="451" t="str">
        <f t="shared" si="242"/>
        <v/>
      </c>
      <c r="DJ164" s="452" t="str">
        <f t="shared" si="242"/>
        <v/>
      </c>
      <c r="DK164" s="452" t="str">
        <f t="shared" si="242"/>
        <v/>
      </c>
      <c r="DL164" s="452" t="str">
        <f t="shared" si="242"/>
        <v/>
      </c>
      <c r="DM164" s="453" t="str">
        <f t="shared" si="242"/>
        <v/>
      </c>
      <c r="DN164" s="451" t="str">
        <f t="shared" si="242"/>
        <v/>
      </c>
      <c r="DO164" s="452" t="str">
        <f t="shared" si="242"/>
        <v/>
      </c>
      <c r="DP164" s="452" t="str">
        <f t="shared" si="242"/>
        <v/>
      </c>
      <c r="DQ164" s="452" t="str">
        <f t="shared" si="242"/>
        <v/>
      </c>
      <c r="DR164" s="453" t="str">
        <f t="shared" si="242"/>
        <v/>
      </c>
      <c r="DS164" s="451" t="str">
        <f t="shared" si="242"/>
        <v/>
      </c>
      <c r="DT164" s="452" t="str">
        <f t="shared" si="247"/>
        <v/>
      </c>
      <c r="DU164" s="452" t="str">
        <f t="shared" si="247"/>
        <v/>
      </c>
      <c r="DV164" s="452" t="str">
        <f t="shared" si="247"/>
        <v/>
      </c>
      <c r="DW164" s="453" t="str">
        <f t="shared" si="247"/>
        <v/>
      </c>
      <c r="DX164" s="451" t="str">
        <f t="shared" si="247"/>
        <v/>
      </c>
      <c r="DY164" s="452" t="str">
        <f t="shared" si="247"/>
        <v/>
      </c>
      <c r="DZ164" s="452" t="str">
        <f t="shared" si="247"/>
        <v/>
      </c>
      <c r="EA164" s="452" t="str">
        <f t="shared" si="247"/>
        <v/>
      </c>
      <c r="EB164" s="453" t="str">
        <f t="shared" si="247"/>
        <v/>
      </c>
      <c r="EC164" s="451" t="str">
        <f t="shared" si="247"/>
        <v/>
      </c>
      <c r="ED164" s="452" t="str">
        <f t="shared" si="247"/>
        <v/>
      </c>
      <c r="EE164" s="452" t="str">
        <f t="shared" si="247"/>
        <v/>
      </c>
      <c r="EF164" s="452" t="str">
        <f t="shared" si="247"/>
        <v/>
      </c>
      <c r="EG164" s="453" t="str">
        <f t="shared" si="247"/>
        <v/>
      </c>
      <c r="EH164" s="451" t="str">
        <f t="shared" si="247"/>
        <v/>
      </c>
      <c r="EI164" s="452" t="str">
        <f t="shared" si="229"/>
        <v/>
      </c>
      <c r="EJ164" s="452" t="str">
        <f t="shared" si="229"/>
        <v/>
      </c>
      <c r="EK164" s="452" t="str">
        <f t="shared" si="229"/>
        <v/>
      </c>
      <c r="EL164" s="453" t="str">
        <f t="shared" si="229"/>
        <v/>
      </c>
      <c r="EM164" s="451" t="str">
        <f t="shared" si="229"/>
        <v/>
      </c>
      <c r="EN164" s="452" t="str">
        <f t="shared" si="229"/>
        <v/>
      </c>
      <c r="EO164" s="452" t="str">
        <f t="shared" si="229"/>
        <v/>
      </c>
      <c r="EP164" s="452" t="str">
        <f t="shared" si="229"/>
        <v/>
      </c>
      <c r="EQ164" s="453" t="str">
        <f t="shared" si="229"/>
        <v/>
      </c>
      <c r="ER164" s="451" t="str">
        <f t="shared" si="229"/>
        <v/>
      </c>
      <c r="ES164" s="452" t="str">
        <f t="shared" si="229"/>
        <v/>
      </c>
      <c r="ET164" s="452" t="str">
        <f t="shared" si="229"/>
        <v/>
      </c>
      <c r="EU164" s="452" t="str">
        <f t="shared" si="229"/>
        <v/>
      </c>
      <c r="EV164" s="453" t="str">
        <f t="shared" si="229"/>
        <v/>
      </c>
      <c r="EW164" s="451" t="str">
        <f t="shared" si="229"/>
        <v/>
      </c>
      <c r="EX164" s="452" t="str">
        <f t="shared" si="229"/>
        <v/>
      </c>
      <c r="EY164" s="452" t="str">
        <f t="shared" si="230"/>
        <v/>
      </c>
      <c r="EZ164" s="452" t="str">
        <f t="shared" si="230"/>
        <v/>
      </c>
      <c r="FA164" s="453" t="str">
        <f t="shared" si="230"/>
        <v/>
      </c>
      <c r="FB164" s="451" t="str">
        <f t="shared" si="230"/>
        <v/>
      </c>
      <c r="FC164" s="452" t="str">
        <f t="shared" si="230"/>
        <v/>
      </c>
      <c r="FD164" s="452" t="str">
        <f t="shared" si="230"/>
        <v/>
      </c>
      <c r="FE164" s="452" t="str">
        <f t="shared" si="230"/>
        <v/>
      </c>
      <c r="FF164" s="453" t="str">
        <f t="shared" si="230"/>
        <v/>
      </c>
      <c r="FG164" s="451" t="str">
        <f t="shared" si="230"/>
        <v/>
      </c>
      <c r="FH164" s="452" t="str">
        <f t="shared" si="230"/>
        <v/>
      </c>
      <c r="FI164" s="452" t="str">
        <f t="shared" si="230"/>
        <v/>
      </c>
      <c r="FJ164" s="452" t="str">
        <f t="shared" si="230"/>
        <v/>
      </c>
      <c r="FK164" s="453" t="str">
        <f t="shared" si="230"/>
        <v/>
      </c>
      <c r="FL164" s="451" t="str">
        <f t="shared" si="230"/>
        <v/>
      </c>
      <c r="FM164" s="452" t="str">
        <f t="shared" si="230"/>
        <v/>
      </c>
      <c r="FN164" s="452" t="str">
        <f t="shared" ref="FN164:GC180" si="248">IF(AND(FN$2&gt;=$J164,FN$2&lt;=$K164),1,"")</f>
        <v/>
      </c>
      <c r="FO164" s="452" t="str">
        <f t="shared" si="248"/>
        <v/>
      </c>
      <c r="FP164" s="453" t="str">
        <f t="shared" si="248"/>
        <v/>
      </c>
      <c r="FQ164" s="451" t="str">
        <f t="shared" si="248"/>
        <v/>
      </c>
      <c r="FR164" s="452" t="str">
        <f t="shared" si="248"/>
        <v/>
      </c>
      <c r="FS164" s="452" t="str">
        <f t="shared" si="248"/>
        <v/>
      </c>
      <c r="FT164" s="452" t="str">
        <f t="shared" si="248"/>
        <v/>
      </c>
      <c r="FU164" s="453" t="str">
        <f t="shared" si="248"/>
        <v/>
      </c>
      <c r="FV164" s="451" t="str">
        <f t="shared" si="248"/>
        <v/>
      </c>
      <c r="FW164" s="452" t="str">
        <f t="shared" si="248"/>
        <v/>
      </c>
      <c r="FX164" s="452" t="str">
        <f t="shared" si="248"/>
        <v/>
      </c>
      <c r="FY164" s="452" t="str">
        <f t="shared" si="248"/>
        <v/>
      </c>
      <c r="FZ164" s="453" t="str">
        <f t="shared" si="248"/>
        <v/>
      </c>
      <c r="GA164" s="451" t="str">
        <f t="shared" si="248"/>
        <v/>
      </c>
      <c r="GB164" s="452" t="str">
        <f t="shared" si="248"/>
        <v/>
      </c>
      <c r="GC164" s="452" t="str">
        <f t="shared" si="248"/>
        <v/>
      </c>
      <c r="GD164" s="452" t="str">
        <f t="shared" ref="GD164:GS179" si="249">IF(AND(GD$2&gt;=$J164,GD$2&lt;=$K164),1,"")</f>
        <v/>
      </c>
      <c r="GE164" s="453" t="str">
        <f t="shared" si="249"/>
        <v/>
      </c>
      <c r="GF164" s="451" t="str">
        <f t="shared" si="249"/>
        <v/>
      </c>
      <c r="GG164" s="452" t="str">
        <f t="shared" si="249"/>
        <v/>
      </c>
      <c r="GH164" s="452" t="str">
        <f t="shared" si="249"/>
        <v/>
      </c>
      <c r="GI164" s="452" t="str">
        <f t="shared" si="249"/>
        <v/>
      </c>
      <c r="GJ164" s="453" t="str">
        <f t="shared" si="249"/>
        <v/>
      </c>
      <c r="GK164" s="451" t="str">
        <f t="shared" si="249"/>
        <v/>
      </c>
      <c r="GL164" s="452" t="str">
        <f t="shared" si="249"/>
        <v/>
      </c>
      <c r="GM164" s="452" t="str">
        <f t="shared" si="249"/>
        <v/>
      </c>
      <c r="GN164" s="452" t="str">
        <f t="shared" si="249"/>
        <v/>
      </c>
      <c r="GO164" s="453" t="str">
        <f t="shared" si="249"/>
        <v/>
      </c>
      <c r="GP164" s="451" t="str">
        <f t="shared" si="249"/>
        <v/>
      </c>
      <c r="GQ164" s="452" t="str">
        <f t="shared" si="249"/>
        <v/>
      </c>
      <c r="GR164" s="452" t="str">
        <f t="shared" si="249"/>
        <v/>
      </c>
      <c r="GS164" s="452" t="str">
        <f t="shared" si="249"/>
        <v/>
      </c>
      <c r="GT164" s="453" t="str">
        <f t="shared" si="231"/>
        <v/>
      </c>
      <c r="GU164" s="451" t="str">
        <f t="shared" si="231"/>
        <v/>
      </c>
      <c r="GV164" s="452" t="str">
        <f t="shared" si="231"/>
        <v/>
      </c>
      <c r="GW164" s="452" t="str">
        <f t="shared" si="231"/>
        <v/>
      </c>
      <c r="GX164" s="452" t="str">
        <f t="shared" si="231"/>
        <v/>
      </c>
      <c r="GY164" s="453" t="str">
        <f t="shared" si="231"/>
        <v/>
      </c>
      <c r="GZ164" s="451" t="str">
        <f t="shared" si="231"/>
        <v/>
      </c>
      <c r="HA164" s="452" t="str">
        <f t="shared" si="231"/>
        <v/>
      </c>
      <c r="HB164" s="452" t="str">
        <f t="shared" si="231"/>
        <v/>
      </c>
      <c r="HC164" s="452" t="str">
        <f t="shared" si="231"/>
        <v/>
      </c>
      <c r="HD164" s="453" t="str">
        <f t="shared" si="231"/>
        <v/>
      </c>
      <c r="HE164" s="451" t="str">
        <f t="shared" si="231"/>
        <v/>
      </c>
      <c r="HF164" s="452" t="str">
        <f t="shared" si="231"/>
        <v/>
      </c>
      <c r="HG164" s="452" t="str">
        <f t="shared" si="231"/>
        <v/>
      </c>
      <c r="HH164" s="452" t="str">
        <f t="shared" si="231"/>
        <v/>
      </c>
      <c r="HI164" s="453" t="str">
        <f t="shared" si="231"/>
        <v/>
      </c>
      <c r="HJ164" s="451" t="str">
        <f t="shared" ref="HJ164:HZ180" si="250">IF(AND(HJ$2&gt;=$J164,HJ$2&lt;=$K164),1,"")</f>
        <v/>
      </c>
      <c r="HK164" s="452" t="str">
        <f t="shared" si="250"/>
        <v/>
      </c>
      <c r="HL164" s="452" t="str">
        <f t="shared" si="250"/>
        <v/>
      </c>
      <c r="HM164" s="452" t="str">
        <f t="shared" si="250"/>
        <v/>
      </c>
      <c r="HN164" s="453" t="str">
        <f t="shared" si="232"/>
        <v/>
      </c>
      <c r="HO164" s="451" t="str">
        <f t="shared" si="232"/>
        <v/>
      </c>
      <c r="HP164" s="452" t="str">
        <f t="shared" si="232"/>
        <v/>
      </c>
      <c r="HQ164" s="452" t="str">
        <f t="shared" si="232"/>
        <v/>
      </c>
      <c r="HR164" s="452" t="str">
        <f t="shared" si="232"/>
        <v/>
      </c>
      <c r="HS164" s="453" t="str">
        <f t="shared" si="232"/>
        <v/>
      </c>
      <c r="HT164" s="451" t="str">
        <f t="shared" si="232"/>
        <v/>
      </c>
      <c r="HU164" s="452" t="str">
        <f t="shared" si="232"/>
        <v/>
      </c>
      <c r="HV164" s="452" t="str">
        <f t="shared" si="232"/>
        <v/>
      </c>
      <c r="HW164" s="452" t="str">
        <f t="shared" si="232"/>
        <v/>
      </c>
      <c r="HX164" s="453" t="str">
        <f t="shared" si="232"/>
        <v/>
      </c>
      <c r="HY164" s="451" t="str">
        <f t="shared" si="232"/>
        <v/>
      </c>
      <c r="HZ164" s="452" t="str">
        <f t="shared" si="232"/>
        <v/>
      </c>
      <c r="IA164" s="452" t="str">
        <f t="shared" si="232"/>
        <v/>
      </c>
      <c r="IB164" s="452" t="str">
        <f t="shared" si="232"/>
        <v/>
      </c>
      <c r="IC164" s="453" t="str">
        <f t="shared" si="232"/>
        <v/>
      </c>
      <c r="ID164" s="451" t="str">
        <f t="shared" si="237"/>
        <v/>
      </c>
      <c r="IE164" s="452" t="str">
        <f t="shared" si="237"/>
        <v/>
      </c>
      <c r="IF164" s="452" t="str">
        <f t="shared" si="237"/>
        <v/>
      </c>
      <c r="IG164" s="452" t="str">
        <f t="shared" si="237"/>
        <v/>
      </c>
      <c r="IH164" s="453" t="str">
        <f t="shared" si="237"/>
        <v/>
      </c>
      <c r="II164" s="451" t="str">
        <f t="shared" si="237"/>
        <v/>
      </c>
      <c r="IJ164" s="452" t="str">
        <f t="shared" si="237"/>
        <v/>
      </c>
      <c r="IK164" s="452" t="str">
        <f t="shared" si="237"/>
        <v/>
      </c>
      <c r="IL164" s="452" t="str">
        <f t="shared" si="237"/>
        <v/>
      </c>
      <c r="IM164" s="453" t="str">
        <f t="shared" si="237"/>
        <v/>
      </c>
      <c r="IN164" s="451" t="str">
        <f t="shared" si="237"/>
        <v/>
      </c>
      <c r="IO164" s="452" t="str">
        <f t="shared" si="237"/>
        <v/>
      </c>
      <c r="IP164" s="452" t="str">
        <f t="shared" si="237"/>
        <v/>
      </c>
      <c r="IQ164" s="452" t="str">
        <f t="shared" si="237"/>
        <v/>
      </c>
      <c r="IR164" s="453" t="str">
        <f t="shared" si="237"/>
        <v/>
      </c>
    </row>
    <row r="165" spans="1:252" x14ac:dyDescent="0.2">
      <c r="A165" s="461">
        <v>15.7</v>
      </c>
      <c r="C165" s="447" t="s">
        <v>1357</v>
      </c>
      <c r="D165" s="447"/>
      <c r="E165" s="448"/>
      <c r="F165" s="448"/>
      <c r="G165" s="448"/>
      <c r="H165" s="448"/>
      <c r="I165" s="448"/>
      <c r="J165" s="449" t="str">
        <f t="shared" si="238"/>
        <v/>
      </c>
      <c r="K165" s="449" t="str">
        <f t="shared" si="239"/>
        <v/>
      </c>
      <c r="L165" s="450">
        <f t="shared" si="236"/>
        <v>0</v>
      </c>
      <c r="M165" s="451" t="str">
        <f t="shared" si="235"/>
        <v/>
      </c>
      <c r="N165" s="452" t="str">
        <f t="shared" si="235"/>
        <v/>
      </c>
      <c r="O165" s="452" t="str">
        <f t="shared" si="235"/>
        <v/>
      </c>
      <c r="P165" s="452" t="str">
        <f t="shared" si="235"/>
        <v/>
      </c>
      <c r="Q165" s="453" t="str">
        <f t="shared" si="235"/>
        <v/>
      </c>
      <c r="R165" s="451" t="str">
        <f t="shared" si="235"/>
        <v/>
      </c>
      <c r="S165" s="452" t="str">
        <f t="shared" si="235"/>
        <v/>
      </c>
      <c r="T165" s="452" t="str">
        <f t="shared" si="235"/>
        <v/>
      </c>
      <c r="U165" s="452" t="str">
        <f t="shared" si="235"/>
        <v/>
      </c>
      <c r="V165" s="453" t="str">
        <f t="shared" si="235"/>
        <v/>
      </c>
      <c r="W165" s="451" t="str">
        <f t="shared" si="235"/>
        <v/>
      </c>
      <c r="X165" s="452" t="str">
        <f t="shared" si="235"/>
        <v/>
      </c>
      <c r="Y165" s="452" t="str">
        <f t="shared" si="235"/>
        <v/>
      </c>
      <c r="Z165" s="452" t="str">
        <f t="shared" si="235"/>
        <v/>
      </c>
      <c r="AA165" s="453" t="str">
        <f t="shared" si="235"/>
        <v/>
      </c>
      <c r="AB165" s="451" t="str">
        <f t="shared" si="235"/>
        <v/>
      </c>
      <c r="AC165" s="452" t="str">
        <f t="shared" si="246"/>
        <v/>
      </c>
      <c r="AD165" s="452" t="str">
        <f t="shared" si="246"/>
        <v/>
      </c>
      <c r="AE165" s="452" t="str">
        <f t="shared" si="246"/>
        <v/>
      </c>
      <c r="AF165" s="453" t="str">
        <f t="shared" si="246"/>
        <v/>
      </c>
      <c r="AG165" s="451" t="str">
        <f t="shared" si="246"/>
        <v/>
      </c>
      <c r="AH165" s="452" t="str">
        <f t="shared" si="246"/>
        <v/>
      </c>
      <c r="AI165" s="452" t="str">
        <f t="shared" si="246"/>
        <v/>
      </c>
      <c r="AJ165" s="452" t="str">
        <f t="shared" si="246"/>
        <v/>
      </c>
      <c r="AK165" s="453" t="str">
        <f t="shared" si="246"/>
        <v/>
      </c>
      <c r="AL165" s="451" t="str">
        <f t="shared" si="246"/>
        <v/>
      </c>
      <c r="AM165" s="452" t="str">
        <f t="shared" si="246"/>
        <v/>
      </c>
      <c r="AN165" s="452" t="str">
        <f t="shared" si="246"/>
        <v/>
      </c>
      <c r="AO165" s="452" t="str">
        <f t="shared" si="246"/>
        <v/>
      </c>
      <c r="AP165" s="453" t="str">
        <f t="shared" si="246"/>
        <v/>
      </c>
      <c r="AQ165" s="451" t="str">
        <f t="shared" si="246"/>
        <v/>
      </c>
      <c r="AR165" s="452" t="str">
        <f t="shared" si="246"/>
        <v/>
      </c>
      <c r="AS165" s="452" t="str">
        <f t="shared" si="243"/>
        <v/>
      </c>
      <c r="AT165" s="452" t="str">
        <f t="shared" si="243"/>
        <v/>
      </c>
      <c r="AU165" s="453" t="str">
        <f t="shared" si="243"/>
        <v/>
      </c>
      <c r="AV165" s="451" t="str">
        <f t="shared" si="243"/>
        <v/>
      </c>
      <c r="AW165" s="452" t="str">
        <f t="shared" si="243"/>
        <v/>
      </c>
      <c r="AX165" s="452" t="str">
        <f t="shared" si="243"/>
        <v/>
      </c>
      <c r="AY165" s="452" t="str">
        <f t="shared" si="243"/>
        <v/>
      </c>
      <c r="AZ165" s="453" t="str">
        <f t="shared" si="243"/>
        <v/>
      </c>
      <c r="BA165" s="451" t="str">
        <f t="shared" si="243"/>
        <v/>
      </c>
      <c r="BB165" s="452" t="str">
        <f t="shared" si="243"/>
        <v/>
      </c>
      <c r="BC165" s="452" t="str">
        <f t="shared" si="243"/>
        <v/>
      </c>
      <c r="BD165" s="452" t="str">
        <f t="shared" si="243"/>
        <v/>
      </c>
      <c r="BE165" s="453" t="str">
        <f t="shared" si="243"/>
        <v/>
      </c>
      <c r="BF165" s="451" t="str">
        <f t="shared" si="243"/>
        <v/>
      </c>
      <c r="BG165" s="452" t="str">
        <f t="shared" si="243"/>
        <v/>
      </c>
      <c r="BH165" s="452" t="str">
        <f t="shared" si="243"/>
        <v/>
      </c>
      <c r="BI165" s="452" t="str">
        <f t="shared" si="244"/>
        <v/>
      </c>
      <c r="BJ165" s="453" t="str">
        <f t="shared" si="244"/>
        <v/>
      </c>
      <c r="BK165" s="451" t="str">
        <f t="shared" si="244"/>
        <v/>
      </c>
      <c r="BL165" s="452" t="str">
        <f t="shared" si="244"/>
        <v/>
      </c>
      <c r="BM165" s="452" t="str">
        <f t="shared" si="244"/>
        <v/>
      </c>
      <c r="BN165" s="452" t="str">
        <f t="shared" si="244"/>
        <v/>
      </c>
      <c r="BO165" s="453" t="str">
        <f t="shared" si="244"/>
        <v/>
      </c>
      <c r="BP165" s="451" t="str">
        <f t="shared" si="244"/>
        <v/>
      </c>
      <c r="BQ165" s="452" t="str">
        <f t="shared" si="244"/>
        <v/>
      </c>
      <c r="BR165" s="452" t="str">
        <f t="shared" si="244"/>
        <v/>
      </c>
      <c r="BS165" s="452" t="str">
        <f t="shared" si="244"/>
        <v/>
      </c>
      <c r="BT165" s="453" t="str">
        <f t="shared" si="244"/>
        <v/>
      </c>
      <c r="BU165" s="451" t="str">
        <f t="shared" si="244"/>
        <v/>
      </c>
      <c r="BV165" s="452" t="str">
        <f t="shared" si="244"/>
        <v/>
      </c>
      <c r="BW165" s="452" t="str">
        <f t="shared" si="244"/>
        <v/>
      </c>
      <c r="BX165" s="452" t="str">
        <f t="shared" si="244"/>
        <v/>
      </c>
      <c r="BY165" s="453" t="str">
        <f t="shared" si="245"/>
        <v/>
      </c>
      <c r="BZ165" s="451" t="str">
        <f t="shared" si="245"/>
        <v/>
      </c>
      <c r="CA165" s="452" t="str">
        <f t="shared" si="245"/>
        <v/>
      </c>
      <c r="CB165" s="452" t="str">
        <f t="shared" si="245"/>
        <v/>
      </c>
      <c r="CC165" s="452" t="str">
        <f t="shared" si="245"/>
        <v/>
      </c>
      <c r="CD165" s="453" t="str">
        <f t="shared" si="245"/>
        <v/>
      </c>
      <c r="CE165" s="451" t="str">
        <f t="shared" si="245"/>
        <v/>
      </c>
      <c r="CF165" s="452" t="str">
        <f t="shared" si="245"/>
        <v/>
      </c>
      <c r="CG165" s="452" t="str">
        <f t="shared" si="245"/>
        <v/>
      </c>
      <c r="CH165" s="452" t="str">
        <f t="shared" si="245"/>
        <v/>
      </c>
      <c r="CI165" s="453" t="str">
        <f t="shared" si="245"/>
        <v/>
      </c>
      <c r="CJ165" s="451" t="str">
        <f t="shared" si="245"/>
        <v/>
      </c>
      <c r="CK165" s="452" t="str">
        <f t="shared" si="245"/>
        <v/>
      </c>
      <c r="CL165" s="452" t="str">
        <f t="shared" si="245"/>
        <v/>
      </c>
      <c r="CM165" s="452" t="str">
        <f t="shared" si="245"/>
        <v/>
      </c>
      <c r="CN165" s="453" t="str">
        <f t="shared" si="245"/>
        <v/>
      </c>
      <c r="CO165" s="451" t="str">
        <f t="shared" si="241"/>
        <v/>
      </c>
      <c r="CP165" s="452" t="str">
        <f t="shared" si="241"/>
        <v/>
      </c>
      <c r="CQ165" s="452" t="str">
        <f t="shared" si="241"/>
        <v/>
      </c>
      <c r="CR165" s="452" t="str">
        <f t="shared" si="241"/>
        <v/>
      </c>
      <c r="CS165" s="453" t="str">
        <f t="shared" si="241"/>
        <v/>
      </c>
      <c r="CT165" s="451" t="str">
        <f t="shared" si="241"/>
        <v/>
      </c>
      <c r="CU165" s="452" t="str">
        <f t="shared" si="241"/>
        <v/>
      </c>
      <c r="CV165" s="452" t="str">
        <f t="shared" si="241"/>
        <v/>
      </c>
      <c r="CW165" s="452" t="str">
        <f t="shared" si="241"/>
        <v/>
      </c>
      <c r="CX165" s="453" t="str">
        <f t="shared" si="241"/>
        <v/>
      </c>
      <c r="CY165" s="451" t="str">
        <f t="shared" si="241"/>
        <v/>
      </c>
      <c r="CZ165" s="452" t="str">
        <f t="shared" si="241"/>
        <v/>
      </c>
      <c r="DA165" s="452" t="str">
        <f t="shared" si="241"/>
        <v/>
      </c>
      <c r="DB165" s="452" t="str">
        <f t="shared" si="241"/>
        <v/>
      </c>
      <c r="DC165" s="453" t="str">
        <f t="shared" si="241"/>
        <v/>
      </c>
      <c r="DD165" s="451" t="str">
        <f t="shared" si="242"/>
        <v/>
      </c>
      <c r="DE165" s="452" t="str">
        <f t="shared" si="242"/>
        <v/>
      </c>
      <c r="DF165" s="452" t="str">
        <f t="shared" si="242"/>
        <v/>
      </c>
      <c r="DG165" s="452" t="str">
        <f t="shared" si="242"/>
        <v/>
      </c>
      <c r="DH165" s="453" t="str">
        <f t="shared" si="242"/>
        <v/>
      </c>
      <c r="DI165" s="451" t="str">
        <f t="shared" si="242"/>
        <v/>
      </c>
      <c r="DJ165" s="452" t="str">
        <f t="shared" si="242"/>
        <v/>
      </c>
      <c r="DK165" s="452" t="str">
        <f t="shared" si="242"/>
        <v/>
      </c>
      <c r="DL165" s="452" t="str">
        <f t="shared" si="242"/>
        <v/>
      </c>
      <c r="DM165" s="453" t="str">
        <f t="shared" si="242"/>
        <v/>
      </c>
      <c r="DN165" s="451" t="str">
        <f t="shared" si="242"/>
        <v/>
      </c>
      <c r="DO165" s="452" t="str">
        <f t="shared" si="242"/>
        <v/>
      </c>
      <c r="DP165" s="452" t="str">
        <f t="shared" si="242"/>
        <v/>
      </c>
      <c r="DQ165" s="452" t="str">
        <f t="shared" si="242"/>
        <v/>
      </c>
      <c r="DR165" s="453" t="str">
        <f t="shared" si="242"/>
        <v/>
      </c>
      <c r="DS165" s="451" t="str">
        <f t="shared" si="242"/>
        <v/>
      </c>
      <c r="DT165" s="452" t="str">
        <f t="shared" si="247"/>
        <v/>
      </c>
      <c r="DU165" s="452" t="str">
        <f t="shared" si="247"/>
        <v/>
      </c>
      <c r="DV165" s="452" t="str">
        <f t="shared" si="247"/>
        <v/>
      </c>
      <c r="DW165" s="453" t="str">
        <f t="shared" si="247"/>
        <v/>
      </c>
      <c r="DX165" s="451" t="str">
        <f t="shared" si="247"/>
        <v/>
      </c>
      <c r="DY165" s="452" t="str">
        <f t="shared" si="247"/>
        <v/>
      </c>
      <c r="DZ165" s="452" t="str">
        <f t="shared" si="247"/>
        <v/>
      </c>
      <c r="EA165" s="452" t="str">
        <f t="shared" si="247"/>
        <v/>
      </c>
      <c r="EB165" s="453" t="str">
        <f t="shared" si="247"/>
        <v/>
      </c>
      <c r="EC165" s="451" t="str">
        <f t="shared" si="247"/>
        <v/>
      </c>
      <c r="ED165" s="452" t="str">
        <f t="shared" si="247"/>
        <v/>
      </c>
      <c r="EE165" s="452" t="str">
        <f t="shared" si="247"/>
        <v/>
      </c>
      <c r="EF165" s="452" t="str">
        <f t="shared" si="247"/>
        <v/>
      </c>
      <c r="EG165" s="453" t="str">
        <f t="shared" si="247"/>
        <v/>
      </c>
      <c r="EH165" s="451" t="str">
        <f t="shared" si="247"/>
        <v/>
      </c>
      <c r="EI165" s="452" t="str">
        <f t="shared" si="247"/>
        <v/>
      </c>
      <c r="EJ165" s="452" t="str">
        <f t="shared" ref="EJ165:EY180" si="251">IF(AND(EJ$2&gt;=$J165,EJ$2&lt;=$K165),1,"")</f>
        <v/>
      </c>
      <c r="EK165" s="452" t="str">
        <f t="shared" si="251"/>
        <v/>
      </c>
      <c r="EL165" s="453" t="str">
        <f t="shared" si="251"/>
        <v/>
      </c>
      <c r="EM165" s="451" t="str">
        <f t="shared" si="251"/>
        <v/>
      </c>
      <c r="EN165" s="452" t="str">
        <f t="shared" si="251"/>
        <v/>
      </c>
      <c r="EO165" s="452" t="str">
        <f t="shared" si="251"/>
        <v/>
      </c>
      <c r="EP165" s="452" t="str">
        <f t="shared" si="251"/>
        <v/>
      </c>
      <c r="EQ165" s="453" t="str">
        <f t="shared" si="251"/>
        <v/>
      </c>
      <c r="ER165" s="451" t="str">
        <f t="shared" si="251"/>
        <v/>
      </c>
      <c r="ES165" s="452" t="str">
        <f t="shared" si="251"/>
        <v/>
      </c>
      <c r="ET165" s="452" t="str">
        <f t="shared" si="251"/>
        <v/>
      </c>
      <c r="EU165" s="452" t="str">
        <f t="shared" si="251"/>
        <v/>
      </c>
      <c r="EV165" s="453" t="str">
        <f t="shared" si="251"/>
        <v/>
      </c>
      <c r="EW165" s="451" t="str">
        <f t="shared" si="251"/>
        <v/>
      </c>
      <c r="EX165" s="452" t="str">
        <f t="shared" si="251"/>
        <v/>
      </c>
      <c r="EY165" s="452" t="str">
        <f t="shared" si="251"/>
        <v/>
      </c>
      <c r="EZ165" s="452" t="str">
        <f t="shared" ref="EZ165:FN180" si="252">IF(AND(EZ$2&gt;=$J165,EZ$2&lt;=$K165),1,"")</f>
        <v/>
      </c>
      <c r="FA165" s="453" t="str">
        <f t="shared" si="252"/>
        <v/>
      </c>
      <c r="FB165" s="451" t="str">
        <f t="shared" si="252"/>
        <v/>
      </c>
      <c r="FC165" s="452" t="str">
        <f t="shared" si="252"/>
        <v/>
      </c>
      <c r="FD165" s="452" t="str">
        <f t="shared" si="252"/>
        <v/>
      </c>
      <c r="FE165" s="452" t="str">
        <f t="shared" si="252"/>
        <v/>
      </c>
      <c r="FF165" s="453" t="str">
        <f t="shared" si="252"/>
        <v/>
      </c>
      <c r="FG165" s="451" t="str">
        <f t="shared" si="252"/>
        <v/>
      </c>
      <c r="FH165" s="452" t="str">
        <f t="shared" si="252"/>
        <v/>
      </c>
      <c r="FI165" s="452" t="str">
        <f t="shared" si="252"/>
        <v/>
      </c>
      <c r="FJ165" s="452" t="str">
        <f t="shared" si="252"/>
        <v/>
      </c>
      <c r="FK165" s="453" t="str">
        <f t="shared" si="252"/>
        <v/>
      </c>
      <c r="FL165" s="451" t="str">
        <f t="shared" si="252"/>
        <v/>
      </c>
      <c r="FM165" s="452" t="str">
        <f t="shared" si="252"/>
        <v/>
      </c>
      <c r="FN165" s="452" t="str">
        <f t="shared" si="252"/>
        <v/>
      </c>
      <c r="FO165" s="452" t="str">
        <f t="shared" si="248"/>
        <v/>
      </c>
      <c r="FP165" s="453" t="str">
        <f t="shared" si="248"/>
        <v/>
      </c>
      <c r="FQ165" s="451" t="str">
        <f t="shared" si="248"/>
        <v/>
      </c>
      <c r="FR165" s="452" t="str">
        <f t="shared" si="248"/>
        <v/>
      </c>
      <c r="FS165" s="452" t="str">
        <f t="shared" si="248"/>
        <v/>
      </c>
      <c r="FT165" s="452" t="str">
        <f t="shared" si="248"/>
        <v/>
      </c>
      <c r="FU165" s="453" t="str">
        <f t="shared" si="248"/>
        <v/>
      </c>
      <c r="FV165" s="451" t="str">
        <f t="shared" si="248"/>
        <v/>
      </c>
      <c r="FW165" s="452" t="str">
        <f t="shared" si="248"/>
        <v/>
      </c>
      <c r="FX165" s="452" t="str">
        <f t="shared" si="248"/>
        <v/>
      </c>
      <c r="FY165" s="452" t="str">
        <f t="shared" si="248"/>
        <v/>
      </c>
      <c r="FZ165" s="453" t="str">
        <f t="shared" si="248"/>
        <v/>
      </c>
      <c r="GA165" s="451" t="str">
        <f t="shared" si="248"/>
        <v/>
      </c>
      <c r="GB165" s="452" t="str">
        <f t="shared" si="248"/>
        <v/>
      </c>
      <c r="GC165" s="452" t="str">
        <f t="shared" si="248"/>
        <v/>
      </c>
      <c r="GD165" s="452" t="str">
        <f t="shared" si="249"/>
        <v/>
      </c>
      <c r="GE165" s="453" t="str">
        <f t="shared" si="249"/>
        <v/>
      </c>
      <c r="GF165" s="451" t="str">
        <f t="shared" si="249"/>
        <v/>
      </c>
      <c r="GG165" s="452" t="str">
        <f t="shared" si="249"/>
        <v/>
      </c>
      <c r="GH165" s="452" t="str">
        <f t="shared" si="249"/>
        <v/>
      </c>
      <c r="GI165" s="452" t="str">
        <f t="shared" si="249"/>
        <v/>
      </c>
      <c r="GJ165" s="453" t="str">
        <f t="shared" si="249"/>
        <v/>
      </c>
      <c r="GK165" s="451" t="str">
        <f t="shared" si="249"/>
        <v/>
      </c>
      <c r="GL165" s="452" t="str">
        <f t="shared" si="249"/>
        <v/>
      </c>
      <c r="GM165" s="452" t="str">
        <f t="shared" si="249"/>
        <v/>
      </c>
      <c r="GN165" s="452" t="str">
        <f t="shared" si="249"/>
        <v/>
      </c>
      <c r="GO165" s="453" t="str">
        <f t="shared" si="249"/>
        <v/>
      </c>
      <c r="GP165" s="451" t="str">
        <f t="shared" si="249"/>
        <v/>
      </c>
      <c r="GQ165" s="452" t="str">
        <f t="shared" si="249"/>
        <v/>
      </c>
      <c r="GR165" s="452" t="str">
        <f t="shared" si="249"/>
        <v/>
      </c>
      <c r="GS165" s="452" t="str">
        <f t="shared" si="249"/>
        <v/>
      </c>
      <c r="GT165" s="453" t="str">
        <f t="shared" ref="GT165:HI180" si="253">IF(AND(GT$2&gt;=$J165,GT$2&lt;=$K165),1,"")</f>
        <v/>
      </c>
      <c r="GU165" s="451" t="str">
        <f t="shared" si="253"/>
        <v/>
      </c>
      <c r="GV165" s="452" t="str">
        <f t="shared" si="253"/>
        <v/>
      </c>
      <c r="GW165" s="452" t="str">
        <f t="shared" si="253"/>
        <v/>
      </c>
      <c r="GX165" s="452" t="str">
        <f t="shared" si="253"/>
        <v/>
      </c>
      <c r="GY165" s="453" t="str">
        <f t="shared" si="253"/>
        <v/>
      </c>
      <c r="GZ165" s="451" t="str">
        <f t="shared" si="253"/>
        <v/>
      </c>
      <c r="HA165" s="452" t="str">
        <f t="shared" si="253"/>
        <v/>
      </c>
      <c r="HB165" s="452" t="str">
        <f t="shared" si="253"/>
        <v/>
      </c>
      <c r="HC165" s="452" t="str">
        <f t="shared" si="253"/>
        <v/>
      </c>
      <c r="HD165" s="453" t="str">
        <f t="shared" si="253"/>
        <v/>
      </c>
      <c r="HE165" s="451" t="str">
        <f t="shared" si="253"/>
        <v/>
      </c>
      <c r="HF165" s="452" t="str">
        <f t="shared" si="253"/>
        <v/>
      </c>
      <c r="HG165" s="452" t="str">
        <f t="shared" si="253"/>
        <v/>
      </c>
      <c r="HH165" s="452" t="str">
        <f t="shared" si="253"/>
        <v/>
      </c>
      <c r="HI165" s="453" t="str">
        <f t="shared" si="253"/>
        <v/>
      </c>
      <c r="HJ165" s="451" t="str">
        <f t="shared" si="250"/>
        <v/>
      </c>
      <c r="HK165" s="452" t="str">
        <f t="shared" si="250"/>
        <v/>
      </c>
      <c r="HL165" s="452" t="str">
        <f t="shared" si="250"/>
        <v/>
      </c>
      <c r="HM165" s="452" t="str">
        <f t="shared" si="250"/>
        <v/>
      </c>
      <c r="HN165" s="453" t="str">
        <f t="shared" si="232"/>
        <v/>
      </c>
      <c r="HO165" s="451" t="str">
        <f t="shared" si="232"/>
        <v/>
      </c>
      <c r="HP165" s="452" t="str">
        <f t="shared" si="232"/>
        <v/>
      </c>
      <c r="HQ165" s="452" t="str">
        <f t="shared" si="232"/>
        <v/>
      </c>
      <c r="HR165" s="452" t="str">
        <f t="shared" si="232"/>
        <v/>
      </c>
      <c r="HS165" s="453" t="str">
        <f t="shared" si="232"/>
        <v/>
      </c>
      <c r="HT165" s="451" t="str">
        <f t="shared" si="232"/>
        <v/>
      </c>
      <c r="HU165" s="452" t="str">
        <f t="shared" si="232"/>
        <v/>
      </c>
      <c r="HV165" s="452" t="str">
        <f t="shared" si="232"/>
        <v/>
      </c>
      <c r="HW165" s="452" t="str">
        <f t="shared" si="232"/>
        <v/>
      </c>
      <c r="HX165" s="453" t="str">
        <f t="shared" si="232"/>
        <v/>
      </c>
      <c r="HY165" s="451" t="str">
        <f t="shared" si="232"/>
        <v/>
      </c>
      <c r="HZ165" s="452" t="str">
        <f t="shared" si="232"/>
        <v/>
      </c>
      <c r="IA165" s="452" t="str">
        <f t="shared" si="232"/>
        <v/>
      </c>
      <c r="IB165" s="452" t="str">
        <f t="shared" si="232"/>
        <v/>
      </c>
      <c r="IC165" s="453" t="str">
        <f t="shared" si="232"/>
        <v/>
      </c>
      <c r="ID165" s="451" t="str">
        <f t="shared" si="237"/>
        <v/>
      </c>
      <c r="IE165" s="452" t="str">
        <f t="shared" si="237"/>
        <v/>
      </c>
      <c r="IF165" s="452" t="str">
        <f t="shared" si="237"/>
        <v/>
      </c>
      <c r="IG165" s="452" t="str">
        <f t="shared" si="237"/>
        <v/>
      </c>
      <c r="IH165" s="453" t="str">
        <f t="shared" si="237"/>
        <v/>
      </c>
      <c r="II165" s="451" t="str">
        <f t="shared" si="237"/>
        <v/>
      </c>
      <c r="IJ165" s="452" t="str">
        <f t="shared" si="237"/>
        <v/>
      </c>
      <c r="IK165" s="452" t="str">
        <f t="shared" si="237"/>
        <v/>
      </c>
      <c r="IL165" s="452" t="str">
        <f t="shared" si="237"/>
        <v/>
      </c>
      <c r="IM165" s="453" t="str">
        <f t="shared" si="237"/>
        <v/>
      </c>
      <c r="IN165" s="451" t="str">
        <f t="shared" si="237"/>
        <v/>
      </c>
      <c r="IO165" s="452" t="str">
        <f t="shared" si="237"/>
        <v/>
      </c>
      <c r="IP165" s="452" t="str">
        <f t="shared" si="237"/>
        <v/>
      </c>
      <c r="IQ165" s="452" t="str">
        <f t="shared" si="237"/>
        <v/>
      </c>
      <c r="IR165" s="453" t="str">
        <f t="shared" si="237"/>
        <v/>
      </c>
    </row>
    <row r="166" spans="1:252" x14ac:dyDescent="0.2">
      <c r="A166" s="461">
        <v>15.8</v>
      </c>
      <c r="C166" s="447" t="s">
        <v>1358</v>
      </c>
      <c r="D166" s="447"/>
      <c r="E166" s="448"/>
      <c r="F166" s="448"/>
      <c r="G166" s="448"/>
      <c r="H166" s="448"/>
      <c r="I166" s="448"/>
      <c r="J166" s="449" t="str">
        <f t="shared" si="238"/>
        <v/>
      </c>
      <c r="K166" s="449" t="str">
        <f t="shared" si="239"/>
        <v/>
      </c>
      <c r="L166" s="450">
        <f t="shared" si="236"/>
        <v>0</v>
      </c>
      <c r="M166" s="451" t="str">
        <f t="shared" si="235"/>
        <v/>
      </c>
      <c r="N166" s="452" t="str">
        <f t="shared" si="235"/>
        <v/>
      </c>
      <c r="O166" s="452" t="str">
        <f t="shared" si="235"/>
        <v/>
      </c>
      <c r="P166" s="452" t="str">
        <f t="shared" si="235"/>
        <v/>
      </c>
      <c r="Q166" s="453" t="str">
        <f t="shared" si="235"/>
        <v/>
      </c>
      <c r="R166" s="451" t="str">
        <f t="shared" si="235"/>
        <v/>
      </c>
      <c r="S166" s="452" t="str">
        <f t="shared" si="235"/>
        <v/>
      </c>
      <c r="T166" s="452" t="str">
        <f t="shared" si="235"/>
        <v/>
      </c>
      <c r="U166" s="452" t="str">
        <f t="shared" si="235"/>
        <v/>
      </c>
      <c r="V166" s="453" t="str">
        <f t="shared" si="235"/>
        <v/>
      </c>
      <c r="W166" s="451" t="str">
        <f t="shared" si="235"/>
        <v/>
      </c>
      <c r="X166" s="452" t="str">
        <f t="shared" si="235"/>
        <v/>
      </c>
      <c r="Y166" s="452" t="str">
        <f t="shared" si="235"/>
        <v/>
      </c>
      <c r="Z166" s="452" t="str">
        <f t="shared" si="235"/>
        <v/>
      </c>
      <c r="AA166" s="453" t="str">
        <f t="shared" si="235"/>
        <v/>
      </c>
      <c r="AB166" s="451" t="str">
        <f t="shared" si="235"/>
        <v/>
      </c>
      <c r="AC166" s="452" t="str">
        <f t="shared" si="246"/>
        <v/>
      </c>
      <c r="AD166" s="452" t="str">
        <f t="shared" si="246"/>
        <v/>
      </c>
      <c r="AE166" s="452" t="str">
        <f t="shared" si="246"/>
        <v/>
      </c>
      <c r="AF166" s="453" t="str">
        <f t="shared" si="246"/>
        <v/>
      </c>
      <c r="AG166" s="451" t="str">
        <f t="shared" si="246"/>
        <v/>
      </c>
      <c r="AH166" s="452" t="str">
        <f t="shared" si="246"/>
        <v/>
      </c>
      <c r="AI166" s="452" t="str">
        <f t="shared" si="246"/>
        <v/>
      </c>
      <c r="AJ166" s="452" t="str">
        <f t="shared" si="246"/>
        <v/>
      </c>
      <c r="AK166" s="453" t="str">
        <f t="shared" si="246"/>
        <v/>
      </c>
      <c r="AL166" s="451" t="str">
        <f t="shared" si="246"/>
        <v/>
      </c>
      <c r="AM166" s="452" t="str">
        <f t="shared" si="246"/>
        <v/>
      </c>
      <c r="AN166" s="452" t="str">
        <f t="shared" si="246"/>
        <v/>
      </c>
      <c r="AO166" s="452" t="str">
        <f t="shared" si="246"/>
        <v/>
      </c>
      <c r="AP166" s="453" t="str">
        <f t="shared" si="246"/>
        <v/>
      </c>
      <c r="AQ166" s="451" t="str">
        <f t="shared" si="246"/>
        <v/>
      </c>
      <c r="AR166" s="452" t="str">
        <f t="shared" si="246"/>
        <v/>
      </c>
      <c r="AS166" s="452" t="str">
        <f t="shared" si="243"/>
        <v/>
      </c>
      <c r="AT166" s="452" t="str">
        <f t="shared" si="243"/>
        <v/>
      </c>
      <c r="AU166" s="453" t="str">
        <f t="shared" si="243"/>
        <v/>
      </c>
      <c r="AV166" s="451" t="str">
        <f t="shared" si="243"/>
        <v/>
      </c>
      <c r="AW166" s="452" t="str">
        <f t="shared" si="243"/>
        <v/>
      </c>
      <c r="AX166" s="452" t="str">
        <f t="shared" si="243"/>
        <v/>
      </c>
      <c r="AY166" s="452" t="str">
        <f t="shared" si="243"/>
        <v/>
      </c>
      <c r="AZ166" s="453" t="str">
        <f t="shared" si="243"/>
        <v/>
      </c>
      <c r="BA166" s="451" t="str">
        <f t="shared" si="243"/>
        <v/>
      </c>
      <c r="BB166" s="452" t="str">
        <f t="shared" si="243"/>
        <v/>
      </c>
      <c r="BC166" s="452" t="str">
        <f t="shared" si="243"/>
        <v/>
      </c>
      <c r="BD166" s="452" t="str">
        <f t="shared" si="243"/>
        <v/>
      </c>
      <c r="BE166" s="453" t="str">
        <f t="shared" si="243"/>
        <v/>
      </c>
      <c r="BF166" s="451" t="str">
        <f t="shared" si="243"/>
        <v/>
      </c>
      <c r="BG166" s="452" t="str">
        <f t="shared" si="243"/>
        <v/>
      </c>
      <c r="BH166" s="452" t="str">
        <f t="shared" si="243"/>
        <v/>
      </c>
      <c r="BI166" s="452" t="str">
        <f t="shared" si="244"/>
        <v/>
      </c>
      <c r="BJ166" s="453" t="str">
        <f t="shared" si="244"/>
        <v/>
      </c>
      <c r="BK166" s="451" t="str">
        <f t="shared" si="244"/>
        <v/>
      </c>
      <c r="BL166" s="452" t="str">
        <f t="shared" si="244"/>
        <v/>
      </c>
      <c r="BM166" s="452" t="str">
        <f t="shared" si="244"/>
        <v/>
      </c>
      <c r="BN166" s="452" t="str">
        <f t="shared" si="244"/>
        <v/>
      </c>
      <c r="BO166" s="453" t="str">
        <f t="shared" si="244"/>
        <v/>
      </c>
      <c r="BP166" s="451" t="str">
        <f t="shared" si="244"/>
        <v/>
      </c>
      <c r="BQ166" s="452" t="str">
        <f t="shared" si="244"/>
        <v/>
      </c>
      <c r="BR166" s="452" t="str">
        <f t="shared" si="244"/>
        <v/>
      </c>
      <c r="BS166" s="452" t="str">
        <f t="shared" si="244"/>
        <v/>
      </c>
      <c r="BT166" s="453" t="str">
        <f t="shared" si="244"/>
        <v/>
      </c>
      <c r="BU166" s="451" t="str">
        <f t="shared" si="244"/>
        <v/>
      </c>
      <c r="BV166" s="452" t="str">
        <f t="shared" si="244"/>
        <v/>
      </c>
      <c r="BW166" s="452" t="str">
        <f t="shared" si="244"/>
        <v/>
      </c>
      <c r="BX166" s="452" t="str">
        <f t="shared" si="244"/>
        <v/>
      </c>
      <c r="BY166" s="453" t="str">
        <f t="shared" si="245"/>
        <v/>
      </c>
      <c r="BZ166" s="451" t="str">
        <f t="shared" si="245"/>
        <v/>
      </c>
      <c r="CA166" s="452" t="str">
        <f t="shared" si="245"/>
        <v/>
      </c>
      <c r="CB166" s="452" t="str">
        <f t="shared" si="245"/>
        <v/>
      </c>
      <c r="CC166" s="452" t="str">
        <f t="shared" si="245"/>
        <v/>
      </c>
      <c r="CD166" s="453" t="str">
        <f t="shared" si="245"/>
        <v/>
      </c>
      <c r="CE166" s="451" t="str">
        <f t="shared" si="245"/>
        <v/>
      </c>
      <c r="CF166" s="452" t="str">
        <f t="shared" si="245"/>
        <v/>
      </c>
      <c r="CG166" s="452" t="str">
        <f t="shared" si="245"/>
        <v/>
      </c>
      <c r="CH166" s="452" t="str">
        <f t="shared" si="245"/>
        <v/>
      </c>
      <c r="CI166" s="453" t="str">
        <f t="shared" si="245"/>
        <v/>
      </c>
      <c r="CJ166" s="451" t="str">
        <f t="shared" si="245"/>
        <v/>
      </c>
      <c r="CK166" s="452" t="str">
        <f t="shared" si="245"/>
        <v/>
      </c>
      <c r="CL166" s="452" t="str">
        <f t="shared" si="245"/>
        <v/>
      </c>
      <c r="CM166" s="452" t="str">
        <f t="shared" si="245"/>
        <v/>
      </c>
      <c r="CN166" s="453" t="str">
        <f t="shared" si="241"/>
        <v/>
      </c>
      <c r="CO166" s="451" t="str">
        <f t="shared" si="241"/>
        <v/>
      </c>
      <c r="CP166" s="452" t="str">
        <f t="shared" si="241"/>
        <v/>
      </c>
      <c r="CQ166" s="452" t="str">
        <f t="shared" si="241"/>
        <v/>
      </c>
      <c r="CR166" s="452" t="str">
        <f t="shared" si="241"/>
        <v/>
      </c>
      <c r="CS166" s="453" t="str">
        <f t="shared" si="241"/>
        <v/>
      </c>
      <c r="CT166" s="451" t="str">
        <f t="shared" si="241"/>
        <v/>
      </c>
      <c r="CU166" s="452" t="str">
        <f t="shared" si="241"/>
        <v/>
      </c>
      <c r="CV166" s="452" t="str">
        <f t="shared" si="241"/>
        <v/>
      </c>
      <c r="CW166" s="452" t="str">
        <f t="shared" si="241"/>
        <v/>
      </c>
      <c r="CX166" s="453" t="str">
        <f t="shared" si="241"/>
        <v/>
      </c>
      <c r="CY166" s="451" t="str">
        <f t="shared" si="241"/>
        <v/>
      </c>
      <c r="CZ166" s="452" t="str">
        <f t="shared" si="241"/>
        <v/>
      </c>
      <c r="DA166" s="452" t="str">
        <f t="shared" si="241"/>
        <v/>
      </c>
      <c r="DB166" s="452" t="str">
        <f t="shared" si="241"/>
        <v/>
      </c>
      <c r="DC166" s="453" t="str">
        <f t="shared" si="241"/>
        <v/>
      </c>
      <c r="DD166" s="451" t="str">
        <f t="shared" si="242"/>
        <v/>
      </c>
      <c r="DE166" s="452" t="str">
        <f t="shared" si="242"/>
        <v/>
      </c>
      <c r="DF166" s="452" t="str">
        <f t="shared" si="242"/>
        <v/>
      </c>
      <c r="DG166" s="452" t="str">
        <f t="shared" si="242"/>
        <v/>
      </c>
      <c r="DH166" s="453" t="str">
        <f t="shared" si="242"/>
        <v/>
      </c>
      <c r="DI166" s="451" t="str">
        <f t="shared" si="242"/>
        <v/>
      </c>
      <c r="DJ166" s="452" t="str">
        <f t="shared" si="242"/>
        <v/>
      </c>
      <c r="DK166" s="452" t="str">
        <f t="shared" si="242"/>
        <v/>
      </c>
      <c r="DL166" s="452" t="str">
        <f t="shared" si="242"/>
        <v/>
      </c>
      <c r="DM166" s="453" t="str">
        <f t="shared" si="242"/>
        <v/>
      </c>
      <c r="DN166" s="451" t="str">
        <f t="shared" si="242"/>
        <v/>
      </c>
      <c r="DO166" s="452" t="str">
        <f t="shared" si="242"/>
        <v/>
      </c>
      <c r="DP166" s="452" t="str">
        <f t="shared" si="242"/>
        <v/>
      </c>
      <c r="DQ166" s="452" t="str">
        <f t="shared" si="242"/>
        <v/>
      </c>
      <c r="DR166" s="453" t="str">
        <f t="shared" si="242"/>
        <v/>
      </c>
      <c r="DS166" s="451" t="str">
        <f t="shared" si="242"/>
        <v/>
      </c>
      <c r="DT166" s="452" t="str">
        <f t="shared" si="247"/>
        <v/>
      </c>
      <c r="DU166" s="452" t="str">
        <f t="shared" si="247"/>
        <v/>
      </c>
      <c r="DV166" s="452" t="str">
        <f t="shared" si="247"/>
        <v/>
      </c>
      <c r="DW166" s="453" t="str">
        <f t="shared" si="247"/>
        <v/>
      </c>
      <c r="DX166" s="451" t="str">
        <f t="shared" si="247"/>
        <v/>
      </c>
      <c r="DY166" s="452" t="str">
        <f t="shared" si="247"/>
        <v/>
      </c>
      <c r="DZ166" s="452" t="str">
        <f t="shared" si="247"/>
        <v/>
      </c>
      <c r="EA166" s="452" t="str">
        <f t="shared" si="247"/>
        <v/>
      </c>
      <c r="EB166" s="453" t="str">
        <f t="shared" si="247"/>
        <v/>
      </c>
      <c r="EC166" s="451" t="str">
        <f t="shared" si="247"/>
        <v/>
      </c>
      <c r="ED166" s="452" t="str">
        <f t="shared" si="247"/>
        <v/>
      </c>
      <c r="EE166" s="452" t="str">
        <f t="shared" si="247"/>
        <v/>
      </c>
      <c r="EF166" s="452" t="str">
        <f t="shared" si="247"/>
        <v/>
      </c>
      <c r="EG166" s="453" t="str">
        <f t="shared" si="247"/>
        <v/>
      </c>
      <c r="EH166" s="451" t="str">
        <f t="shared" si="247"/>
        <v/>
      </c>
      <c r="EI166" s="452" t="str">
        <f t="shared" si="247"/>
        <v/>
      </c>
      <c r="EJ166" s="452" t="str">
        <f t="shared" si="251"/>
        <v/>
      </c>
      <c r="EK166" s="452" t="str">
        <f t="shared" si="251"/>
        <v/>
      </c>
      <c r="EL166" s="453" t="str">
        <f t="shared" si="251"/>
        <v/>
      </c>
      <c r="EM166" s="451" t="str">
        <f t="shared" si="251"/>
        <v/>
      </c>
      <c r="EN166" s="452" t="str">
        <f t="shared" si="251"/>
        <v/>
      </c>
      <c r="EO166" s="452" t="str">
        <f t="shared" si="251"/>
        <v/>
      </c>
      <c r="EP166" s="452" t="str">
        <f t="shared" si="251"/>
        <v/>
      </c>
      <c r="EQ166" s="453" t="str">
        <f t="shared" si="251"/>
        <v/>
      </c>
      <c r="ER166" s="451" t="str">
        <f t="shared" si="251"/>
        <v/>
      </c>
      <c r="ES166" s="452" t="str">
        <f t="shared" si="251"/>
        <v/>
      </c>
      <c r="ET166" s="452" t="str">
        <f t="shared" si="251"/>
        <v/>
      </c>
      <c r="EU166" s="452" t="str">
        <f t="shared" si="251"/>
        <v/>
      </c>
      <c r="EV166" s="453" t="str">
        <f t="shared" si="251"/>
        <v/>
      </c>
      <c r="EW166" s="451" t="str">
        <f t="shared" si="251"/>
        <v/>
      </c>
      <c r="EX166" s="452" t="str">
        <f t="shared" si="251"/>
        <v/>
      </c>
      <c r="EY166" s="452" t="str">
        <f t="shared" si="251"/>
        <v/>
      </c>
      <c r="EZ166" s="452" t="str">
        <f t="shared" si="252"/>
        <v/>
      </c>
      <c r="FA166" s="453" t="str">
        <f t="shared" si="252"/>
        <v/>
      </c>
      <c r="FB166" s="451" t="str">
        <f t="shared" si="252"/>
        <v/>
      </c>
      <c r="FC166" s="452" t="str">
        <f t="shared" si="252"/>
        <v/>
      </c>
      <c r="FD166" s="452" t="str">
        <f t="shared" si="252"/>
        <v/>
      </c>
      <c r="FE166" s="452" t="str">
        <f t="shared" si="252"/>
        <v/>
      </c>
      <c r="FF166" s="453" t="str">
        <f t="shared" si="252"/>
        <v/>
      </c>
      <c r="FG166" s="451" t="str">
        <f t="shared" si="252"/>
        <v/>
      </c>
      <c r="FH166" s="452" t="str">
        <f t="shared" si="252"/>
        <v/>
      </c>
      <c r="FI166" s="452" t="str">
        <f t="shared" si="252"/>
        <v/>
      </c>
      <c r="FJ166" s="452" t="str">
        <f t="shared" si="252"/>
        <v/>
      </c>
      <c r="FK166" s="453" t="str">
        <f t="shared" si="252"/>
        <v/>
      </c>
      <c r="FL166" s="451" t="str">
        <f t="shared" si="252"/>
        <v/>
      </c>
      <c r="FM166" s="452" t="str">
        <f t="shared" si="252"/>
        <v/>
      </c>
      <c r="FN166" s="452" t="str">
        <f t="shared" si="252"/>
        <v/>
      </c>
      <c r="FO166" s="452" t="str">
        <f t="shared" si="248"/>
        <v/>
      </c>
      <c r="FP166" s="453" t="str">
        <f t="shared" si="248"/>
        <v/>
      </c>
      <c r="FQ166" s="451" t="str">
        <f t="shared" si="248"/>
        <v/>
      </c>
      <c r="FR166" s="452" t="str">
        <f t="shared" si="248"/>
        <v/>
      </c>
      <c r="FS166" s="452" t="str">
        <f t="shared" si="248"/>
        <v/>
      </c>
      <c r="FT166" s="452" t="str">
        <f t="shared" si="248"/>
        <v/>
      </c>
      <c r="FU166" s="453" t="str">
        <f t="shared" si="248"/>
        <v/>
      </c>
      <c r="FV166" s="451" t="str">
        <f t="shared" si="248"/>
        <v/>
      </c>
      <c r="FW166" s="452" t="str">
        <f t="shared" si="248"/>
        <v/>
      </c>
      <c r="FX166" s="452" t="str">
        <f t="shared" si="248"/>
        <v/>
      </c>
      <c r="FY166" s="452" t="str">
        <f t="shared" si="248"/>
        <v/>
      </c>
      <c r="FZ166" s="453" t="str">
        <f t="shared" si="248"/>
        <v/>
      </c>
      <c r="GA166" s="451" t="str">
        <f t="shared" si="248"/>
        <v/>
      </c>
      <c r="GB166" s="452" t="str">
        <f t="shared" si="248"/>
        <v/>
      </c>
      <c r="GC166" s="452" t="str">
        <f t="shared" si="248"/>
        <v/>
      </c>
      <c r="GD166" s="452" t="str">
        <f t="shared" si="249"/>
        <v/>
      </c>
      <c r="GE166" s="453" t="str">
        <f t="shared" si="249"/>
        <v/>
      </c>
      <c r="GF166" s="451" t="str">
        <f t="shared" si="249"/>
        <v/>
      </c>
      <c r="GG166" s="452" t="str">
        <f t="shared" si="249"/>
        <v/>
      </c>
      <c r="GH166" s="452" t="str">
        <f t="shared" si="249"/>
        <v/>
      </c>
      <c r="GI166" s="452" t="str">
        <f t="shared" si="249"/>
        <v/>
      </c>
      <c r="GJ166" s="453" t="str">
        <f t="shared" si="249"/>
        <v/>
      </c>
      <c r="GK166" s="451" t="str">
        <f t="shared" si="249"/>
        <v/>
      </c>
      <c r="GL166" s="452" t="str">
        <f t="shared" si="249"/>
        <v/>
      </c>
      <c r="GM166" s="452" t="str">
        <f t="shared" si="249"/>
        <v/>
      </c>
      <c r="GN166" s="452" t="str">
        <f t="shared" si="249"/>
        <v/>
      </c>
      <c r="GO166" s="453" t="str">
        <f t="shared" si="249"/>
        <v/>
      </c>
      <c r="GP166" s="451" t="str">
        <f t="shared" si="249"/>
        <v/>
      </c>
      <c r="GQ166" s="452" t="str">
        <f t="shared" si="249"/>
        <v/>
      </c>
      <c r="GR166" s="452" t="str">
        <f t="shared" si="249"/>
        <v/>
      </c>
      <c r="GS166" s="452" t="str">
        <f t="shared" si="249"/>
        <v/>
      </c>
      <c r="GT166" s="453" t="str">
        <f t="shared" si="253"/>
        <v/>
      </c>
      <c r="GU166" s="451" t="str">
        <f t="shared" si="253"/>
        <v/>
      </c>
      <c r="GV166" s="452" t="str">
        <f t="shared" si="253"/>
        <v/>
      </c>
      <c r="GW166" s="452" t="str">
        <f t="shared" si="253"/>
        <v/>
      </c>
      <c r="GX166" s="452" t="str">
        <f t="shared" si="253"/>
        <v/>
      </c>
      <c r="GY166" s="453" t="str">
        <f t="shared" si="253"/>
        <v/>
      </c>
      <c r="GZ166" s="451" t="str">
        <f t="shared" si="253"/>
        <v/>
      </c>
      <c r="HA166" s="452" t="str">
        <f t="shared" si="253"/>
        <v/>
      </c>
      <c r="HB166" s="452" t="str">
        <f t="shared" si="253"/>
        <v/>
      </c>
      <c r="HC166" s="452" t="str">
        <f t="shared" si="253"/>
        <v/>
      </c>
      <c r="HD166" s="453" t="str">
        <f t="shared" si="253"/>
        <v/>
      </c>
      <c r="HE166" s="451" t="str">
        <f t="shared" si="253"/>
        <v/>
      </c>
      <c r="HF166" s="452" t="str">
        <f t="shared" si="253"/>
        <v/>
      </c>
      <c r="HG166" s="452" t="str">
        <f t="shared" si="253"/>
        <v/>
      </c>
      <c r="HH166" s="452" t="str">
        <f t="shared" si="253"/>
        <v/>
      </c>
      <c r="HI166" s="453" t="str">
        <f t="shared" si="253"/>
        <v/>
      </c>
      <c r="HJ166" s="451" t="str">
        <f t="shared" si="250"/>
        <v/>
      </c>
      <c r="HK166" s="452" t="str">
        <f t="shared" si="250"/>
        <v/>
      </c>
      <c r="HL166" s="452" t="str">
        <f t="shared" si="250"/>
        <v/>
      </c>
      <c r="HM166" s="452" t="str">
        <f t="shared" si="250"/>
        <v/>
      </c>
      <c r="HN166" s="453" t="str">
        <f t="shared" si="232"/>
        <v/>
      </c>
      <c r="HO166" s="451" t="str">
        <f t="shared" si="232"/>
        <v/>
      </c>
      <c r="HP166" s="452" t="str">
        <f t="shared" si="232"/>
        <v/>
      </c>
      <c r="HQ166" s="452" t="str">
        <f t="shared" si="232"/>
        <v/>
      </c>
      <c r="HR166" s="452" t="str">
        <f t="shared" si="232"/>
        <v/>
      </c>
      <c r="HS166" s="453" t="str">
        <f t="shared" si="232"/>
        <v/>
      </c>
      <c r="HT166" s="451" t="str">
        <f t="shared" si="232"/>
        <v/>
      </c>
      <c r="HU166" s="452" t="str">
        <f t="shared" si="232"/>
        <v/>
      </c>
      <c r="HV166" s="452" t="str">
        <f t="shared" si="232"/>
        <v/>
      </c>
      <c r="HW166" s="452" t="str">
        <f t="shared" si="232"/>
        <v/>
      </c>
      <c r="HX166" s="453" t="str">
        <f t="shared" si="232"/>
        <v/>
      </c>
      <c r="HY166" s="451" t="str">
        <f t="shared" si="232"/>
        <v/>
      </c>
      <c r="HZ166" s="452" t="str">
        <f t="shared" si="232"/>
        <v/>
      </c>
      <c r="IA166" s="452" t="str">
        <f t="shared" si="232"/>
        <v/>
      </c>
      <c r="IB166" s="452" t="str">
        <f t="shared" si="232"/>
        <v/>
      </c>
      <c r="IC166" s="453" t="str">
        <f t="shared" si="232"/>
        <v/>
      </c>
      <c r="ID166" s="451" t="str">
        <f t="shared" si="237"/>
        <v/>
      </c>
      <c r="IE166" s="452" t="str">
        <f t="shared" si="237"/>
        <v/>
      </c>
      <c r="IF166" s="452" t="str">
        <f t="shared" si="237"/>
        <v/>
      </c>
      <c r="IG166" s="452" t="str">
        <f t="shared" si="237"/>
        <v/>
      </c>
      <c r="IH166" s="453" t="str">
        <f t="shared" si="237"/>
        <v/>
      </c>
      <c r="II166" s="451" t="str">
        <f t="shared" si="237"/>
        <v/>
      </c>
      <c r="IJ166" s="452" t="str">
        <f t="shared" si="237"/>
        <v/>
      </c>
      <c r="IK166" s="452" t="str">
        <f t="shared" si="237"/>
        <v/>
      </c>
      <c r="IL166" s="452" t="str">
        <f t="shared" si="237"/>
        <v/>
      </c>
      <c r="IM166" s="453" t="str">
        <f t="shared" si="237"/>
        <v/>
      </c>
      <c r="IN166" s="451" t="str">
        <f t="shared" si="237"/>
        <v/>
      </c>
      <c r="IO166" s="452" t="str">
        <f t="shared" si="237"/>
        <v/>
      </c>
      <c r="IP166" s="452" t="str">
        <f t="shared" si="237"/>
        <v/>
      </c>
      <c r="IQ166" s="452" t="str">
        <f t="shared" si="237"/>
        <v/>
      </c>
      <c r="IR166" s="453" t="str">
        <f t="shared" si="237"/>
        <v/>
      </c>
    </row>
    <row r="167" spans="1:252" x14ac:dyDescent="0.2">
      <c r="A167" s="461">
        <v>15.9</v>
      </c>
      <c r="C167" s="447" t="s">
        <v>1359</v>
      </c>
      <c r="D167" s="447"/>
      <c r="E167" s="448"/>
      <c r="F167" s="448"/>
      <c r="G167" s="448"/>
      <c r="H167" s="448"/>
      <c r="I167" s="448"/>
      <c r="J167" s="449" t="str">
        <f t="shared" si="238"/>
        <v/>
      </c>
      <c r="K167" s="449" t="str">
        <f t="shared" si="239"/>
        <v/>
      </c>
      <c r="L167" s="450">
        <f t="shared" si="236"/>
        <v>0</v>
      </c>
      <c r="M167" s="451" t="str">
        <f t="shared" si="235"/>
        <v/>
      </c>
      <c r="N167" s="452" t="str">
        <f t="shared" si="235"/>
        <v/>
      </c>
      <c r="O167" s="452" t="str">
        <f t="shared" si="235"/>
        <v/>
      </c>
      <c r="P167" s="452" t="str">
        <f t="shared" si="235"/>
        <v/>
      </c>
      <c r="Q167" s="453" t="str">
        <f t="shared" si="235"/>
        <v/>
      </c>
      <c r="R167" s="451" t="str">
        <f t="shared" si="235"/>
        <v/>
      </c>
      <c r="S167" s="452" t="str">
        <f t="shared" si="235"/>
        <v/>
      </c>
      <c r="T167" s="452" t="str">
        <f t="shared" si="235"/>
        <v/>
      </c>
      <c r="U167" s="452" t="str">
        <f t="shared" si="235"/>
        <v/>
      </c>
      <c r="V167" s="453" t="str">
        <f t="shared" si="235"/>
        <v/>
      </c>
      <c r="W167" s="451" t="str">
        <f t="shared" si="235"/>
        <v/>
      </c>
      <c r="X167" s="452" t="str">
        <f t="shared" si="235"/>
        <v/>
      </c>
      <c r="Y167" s="452" t="str">
        <f t="shared" si="235"/>
        <v/>
      </c>
      <c r="Z167" s="452" t="str">
        <f t="shared" si="235"/>
        <v/>
      </c>
      <c r="AA167" s="453" t="str">
        <f t="shared" si="235"/>
        <v/>
      </c>
      <c r="AB167" s="451" t="str">
        <f t="shared" si="235"/>
        <v/>
      </c>
      <c r="AC167" s="452" t="str">
        <f t="shared" si="246"/>
        <v/>
      </c>
      <c r="AD167" s="452" t="str">
        <f t="shared" si="246"/>
        <v/>
      </c>
      <c r="AE167" s="452" t="str">
        <f t="shared" si="246"/>
        <v/>
      </c>
      <c r="AF167" s="453" t="str">
        <f t="shared" si="246"/>
        <v/>
      </c>
      <c r="AG167" s="451" t="str">
        <f t="shared" si="246"/>
        <v/>
      </c>
      <c r="AH167" s="452" t="str">
        <f t="shared" si="246"/>
        <v/>
      </c>
      <c r="AI167" s="452" t="str">
        <f t="shared" si="246"/>
        <v/>
      </c>
      <c r="AJ167" s="452" t="str">
        <f t="shared" si="246"/>
        <v/>
      </c>
      <c r="AK167" s="453" t="str">
        <f t="shared" si="246"/>
        <v/>
      </c>
      <c r="AL167" s="451" t="str">
        <f t="shared" si="246"/>
        <v/>
      </c>
      <c r="AM167" s="452" t="str">
        <f t="shared" si="246"/>
        <v/>
      </c>
      <c r="AN167" s="452" t="str">
        <f t="shared" si="246"/>
        <v/>
      </c>
      <c r="AO167" s="452" t="str">
        <f t="shared" si="246"/>
        <v/>
      </c>
      <c r="AP167" s="453" t="str">
        <f t="shared" si="246"/>
        <v/>
      </c>
      <c r="AQ167" s="451" t="str">
        <f t="shared" si="246"/>
        <v/>
      </c>
      <c r="AR167" s="452" t="str">
        <f t="shared" si="246"/>
        <v/>
      </c>
      <c r="AS167" s="452" t="str">
        <f t="shared" si="243"/>
        <v/>
      </c>
      <c r="AT167" s="452" t="str">
        <f t="shared" si="243"/>
        <v/>
      </c>
      <c r="AU167" s="453" t="str">
        <f t="shared" si="243"/>
        <v/>
      </c>
      <c r="AV167" s="451" t="str">
        <f t="shared" si="243"/>
        <v/>
      </c>
      <c r="AW167" s="452" t="str">
        <f t="shared" si="243"/>
        <v/>
      </c>
      <c r="AX167" s="452" t="str">
        <f t="shared" si="243"/>
        <v/>
      </c>
      <c r="AY167" s="452" t="str">
        <f t="shared" si="243"/>
        <v/>
      </c>
      <c r="AZ167" s="453" t="str">
        <f t="shared" si="243"/>
        <v/>
      </c>
      <c r="BA167" s="451" t="str">
        <f t="shared" si="243"/>
        <v/>
      </c>
      <c r="BB167" s="452" t="str">
        <f t="shared" si="243"/>
        <v/>
      </c>
      <c r="BC167" s="452" t="str">
        <f t="shared" si="243"/>
        <v/>
      </c>
      <c r="BD167" s="452" t="str">
        <f t="shared" si="243"/>
        <v/>
      </c>
      <c r="BE167" s="453" t="str">
        <f t="shared" si="243"/>
        <v/>
      </c>
      <c r="BF167" s="451" t="str">
        <f t="shared" si="243"/>
        <v/>
      </c>
      <c r="BG167" s="452" t="str">
        <f t="shared" si="243"/>
        <v/>
      </c>
      <c r="BH167" s="452" t="str">
        <f t="shared" si="243"/>
        <v/>
      </c>
      <c r="BI167" s="452" t="str">
        <f t="shared" si="244"/>
        <v/>
      </c>
      <c r="BJ167" s="453" t="str">
        <f t="shared" si="244"/>
        <v/>
      </c>
      <c r="BK167" s="451" t="str">
        <f t="shared" si="244"/>
        <v/>
      </c>
      <c r="BL167" s="452" t="str">
        <f t="shared" si="244"/>
        <v/>
      </c>
      <c r="BM167" s="452" t="str">
        <f t="shared" si="244"/>
        <v/>
      </c>
      <c r="BN167" s="452" t="str">
        <f t="shared" si="244"/>
        <v/>
      </c>
      <c r="BO167" s="453" t="str">
        <f t="shared" si="244"/>
        <v/>
      </c>
      <c r="BP167" s="451" t="str">
        <f t="shared" si="244"/>
        <v/>
      </c>
      <c r="BQ167" s="452" t="str">
        <f t="shared" si="244"/>
        <v/>
      </c>
      <c r="BR167" s="452" t="str">
        <f t="shared" si="244"/>
        <v/>
      </c>
      <c r="BS167" s="452" t="str">
        <f t="shared" si="244"/>
        <v/>
      </c>
      <c r="BT167" s="453" t="str">
        <f t="shared" si="244"/>
        <v/>
      </c>
      <c r="BU167" s="451" t="str">
        <f t="shared" si="244"/>
        <v/>
      </c>
      <c r="BV167" s="452" t="str">
        <f t="shared" si="244"/>
        <v/>
      </c>
      <c r="BW167" s="452" t="str">
        <f t="shared" si="244"/>
        <v/>
      </c>
      <c r="BX167" s="452" t="str">
        <f t="shared" si="244"/>
        <v/>
      </c>
      <c r="BY167" s="453" t="str">
        <f t="shared" si="245"/>
        <v/>
      </c>
      <c r="BZ167" s="451" t="str">
        <f t="shared" si="245"/>
        <v/>
      </c>
      <c r="CA167" s="452" t="str">
        <f t="shared" si="245"/>
        <v/>
      </c>
      <c r="CB167" s="452" t="str">
        <f t="shared" si="245"/>
        <v/>
      </c>
      <c r="CC167" s="452" t="str">
        <f t="shared" si="245"/>
        <v/>
      </c>
      <c r="CD167" s="453" t="str">
        <f t="shared" si="245"/>
        <v/>
      </c>
      <c r="CE167" s="451" t="str">
        <f t="shared" si="245"/>
        <v/>
      </c>
      <c r="CF167" s="452" t="str">
        <f t="shared" si="245"/>
        <v/>
      </c>
      <c r="CG167" s="452" t="str">
        <f t="shared" si="245"/>
        <v/>
      </c>
      <c r="CH167" s="452" t="str">
        <f t="shared" si="245"/>
        <v/>
      </c>
      <c r="CI167" s="453" t="str">
        <f t="shared" si="245"/>
        <v/>
      </c>
      <c r="CJ167" s="451" t="str">
        <f t="shared" si="245"/>
        <v/>
      </c>
      <c r="CK167" s="452" t="str">
        <f t="shared" si="245"/>
        <v/>
      </c>
      <c r="CL167" s="452" t="str">
        <f t="shared" si="245"/>
        <v/>
      </c>
      <c r="CM167" s="452" t="str">
        <f t="shared" si="245"/>
        <v/>
      </c>
      <c r="CN167" s="453" t="str">
        <f t="shared" si="241"/>
        <v/>
      </c>
      <c r="CO167" s="451" t="str">
        <f t="shared" si="241"/>
        <v/>
      </c>
      <c r="CP167" s="452" t="str">
        <f t="shared" si="241"/>
        <v/>
      </c>
      <c r="CQ167" s="452" t="str">
        <f t="shared" si="241"/>
        <v/>
      </c>
      <c r="CR167" s="452" t="str">
        <f t="shared" si="241"/>
        <v/>
      </c>
      <c r="CS167" s="453" t="str">
        <f t="shared" si="241"/>
        <v/>
      </c>
      <c r="CT167" s="451" t="str">
        <f t="shared" si="241"/>
        <v/>
      </c>
      <c r="CU167" s="452" t="str">
        <f t="shared" si="241"/>
        <v/>
      </c>
      <c r="CV167" s="452" t="str">
        <f t="shared" si="241"/>
        <v/>
      </c>
      <c r="CW167" s="452" t="str">
        <f t="shared" si="241"/>
        <v/>
      </c>
      <c r="CX167" s="453" t="str">
        <f t="shared" si="241"/>
        <v/>
      </c>
      <c r="CY167" s="451" t="str">
        <f t="shared" si="241"/>
        <v/>
      </c>
      <c r="CZ167" s="452" t="str">
        <f t="shared" si="241"/>
        <v/>
      </c>
      <c r="DA167" s="452" t="str">
        <f t="shared" si="241"/>
        <v/>
      </c>
      <c r="DB167" s="452" t="str">
        <f t="shared" si="241"/>
        <v/>
      </c>
      <c r="DC167" s="453" t="str">
        <f t="shared" si="241"/>
        <v/>
      </c>
      <c r="DD167" s="451" t="str">
        <f t="shared" si="242"/>
        <v/>
      </c>
      <c r="DE167" s="452" t="str">
        <f t="shared" si="242"/>
        <v/>
      </c>
      <c r="DF167" s="452" t="str">
        <f t="shared" si="242"/>
        <v/>
      </c>
      <c r="DG167" s="452" t="str">
        <f t="shared" si="242"/>
        <v/>
      </c>
      <c r="DH167" s="453" t="str">
        <f t="shared" si="242"/>
        <v/>
      </c>
      <c r="DI167" s="451" t="str">
        <f t="shared" si="242"/>
        <v/>
      </c>
      <c r="DJ167" s="452" t="str">
        <f t="shared" si="242"/>
        <v/>
      </c>
      <c r="DK167" s="452" t="str">
        <f t="shared" si="242"/>
        <v/>
      </c>
      <c r="DL167" s="452" t="str">
        <f t="shared" si="242"/>
        <v/>
      </c>
      <c r="DM167" s="453" t="str">
        <f t="shared" si="242"/>
        <v/>
      </c>
      <c r="DN167" s="451" t="str">
        <f t="shared" si="242"/>
        <v/>
      </c>
      <c r="DO167" s="452" t="str">
        <f t="shared" si="242"/>
        <v/>
      </c>
      <c r="DP167" s="452" t="str">
        <f t="shared" si="242"/>
        <v/>
      </c>
      <c r="DQ167" s="452" t="str">
        <f t="shared" si="242"/>
        <v/>
      </c>
      <c r="DR167" s="453" t="str">
        <f t="shared" si="242"/>
        <v/>
      </c>
      <c r="DS167" s="451" t="str">
        <f t="shared" si="242"/>
        <v/>
      </c>
      <c r="DT167" s="452" t="str">
        <f t="shared" si="247"/>
        <v/>
      </c>
      <c r="DU167" s="452" t="str">
        <f t="shared" si="247"/>
        <v/>
      </c>
      <c r="DV167" s="452" t="str">
        <f t="shared" si="247"/>
        <v/>
      </c>
      <c r="DW167" s="453" t="str">
        <f t="shared" si="247"/>
        <v/>
      </c>
      <c r="DX167" s="451" t="str">
        <f t="shared" si="247"/>
        <v/>
      </c>
      <c r="DY167" s="452" t="str">
        <f t="shared" si="247"/>
        <v/>
      </c>
      <c r="DZ167" s="452" t="str">
        <f t="shared" si="247"/>
        <v/>
      </c>
      <c r="EA167" s="452" t="str">
        <f t="shared" si="247"/>
        <v/>
      </c>
      <c r="EB167" s="453" t="str">
        <f t="shared" si="247"/>
        <v/>
      </c>
      <c r="EC167" s="451" t="str">
        <f t="shared" si="247"/>
        <v/>
      </c>
      <c r="ED167" s="452" t="str">
        <f t="shared" si="247"/>
        <v/>
      </c>
      <c r="EE167" s="452" t="str">
        <f t="shared" si="247"/>
        <v/>
      </c>
      <c r="EF167" s="452" t="str">
        <f t="shared" si="247"/>
        <v/>
      </c>
      <c r="EG167" s="453" t="str">
        <f t="shared" si="247"/>
        <v/>
      </c>
      <c r="EH167" s="451" t="str">
        <f t="shared" si="247"/>
        <v/>
      </c>
      <c r="EI167" s="452" t="str">
        <f t="shared" si="247"/>
        <v/>
      </c>
      <c r="EJ167" s="452" t="str">
        <f t="shared" si="251"/>
        <v/>
      </c>
      <c r="EK167" s="452" t="str">
        <f t="shared" si="251"/>
        <v/>
      </c>
      <c r="EL167" s="453" t="str">
        <f t="shared" si="251"/>
        <v/>
      </c>
      <c r="EM167" s="451" t="str">
        <f t="shared" si="251"/>
        <v/>
      </c>
      <c r="EN167" s="452" t="str">
        <f t="shared" si="251"/>
        <v/>
      </c>
      <c r="EO167" s="452" t="str">
        <f t="shared" si="251"/>
        <v/>
      </c>
      <c r="EP167" s="452" t="str">
        <f t="shared" si="251"/>
        <v/>
      </c>
      <c r="EQ167" s="453" t="str">
        <f t="shared" si="251"/>
        <v/>
      </c>
      <c r="ER167" s="451" t="str">
        <f t="shared" si="251"/>
        <v/>
      </c>
      <c r="ES167" s="452" t="str">
        <f t="shared" si="251"/>
        <v/>
      </c>
      <c r="ET167" s="452" t="str">
        <f t="shared" si="251"/>
        <v/>
      </c>
      <c r="EU167" s="452" t="str">
        <f t="shared" si="251"/>
        <v/>
      </c>
      <c r="EV167" s="453" t="str">
        <f t="shared" si="251"/>
        <v/>
      </c>
      <c r="EW167" s="451" t="str">
        <f t="shared" si="251"/>
        <v/>
      </c>
      <c r="EX167" s="452" t="str">
        <f t="shared" si="251"/>
        <v/>
      </c>
      <c r="EY167" s="452" t="str">
        <f t="shared" si="251"/>
        <v/>
      </c>
      <c r="EZ167" s="452" t="str">
        <f t="shared" si="252"/>
        <v/>
      </c>
      <c r="FA167" s="453" t="str">
        <f t="shared" si="252"/>
        <v/>
      </c>
      <c r="FB167" s="451" t="str">
        <f t="shared" si="252"/>
        <v/>
      </c>
      <c r="FC167" s="452" t="str">
        <f t="shared" si="252"/>
        <v/>
      </c>
      <c r="FD167" s="452" t="str">
        <f t="shared" si="252"/>
        <v/>
      </c>
      <c r="FE167" s="452" t="str">
        <f t="shared" si="252"/>
        <v/>
      </c>
      <c r="FF167" s="453" t="str">
        <f t="shared" si="252"/>
        <v/>
      </c>
      <c r="FG167" s="451" t="str">
        <f t="shared" si="252"/>
        <v/>
      </c>
      <c r="FH167" s="452" t="str">
        <f t="shared" si="252"/>
        <v/>
      </c>
      <c r="FI167" s="452" t="str">
        <f t="shared" si="252"/>
        <v/>
      </c>
      <c r="FJ167" s="452" t="str">
        <f t="shared" si="252"/>
        <v/>
      </c>
      <c r="FK167" s="453" t="str">
        <f t="shared" si="252"/>
        <v/>
      </c>
      <c r="FL167" s="451" t="str">
        <f t="shared" si="252"/>
        <v/>
      </c>
      <c r="FM167" s="452" t="str">
        <f t="shared" si="252"/>
        <v/>
      </c>
      <c r="FN167" s="452" t="str">
        <f t="shared" si="252"/>
        <v/>
      </c>
      <c r="FO167" s="452" t="str">
        <f t="shared" si="248"/>
        <v/>
      </c>
      <c r="FP167" s="453" t="str">
        <f t="shared" si="248"/>
        <v/>
      </c>
      <c r="FQ167" s="451" t="str">
        <f t="shared" si="248"/>
        <v/>
      </c>
      <c r="FR167" s="452" t="str">
        <f t="shared" si="248"/>
        <v/>
      </c>
      <c r="FS167" s="452" t="str">
        <f t="shared" si="248"/>
        <v/>
      </c>
      <c r="FT167" s="452" t="str">
        <f t="shared" si="248"/>
        <v/>
      </c>
      <c r="FU167" s="453" t="str">
        <f t="shared" si="248"/>
        <v/>
      </c>
      <c r="FV167" s="451" t="str">
        <f t="shared" si="248"/>
        <v/>
      </c>
      <c r="FW167" s="452" t="str">
        <f t="shared" si="248"/>
        <v/>
      </c>
      <c r="FX167" s="452" t="str">
        <f t="shared" si="248"/>
        <v/>
      </c>
      <c r="FY167" s="452" t="str">
        <f t="shared" si="248"/>
        <v/>
      </c>
      <c r="FZ167" s="453" t="str">
        <f t="shared" si="248"/>
        <v/>
      </c>
      <c r="GA167" s="451" t="str">
        <f t="shared" si="248"/>
        <v/>
      </c>
      <c r="GB167" s="452" t="str">
        <f t="shared" si="248"/>
        <v/>
      </c>
      <c r="GC167" s="452" t="str">
        <f t="shared" si="248"/>
        <v/>
      </c>
      <c r="GD167" s="452" t="str">
        <f t="shared" si="249"/>
        <v/>
      </c>
      <c r="GE167" s="453" t="str">
        <f t="shared" si="249"/>
        <v/>
      </c>
      <c r="GF167" s="451" t="str">
        <f t="shared" si="249"/>
        <v/>
      </c>
      <c r="GG167" s="452" t="str">
        <f t="shared" si="249"/>
        <v/>
      </c>
      <c r="GH167" s="452" t="str">
        <f t="shared" si="249"/>
        <v/>
      </c>
      <c r="GI167" s="452" t="str">
        <f t="shared" si="249"/>
        <v/>
      </c>
      <c r="GJ167" s="453" t="str">
        <f t="shared" si="249"/>
        <v/>
      </c>
      <c r="GK167" s="451" t="str">
        <f t="shared" si="249"/>
        <v/>
      </c>
      <c r="GL167" s="452" t="str">
        <f t="shared" si="249"/>
        <v/>
      </c>
      <c r="GM167" s="452" t="str">
        <f t="shared" si="249"/>
        <v/>
      </c>
      <c r="GN167" s="452" t="str">
        <f t="shared" si="249"/>
        <v/>
      </c>
      <c r="GO167" s="453" t="str">
        <f t="shared" si="249"/>
        <v/>
      </c>
      <c r="GP167" s="451" t="str">
        <f t="shared" si="249"/>
        <v/>
      </c>
      <c r="GQ167" s="452" t="str">
        <f t="shared" si="249"/>
        <v/>
      </c>
      <c r="GR167" s="452" t="str">
        <f t="shared" si="249"/>
        <v/>
      </c>
      <c r="GS167" s="452" t="str">
        <f t="shared" si="249"/>
        <v/>
      </c>
      <c r="GT167" s="453" t="str">
        <f t="shared" si="253"/>
        <v/>
      </c>
      <c r="GU167" s="451" t="str">
        <f t="shared" si="253"/>
        <v/>
      </c>
      <c r="GV167" s="452" t="str">
        <f t="shared" si="253"/>
        <v/>
      </c>
      <c r="GW167" s="452" t="str">
        <f t="shared" si="253"/>
        <v/>
      </c>
      <c r="GX167" s="452" t="str">
        <f t="shared" si="253"/>
        <v/>
      </c>
      <c r="GY167" s="453" t="str">
        <f t="shared" si="253"/>
        <v/>
      </c>
      <c r="GZ167" s="451" t="str">
        <f t="shared" si="253"/>
        <v/>
      </c>
      <c r="HA167" s="452" t="str">
        <f t="shared" si="253"/>
        <v/>
      </c>
      <c r="HB167" s="452" t="str">
        <f t="shared" si="253"/>
        <v/>
      </c>
      <c r="HC167" s="452" t="str">
        <f t="shared" si="253"/>
        <v/>
      </c>
      <c r="HD167" s="453" t="str">
        <f t="shared" si="253"/>
        <v/>
      </c>
      <c r="HE167" s="451" t="str">
        <f t="shared" si="253"/>
        <v/>
      </c>
      <c r="HF167" s="452" t="str">
        <f t="shared" si="253"/>
        <v/>
      </c>
      <c r="HG167" s="452" t="str">
        <f t="shared" si="253"/>
        <v/>
      </c>
      <c r="HH167" s="452" t="str">
        <f t="shared" si="253"/>
        <v/>
      </c>
      <c r="HI167" s="453" t="str">
        <f t="shared" si="253"/>
        <v/>
      </c>
      <c r="HJ167" s="451" t="str">
        <f t="shared" si="250"/>
        <v/>
      </c>
      <c r="HK167" s="452" t="str">
        <f t="shared" si="250"/>
        <v/>
      </c>
      <c r="HL167" s="452" t="str">
        <f t="shared" si="250"/>
        <v/>
      </c>
      <c r="HM167" s="452" t="str">
        <f t="shared" si="250"/>
        <v/>
      </c>
      <c r="HN167" s="453" t="str">
        <f t="shared" si="232"/>
        <v/>
      </c>
      <c r="HO167" s="451" t="str">
        <f t="shared" si="232"/>
        <v/>
      </c>
      <c r="HP167" s="452" t="str">
        <f t="shared" si="232"/>
        <v/>
      </c>
      <c r="HQ167" s="452" t="str">
        <f t="shared" si="232"/>
        <v/>
      </c>
      <c r="HR167" s="452" t="str">
        <f t="shared" si="232"/>
        <v/>
      </c>
      <c r="HS167" s="453" t="str">
        <f t="shared" si="232"/>
        <v/>
      </c>
      <c r="HT167" s="451" t="str">
        <f t="shared" si="232"/>
        <v/>
      </c>
      <c r="HU167" s="452" t="str">
        <f t="shared" si="232"/>
        <v/>
      </c>
      <c r="HV167" s="452" t="str">
        <f t="shared" si="232"/>
        <v/>
      </c>
      <c r="HW167" s="452" t="str">
        <f t="shared" si="232"/>
        <v/>
      </c>
      <c r="HX167" s="453" t="str">
        <f t="shared" si="232"/>
        <v/>
      </c>
      <c r="HY167" s="451" t="str">
        <f t="shared" si="232"/>
        <v/>
      </c>
      <c r="HZ167" s="452" t="str">
        <f t="shared" si="232"/>
        <v/>
      </c>
      <c r="IA167" s="452" t="str">
        <f t="shared" si="232"/>
        <v/>
      </c>
      <c r="IB167" s="452" t="str">
        <f t="shared" si="232"/>
        <v/>
      </c>
      <c r="IC167" s="453" t="str">
        <f t="shared" si="232"/>
        <v/>
      </c>
      <c r="ID167" s="451" t="str">
        <f t="shared" si="237"/>
        <v/>
      </c>
      <c r="IE167" s="452" t="str">
        <f t="shared" si="237"/>
        <v/>
      </c>
      <c r="IF167" s="452" t="str">
        <f t="shared" si="237"/>
        <v/>
      </c>
      <c r="IG167" s="452" t="str">
        <f t="shared" si="237"/>
        <v/>
      </c>
      <c r="IH167" s="453" t="str">
        <f t="shared" si="237"/>
        <v/>
      </c>
      <c r="II167" s="451" t="str">
        <f t="shared" si="237"/>
        <v/>
      </c>
      <c r="IJ167" s="452" t="str">
        <f t="shared" si="237"/>
        <v/>
      </c>
      <c r="IK167" s="452" t="str">
        <f t="shared" si="237"/>
        <v/>
      </c>
      <c r="IL167" s="452" t="str">
        <f t="shared" si="237"/>
        <v/>
      </c>
      <c r="IM167" s="453" t="str">
        <f t="shared" si="237"/>
        <v/>
      </c>
      <c r="IN167" s="451" t="str">
        <f t="shared" si="237"/>
        <v/>
      </c>
      <c r="IO167" s="452" t="str">
        <f t="shared" si="237"/>
        <v/>
      </c>
      <c r="IP167" s="452" t="str">
        <f t="shared" si="237"/>
        <v/>
      </c>
      <c r="IQ167" s="452" t="str">
        <f t="shared" si="237"/>
        <v/>
      </c>
      <c r="IR167" s="453" t="str">
        <f t="shared" si="237"/>
        <v/>
      </c>
    </row>
    <row r="168" spans="1:252" x14ac:dyDescent="0.2">
      <c r="A168" s="462">
        <v>15.1</v>
      </c>
      <c r="B168" s="463"/>
      <c r="C168" s="464" t="s">
        <v>1360</v>
      </c>
      <c r="D168" s="464"/>
      <c r="E168" s="465"/>
      <c r="F168" s="465"/>
      <c r="G168" s="465"/>
      <c r="H168" s="465"/>
      <c r="I168" s="466"/>
      <c r="J168" s="467" t="str">
        <f t="shared" si="238"/>
        <v/>
      </c>
      <c r="K168" s="467" t="str">
        <f t="shared" si="239"/>
        <v/>
      </c>
      <c r="L168" s="468">
        <f t="shared" si="236"/>
        <v>0</v>
      </c>
      <c r="M168" s="469" t="str">
        <f t="shared" si="235"/>
        <v/>
      </c>
      <c r="N168" s="470" t="str">
        <f t="shared" si="235"/>
        <v/>
      </c>
      <c r="O168" s="470" t="str">
        <f t="shared" si="235"/>
        <v/>
      </c>
      <c r="P168" s="470" t="str">
        <f t="shared" si="235"/>
        <v/>
      </c>
      <c r="Q168" s="471" t="str">
        <f t="shared" si="235"/>
        <v/>
      </c>
      <c r="R168" s="469" t="str">
        <f t="shared" si="235"/>
        <v/>
      </c>
      <c r="S168" s="470" t="str">
        <f t="shared" si="235"/>
        <v/>
      </c>
      <c r="T168" s="470" t="str">
        <f t="shared" si="235"/>
        <v/>
      </c>
      <c r="U168" s="470" t="str">
        <f t="shared" si="235"/>
        <v/>
      </c>
      <c r="V168" s="471" t="str">
        <f t="shared" si="235"/>
        <v/>
      </c>
      <c r="W168" s="469" t="str">
        <f t="shared" si="235"/>
        <v/>
      </c>
      <c r="X168" s="470" t="str">
        <f t="shared" si="235"/>
        <v/>
      </c>
      <c r="Y168" s="470" t="str">
        <f t="shared" si="235"/>
        <v/>
      </c>
      <c r="Z168" s="470" t="str">
        <f t="shared" si="235"/>
        <v/>
      </c>
      <c r="AA168" s="471" t="str">
        <f t="shared" si="235"/>
        <v/>
      </c>
      <c r="AB168" s="469" t="str">
        <f t="shared" si="235"/>
        <v/>
      </c>
      <c r="AC168" s="470" t="str">
        <f t="shared" si="246"/>
        <v/>
      </c>
      <c r="AD168" s="470" t="str">
        <f t="shared" si="246"/>
        <v/>
      </c>
      <c r="AE168" s="470" t="str">
        <f t="shared" si="246"/>
        <v/>
      </c>
      <c r="AF168" s="471" t="str">
        <f t="shared" si="246"/>
        <v/>
      </c>
      <c r="AG168" s="469" t="str">
        <f t="shared" si="246"/>
        <v/>
      </c>
      <c r="AH168" s="470" t="str">
        <f t="shared" si="246"/>
        <v/>
      </c>
      <c r="AI168" s="470" t="str">
        <f t="shared" si="246"/>
        <v/>
      </c>
      <c r="AJ168" s="470" t="str">
        <f t="shared" si="246"/>
        <v/>
      </c>
      <c r="AK168" s="471" t="str">
        <f t="shared" si="246"/>
        <v/>
      </c>
      <c r="AL168" s="469" t="str">
        <f t="shared" si="246"/>
        <v/>
      </c>
      <c r="AM168" s="470" t="str">
        <f t="shared" si="246"/>
        <v/>
      </c>
      <c r="AN168" s="470" t="str">
        <f t="shared" si="246"/>
        <v/>
      </c>
      <c r="AO168" s="470" t="str">
        <f t="shared" si="246"/>
        <v/>
      </c>
      <c r="AP168" s="471" t="str">
        <f t="shared" si="246"/>
        <v/>
      </c>
      <c r="AQ168" s="469" t="str">
        <f t="shared" si="246"/>
        <v/>
      </c>
      <c r="AR168" s="470" t="str">
        <f t="shared" si="246"/>
        <v/>
      </c>
      <c r="AS168" s="470" t="str">
        <f t="shared" si="243"/>
        <v/>
      </c>
      <c r="AT168" s="470" t="str">
        <f t="shared" si="243"/>
        <v/>
      </c>
      <c r="AU168" s="471" t="str">
        <f t="shared" si="243"/>
        <v/>
      </c>
      <c r="AV168" s="469" t="str">
        <f t="shared" si="243"/>
        <v/>
      </c>
      <c r="AW168" s="470" t="str">
        <f t="shared" si="243"/>
        <v/>
      </c>
      <c r="AX168" s="470" t="str">
        <f t="shared" si="243"/>
        <v/>
      </c>
      <c r="AY168" s="470" t="str">
        <f t="shared" si="243"/>
        <v/>
      </c>
      <c r="AZ168" s="471" t="str">
        <f t="shared" si="243"/>
        <v/>
      </c>
      <c r="BA168" s="469" t="str">
        <f t="shared" si="243"/>
        <v/>
      </c>
      <c r="BB168" s="470" t="str">
        <f t="shared" si="243"/>
        <v/>
      </c>
      <c r="BC168" s="470" t="str">
        <f t="shared" si="243"/>
        <v/>
      </c>
      <c r="BD168" s="470" t="str">
        <f t="shared" si="243"/>
        <v/>
      </c>
      <c r="BE168" s="471" t="str">
        <f t="shared" si="243"/>
        <v/>
      </c>
      <c r="BF168" s="469" t="str">
        <f t="shared" si="243"/>
        <v/>
      </c>
      <c r="BG168" s="470" t="str">
        <f t="shared" si="243"/>
        <v/>
      </c>
      <c r="BH168" s="470" t="str">
        <f t="shared" si="243"/>
        <v/>
      </c>
      <c r="BI168" s="470" t="str">
        <f t="shared" si="244"/>
        <v/>
      </c>
      <c r="BJ168" s="471" t="str">
        <f t="shared" si="244"/>
        <v/>
      </c>
      <c r="BK168" s="469" t="str">
        <f t="shared" si="244"/>
        <v/>
      </c>
      <c r="BL168" s="470" t="str">
        <f t="shared" si="244"/>
        <v/>
      </c>
      <c r="BM168" s="470" t="str">
        <f t="shared" si="244"/>
        <v/>
      </c>
      <c r="BN168" s="470" t="str">
        <f t="shared" si="244"/>
        <v/>
      </c>
      <c r="BO168" s="471" t="str">
        <f t="shared" si="244"/>
        <v/>
      </c>
      <c r="BP168" s="469" t="str">
        <f t="shared" si="244"/>
        <v/>
      </c>
      <c r="BQ168" s="470" t="str">
        <f t="shared" si="244"/>
        <v/>
      </c>
      <c r="BR168" s="470" t="str">
        <f t="shared" si="244"/>
        <v/>
      </c>
      <c r="BS168" s="470" t="str">
        <f t="shared" si="244"/>
        <v/>
      </c>
      <c r="BT168" s="471" t="str">
        <f t="shared" si="244"/>
        <v/>
      </c>
      <c r="BU168" s="469" t="str">
        <f t="shared" si="244"/>
        <v/>
      </c>
      <c r="BV168" s="470" t="str">
        <f t="shared" si="244"/>
        <v/>
      </c>
      <c r="BW168" s="470" t="str">
        <f t="shared" si="244"/>
        <v/>
      </c>
      <c r="BX168" s="470" t="str">
        <f t="shared" si="244"/>
        <v/>
      </c>
      <c r="BY168" s="471" t="str">
        <f t="shared" si="245"/>
        <v/>
      </c>
      <c r="BZ168" s="469" t="str">
        <f t="shared" si="245"/>
        <v/>
      </c>
      <c r="CA168" s="470" t="str">
        <f t="shared" si="245"/>
        <v/>
      </c>
      <c r="CB168" s="470" t="str">
        <f t="shared" si="245"/>
        <v/>
      </c>
      <c r="CC168" s="470" t="str">
        <f t="shared" si="245"/>
        <v/>
      </c>
      <c r="CD168" s="471" t="str">
        <f t="shared" si="245"/>
        <v/>
      </c>
      <c r="CE168" s="469" t="str">
        <f t="shared" si="245"/>
        <v/>
      </c>
      <c r="CF168" s="470" t="str">
        <f t="shared" si="245"/>
        <v/>
      </c>
      <c r="CG168" s="470" t="str">
        <f t="shared" si="245"/>
        <v/>
      </c>
      <c r="CH168" s="470" t="str">
        <f t="shared" si="245"/>
        <v/>
      </c>
      <c r="CI168" s="471" t="str">
        <f t="shared" si="245"/>
        <v/>
      </c>
      <c r="CJ168" s="469" t="str">
        <f t="shared" si="245"/>
        <v/>
      </c>
      <c r="CK168" s="470" t="str">
        <f t="shared" si="245"/>
        <v/>
      </c>
      <c r="CL168" s="470" t="str">
        <f t="shared" si="245"/>
        <v/>
      </c>
      <c r="CM168" s="470" t="str">
        <f t="shared" si="245"/>
        <v/>
      </c>
      <c r="CN168" s="471" t="str">
        <f t="shared" si="241"/>
        <v/>
      </c>
      <c r="CO168" s="469" t="str">
        <f t="shared" si="241"/>
        <v/>
      </c>
      <c r="CP168" s="470" t="str">
        <f t="shared" si="241"/>
        <v/>
      </c>
      <c r="CQ168" s="470" t="str">
        <f t="shared" si="241"/>
        <v/>
      </c>
      <c r="CR168" s="470" t="str">
        <f t="shared" si="241"/>
        <v/>
      </c>
      <c r="CS168" s="471" t="str">
        <f t="shared" si="241"/>
        <v/>
      </c>
      <c r="CT168" s="469" t="str">
        <f t="shared" si="241"/>
        <v/>
      </c>
      <c r="CU168" s="470" t="str">
        <f t="shared" si="241"/>
        <v/>
      </c>
      <c r="CV168" s="470" t="str">
        <f t="shared" si="241"/>
        <v/>
      </c>
      <c r="CW168" s="470" t="str">
        <f t="shared" si="241"/>
        <v/>
      </c>
      <c r="CX168" s="471" t="str">
        <f t="shared" si="241"/>
        <v/>
      </c>
      <c r="CY168" s="469" t="str">
        <f t="shared" si="241"/>
        <v/>
      </c>
      <c r="CZ168" s="470" t="str">
        <f t="shared" si="241"/>
        <v/>
      </c>
      <c r="DA168" s="470" t="str">
        <f t="shared" si="241"/>
        <v/>
      </c>
      <c r="DB168" s="470" t="str">
        <f t="shared" si="241"/>
        <v/>
      </c>
      <c r="DC168" s="471" t="str">
        <f t="shared" si="241"/>
        <v/>
      </c>
      <c r="DD168" s="469" t="str">
        <f t="shared" si="242"/>
        <v/>
      </c>
      <c r="DE168" s="470" t="str">
        <f t="shared" si="242"/>
        <v/>
      </c>
      <c r="DF168" s="470" t="str">
        <f t="shared" si="242"/>
        <v/>
      </c>
      <c r="DG168" s="470" t="str">
        <f t="shared" si="242"/>
        <v/>
      </c>
      <c r="DH168" s="471" t="str">
        <f t="shared" si="242"/>
        <v/>
      </c>
      <c r="DI168" s="469" t="str">
        <f t="shared" si="242"/>
        <v/>
      </c>
      <c r="DJ168" s="470" t="str">
        <f t="shared" si="242"/>
        <v/>
      </c>
      <c r="DK168" s="470" t="str">
        <f t="shared" si="242"/>
        <v/>
      </c>
      <c r="DL168" s="470" t="str">
        <f t="shared" si="242"/>
        <v/>
      </c>
      <c r="DM168" s="471" t="str">
        <f t="shared" si="242"/>
        <v/>
      </c>
      <c r="DN168" s="469" t="str">
        <f t="shared" si="242"/>
        <v/>
      </c>
      <c r="DO168" s="470" t="str">
        <f t="shared" si="242"/>
        <v/>
      </c>
      <c r="DP168" s="470" t="str">
        <f t="shared" si="242"/>
        <v/>
      </c>
      <c r="DQ168" s="470" t="str">
        <f t="shared" si="242"/>
        <v/>
      </c>
      <c r="DR168" s="471" t="str">
        <f t="shared" si="242"/>
        <v/>
      </c>
      <c r="DS168" s="469" t="str">
        <f t="shared" si="242"/>
        <v/>
      </c>
      <c r="DT168" s="470" t="str">
        <f t="shared" si="247"/>
        <v/>
      </c>
      <c r="DU168" s="470" t="str">
        <f t="shared" si="247"/>
        <v/>
      </c>
      <c r="DV168" s="470" t="str">
        <f t="shared" si="247"/>
        <v/>
      </c>
      <c r="DW168" s="471" t="str">
        <f t="shared" si="247"/>
        <v/>
      </c>
      <c r="DX168" s="469" t="str">
        <f t="shared" si="247"/>
        <v/>
      </c>
      <c r="DY168" s="470" t="str">
        <f t="shared" si="247"/>
        <v/>
      </c>
      <c r="DZ168" s="470" t="str">
        <f t="shared" si="247"/>
        <v/>
      </c>
      <c r="EA168" s="470" t="str">
        <f t="shared" si="247"/>
        <v/>
      </c>
      <c r="EB168" s="471" t="str">
        <f t="shared" si="247"/>
        <v/>
      </c>
      <c r="EC168" s="469" t="str">
        <f t="shared" si="247"/>
        <v/>
      </c>
      <c r="ED168" s="470" t="str">
        <f t="shared" si="247"/>
        <v/>
      </c>
      <c r="EE168" s="470" t="str">
        <f t="shared" si="247"/>
        <v/>
      </c>
      <c r="EF168" s="470" t="str">
        <f t="shared" si="247"/>
        <v/>
      </c>
      <c r="EG168" s="471" t="str">
        <f t="shared" si="247"/>
        <v/>
      </c>
      <c r="EH168" s="469" t="str">
        <f t="shared" si="247"/>
        <v/>
      </c>
      <c r="EI168" s="470" t="str">
        <f t="shared" si="247"/>
        <v/>
      </c>
      <c r="EJ168" s="470" t="str">
        <f t="shared" si="251"/>
        <v/>
      </c>
      <c r="EK168" s="470" t="str">
        <f t="shared" si="251"/>
        <v/>
      </c>
      <c r="EL168" s="471" t="str">
        <f t="shared" si="251"/>
        <v/>
      </c>
      <c r="EM168" s="469" t="str">
        <f t="shared" si="251"/>
        <v/>
      </c>
      <c r="EN168" s="470" t="str">
        <f t="shared" si="251"/>
        <v/>
      </c>
      <c r="EO168" s="470" t="str">
        <f t="shared" si="251"/>
        <v/>
      </c>
      <c r="EP168" s="470" t="str">
        <f t="shared" si="251"/>
        <v/>
      </c>
      <c r="EQ168" s="471" t="str">
        <f t="shared" si="251"/>
        <v/>
      </c>
      <c r="ER168" s="469" t="str">
        <f t="shared" si="251"/>
        <v/>
      </c>
      <c r="ES168" s="470" t="str">
        <f t="shared" si="251"/>
        <v/>
      </c>
      <c r="ET168" s="470" t="str">
        <f t="shared" si="251"/>
        <v/>
      </c>
      <c r="EU168" s="470" t="str">
        <f t="shared" si="251"/>
        <v/>
      </c>
      <c r="EV168" s="471" t="str">
        <f t="shared" si="251"/>
        <v/>
      </c>
      <c r="EW168" s="469" t="str">
        <f t="shared" si="251"/>
        <v/>
      </c>
      <c r="EX168" s="470" t="str">
        <f t="shared" si="251"/>
        <v/>
      </c>
      <c r="EY168" s="470" t="str">
        <f t="shared" si="251"/>
        <v/>
      </c>
      <c r="EZ168" s="470" t="str">
        <f t="shared" si="252"/>
        <v/>
      </c>
      <c r="FA168" s="471" t="str">
        <f t="shared" si="252"/>
        <v/>
      </c>
      <c r="FB168" s="469" t="str">
        <f t="shared" si="252"/>
        <v/>
      </c>
      <c r="FC168" s="470" t="str">
        <f t="shared" si="252"/>
        <v/>
      </c>
      <c r="FD168" s="470" t="str">
        <f t="shared" si="252"/>
        <v/>
      </c>
      <c r="FE168" s="470" t="str">
        <f t="shared" si="252"/>
        <v/>
      </c>
      <c r="FF168" s="471" t="str">
        <f t="shared" si="252"/>
        <v/>
      </c>
      <c r="FG168" s="469" t="str">
        <f t="shared" si="252"/>
        <v/>
      </c>
      <c r="FH168" s="470" t="str">
        <f t="shared" si="252"/>
        <v/>
      </c>
      <c r="FI168" s="470" t="str">
        <f t="shared" si="252"/>
        <v/>
      </c>
      <c r="FJ168" s="470" t="str">
        <f t="shared" si="252"/>
        <v/>
      </c>
      <c r="FK168" s="471" t="str">
        <f t="shared" si="252"/>
        <v/>
      </c>
      <c r="FL168" s="469" t="str">
        <f t="shared" si="252"/>
        <v/>
      </c>
      <c r="FM168" s="470" t="str">
        <f t="shared" si="252"/>
        <v/>
      </c>
      <c r="FN168" s="470" t="str">
        <f t="shared" si="252"/>
        <v/>
      </c>
      <c r="FO168" s="470" t="str">
        <f t="shared" si="248"/>
        <v/>
      </c>
      <c r="FP168" s="471" t="str">
        <f t="shared" si="248"/>
        <v/>
      </c>
      <c r="FQ168" s="469" t="str">
        <f t="shared" si="248"/>
        <v/>
      </c>
      <c r="FR168" s="470" t="str">
        <f t="shared" si="248"/>
        <v/>
      </c>
      <c r="FS168" s="470" t="str">
        <f t="shared" si="248"/>
        <v/>
      </c>
      <c r="FT168" s="470" t="str">
        <f t="shared" si="248"/>
        <v/>
      </c>
      <c r="FU168" s="471" t="str">
        <f t="shared" si="248"/>
        <v/>
      </c>
      <c r="FV168" s="469" t="str">
        <f t="shared" si="248"/>
        <v/>
      </c>
      <c r="FW168" s="470" t="str">
        <f t="shared" si="248"/>
        <v/>
      </c>
      <c r="FX168" s="470" t="str">
        <f t="shared" si="248"/>
        <v/>
      </c>
      <c r="FY168" s="470" t="str">
        <f t="shared" si="248"/>
        <v/>
      </c>
      <c r="FZ168" s="471" t="str">
        <f t="shared" si="248"/>
        <v/>
      </c>
      <c r="GA168" s="469" t="str">
        <f t="shared" si="248"/>
        <v/>
      </c>
      <c r="GB168" s="470" t="str">
        <f t="shared" si="248"/>
        <v/>
      </c>
      <c r="GC168" s="470" t="str">
        <f t="shared" si="248"/>
        <v/>
      </c>
      <c r="GD168" s="470" t="str">
        <f t="shared" si="249"/>
        <v/>
      </c>
      <c r="GE168" s="471" t="str">
        <f t="shared" si="249"/>
        <v/>
      </c>
      <c r="GF168" s="469" t="str">
        <f t="shared" si="249"/>
        <v/>
      </c>
      <c r="GG168" s="470" t="str">
        <f t="shared" si="249"/>
        <v/>
      </c>
      <c r="GH168" s="470" t="str">
        <f t="shared" si="249"/>
        <v/>
      </c>
      <c r="GI168" s="470" t="str">
        <f t="shared" si="249"/>
        <v/>
      </c>
      <c r="GJ168" s="471" t="str">
        <f t="shared" si="249"/>
        <v/>
      </c>
      <c r="GK168" s="469" t="str">
        <f t="shared" si="249"/>
        <v/>
      </c>
      <c r="GL168" s="470" t="str">
        <f t="shared" si="249"/>
        <v/>
      </c>
      <c r="GM168" s="470" t="str">
        <f t="shared" si="249"/>
        <v/>
      </c>
      <c r="GN168" s="470" t="str">
        <f t="shared" si="249"/>
        <v/>
      </c>
      <c r="GO168" s="471" t="str">
        <f t="shared" si="249"/>
        <v/>
      </c>
      <c r="GP168" s="469" t="str">
        <f t="shared" si="249"/>
        <v/>
      </c>
      <c r="GQ168" s="470" t="str">
        <f t="shared" si="249"/>
        <v/>
      </c>
      <c r="GR168" s="470" t="str">
        <f t="shared" si="249"/>
        <v/>
      </c>
      <c r="GS168" s="470" t="str">
        <f t="shared" si="249"/>
        <v/>
      </c>
      <c r="GT168" s="471" t="str">
        <f t="shared" si="253"/>
        <v/>
      </c>
      <c r="GU168" s="469" t="str">
        <f t="shared" si="253"/>
        <v/>
      </c>
      <c r="GV168" s="470" t="str">
        <f t="shared" si="253"/>
        <v/>
      </c>
      <c r="GW168" s="470" t="str">
        <f t="shared" si="253"/>
        <v/>
      </c>
      <c r="GX168" s="470" t="str">
        <f t="shared" si="253"/>
        <v/>
      </c>
      <c r="GY168" s="471" t="str">
        <f t="shared" si="253"/>
        <v/>
      </c>
      <c r="GZ168" s="469" t="str">
        <f t="shared" si="253"/>
        <v/>
      </c>
      <c r="HA168" s="470" t="str">
        <f t="shared" si="253"/>
        <v/>
      </c>
      <c r="HB168" s="470" t="str">
        <f t="shared" si="253"/>
        <v/>
      </c>
      <c r="HC168" s="470" t="str">
        <f t="shared" si="253"/>
        <v/>
      </c>
      <c r="HD168" s="471" t="str">
        <f t="shared" si="253"/>
        <v/>
      </c>
      <c r="HE168" s="469" t="str">
        <f t="shared" si="253"/>
        <v/>
      </c>
      <c r="HF168" s="470" t="str">
        <f t="shared" si="253"/>
        <v/>
      </c>
      <c r="HG168" s="470" t="str">
        <f t="shared" si="253"/>
        <v/>
      </c>
      <c r="HH168" s="470" t="str">
        <f t="shared" si="253"/>
        <v/>
      </c>
      <c r="HI168" s="471" t="str">
        <f t="shared" si="253"/>
        <v/>
      </c>
      <c r="HJ168" s="469" t="str">
        <f t="shared" si="250"/>
        <v/>
      </c>
      <c r="HK168" s="470" t="str">
        <f t="shared" si="250"/>
        <v/>
      </c>
      <c r="HL168" s="470" t="str">
        <f t="shared" si="250"/>
        <v/>
      </c>
      <c r="HM168" s="470" t="str">
        <f t="shared" si="250"/>
        <v/>
      </c>
      <c r="HN168" s="471" t="str">
        <f t="shared" si="250"/>
        <v/>
      </c>
      <c r="HO168" s="469" t="str">
        <f t="shared" si="250"/>
        <v/>
      </c>
      <c r="HP168" s="470" t="str">
        <f t="shared" si="250"/>
        <v/>
      </c>
      <c r="HQ168" s="470" t="str">
        <f t="shared" si="250"/>
        <v/>
      </c>
      <c r="HR168" s="470" t="str">
        <f t="shared" si="250"/>
        <v/>
      </c>
      <c r="HS168" s="471" t="str">
        <f t="shared" si="250"/>
        <v/>
      </c>
      <c r="HT168" s="469" t="str">
        <f t="shared" si="250"/>
        <v/>
      </c>
      <c r="HU168" s="470" t="str">
        <f t="shared" si="250"/>
        <v/>
      </c>
      <c r="HV168" s="470" t="str">
        <f t="shared" si="250"/>
        <v/>
      </c>
      <c r="HW168" s="470" t="str">
        <f t="shared" si="250"/>
        <v/>
      </c>
      <c r="HX168" s="471" t="str">
        <f t="shared" si="250"/>
        <v/>
      </c>
      <c r="HY168" s="469" t="str">
        <f t="shared" si="250"/>
        <v/>
      </c>
      <c r="HZ168" s="470" t="str">
        <f t="shared" si="250"/>
        <v/>
      </c>
      <c r="IA168" s="470" t="str">
        <f t="shared" ref="IA168:IP183" si="254">IF(AND(IA$2&gt;=$J168,IA$2&lt;=$K168),1,"")</f>
        <v/>
      </c>
      <c r="IB168" s="470" t="str">
        <f t="shared" si="254"/>
        <v/>
      </c>
      <c r="IC168" s="471" t="str">
        <f t="shared" si="254"/>
        <v/>
      </c>
      <c r="ID168" s="469" t="str">
        <f t="shared" si="254"/>
        <v/>
      </c>
      <c r="IE168" s="470" t="str">
        <f t="shared" si="254"/>
        <v/>
      </c>
      <c r="IF168" s="470" t="str">
        <f t="shared" si="254"/>
        <v/>
      </c>
      <c r="IG168" s="470" t="str">
        <f t="shared" si="254"/>
        <v/>
      </c>
      <c r="IH168" s="471" t="str">
        <f t="shared" si="254"/>
        <v/>
      </c>
      <c r="II168" s="469" t="str">
        <f t="shared" si="254"/>
        <v/>
      </c>
      <c r="IJ168" s="470" t="str">
        <f t="shared" si="254"/>
        <v/>
      </c>
      <c r="IK168" s="470" t="str">
        <f t="shared" si="254"/>
        <v/>
      </c>
      <c r="IL168" s="470" t="str">
        <f t="shared" si="254"/>
        <v/>
      </c>
      <c r="IM168" s="471" t="str">
        <f t="shared" si="254"/>
        <v/>
      </c>
      <c r="IN168" s="469" t="str">
        <f t="shared" si="254"/>
        <v/>
      </c>
      <c r="IO168" s="470" t="str">
        <f t="shared" si="254"/>
        <v/>
      </c>
      <c r="IP168" s="470" t="str">
        <f t="shared" si="254"/>
        <v/>
      </c>
      <c r="IQ168" s="470" t="str">
        <f t="shared" si="237"/>
        <v/>
      </c>
      <c r="IR168" s="471" t="str">
        <f t="shared" si="237"/>
        <v/>
      </c>
    </row>
    <row r="169" spans="1:252" x14ac:dyDescent="0.2">
      <c r="A169" s="455">
        <v>16</v>
      </c>
      <c r="B169" s="456"/>
      <c r="C169" s="456" t="str">
        <f>Breakdown!$A24</f>
        <v/>
      </c>
      <c r="D169" s="457"/>
      <c r="E169" s="437" t="str">
        <f>IF(E170="","",MIN(E170:E179))</f>
        <v/>
      </c>
      <c r="F169" s="437" t="str">
        <f>IF(F170="","",MAX(F170:F179))</f>
        <v/>
      </c>
      <c r="G169" s="437"/>
      <c r="H169" s="437"/>
      <c r="I169" s="458"/>
      <c r="J169" s="459">
        <f>MIN(J170:J179)</f>
        <v>0</v>
      </c>
      <c r="K169" s="459">
        <f>MAX(K170:K179)</f>
        <v>0</v>
      </c>
      <c r="L169" s="460">
        <f t="shared" ref="L169:L179" si="255">SUM(M169:IR169)</f>
        <v>0</v>
      </c>
      <c r="M169" s="451" t="str">
        <f t="shared" si="235"/>
        <v/>
      </c>
      <c r="N169" s="452" t="str">
        <f t="shared" si="235"/>
        <v/>
      </c>
      <c r="O169" s="452" t="str">
        <f t="shared" si="235"/>
        <v/>
      </c>
      <c r="P169" s="452" t="str">
        <f t="shared" si="235"/>
        <v/>
      </c>
      <c r="Q169" s="453" t="str">
        <f t="shared" si="235"/>
        <v/>
      </c>
      <c r="R169" s="451" t="str">
        <f t="shared" si="235"/>
        <v/>
      </c>
      <c r="S169" s="452" t="str">
        <f t="shared" si="235"/>
        <v/>
      </c>
      <c r="T169" s="452" t="str">
        <f t="shared" si="235"/>
        <v/>
      </c>
      <c r="U169" s="452" t="str">
        <f t="shared" si="235"/>
        <v/>
      </c>
      <c r="V169" s="453" t="str">
        <f t="shared" si="235"/>
        <v/>
      </c>
      <c r="W169" s="451" t="str">
        <f t="shared" si="235"/>
        <v/>
      </c>
      <c r="X169" s="452" t="str">
        <f t="shared" si="235"/>
        <v/>
      </c>
      <c r="Y169" s="452" t="str">
        <f t="shared" si="235"/>
        <v/>
      </c>
      <c r="Z169" s="452" t="str">
        <f t="shared" si="235"/>
        <v/>
      </c>
      <c r="AA169" s="453" t="str">
        <f t="shared" si="235"/>
        <v/>
      </c>
      <c r="AB169" s="451" t="str">
        <f t="shared" si="235"/>
        <v/>
      </c>
      <c r="AC169" s="452" t="str">
        <f t="shared" si="246"/>
        <v/>
      </c>
      <c r="AD169" s="452" t="str">
        <f t="shared" si="246"/>
        <v/>
      </c>
      <c r="AE169" s="452" t="str">
        <f t="shared" si="246"/>
        <v/>
      </c>
      <c r="AF169" s="453" t="str">
        <f t="shared" si="246"/>
        <v/>
      </c>
      <c r="AG169" s="451" t="str">
        <f t="shared" si="246"/>
        <v/>
      </c>
      <c r="AH169" s="452" t="str">
        <f t="shared" si="246"/>
        <v/>
      </c>
      <c r="AI169" s="452" t="str">
        <f t="shared" si="246"/>
        <v/>
      </c>
      <c r="AJ169" s="452" t="str">
        <f t="shared" si="246"/>
        <v/>
      </c>
      <c r="AK169" s="453" t="str">
        <f t="shared" si="246"/>
        <v/>
      </c>
      <c r="AL169" s="451" t="str">
        <f t="shared" si="246"/>
        <v/>
      </c>
      <c r="AM169" s="452" t="str">
        <f t="shared" si="246"/>
        <v/>
      </c>
      <c r="AN169" s="452" t="str">
        <f t="shared" si="246"/>
        <v/>
      </c>
      <c r="AO169" s="452" t="str">
        <f t="shared" si="246"/>
        <v/>
      </c>
      <c r="AP169" s="453" t="str">
        <f t="shared" si="246"/>
        <v/>
      </c>
      <c r="AQ169" s="451" t="str">
        <f t="shared" si="246"/>
        <v/>
      </c>
      <c r="AR169" s="452" t="str">
        <f t="shared" si="246"/>
        <v/>
      </c>
      <c r="AS169" s="452" t="str">
        <f t="shared" si="243"/>
        <v/>
      </c>
      <c r="AT169" s="452" t="str">
        <f t="shared" si="243"/>
        <v/>
      </c>
      <c r="AU169" s="453" t="str">
        <f t="shared" si="243"/>
        <v/>
      </c>
      <c r="AV169" s="451" t="str">
        <f t="shared" si="243"/>
        <v/>
      </c>
      <c r="AW169" s="452" t="str">
        <f t="shared" si="243"/>
        <v/>
      </c>
      <c r="AX169" s="452" t="str">
        <f t="shared" si="243"/>
        <v/>
      </c>
      <c r="AY169" s="452" t="str">
        <f t="shared" si="243"/>
        <v/>
      </c>
      <c r="AZ169" s="453" t="str">
        <f t="shared" si="243"/>
        <v/>
      </c>
      <c r="BA169" s="451" t="str">
        <f t="shared" si="243"/>
        <v/>
      </c>
      <c r="BB169" s="452" t="str">
        <f t="shared" si="243"/>
        <v/>
      </c>
      <c r="BC169" s="452" t="str">
        <f t="shared" si="243"/>
        <v/>
      </c>
      <c r="BD169" s="452" t="str">
        <f t="shared" si="243"/>
        <v/>
      </c>
      <c r="BE169" s="453" t="str">
        <f t="shared" si="243"/>
        <v/>
      </c>
      <c r="BF169" s="451" t="str">
        <f t="shared" si="243"/>
        <v/>
      </c>
      <c r="BG169" s="452" t="str">
        <f t="shared" si="243"/>
        <v/>
      </c>
      <c r="BH169" s="452" t="str">
        <f t="shared" si="243"/>
        <v/>
      </c>
      <c r="BI169" s="452" t="str">
        <f t="shared" si="244"/>
        <v/>
      </c>
      <c r="BJ169" s="453" t="str">
        <f t="shared" si="244"/>
        <v/>
      </c>
      <c r="BK169" s="451" t="str">
        <f t="shared" si="244"/>
        <v/>
      </c>
      <c r="BL169" s="452" t="str">
        <f t="shared" si="244"/>
        <v/>
      </c>
      <c r="BM169" s="452" t="str">
        <f t="shared" si="244"/>
        <v/>
      </c>
      <c r="BN169" s="452" t="str">
        <f t="shared" si="244"/>
        <v/>
      </c>
      <c r="BO169" s="453" t="str">
        <f t="shared" si="244"/>
        <v/>
      </c>
      <c r="BP169" s="451" t="str">
        <f t="shared" si="244"/>
        <v/>
      </c>
      <c r="BQ169" s="452" t="str">
        <f t="shared" si="244"/>
        <v/>
      </c>
      <c r="BR169" s="452" t="str">
        <f t="shared" si="244"/>
        <v/>
      </c>
      <c r="BS169" s="452" t="str">
        <f t="shared" si="244"/>
        <v/>
      </c>
      <c r="BT169" s="453" t="str">
        <f t="shared" si="244"/>
        <v/>
      </c>
      <c r="BU169" s="451" t="str">
        <f t="shared" si="244"/>
        <v/>
      </c>
      <c r="BV169" s="452" t="str">
        <f t="shared" si="244"/>
        <v/>
      </c>
      <c r="BW169" s="452" t="str">
        <f t="shared" si="244"/>
        <v/>
      </c>
      <c r="BX169" s="452" t="str">
        <f t="shared" si="244"/>
        <v/>
      </c>
      <c r="BY169" s="453" t="str">
        <f t="shared" si="245"/>
        <v/>
      </c>
      <c r="BZ169" s="451" t="str">
        <f t="shared" si="245"/>
        <v/>
      </c>
      <c r="CA169" s="452" t="str">
        <f t="shared" si="245"/>
        <v/>
      </c>
      <c r="CB169" s="452" t="str">
        <f t="shared" si="245"/>
        <v/>
      </c>
      <c r="CC169" s="452" t="str">
        <f t="shared" si="245"/>
        <v/>
      </c>
      <c r="CD169" s="453" t="str">
        <f t="shared" si="245"/>
        <v/>
      </c>
      <c r="CE169" s="451" t="str">
        <f t="shared" si="245"/>
        <v/>
      </c>
      <c r="CF169" s="452" t="str">
        <f t="shared" si="245"/>
        <v/>
      </c>
      <c r="CG169" s="452" t="str">
        <f t="shared" si="245"/>
        <v/>
      </c>
      <c r="CH169" s="452" t="str">
        <f t="shared" si="245"/>
        <v/>
      </c>
      <c r="CI169" s="453" t="str">
        <f t="shared" si="245"/>
        <v/>
      </c>
      <c r="CJ169" s="451" t="str">
        <f t="shared" si="245"/>
        <v/>
      </c>
      <c r="CK169" s="452" t="str">
        <f t="shared" si="245"/>
        <v/>
      </c>
      <c r="CL169" s="452" t="str">
        <f t="shared" si="245"/>
        <v/>
      </c>
      <c r="CM169" s="452" t="str">
        <f t="shared" si="245"/>
        <v/>
      </c>
      <c r="CN169" s="453" t="str">
        <f t="shared" si="241"/>
        <v/>
      </c>
      <c r="CO169" s="451" t="str">
        <f t="shared" si="241"/>
        <v/>
      </c>
      <c r="CP169" s="452" t="str">
        <f t="shared" si="241"/>
        <v/>
      </c>
      <c r="CQ169" s="452" t="str">
        <f t="shared" si="241"/>
        <v/>
      </c>
      <c r="CR169" s="452" t="str">
        <f t="shared" si="241"/>
        <v/>
      </c>
      <c r="CS169" s="453" t="str">
        <f t="shared" si="241"/>
        <v/>
      </c>
      <c r="CT169" s="451" t="str">
        <f t="shared" si="241"/>
        <v/>
      </c>
      <c r="CU169" s="452" t="str">
        <f t="shared" si="241"/>
        <v/>
      </c>
      <c r="CV169" s="452" t="str">
        <f t="shared" si="241"/>
        <v/>
      </c>
      <c r="CW169" s="452" t="str">
        <f t="shared" si="241"/>
        <v/>
      </c>
      <c r="CX169" s="453" t="str">
        <f t="shared" si="241"/>
        <v/>
      </c>
      <c r="CY169" s="451" t="str">
        <f t="shared" si="241"/>
        <v/>
      </c>
      <c r="CZ169" s="452" t="str">
        <f t="shared" si="241"/>
        <v/>
      </c>
      <c r="DA169" s="452" t="str">
        <f t="shared" si="241"/>
        <v/>
      </c>
      <c r="DB169" s="452" t="str">
        <f t="shared" si="241"/>
        <v/>
      </c>
      <c r="DC169" s="453" t="str">
        <f t="shared" si="241"/>
        <v/>
      </c>
      <c r="DD169" s="451" t="str">
        <f t="shared" si="242"/>
        <v/>
      </c>
      <c r="DE169" s="452" t="str">
        <f t="shared" si="242"/>
        <v/>
      </c>
      <c r="DF169" s="452" t="str">
        <f t="shared" si="242"/>
        <v/>
      </c>
      <c r="DG169" s="452" t="str">
        <f t="shared" si="242"/>
        <v/>
      </c>
      <c r="DH169" s="453" t="str">
        <f t="shared" si="242"/>
        <v/>
      </c>
      <c r="DI169" s="451" t="str">
        <f t="shared" si="242"/>
        <v/>
      </c>
      <c r="DJ169" s="452" t="str">
        <f t="shared" si="242"/>
        <v/>
      </c>
      <c r="DK169" s="452" t="str">
        <f t="shared" si="242"/>
        <v/>
      </c>
      <c r="DL169" s="452" t="str">
        <f t="shared" si="242"/>
        <v/>
      </c>
      <c r="DM169" s="453" t="str">
        <f t="shared" si="242"/>
        <v/>
      </c>
      <c r="DN169" s="451" t="str">
        <f t="shared" si="242"/>
        <v/>
      </c>
      <c r="DO169" s="452" t="str">
        <f t="shared" si="242"/>
        <v/>
      </c>
      <c r="DP169" s="452" t="str">
        <f t="shared" si="242"/>
        <v/>
      </c>
      <c r="DQ169" s="452" t="str">
        <f t="shared" si="242"/>
        <v/>
      </c>
      <c r="DR169" s="453" t="str">
        <f t="shared" si="242"/>
        <v/>
      </c>
      <c r="DS169" s="451" t="str">
        <f t="shared" si="242"/>
        <v/>
      </c>
      <c r="DT169" s="452" t="str">
        <f t="shared" si="247"/>
        <v/>
      </c>
      <c r="DU169" s="452" t="str">
        <f t="shared" si="247"/>
        <v/>
      </c>
      <c r="DV169" s="452" t="str">
        <f t="shared" si="247"/>
        <v/>
      </c>
      <c r="DW169" s="453" t="str">
        <f t="shared" si="247"/>
        <v/>
      </c>
      <c r="DX169" s="451" t="str">
        <f t="shared" si="247"/>
        <v/>
      </c>
      <c r="DY169" s="452" t="str">
        <f t="shared" si="247"/>
        <v/>
      </c>
      <c r="DZ169" s="452" t="str">
        <f t="shared" si="247"/>
        <v/>
      </c>
      <c r="EA169" s="452" t="str">
        <f t="shared" si="247"/>
        <v/>
      </c>
      <c r="EB169" s="453" t="str">
        <f t="shared" si="247"/>
        <v/>
      </c>
      <c r="EC169" s="451" t="str">
        <f t="shared" si="247"/>
        <v/>
      </c>
      <c r="ED169" s="452" t="str">
        <f t="shared" si="247"/>
        <v/>
      </c>
      <c r="EE169" s="452" t="str">
        <f t="shared" si="247"/>
        <v/>
      </c>
      <c r="EF169" s="452" t="str">
        <f t="shared" si="247"/>
        <v/>
      </c>
      <c r="EG169" s="453" t="str">
        <f t="shared" si="247"/>
        <v/>
      </c>
      <c r="EH169" s="451" t="str">
        <f t="shared" si="247"/>
        <v/>
      </c>
      <c r="EI169" s="452" t="str">
        <f t="shared" si="247"/>
        <v/>
      </c>
      <c r="EJ169" s="452" t="str">
        <f t="shared" si="251"/>
        <v/>
      </c>
      <c r="EK169" s="452" t="str">
        <f t="shared" si="251"/>
        <v/>
      </c>
      <c r="EL169" s="453" t="str">
        <f t="shared" si="251"/>
        <v/>
      </c>
      <c r="EM169" s="451" t="str">
        <f t="shared" si="251"/>
        <v/>
      </c>
      <c r="EN169" s="452" t="str">
        <f t="shared" si="251"/>
        <v/>
      </c>
      <c r="EO169" s="452" t="str">
        <f t="shared" si="251"/>
        <v/>
      </c>
      <c r="EP169" s="452" t="str">
        <f t="shared" si="251"/>
        <v/>
      </c>
      <c r="EQ169" s="453" t="str">
        <f t="shared" si="251"/>
        <v/>
      </c>
      <c r="ER169" s="451" t="str">
        <f t="shared" si="251"/>
        <v/>
      </c>
      <c r="ES169" s="452" t="str">
        <f t="shared" si="251"/>
        <v/>
      </c>
      <c r="ET169" s="452" t="str">
        <f t="shared" si="251"/>
        <v/>
      </c>
      <c r="EU169" s="452" t="str">
        <f t="shared" si="251"/>
        <v/>
      </c>
      <c r="EV169" s="453" t="str">
        <f t="shared" si="251"/>
        <v/>
      </c>
      <c r="EW169" s="451" t="str">
        <f t="shared" si="251"/>
        <v/>
      </c>
      <c r="EX169" s="452" t="str">
        <f t="shared" si="251"/>
        <v/>
      </c>
      <c r="EY169" s="452" t="str">
        <f t="shared" si="251"/>
        <v/>
      </c>
      <c r="EZ169" s="452" t="str">
        <f t="shared" si="252"/>
        <v/>
      </c>
      <c r="FA169" s="453" t="str">
        <f t="shared" si="252"/>
        <v/>
      </c>
      <c r="FB169" s="451" t="str">
        <f t="shared" si="252"/>
        <v/>
      </c>
      <c r="FC169" s="452" t="str">
        <f t="shared" si="252"/>
        <v/>
      </c>
      <c r="FD169" s="452" t="str">
        <f t="shared" si="252"/>
        <v/>
      </c>
      <c r="FE169" s="452" t="str">
        <f t="shared" si="252"/>
        <v/>
      </c>
      <c r="FF169" s="453" t="str">
        <f t="shared" si="252"/>
        <v/>
      </c>
      <c r="FG169" s="451" t="str">
        <f t="shared" si="252"/>
        <v/>
      </c>
      <c r="FH169" s="452" t="str">
        <f t="shared" si="252"/>
        <v/>
      </c>
      <c r="FI169" s="452" t="str">
        <f t="shared" si="252"/>
        <v/>
      </c>
      <c r="FJ169" s="452" t="str">
        <f t="shared" si="252"/>
        <v/>
      </c>
      <c r="FK169" s="453" t="str">
        <f t="shared" si="252"/>
        <v/>
      </c>
      <c r="FL169" s="451" t="str">
        <f t="shared" si="252"/>
        <v/>
      </c>
      <c r="FM169" s="452" t="str">
        <f t="shared" si="252"/>
        <v/>
      </c>
      <c r="FN169" s="452" t="str">
        <f t="shared" si="252"/>
        <v/>
      </c>
      <c r="FO169" s="452" t="str">
        <f t="shared" si="248"/>
        <v/>
      </c>
      <c r="FP169" s="453" t="str">
        <f t="shared" si="248"/>
        <v/>
      </c>
      <c r="FQ169" s="451" t="str">
        <f t="shared" si="248"/>
        <v/>
      </c>
      <c r="FR169" s="452" t="str">
        <f t="shared" si="248"/>
        <v/>
      </c>
      <c r="FS169" s="452" t="str">
        <f t="shared" si="248"/>
        <v/>
      </c>
      <c r="FT169" s="452" t="str">
        <f t="shared" si="248"/>
        <v/>
      </c>
      <c r="FU169" s="453" t="str">
        <f t="shared" si="248"/>
        <v/>
      </c>
      <c r="FV169" s="451" t="str">
        <f t="shared" si="248"/>
        <v/>
      </c>
      <c r="FW169" s="452" t="str">
        <f t="shared" si="248"/>
        <v/>
      </c>
      <c r="FX169" s="452" t="str">
        <f t="shared" si="248"/>
        <v/>
      </c>
      <c r="FY169" s="452" t="str">
        <f t="shared" si="248"/>
        <v/>
      </c>
      <c r="FZ169" s="453" t="str">
        <f t="shared" si="248"/>
        <v/>
      </c>
      <c r="GA169" s="451" t="str">
        <f t="shared" si="248"/>
        <v/>
      </c>
      <c r="GB169" s="452" t="str">
        <f t="shared" si="248"/>
        <v/>
      </c>
      <c r="GC169" s="452" t="str">
        <f t="shared" si="248"/>
        <v/>
      </c>
      <c r="GD169" s="452" t="str">
        <f t="shared" si="249"/>
        <v/>
      </c>
      <c r="GE169" s="453" t="str">
        <f t="shared" si="249"/>
        <v/>
      </c>
      <c r="GF169" s="451" t="str">
        <f t="shared" si="249"/>
        <v/>
      </c>
      <c r="GG169" s="452" t="str">
        <f t="shared" si="249"/>
        <v/>
      </c>
      <c r="GH169" s="452" t="str">
        <f t="shared" si="249"/>
        <v/>
      </c>
      <c r="GI169" s="452" t="str">
        <f t="shared" si="249"/>
        <v/>
      </c>
      <c r="GJ169" s="453" t="str">
        <f t="shared" si="249"/>
        <v/>
      </c>
      <c r="GK169" s="451" t="str">
        <f t="shared" si="249"/>
        <v/>
      </c>
      <c r="GL169" s="452" t="str">
        <f t="shared" si="249"/>
        <v/>
      </c>
      <c r="GM169" s="452" t="str">
        <f t="shared" si="249"/>
        <v/>
      </c>
      <c r="GN169" s="452" t="str">
        <f t="shared" si="249"/>
        <v/>
      </c>
      <c r="GO169" s="453" t="str">
        <f t="shared" si="249"/>
        <v/>
      </c>
      <c r="GP169" s="451" t="str">
        <f t="shared" si="249"/>
        <v/>
      </c>
      <c r="GQ169" s="452" t="str">
        <f t="shared" si="249"/>
        <v/>
      </c>
      <c r="GR169" s="452" t="str">
        <f t="shared" si="249"/>
        <v/>
      </c>
      <c r="GS169" s="452" t="str">
        <f t="shared" si="249"/>
        <v/>
      </c>
      <c r="GT169" s="453" t="str">
        <f t="shared" si="253"/>
        <v/>
      </c>
      <c r="GU169" s="451" t="str">
        <f t="shared" si="253"/>
        <v/>
      </c>
      <c r="GV169" s="452" t="str">
        <f t="shared" si="253"/>
        <v/>
      </c>
      <c r="GW169" s="452" t="str">
        <f t="shared" si="253"/>
        <v/>
      </c>
      <c r="GX169" s="452" t="str">
        <f t="shared" si="253"/>
        <v/>
      </c>
      <c r="GY169" s="453" t="str">
        <f t="shared" si="253"/>
        <v/>
      </c>
      <c r="GZ169" s="451" t="str">
        <f t="shared" si="253"/>
        <v/>
      </c>
      <c r="HA169" s="452" t="str">
        <f t="shared" si="253"/>
        <v/>
      </c>
      <c r="HB169" s="452" t="str">
        <f t="shared" si="253"/>
        <v/>
      </c>
      <c r="HC169" s="452" t="str">
        <f t="shared" si="253"/>
        <v/>
      </c>
      <c r="HD169" s="453" t="str">
        <f t="shared" si="253"/>
        <v/>
      </c>
      <c r="HE169" s="451" t="str">
        <f t="shared" si="253"/>
        <v/>
      </c>
      <c r="HF169" s="452" t="str">
        <f t="shared" si="253"/>
        <v/>
      </c>
      <c r="HG169" s="452" t="str">
        <f t="shared" si="253"/>
        <v/>
      </c>
      <c r="HH169" s="452" t="str">
        <f t="shared" si="253"/>
        <v/>
      </c>
      <c r="HI169" s="453" t="str">
        <f t="shared" si="253"/>
        <v/>
      </c>
      <c r="HJ169" s="451" t="str">
        <f t="shared" si="250"/>
        <v/>
      </c>
      <c r="HK169" s="452" t="str">
        <f t="shared" si="250"/>
        <v/>
      </c>
      <c r="HL169" s="452" t="str">
        <f t="shared" si="250"/>
        <v/>
      </c>
      <c r="HM169" s="452" t="str">
        <f t="shared" si="250"/>
        <v/>
      </c>
      <c r="HN169" s="453" t="str">
        <f t="shared" si="232"/>
        <v/>
      </c>
      <c r="HO169" s="451" t="str">
        <f t="shared" si="232"/>
        <v/>
      </c>
      <c r="HP169" s="452" t="str">
        <f t="shared" si="232"/>
        <v/>
      </c>
      <c r="HQ169" s="452" t="str">
        <f t="shared" si="232"/>
        <v/>
      </c>
      <c r="HR169" s="452" t="str">
        <f t="shared" si="232"/>
        <v/>
      </c>
      <c r="HS169" s="453" t="str">
        <f t="shared" si="232"/>
        <v/>
      </c>
      <c r="HT169" s="451" t="str">
        <f t="shared" si="232"/>
        <v/>
      </c>
      <c r="HU169" s="452" t="str">
        <f t="shared" si="232"/>
        <v/>
      </c>
      <c r="HV169" s="452" t="str">
        <f t="shared" si="232"/>
        <v/>
      </c>
      <c r="HW169" s="452" t="str">
        <f t="shared" si="232"/>
        <v/>
      </c>
      <c r="HX169" s="453" t="str">
        <f t="shared" si="232"/>
        <v/>
      </c>
      <c r="HY169" s="451" t="str">
        <f t="shared" si="232"/>
        <v/>
      </c>
      <c r="HZ169" s="452" t="str">
        <f t="shared" si="232"/>
        <v/>
      </c>
      <c r="IA169" s="452" t="str">
        <f t="shared" si="254"/>
        <v/>
      </c>
      <c r="IB169" s="452" t="str">
        <f t="shared" si="254"/>
        <v/>
      </c>
      <c r="IC169" s="453" t="str">
        <f t="shared" si="237"/>
        <v/>
      </c>
      <c r="ID169" s="451" t="str">
        <f t="shared" si="237"/>
        <v/>
      </c>
      <c r="IE169" s="452" t="str">
        <f t="shared" si="237"/>
        <v/>
      </c>
      <c r="IF169" s="452" t="str">
        <f t="shared" si="237"/>
        <v/>
      </c>
      <c r="IG169" s="452" t="str">
        <f t="shared" si="237"/>
        <v/>
      </c>
      <c r="IH169" s="453" t="str">
        <f t="shared" si="237"/>
        <v/>
      </c>
      <c r="II169" s="451" t="str">
        <f t="shared" si="237"/>
        <v/>
      </c>
      <c r="IJ169" s="452" t="str">
        <f t="shared" si="237"/>
        <v/>
      </c>
      <c r="IK169" s="452" t="str">
        <f t="shared" si="237"/>
        <v/>
      </c>
      <c r="IL169" s="452" t="str">
        <f t="shared" si="237"/>
        <v/>
      </c>
      <c r="IM169" s="453" t="str">
        <f t="shared" si="237"/>
        <v/>
      </c>
      <c r="IN169" s="451" t="str">
        <f t="shared" si="237"/>
        <v/>
      </c>
      <c r="IO169" s="452" t="str">
        <f t="shared" si="237"/>
        <v/>
      </c>
      <c r="IP169" s="452" t="str">
        <f t="shared" si="237"/>
        <v/>
      </c>
      <c r="IQ169" s="452" t="str">
        <f t="shared" si="237"/>
        <v/>
      </c>
      <c r="IR169" s="453" t="str">
        <f t="shared" si="237"/>
        <v/>
      </c>
    </row>
    <row r="170" spans="1:252" x14ac:dyDescent="0.2">
      <c r="A170" s="461">
        <v>16.100000000000001</v>
      </c>
      <c r="C170" s="447" t="s">
        <v>1351</v>
      </c>
      <c r="D170" s="447"/>
      <c r="E170" s="448"/>
      <c r="F170" s="448"/>
      <c r="G170" s="448"/>
      <c r="H170" s="448"/>
      <c r="I170" s="448"/>
      <c r="J170" s="449" t="str">
        <f t="shared" ref="J170:J179" si="256">IF(E170="","",E170-$M$3+1)</f>
        <v/>
      </c>
      <c r="K170" s="449" t="str">
        <f t="shared" ref="K170:K179" si="257">IF(F170="","",F170-$M$3+1)</f>
        <v/>
      </c>
      <c r="L170" s="450">
        <f t="shared" si="255"/>
        <v>0</v>
      </c>
      <c r="M170" s="451" t="str">
        <f t="shared" si="235"/>
        <v/>
      </c>
      <c r="N170" s="452" t="str">
        <f t="shared" si="235"/>
        <v/>
      </c>
      <c r="O170" s="452" t="str">
        <f t="shared" si="235"/>
        <v/>
      </c>
      <c r="P170" s="452" t="str">
        <f t="shared" si="235"/>
        <v/>
      </c>
      <c r="Q170" s="453" t="str">
        <f t="shared" si="235"/>
        <v/>
      </c>
      <c r="R170" s="451" t="str">
        <f t="shared" si="235"/>
        <v/>
      </c>
      <c r="S170" s="452" t="str">
        <f t="shared" si="235"/>
        <v/>
      </c>
      <c r="T170" s="452" t="str">
        <f t="shared" si="235"/>
        <v/>
      </c>
      <c r="U170" s="452" t="str">
        <f t="shared" si="235"/>
        <v/>
      </c>
      <c r="V170" s="453" t="str">
        <f t="shared" si="235"/>
        <v/>
      </c>
      <c r="W170" s="451" t="str">
        <f t="shared" si="235"/>
        <v/>
      </c>
      <c r="X170" s="452" t="str">
        <f t="shared" si="235"/>
        <v/>
      </c>
      <c r="Y170" s="452" t="str">
        <f t="shared" si="235"/>
        <v/>
      </c>
      <c r="Z170" s="452" t="str">
        <f t="shared" si="235"/>
        <v/>
      </c>
      <c r="AA170" s="453" t="str">
        <f t="shared" si="235"/>
        <v/>
      </c>
      <c r="AB170" s="451" t="str">
        <f t="shared" si="235"/>
        <v/>
      </c>
      <c r="AC170" s="452" t="str">
        <f t="shared" si="246"/>
        <v/>
      </c>
      <c r="AD170" s="452" t="str">
        <f t="shared" si="246"/>
        <v/>
      </c>
      <c r="AE170" s="452" t="str">
        <f t="shared" si="246"/>
        <v/>
      </c>
      <c r="AF170" s="453" t="str">
        <f t="shared" si="246"/>
        <v/>
      </c>
      <c r="AG170" s="451" t="str">
        <f t="shared" si="246"/>
        <v/>
      </c>
      <c r="AH170" s="452" t="str">
        <f t="shared" si="246"/>
        <v/>
      </c>
      <c r="AI170" s="452" t="str">
        <f t="shared" si="246"/>
        <v/>
      </c>
      <c r="AJ170" s="452" t="str">
        <f t="shared" si="246"/>
        <v/>
      </c>
      <c r="AK170" s="453" t="str">
        <f t="shared" si="246"/>
        <v/>
      </c>
      <c r="AL170" s="451" t="str">
        <f t="shared" si="246"/>
        <v/>
      </c>
      <c r="AM170" s="452" t="str">
        <f t="shared" si="246"/>
        <v/>
      </c>
      <c r="AN170" s="452" t="str">
        <f t="shared" si="246"/>
        <v/>
      </c>
      <c r="AO170" s="452" t="str">
        <f t="shared" si="246"/>
        <v/>
      </c>
      <c r="AP170" s="453" t="str">
        <f t="shared" si="246"/>
        <v/>
      </c>
      <c r="AQ170" s="451" t="str">
        <f t="shared" si="246"/>
        <v/>
      </c>
      <c r="AR170" s="452" t="str">
        <f t="shared" si="246"/>
        <v/>
      </c>
      <c r="AS170" s="452" t="str">
        <f t="shared" si="243"/>
        <v/>
      </c>
      <c r="AT170" s="452" t="str">
        <f t="shared" si="243"/>
        <v/>
      </c>
      <c r="AU170" s="453" t="str">
        <f t="shared" si="243"/>
        <v/>
      </c>
      <c r="AV170" s="451" t="str">
        <f t="shared" si="243"/>
        <v/>
      </c>
      <c r="AW170" s="452" t="str">
        <f t="shared" si="243"/>
        <v/>
      </c>
      <c r="AX170" s="452" t="str">
        <f t="shared" si="243"/>
        <v/>
      </c>
      <c r="AY170" s="452" t="str">
        <f t="shared" si="243"/>
        <v/>
      </c>
      <c r="AZ170" s="453" t="str">
        <f t="shared" si="243"/>
        <v/>
      </c>
      <c r="BA170" s="451" t="str">
        <f t="shared" si="243"/>
        <v/>
      </c>
      <c r="BB170" s="452" t="str">
        <f t="shared" si="243"/>
        <v/>
      </c>
      <c r="BC170" s="452" t="str">
        <f t="shared" si="243"/>
        <v/>
      </c>
      <c r="BD170" s="452" t="str">
        <f t="shared" si="243"/>
        <v/>
      </c>
      <c r="BE170" s="453" t="str">
        <f t="shared" si="243"/>
        <v/>
      </c>
      <c r="BF170" s="451" t="str">
        <f t="shared" si="243"/>
        <v/>
      </c>
      <c r="BG170" s="452" t="str">
        <f t="shared" si="243"/>
        <v/>
      </c>
      <c r="BH170" s="452" t="str">
        <f t="shared" si="243"/>
        <v/>
      </c>
      <c r="BI170" s="452" t="str">
        <f t="shared" si="244"/>
        <v/>
      </c>
      <c r="BJ170" s="453" t="str">
        <f t="shared" si="244"/>
        <v/>
      </c>
      <c r="BK170" s="451" t="str">
        <f t="shared" si="244"/>
        <v/>
      </c>
      <c r="BL170" s="452" t="str">
        <f t="shared" si="244"/>
        <v/>
      </c>
      <c r="BM170" s="452" t="str">
        <f t="shared" si="244"/>
        <v/>
      </c>
      <c r="BN170" s="452" t="str">
        <f t="shared" si="244"/>
        <v/>
      </c>
      <c r="BO170" s="453" t="str">
        <f t="shared" si="244"/>
        <v/>
      </c>
      <c r="BP170" s="451" t="str">
        <f t="shared" si="244"/>
        <v/>
      </c>
      <c r="BQ170" s="452" t="str">
        <f t="shared" si="244"/>
        <v/>
      </c>
      <c r="BR170" s="452" t="str">
        <f t="shared" si="244"/>
        <v/>
      </c>
      <c r="BS170" s="452" t="str">
        <f t="shared" si="244"/>
        <v/>
      </c>
      <c r="BT170" s="453" t="str">
        <f t="shared" si="244"/>
        <v/>
      </c>
      <c r="BU170" s="451" t="str">
        <f t="shared" si="244"/>
        <v/>
      </c>
      <c r="BV170" s="452" t="str">
        <f t="shared" si="244"/>
        <v/>
      </c>
      <c r="BW170" s="452" t="str">
        <f t="shared" si="240"/>
        <v/>
      </c>
      <c r="BX170" s="452" t="str">
        <f t="shared" si="244"/>
        <v/>
      </c>
      <c r="BY170" s="453" t="str">
        <f t="shared" si="245"/>
        <v/>
      </c>
      <c r="BZ170" s="451" t="str">
        <f t="shared" si="245"/>
        <v/>
      </c>
      <c r="CA170" s="452" t="str">
        <f t="shared" si="245"/>
        <v/>
      </c>
      <c r="CB170" s="452" t="str">
        <f t="shared" si="245"/>
        <v/>
      </c>
      <c r="CC170" s="452" t="str">
        <f t="shared" si="245"/>
        <v/>
      </c>
      <c r="CD170" s="453" t="str">
        <f t="shared" si="245"/>
        <v/>
      </c>
      <c r="CE170" s="451" t="str">
        <f t="shared" si="245"/>
        <v/>
      </c>
      <c r="CF170" s="452" t="str">
        <f t="shared" si="245"/>
        <v/>
      </c>
      <c r="CG170" s="452" t="str">
        <f t="shared" si="245"/>
        <v/>
      </c>
      <c r="CH170" s="452" t="str">
        <f t="shared" si="245"/>
        <v/>
      </c>
      <c r="CI170" s="453" t="str">
        <f t="shared" si="245"/>
        <v/>
      </c>
      <c r="CJ170" s="451" t="str">
        <f t="shared" si="245"/>
        <v/>
      </c>
      <c r="CK170" s="452" t="str">
        <f t="shared" si="245"/>
        <v/>
      </c>
      <c r="CL170" s="452" t="str">
        <f t="shared" si="245"/>
        <v/>
      </c>
      <c r="CM170" s="452" t="str">
        <f t="shared" si="245"/>
        <v/>
      </c>
      <c r="CN170" s="453" t="str">
        <f t="shared" si="241"/>
        <v/>
      </c>
      <c r="CO170" s="451" t="str">
        <f t="shared" si="241"/>
        <v/>
      </c>
      <c r="CP170" s="452" t="str">
        <f t="shared" si="241"/>
        <v/>
      </c>
      <c r="CQ170" s="452" t="str">
        <f t="shared" si="241"/>
        <v/>
      </c>
      <c r="CR170" s="452" t="str">
        <f t="shared" si="241"/>
        <v/>
      </c>
      <c r="CS170" s="453" t="str">
        <f t="shared" si="241"/>
        <v/>
      </c>
      <c r="CT170" s="451" t="str">
        <f t="shared" si="241"/>
        <v/>
      </c>
      <c r="CU170" s="452" t="str">
        <f t="shared" si="241"/>
        <v/>
      </c>
      <c r="CV170" s="452" t="str">
        <f t="shared" si="241"/>
        <v/>
      </c>
      <c r="CW170" s="452" t="str">
        <f t="shared" si="241"/>
        <v/>
      </c>
      <c r="CX170" s="453" t="str">
        <f t="shared" si="241"/>
        <v/>
      </c>
      <c r="CY170" s="451" t="str">
        <f t="shared" si="241"/>
        <v/>
      </c>
      <c r="CZ170" s="452" t="str">
        <f t="shared" si="241"/>
        <v/>
      </c>
      <c r="DA170" s="452" t="str">
        <f t="shared" si="241"/>
        <v/>
      </c>
      <c r="DB170" s="452" t="str">
        <f t="shared" si="241"/>
        <v/>
      </c>
      <c r="DC170" s="453" t="str">
        <f t="shared" si="241"/>
        <v/>
      </c>
      <c r="DD170" s="451" t="str">
        <f t="shared" si="242"/>
        <v/>
      </c>
      <c r="DE170" s="452" t="str">
        <f t="shared" si="242"/>
        <v/>
      </c>
      <c r="DF170" s="452" t="str">
        <f t="shared" si="242"/>
        <v/>
      </c>
      <c r="DG170" s="452" t="str">
        <f t="shared" si="242"/>
        <v/>
      </c>
      <c r="DH170" s="453" t="str">
        <f t="shared" si="242"/>
        <v/>
      </c>
      <c r="DI170" s="451" t="str">
        <f t="shared" si="242"/>
        <v/>
      </c>
      <c r="DJ170" s="452" t="str">
        <f t="shared" si="242"/>
        <v/>
      </c>
      <c r="DK170" s="452" t="str">
        <f t="shared" si="242"/>
        <v/>
      </c>
      <c r="DL170" s="452" t="str">
        <f t="shared" si="242"/>
        <v/>
      </c>
      <c r="DM170" s="453" t="str">
        <f t="shared" si="242"/>
        <v/>
      </c>
      <c r="DN170" s="451" t="str">
        <f t="shared" si="242"/>
        <v/>
      </c>
      <c r="DO170" s="452" t="str">
        <f t="shared" si="242"/>
        <v/>
      </c>
      <c r="DP170" s="452" t="str">
        <f t="shared" si="242"/>
        <v/>
      </c>
      <c r="DQ170" s="452" t="str">
        <f t="shared" si="242"/>
        <v/>
      </c>
      <c r="DR170" s="453" t="str">
        <f t="shared" si="242"/>
        <v/>
      </c>
      <c r="DS170" s="451" t="str">
        <f t="shared" si="242"/>
        <v/>
      </c>
      <c r="DT170" s="452" t="str">
        <f t="shared" si="247"/>
        <v/>
      </c>
      <c r="DU170" s="452" t="str">
        <f t="shared" si="247"/>
        <v/>
      </c>
      <c r="DV170" s="452" t="str">
        <f t="shared" si="247"/>
        <v/>
      </c>
      <c r="DW170" s="453" t="str">
        <f t="shared" si="247"/>
        <v/>
      </c>
      <c r="DX170" s="451" t="str">
        <f t="shared" si="247"/>
        <v/>
      </c>
      <c r="DY170" s="452" t="str">
        <f t="shared" si="247"/>
        <v/>
      </c>
      <c r="DZ170" s="452" t="str">
        <f t="shared" si="247"/>
        <v/>
      </c>
      <c r="EA170" s="452" t="str">
        <f t="shared" si="247"/>
        <v/>
      </c>
      <c r="EB170" s="453" t="str">
        <f t="shared" si="247"/>
        <v/>
      </c>
      <c r="EC170" s="451" t="str">
        <f t="shared" si="247"/>
        <v/>
      </c>
      <c r="ED170" s="452" t="str">
        <f t="shared" si="247"/>
        <v/>
      </c>
      <c r="EE170" s="452" t="str">
        <f t="shared" si="247"/>
        <v/>
      </c>
      <c r="EF170" s="452" t="str">
        <f t="shared" si="247"/>
        <v/>
      </c>
      <c r="EG170" s="453" t="str">
        <f t="shared" si="247"/>
        <v/>
      </c>
      <c r="EH170" s="451" t="str">
        <f t="shared" si="247"/>
        <v/>
      </c>
      <c r="EI170" s="452" t="str">
        <f t="shared" si="247"/>
        <v/>
      </c>
      <c r="EJ170" s="452" t="str">
        <f t="shared" si="251"/>
        <v/>
      </c>
      <c r="EK170" s="452" t="str">
        <f t="shared" si="251"/>
        <v/>
      </c>
      <c r="EL170" s="453" t="str">
        <f t="shared" si="251"/>
        <v/>
      </c>
      <c r="EM170" s="451" t="str">
        <f t="shared" si="251"/>
        <v/>
      </c>
      <c r="EN170" s="452" t="str">
        <f t="shared" si="251"/>
        <v/>
      </c>
      <c r="EO170" s="452" t="str">
        <f t="shared" si="251"/>
        <v/>
      </c>
      <c r="EP170" s="452" t="str">
        <f t="shared" si="251"/>
        <v/>
      </c>
      <c r="EQ170" s="453" t="str">
        <f t="shared" si="251"/>
        <v/>
      </c>
      <c r="ER170" s="451" t="str">
        <f t="shared" si="251"/>
        <v/>
      </c>
      <c r="ES170" s="452" t="str">
        <f t="shared" si="251"/>
        <v/>
      </c>
      <c r="ET170" s="452" t="str">
        <f t="shared" si="251"/>
        <v/>
      </c>
      <c r="EU170" s="452" t="str">
        <f t="shared" si="251"/>
        <v/>
      </c>
      <c r="EV170" s="453" t="str">
        <f t="shared" si="251"/>
        <v/>
      </c>
      <c r="EW170" s="451" t="str">
        <f t="shared" si="251"/>
        <v/>
      </c>
      <c r="EX170" s="452" t="str">
        <f t="shared" si="251"/>
        <v/>
      </c>
      <c r="EY170" s="452" t="str">
        <f t="shared" si="251"/>
        <v/>
      </c>
      <c r="EZ170" s="452" t="str">
        <f t="shared" si="252"/>
        <v/>
      </c>
      <c r="FA170" s="453" t="str">
        <f t="shared" si="252"/>
        <v/>
      </c>
      <c r="FB170" s="451" t="str">
        <f t="shared" si="252"/>
        <v/>
      </c>
      <c r="FC170" s="452" t="str">
        <f t="shared" si="252"/>
        <v/>
      </c>
      <c r="FD170" s="452" t="str">
        <f t="shared" si="252"/>
        <v/>
      </c>
      <c r="FE170" s="452" t="str">
        <f t="shared" si="252"/>
        <v/>
      </c>
      <c r="FF170" s="453" t="str">
        <f t="shared" si="252"/>
        <v/>
      </c>
      <c r="FG170" s="451" t="str">
        <f t="shared" si="252"/>
        <v/>
      </c>
      <c r="FH170" s="452" t="str">
        <f t="shared" si="252"/>
        <v/>
      </c>
      <c r="FI170" s="452" t="str">
        <f t="shared" si="252"/>
        <v/>
      </c>
      <c r="FJ170" s="452" t="str">
        <f t="shared" si="252"/>
        <v/>
      </c>
      <c r="FK170" s="453" t="str">
        <f t="shared" si="252"/>
        <v/>
      </c>
      <c r="FL170" s="451" t="str">
        <f t="shared" si="252"/>
        <v/>
      </c>
      <c r="FM170" s="452" t="str">
        <f t="shared" si="252"/>
        <v/>
      </c>
      <c r="FN170" s="452" t="str">
        <f t="shared" si="252"/>
        <v/>
      </c>
      <c r="FO170" s="452" t="str">
        <f t="shared" si="248"/>
        <v/>
      </c>
      <c r="FP170" s="453" t="str">
        <f t="shared" si="248"/>
        <v/>
      </c>
      <c r="FQ170" s="451" t="str">
        <f t="shared" si="248"/>
        <v/>
      </c>
      <c r="FR170" s="452" t="str">
        <f t="shared" si="248"/>
        <v/>
      </c>
      <c r="FS170" s="452" t="str">
        <f t="shared" si="248"/>
        <v/>
      </c>
      <c r="FT170" s="452" t="str">
        <f t="shared" si="248"/>
        <v/>
      </c>
      <c r="FU170" s="453" t="str">
        <f t="shared" si="248"/>
        <v/>
      </c>
      <c r="FV170" s="451" t="str">
        <f t="shared" si="248"/>
        <v/>
      </c>
      <c r="FW170" s="452" t="str">
        <f t="shared" si="248"/>
        <v/>
      </c>
      <c r="FX170" s="452" t="str">
        <f t="shared" si="248"/>
        <v/>
      </c>
      <c r="FY170" s="452" t="str">
        <f t="shared" si="248"/>
        <v/>
      </c>
      <c r="FZ170" s="453" t="str">
        <f t="shared" si="248"/>
        <v/>
      </c>
      <c r="GA170" s="451" t="str">
        <f t="shared" si="248"/>
        <v/>
      </c>
      <c r="GB170" s="452" t="str">
        <f t="shared" si="248"/>
        <v/>
      </c>
      <c r="GC170" s="452" t="str">
        <f t="shared" si="248"/>
        <v/>
      </c>
      <c r="GD170" s="452" t="str">
        <f t="shared" si="249"/>
        <v/>
      </c>
      <c r="GE170" s="453" t="str">
        <f t="shared" si="249"/>
        <v/>
      </c>
      <c r="GF170" s="451" t="str">
        <f t="shared" si="249"/>
        <v/>
      </c>
      <c r="GG170" s="452" t="str">
        <f t="shared" si="249"/>
        <v/>
      </c>
      <c r="GH170" s="452" t="str">
        <f t="shared" si="249"/>
        <v/>
      </c>
      <c r="GI170" s="452" t="str">
        <f t="shared" si="249"/>
        <v/>
      </c>
      <c r="GJ170" s="453" t="str">
        <f t="shared" si="249"/>
        <v/>
      </c>
      <c r="GK170" s="451" t="str">
        <f t="shared" si="249"/>
        <v/>
      </c>
      <c r="GL170" s="452" t="str">
        <f t="shared" si="249"/>
        <v/>
      </c>
      <c r="GM170" s="452" t="str">
        <f t="shared" si="249"/>
        <v/>
      </c>
      <c r="GN170" s="452" t="str">
        <f t="shared" si="249"/>
        <v/>
      </c>
      <c r="GO170" s="453" t="str">
        <f t="shared" si="249"/>
        <v/>
      </c>
      <c r="GP170" s="451" t="str">
        <f t="shared" si="249"/>
        <v/>
      </c>
      <c r="GQ170" s="452" t="str">
        <f t="shared" si="249"/>
        <v/>
      </c>
      <c r="GR170" s="452" t="str">
        <f t="shared" si="249"/>
        <v/>
      </c>
      <c r="GS170" s="452" t="str">
        <f t="shared" si="249"/>
        <v/>
      </c>
      <c r="GT170" s="453" t="str">
        <f t="shared" si="253"/>
        <v/>
      </c>
      <c r="GU170" s="451" t="str">
        <f t="shared" si="253"/>
        <v/>
      </c>
      <c r="GV170" s="452" t="str">
        <f t="shared" si="253"/>
        <v/>
      </c>
      <c r="GW170" s="452" t="str">
        <f t="shared" si="253"/>
        <v/>
      </c>
      <c r="GX170" s="452" t="str">
        <f t="shared" si="253"/>
        <v/>
      </c>
      <c r="GY170" s="453" t="str">
        <f t="shared" si="253"/>
        <v/>
      </c>
      <c r="GZ170" s="451" t="str">
        <f t="shared" si="253"/>
        <v/>
      </c>
      <c r="HA170" s="452" t="str">
        <f t="shared" si="253"/>
        <v/>
      </c>
      <c r="HB170" s="452" t="str">
        <f t="shared" si="253"/>
        <v/>
      </c>
      <c r="HC170" s="452" t="str">
        <f t="shared" si="253"/>
        <v/>
      </c>
      <c r="HD170" s="453" t="str">
        <f t="shared" si="253"/>
        <v/>
      </c>
      <c r="HE170" s="451" t="str">
        <f t="shared" si="253"/>
        <v/>
      </c>
      <c r="HF170" s="452" t="str">
        <f t="shared" si="253"/>
        <v/>
      </c>
      <c r="HG170" s="452" t="str">
        <f t="shared" si="253"/>
        <v/>
      </c>
      <c r="HH170" s="452" t="str">
        <f t="shared" si="253"/>
        <v/>
      </c>
      <c r="HI170" s="453" t="str">
        <f t="shared" si="253"/>
        <v/>
      </c>
      <c r="HJ170" s="451" t="str">
        <f t="shared" si="250"/>
        <v/>
      </c>
      <c r="HK170" s="452" t="str">
        <f t="shared" si="250"/>
        <v/>
      </c>
      <c r="HL170" s="452" t="str">
        <f t="shared" si="250"/>
        <v/>
      </c>
      <c r="HM170" s="452" t="str">
        <f t="shared" si="250"/>
        <v/>
      </c>
      <c r="HN170" s="453" t="str">
        <f t="shared" si="250"/>
        <v/>
      </c>
      <c r="HO170" s="451" t="str">
        <f t="shared" si="250"/>
        <v/>
      </c>
      <c r="HP170" s="452" t="str">
        <f t="shared" si="250"/>
        <v/>
      </c>
      <c r="HQ170" s="452" t="str">
        <f t="shared" si="250"/>
        <v/>
      </c>
      <c r="HR170" s="452" t="str">
        <f t="shared" si="250"/>
        <v/>
      </c>
      <c r="HS170" s="453" t="str">
        <f t="shared" si="250"/>
        <v/>
      </c>
      <c r="HT170" s="451" t="str">
        <f t="shared" si="250"/>
        <v/>
      </c>
      <c r="HU170" s="452" t="str">
        <f t="shared" si="250"/>
        <v/>
      </c>
      <c r="HV170" s="452" t="str">
        <f t="shared" si="250"/>
        <v/>
      </c>
      <c r="HW170" s="452" t="str">
        <f t="shared" si="250"/>
        <v/>
      </c>
      <c r="HX170" s="453" t="str">
        <f t="shared" si="250"/>
        <v/>
      </c>
      <c r="HY170" s="451" t="str">
        <f t="shared" si="250"/>
        <v/>
      </c>
      <c r="HZ170" s="452" t="str">
        <f t="shared" si="250"/>
        <v/>
      </c>
      <c r="IA170" s="452" t="str">
        <f t="shared" si="254"/>
        <v/>
      </c>
      <c r="IB170" s="452" t="str">
        <f t="shared" si="254"/>
        <v/>
      </c>
      <c r="IC170" s="453" t="str">
        <f t="shared" si="254"/>
        <v/>
      </c>
      <c r="ID170" s="451" t="str">
        <f t="shared" si="237"/>
        <v/>
      </c>
      <c r="IE170" s="452" t="str">
        <f t="shared" si="237"/>
        <v/>
      </c>
      <c r="IF170" s="452" t="str">
        <f t="shared" si="237"/>
        <v/>
      </c>
      <c r="IG170" s="452" t="str">
        <f t="shared" si="237"/>
        <v/>
      </c>
      <c r="IH170" s="453" t="str">
        <f t="shared" si="237"/>
        <v/>
      </c>
      <c r="II170" s="451" t="str">
        <f t="shared" si="237"/>
        <v/>
      </c>
      <c r="IJ170" s="452" t="str">
        <f t="shared" si="237"/>
        <v/>
      </c>
      <c r="IK170" s="452" t="str">
        <f t="shared" si="237"/>
        <v/>
      </c>
      <c r="IL170" s="452" t="str">
        <f t="shared" si="237"/>
        <v/>
      </c>
      <c r="IM170" s="453" t="str">
        <f t="shared" si="237"/>
        <v/>
      </c>
      <c r="IN170" s="451" t="str">
        <f t="shared" si="237"/>
        <v/>
      </c>
      <c r="IO170" s="452" t="str">
        <f t="shared" si="237"/>
        <v/>
      </c>
      <c r="IP170" s="452" t="str">
        <f t="shared" si="237"/>
        <v/>
      </c>
      <c r="IQ170" s="452" t="str">
        <f t="shared" si="237"/>
        <v/>
      </c>
      <c r="IR170" s="453" t="str">
        <f t="shared" si="237"/>
        <v/>
      </c>
    </row>
    <row r="171" spans="1:252" x14ac:dyDescent="0.2">
      <c r="A171" s="461">
        <v>16.2</v>
      </c>
      <c r="C171" s="447" t="s">
        <v>1352</v>
      </c>
      <c r="D171" s="447"/>
      <c r="E171" s="448"/>
      <c r="F171" s="448"/>
      <c r="G171" s="448"/>
      <c r="H171" s="448"/>
      <c r="I171" s="448"/>
      <c r="J171" s="449" t="str">
        <f t="shared" si="256"/>
        <v/>
      </c>
      <c r="K171" s="449" t="str">
        <f t="shared" si="257"/>
        <v/>
      </c>
      <c r="L171" s="450">
        <f t="shared" si="255"/>
        <v>0</v>
      </c>
      <c r="M171" s="451" t="str">
        <f t="shared" si="235"/>
        <v/>
      </c>
      <c r="N171" s="452" t="str">
        <f t="shared" si="235"/>
        <v/>
      </c>
      <c r="O171" s="452" t="str">
        <f t="shared" si="235"/>
        <v/>
      </c>
      <c r="P171" s="452" t="str">
        <f t="shared" si="235"/>
        <v/>
      </c>
      <c r="Q171" s="453" t="str">
        <f t="shared" si="235"/>
        <v/>
      </c>
      <c r="R171" s="451" t="str">
        <f t="shared" si="235"/>
        <v/>
      </c>
      <c r="S171" s="452" t="str">
        <f t="shared" si="235"/>
        <v/>
      </c>
      <c r="T171" s="452" t="str">
        <f t="shared" si="235"/>
        <v/>
      </c>
      <c r="U171" s="452" t="str">
        <f t="shared" si="235"/>
        <v/>
      </c>
      <c r="V171" s="453" t="str">
        <f t="shared" si="235"/>
        <v/>
      </c>
      <c r="W171" s="451" t="str">
        <f t="shared" si="235"/>
        <v/>
      </c>
      <c r="X171" s="452" t="str">
        <f t="shared" si="235"/>
        <v/>
      </c>
      <c r="Y171" s="452" t="str">
        <f t="shared" si="235"/>
        <v/>
      </c>
      <c r="Z171" s="452" t="str">
        <f t="shared" si="235"/>
        <v/>
      </c>
      <c r="AA171" s="453" t="str">
        <f t="shared" si="235"/>
        <v/>
      </c>
      <c r="AB171" s="451" t="str">
        <f t="shared" ref="AB171" si="258">IF(AND(AB$2&gt;=$J171,AB$2&lt;=$K171),1,"")</f>
        <v/>
      </c>
      <c r="AC171" s="452" t="str">
        <f t="shared" si="246"/>
        <v/>
      </c>
      <c r="AD171" s="452" t="str">
        <f t="shared" si="246"/>
        <v/>
      </c>
      <c r="AE171" s="452" t="str">
        <f t="shared" si="246"/>
        <v/>
      </c>
      <c r="AF171" s="453" t="str">
        <f t="shared" si="246"/>
        <v/>
      </c>
      <c r="AG171" s="451" t="str">
        <f t="shared" si="246"/>
        <v/>
      </c>
      <c r="AH171" s="452" t="str">
        <f t="shared" si="246"/>
        <v/>
      </c>
      <c r="AI171" s="452" t="str">
        <f t="shared" si="246"/>
        <v/>
      </c>
      <c r="AJ171" s="452" t="str">
        <f t="shared" si="246"/>
        <v/>
      </c>
      <c r="AK171" s="453" t="str">
        <f t="shared" si="246"/>
        <v/>
      </c>
      <c r="AL171" s="451" t="str">
        <f t="shared" si="246"/>
        <v/>
      </c>
      <c r="AM171" s="452" t="str">
        <f t="shared" si="246"/>
        <v/>
      </c>
      <c r="AN171" s="452" t="str">
        <f t="shared" si="246"/>
        <v/>
      </c>
      <c r="AO171" s="452" t="str">
        <f t="shared" si="246"/>
        <v/>
      </c>
      <c r="AP171" s="453" t="str">
        <f t="shared" si="246"/>
        <v/>
      </c>
      <c r="AQ171" s="451" t="str">
        <f t="shared" si="246"/>
        <v/>
      </c>
      <c r="AR171" s="452" t="str">
        <f t="shared" si="246"/>
        <v/>
      </c>
      <c r="AS171" s="452" t="str">
        <f t="shared" si="243"/>
        <v/>
      </c>
      <c r="AT171" s="452" t="str">
        <f t="shared" si="243"/>
        <v/>
      </c>
      <c r="AU171" s="453" t="str">
        <f t="shared" si="243"/>
        <v/>
      </c>
      <c r="AV171" s="451" t="str">
        <f t="shared" si="243"/>
        <v/>
      </c>
      <c r="AW171" s="452" t="str">
        <f t="shared" si="243"/>
        <v/>
      </c>
      <c r="AX171" s="452" t="str">
        <f t="shared" si="243"/>
        <v/>
      </c>
      <c r="AY171" s="452" t="str">
        <f t="shared" si="243"/>
        <v/>
      </c>
      <c r="AZ171" s="453" t="str">
        <f t="shared" si="243"/>
        <v/>
      </c>
      <c r="BA171" s="451" t="str">
        <f t="shared" si="243"/>
        <v/>
      </c>
      <c r="BB171" s="452" t="str">
        <f t="shared" si="243"/>
        <v/>
      </c>
      <c r="BC171" s="452" t="str">
        <f t="shared" si="243"/>
        <v/>
      </c>
      <c r="BD171" s="452" t="str">
        <f t="shared" si="243"/>
        <v/>
      </c>
      <c r="BE171" s="453" t="str">
        <f t="shared" si="243"/>
        <v/>
      </c>
      <c r="BF171" s="451" t="str">
        <f t="shared" si="243"/>
        <v/>
      </c>
      <c r="BG171" s="452" t="str">
        <f t="shared" si="243"/>
        <v/>
      </c>
      <c r="BH171" s="452" t="str">
        <f t="shared" si="243"/>
        <v/>
      </c>
      <c r="BI171" s="452" t="str">
        <f t="shared" si="244"/>
        <v/>
      </c>
      <c r="BJ171" s="453" t="str">
        <f t="shared" si="244"/>
        <v/>
      </c>
      <c r="BK171" s="451" t="str">
        <f t="shared" si="244"/>
        <v/>
      </c>
      <c r="BL171" s="452" t="str">
        <f t="shared" si="244"/>
        <v/>
      </c>
      <c r="BM171" s="452" t="str">
        <f t="shared" si="244"/>
        <v/>
      </c>
      <c r="BN171" s="452" t="str">
        <f t="shared" si="244"/>
        <v/>
      </c>
      <c r="BO171" s="453" t="str">
        <f t="shared" si="244"/>
        <v/>
      </c>
      <c r="BP171" s="451" t="str">
        <f t="shared" si="244"/>
        <v/>
      </c>
      <c r="BQ171" s="452" t="str">
        <f t="shared" si="244"/>
        <v/>
      </c>
      <c r="BR171" s="452" t="str">
        <f t="shared" si="244"/>
        <v/>
      </c>
      <c r="BS171" s="452" t="str">
        <f t="shared" si="244"/>
        <v/>
      </c>
      <c r="BT171" s="453" t="str">
        <f t="shared" si="244"/>
        <v/>
      </c>
      <c r="BU171" s="451" t="str">
        <f t="shared" si="244"/>
        <v/>
      </c>
      <c r="BV171" s="452" t="str">
        <f t="shared" si="244"/>
        <v/>
      </c>
      <c r="BW171" s="452" t="str">
        <f t="shared" si="244"/>
        <v/>
      </c>
      <c r="BX171" s="452" t="str">
        <f t="shared" si="244"/>
        <v/>
      </c>
      <c r="BY171" s="453" t="str">
        <f t="shared" si="245"/>
        <v/>
      </c>
      <c r="BZ171" s="451" t="str">
        <f t="shared" si="245"/>
        <v/>
      </c>
      <c r="CA171" s="452" t="str">
        <f t="shared" si="245"/>
        <v/>
      </c>
      <c r="CB171" s="452" t="str">
        <f t="shared" si="245"/>
        <v/>
      </c>
      <c r="CC171" s="452" t="str">
        <f t="shared" si="245"/>
        <v/>
      </c>
      <c r="CD171" s="453" t="str">
        <f t="shared" si="245"/>
        <v/>
      </c>
      <c r="CE171" s="451" t="str">
        <f t="shared" si="245"/>
        <v/>
      </c>
      <c r="CF171" s="452" t="str">
        <f t="shared" si="245"/>
        <v/>
      </c>
      <c r="CG171" s="452" t="str">
        <f t="shared" si="245"/>
        <v/>
      </c>
      <c r="CH171" s="452" t="str">
        <f t="shared" si="245"/>
        <v/>
      </c>
      <c r="CI171" s="453" t="str">
        <f t="shared" si="245"/>
        <v/>
      </c>
      <c r="CJ171" s="451" t="str">
        <f t="shared" si="245"/>
        <v/>
      </c>
      <c r="CK171" s="452" t="str">
        <f t="shared" si="245"/>
        <v/>
      </c>
      <c r="CL171" s="452" t="str">
        <f t="shared" si="245"/>
        <v/>
      </c>
      <c r="CM171" s="452" t="str">
        <f t="shared" si="245"/>
        <v/>
      </c>
      <c r="CN171" s="453" t="str">
        <f t="shared" si="241"/>
        <v/>
      </c>
      <c r="CO171" s="451" t="str">
        <f t="shared" si="241"/>
        <v/>
      </c>
      <c r="CP171" s="452" t="str">
        <f t="shared" si="241"/>
        <v/>
      </c>
      <c r="CQ171" s="452" t="str">
        <f t="shared" si="241"/>
        <v/>
      </c>
      <c r="CR171" s="452" t="str">
        <f t="shared" si="241"/>
        <v/>
      </c>
      <c r="CS171" s="453" t="str">
        <f t="shared" si="241"/>
        <v/>
      </c>
      <c r="CT171" s="451" t="str">
        <f t="shared" si="241"/>
        <v/>
      </c>
      <c r="CU171" s="452" t="str">
        <f t="shared" si="241"/>
        <v/>
      </c>
      <c r="CV171" s="452" t="str">
        <f t="shared" si="241"/>
        <v/>
      </c>
      <c r="CW171" s="452" t="str">
        <f t="shared" si="241"/>
        <v/>
      </c>
      <c r="CX171" s="453" t="str">
        <f t="shared" si="241"/>
        <v/>
      </c>
      <c r="CY171" s="451" t="str">
        <f t="shared" si="241"/>
        <v/>
      </c>
      <c r="CZ171" s="452" t="str">
        <f t="shared" si="241"/>
        <v/>
      </c>
      <c r="DA171" s="452" t="str">
        <f t="shared" si="241"/>
        <v/>
      </c>
      <c r="DB171" s="452" t="str">
        <f t="shared" si="241"/>
        <v/>
      </c>
      <c r="DC171" s="453" t="str">
        <f t="shared" si="241"/>
        <v/>
      </c>
      <c r="DD171" s="451" t="str">
        <f t="shared" si="242"/>
        <v/>
      </c>
      <c r="DE171" s="452" t="str">
        <f t="shared" si="242"/>
        <v/>
      </c>
      <c r="DF171" s="452" t="str">
        <f t="shared" si="242"/>
        <v/>
      </c>
      <c r="DG171" s="452" t="str">
        <f t="shared" si="242"/>
        <v/>
      </c>
      <c r="DH171" s="453" t="str">
        <f t="shared" si="242"/>
        <v/>
      </c>
      <c r="DI171" s="451" t="str">
        <f t="shared" si="242"/>
        <v/>
      </c>
      <c r="DJ171" s="452" t="str">
        <f t="shared" si="242"/>
        <v/>
      </c>
      <c r="DK171" s="452" t="str">
        <f t="shared" si="242"/>
        <v/>
      </c>
      <c r="DL171" s="452" t="str">
        <f t="shared" si="242"/>
        <v/>
      </c>
      <c r="DM171" s="453" t="str">
        <f t="shared" si="242"/>
        <v/>
      </c>
      <c r="DN171" s="451" t="str">
        <f t="shared" si="242"/>
        <v/>
      </c>
      <c r="DO171" s="452" t="str">
        <f t="shared" si="242"/>
        <v/>
      </c>
      <c r="DP171" s="452" t="str">
        <f t="shared" si="242"/>
        <v/>
      </c>
      <c r="DQ171" s="452" t="str">
        <f t="shared" si="242"/>
        <v/>
      </c>
      <c r="DR171" s="453" t="str">
        <f t="shared" si="242"/>
        <v/>
      </c>
      <c r="DS171" s="451" t="str">
        <f t="shared" si="242"/>
        <v/>
      </c>
      <c r="DT171" s="452" t="str">
        <f t="shared" si="247"/>
        <v/>
      </c>
      <c r="DU171" s="452" t="str">
        <f t="shared" si="247"/>
        <v/>
      </c>
      <c r="DV171" s="452" t="str">
        <f t="shared" si="247"/>
        <v/>
      </c>
      <c r="DW171" s="453" t="str">
        <f t="shared" si="247"/>
        <v/>
      </c>
      <c r="DX171" s="451" t="str">
        <f t="shared" si="247"/>
        <v/>
      </c>
      <c r="DY171" s="452" t="str">
        <f t="shared" si="247"/>
        <v/>
      </c>
      <c r="DZ171" s="452" t="str">
        <f t="shared" si="247"/>
        <v/>
      </c>
      <c r="EA171" s="452" t="str">
        <f t="shared" si="247"/>
        <v/>
      </c>
      <c r="EB171" s="453" t="str">
        <f t="shared" si="247"/>
        <v/>
      </c>
      <c r="EC171" s="451" t="str">
        <f t="shared" si="247"/>
        <v/>
      </c>
      <c r="ED171" s="452" t="str">
        <f t="shared" si="247"/>
        <v/>
      </c>
      <c r="EE171" s="452" t="str">
        <f t="shared" si="247"/>
        <v/>
      </c>
      <c r="EF171" s="452" t="str">
        <f t="shared" si="247"/>
        <v/>
      </c>
      <c r="EG171" s="453" t="str">
        <f t="shared" si="247"/>
        <v/>
      </c>
      <c r="EH171" s="451" t="str">
        <f t="shared" si="247"/>
        <v/>
      </c>
      <c r="EI171" s="452" t="str">
        <f t="shared" si="247"/>
        <v/>
      </c>
      <c r="EJ171" s="452" t="str">
        <f t="shared" si="251"/>
        <v/>
      </c>
      <c r="EK171" s="452" t="str">
        <f t="shared" si="251"/>
        <v/>
      </c>
      <c r="EL171" s="453" t="str">
        <f t="shared" si="251"/>
        <v/>
      </c>
      <c r="EM171" s="451" t="str">
        <f t="shared" si="251"/>
        <v/>
      </c>
      <c r="EN171" s="452" t="str">
        <f t="shared" si="251"/>
        <v/>
      </c>
      <c r="EO171" s="452" t="str">
        <f t="shared" si="251"/>
        <v/>
      </c>
      <c r="EP171" s="452" t="str">
        <f t="shared" si="251"/>
        <v/>
      </c>
      <c r="EQ171" s="453" t="str">
        <f t="shared" si="251"/>
        <v/>
      </c>
      <c r="ER171" s="451" t="str">
        <f t="shared" si="251"/>
        <v/>
      </c>
      <c r="ES171" s="452" t="str">
        <f t="shared" si="251"/>
        <v/>
      </c>
      <c r="ET171" s="452" t="str">
        <f t="shared" si="251"/>
        <v/>
      </c>
      <c r="EU171" s="452" t="str">
        <f t="shared" si="251"/>
        <v/>
      </c>
      <c r="EV171" s="453" t="str">
        <f t="shared" si="251"/>
        <v/>
      </c>
      <c r="EW171" s="451" t="str">
        <f t="shared" si="251"/>
        <v/>
      </c>
      <c r="EX171" s="452" t="str">
        <f t="shared" si="251"/>
        <v/>
      </c>
      <c r="EY171" s="452" t="str">
        <f t="shared" si="251"/>
        <v/>
      </c>
      <c r="EZ171" s="452" t="str">
        <f t="shared" si="252"/>
        <v/>
      </c>
      <c r="FA171" s="453" t="str">
        <f t="shared" si="252"/>
        <v/>
      </c>
      <c r="FB171" s="451" t="str">
        <f t="shared" si="252"/>
        <v/>
      </c>
      <c r="FC171" s="452" t="str">
        <f t="shared" si="252"/>
        <v/>
      </c>
      <c r="FD171" s="452" t="str">
        <f t="shared" si="252"/>
        <v/>
      </c>
      <c r="FE171" s="452" t="str">
        <f t="shared" si="252"/>
        <v/>
      </c>
      <c r="FF171" s="453" t="str">
        <f t="shared" si="252"/>
        <v/>
      </c>
      <c r="FG171" s="451" t="str">
        <f t="shared" si="252"/>
        <v/>
      </c>
      <c r="FH171" s="452" t="str">
        <f t="shared" si="252"/>
        <v/>
      </c>
      <c r="FI171" s="452" t="str">
        <f t="shared" si="252"/>
        <v/>
      </c>
      <c r="FJ171" s="452" t="str">
        <f t="shared" si="252"/>
        <v/>
      </c>
      <c r="FK171" s="453" t="str">
        <f t="shared" si="252"/>
        <v/>
      </c>
      <c r="FL171" s="451" t="str">
        <f t="shared" si="252"/>
        <v/>
      </c>
      <c r="FM171" s="452" t="str">
        <f t="shared" si="252"/>
        <v/>
      </c>
      <c r="FN171" s="452" t="str">
        <f t="shared" si="252"/>
        <v/>
      </c>
      <c r="FO171" s="452" t="str">
        <f t="shared" si="248"/>
        <v/>
      </c>
      <c r="FP171" s="453" t="str">
        <f t="shared" si="248"/>
        <v/>
      </c>
      <c r="FQ171" s="451" t="str">
        <f t="shared" si="248"/>
        <v/>
      </c>
      <c r="FR171" s="452" t="str">
        <f t="shared" si="248"/>
        <v/>
      </c>
      <c r="FS171" s="452" t="str">
        <f t="shared" si="248"/>
        <v/>
      </c>
      <c r="FT171" s="452" t="str">
        <f t="shared" si="248"/>
        <v/>
      </c>
      <c r="FU171" s="453" t="str">
        <f t="shared" si="248"/>
        <v/>
      </c>
      <c r="FV171" s="451" t="str">
        <f t="shared" si="248"/>
        <v/>
      </c>
      <c r="FW171" s="452" t="str">
        <f t="shared" si="248"/>
        <v/>
      </c>
      <c r="FX171" s="452" t="str">
        <f t="shared" si="248"/>
        <v/>
      </c>
      <c r="FY171" s="452" t="str">
        <f t="shared" si="248"/>
        <v/>
      </c>
      <c r="FZ171" s="453" t="str">
        <f t="shared" si="248"/>
        <v/>
      </c>
      <c r="GA171" s="451" t="str">
        <f t="shared" si="248"/>
        <v/>
      </c>
      <c r="GB171" s="452" t="str">
        <f t="shared" si="248"/>
        <v/>
      </c>
      <c r="GC171" s="452" t="str">
        <f t="shared" si="248"/>
        <v/>
      </c>
      <c r="GD171" s="452" t="str">
        <f t="shared" si="249"/>
        <v/>
      </c>
      <c r="GE171" s="453" t="str">
        <f t="shared" si="249"/>
        <v/>
      </c>
      <c r="GF171" s="451" t="str">
        <f t="shared" si="249"/>
        <v/>
      </c>
      <c r="GG171" s="452" t="str">
        <f t="shared" si="249"/>
        <v/>
      </c>
      <c r="GH171" s="452" t="str">
        <f t="shared" si="249"/>
        <v/>
      </c>
      <c r="GI171" s="452" t="str">
        <f t="shared" si="249"/>
        <v/>
      </c>
      <c r="GJ171" s="453" t="str">
        <f t="shared" si="249"/>
        <v/>
      </c>
      <c r="GK171" s="451" t="str">
        <f t="shared" si="249"/>
        <v/>
      </c>
      <c r="GL171" s="452" t="str">
        <f t="shared" si="249"/>
        <v/>
      </c>
      <c r="GM171" s="452" t="str">
        <f t="shared" si="249"/>
        <v/>
      </c>
      <c r="GN171" s="452" t="str">
        <f t="shared" si="249"/>
        <v/>
      </c>
      <c r="GO171" s="453" t="str">
        <f t="shared" si="249"/>
        <v/>
      </c>
      <c r="GP171" s="451" t="str">
        <f t="shared" si="249"/>
        <v/>
      </c>
      <c r="GQ171" s="452" t="str">
        <f t="shared" si="249"/>
        <v/>
      </c>
      <c r="GR171" s="452" t="str">
        <f t="shared" si="249"/>
        <v/>
      </c>
      <c r="GS171" s="452" t="str">
        <f t="shared" si="249"/>
        <v/>
      </c>
      <c r="GT171" s="453" t="str">
        <f t="shared" si="253"/>
        <v/>
      </c>
      <c r="GU171" s="451" t="str">
        <f t="shared" si="253"/>
        <v/>
      </c>
      <c r="GV171" s="452" t="str">
        <f t="shared" si="253"/>
        <v/>
      </c>
      <c r="GW171" s="452" t="str">
        <f t="shared" si="253"/>
        <v/>
      </c>
      <c r="GX171" s="452" t="str">
        <f t="shared" si="253"/>
        <v/>
      </c>
      <c r="GY171" s="453" t="str">
        <f t="shared" si="253"/>
        <v/>
      </c>
      <c r="GZ171" s="451" t="str">
        <f t="shared" si="253"/>
        <v/>
      </c>
      <c r="HA171" s="452" t="str">
        <f t="shared" si="253"/>
        <v/>
      </c>
      <c r="HB171" s="452" t="str">
        <f t="shared" si="253"/>
        <v/>
      </c>
      <c r="HC171" s="452" t="str">
        <f t="shared" si="253"/>
        <v/>
      </c>
      <c r="HD171" s="453" t="str">
        <f t="shared" si="253"/>
        <v/>
      </c>
      <c r="HE171" s="451" t="str">
        <f t="shared" si="253"/>
        <v/>
      </c>
      <c r="HF171" s="452" t="str">
        <f t="shared" si="253"/>
        <v/>
      </c>
      <c r="HG171" s="452" t="str">
        <f t="shared" si="253"/>
        <v/>
      </c>
      <c r="HH171" s="452" t="str">
        <f t="shared" si="253"/>
        <v/>
      </c>
      <c r="HI171" s="453" t="str">
        <f t="shared" si="253"/>
        <v/>
      </c>
      <c r="HJ171" s="451" t="str">
        <f t="shared" si="250"/>
        <v/>
      </c>
      <c r="HK171" s="452" t="str">
        <f t="shared" si="250"/>
        <v/>
      </c>
      <c r="HL171" s="452" t="str">
        <f t="shared" si="250"/>
        <v/>
      </c>
      <c r="HM171" s="452" t="str">
        <f t="shared" si="250"/>
        <v/>
      </c>
      <c r="HN171" s="453" t="str">
        <f t="shared" si="250"/>
        <v/>
      </c>
      <c r="HO171" s="451" t="str">
        <f t="shared" si="250"/>
        <v/>
      </c>
      <c r="HP171" s="452" t="str">
        <f t="shared" si="250"/>
        <v/>
      </c>
      <c r="HQ171" s="452" t="str">
        <f t="shared" si="250"/>
        <v/>
      </c>
      <c r="HR171" s="452" t="str">
        <f t="shared" si="250"/>
        <v/>
      </c>
      <c r="HS171" s="453" t="str">
        <f t="shared" si="250"/>
        <v/>
      </c>
      <c r="HT171" s="451" t="str">
        <f t="shared" si="250"/>
        <v/>
      </c>
      <c r="HU171" s="452" t="str">
        <f t="shared" si="250"/>
        <v/>
      </c>
      <c r="HV171" s="452" t="str">
        <f t="shared" si="250"/>
        <v/>
      </c>
      <c r="HW171" s="452" t="str">
        <f t="shared" si="250"/>
        <v/>
      </c>
      <c r="HX171" s="453" t="str">
        <f t="shared" si="250"/>
        <v/>
      </c>
      <c r="HY171" s="451" t="str">
        <f t="shared" si="250"/>
        <v/>
      </c>
      <c r="HZ171" s="452" t="str">
        <f t="shared" si="250"/>
        <v/>
      </c>
      <c r="IA171" s="452" t="str">
        <f t="shared" si="254"/>
        <v/>
      </c>
      <c r="IB171" s="452" t="str">
        <f t="shared" si="254"/>
        <v/>
      </c>
      <c r="IC171" s="453" t="str">
        <f t="shared" si="254"/>
        <v/>
      </c>
      <c r="ID171" s="451" t="str">
        <f t="shared" si="237"/>
        <v/>
      </c>
      <c r="IE171" s="452" t="str">
        <f t="shared" si="237"/>
        <v/>
      </c>
      <c r="IF171" s="452" t="str">
        <f t="shared" si="237"/>
        <v/>
      </c>
      <c r="IG171" s="452" t="str">
        <f t="shared" si="237"/>
        <v/>
      </c>
      <c r="IH171" s="453" t="str">
        <f t="shared" si="237"/>
        <v/>
      </c>
      <c r="II171" s="451" t="str">
        <f t="shared" si="237"/>
        <v/>
      </c>
      <c r="IJ171" s="452" t="str">
        <f t="shared" si="237"/>
        <v/>
      </c>
      <c r="IK171" s="452" t="str">
        <f t="shared" si="237"/>
        <v/>
      </c>
      <c r="IL171" s="452" t="str">
        <f t="shared" si="237"/>
        <v/>
      </c>
      <c r="IM171" s="453" t="str">
        <f t="shared" si="237"/>
        <v/>
      </c>
      <c r="IN171" s="451" t="str">
        <f t="shared" si="237"/>
        <v/>
      </c>
      <c r="IO171" s="452" t="str">
        <f t="shared" si="237"/>
        <v/>
      </c>
      <c r="IP171" s="452" t="str">
        <f t="shared" si="237"/>
        <v/>
      </c>
      <c r="IQ171" s="452" t="str">
        <f t="shared" si="237"/>
        <v/>
      </c>
      <c r="IR171" s="453" t="str">
        <f t="shared" si="237"/>
        <v/>
      </c>
    </row>
    <row r="172" spans="1:252" x14ac:dyDescent="0.2">
      <c r="A172" s="461">
        <v>16.3</v>
      </c>
      <c r="C172" s="447" t="s">
        <v>1353</v>
      </c>
      <c r="D172" s="447"/>
      <c r="E172" s="448"/>
      <c r="F172" s="448"/>
      <c r="G172" s="448"/>
      <c r="H172" s="448"/>
      <c r="I172" s="448"/>
      <c r="J172" s="449" t="str">
        <f t="shared" si="256"/>
        <v/>
      </c>
      <c r="K172" s="449" t="str">
        <f t="shared" si="257"/>
        <v/>
      </c>
      <c r="L172" s="450">
        <f t="shared" si="255"/>
        <v>0</v>
      </c>
      <c r="M172" s="451" t="str">
        <f t="shared" ref="M172:AB187" si="259">IF(AND(M$2&gt;=$J172,M$2&lt;=$K172),1,"")</f>
        <v/>
      </c>
      <c r="N172" s="452" t="str">
        <f t="shared" si="259"/>
        <v/>
      </c>
      <c r="O172" s="452" t="str">
        <f t="shared" si="259"/>
        <v/>
      </c>
      <c r="P172" s="452" t="str">
        <f t="shared" si="259"/>
        <v/>
      </c>
      <c r="Q172" s="453" t="str">
        <f t="shared" si="259"/>
        <v/>
      </c>
      <c r="R172" s="451" t="str">
        <f t="shared" si="259"/>
        <v/>
      </c>
      <c r="S172" s="452" t="str">
        <f t="shared" si="259"/>
        <v/>
      </c>
      <c r="T172" s="452" t="str">
        <f t="shared" si="259"/>
        <v/>
      </c>
      <c r="U172" s="452" t="str">
        <f t="shared" si="259"/>
        <v/>
      </c>
      <c r="V172" s="453" t="str">
        <f t="shared" si="259"/>
        <v/>
      </c>
      <c r="W172" s="451" t="str">
        <f t="shared" si="259"/>
        <v/>
      </c>
      <c r="X172" s="452" t="str">
        <f t="shared" si="259"/>
        <v/>
      </c>
      <c r="Y172" s="452" t="str">
        <f t="shared" si="259"/>
        <v/>
      </c>
      <c r="Z172" s="452" t="str">
        <f t="shared" si="259"/>
        <v/>
      </c>
      <c r="AA172" s="453" t="str">
        <f t="shared" si="259"/>
        <v/>
      </c>
      <c r="AB172" s="451" t="str">
        <f t="shared" si="259"/>
        <v/>
      </c>
      <c r="AC172" s="452" t="str">
        <f t="shared" si="246"/>
        <v/>
      </c>
      <c r="AD172" s="452" t="str">
        <f t="shared" si="246"/>
        <v/>
      </c>
      <c r="AE172" s="452" t="str">
        <f t="shared" si="246"/>
        <v/>
      </c>
      <c r="AF172" s="453" t="str">
        <f t="shared" si="246"/>
        <v/>
      </c>
      <c r="AG172" s="451" t="str">
        <f t="shared" si="246"/>
        <v/>
      </c>
      <c r="AH172" s="452" t="str">
        <f t="shared" si="246"/>
        <v/>
      </c>
      <c r="AI172" s="452" t="str">
        <f t="shared" si="246"/>
        <v/>
      </c>
      <c r="AJ172" s="452" t="str">
        <f t="shared" si="246"/>
        <v/>
      </c>
      <c r="AK172" s="453" t="str">
        <f t="shared" si="246"/>
        <v/>
      </c>
      <c r="AL172" s="451" t="str">
        <f t="shared" si="246"/>
        <v/>
      </c>
      <c r="AM172" s="452" t="str">
        <f t="shared" si="246"/>
        <v/>
      </c>
      <c r="AN172" s="452" t="str">
        <f t="shared" si="246"/>
        <v/>
      </c>
      <c r="AO172" s="452" t="str">
        <f t="shared" si="246"/>
        <v/>
      </c>
      <c r="AP172" s="453" t="str">
        <f t="shared" si="246"/>
        <v/>
      </c>
      <c r="AQ172" s="451" t="str">
        <f t="shared" si="246"/>
        <v/>
      </c>
      <c r="AR172" s="452" t="str">
        <f t="shared" si="246"/>
        <v/>
      </c>
      <c r="AS172" s="452" t="str">
        <f t="shared" si="243"/>
        <v/>
      </c>
      <c r="AT172" s="452" t="str">
        <f t="shared" si="243"/>
        <v/>
      </c>
      <c r="AU172" s="453" t="str">
        <f t="shared" si="243"/>
        <v/>
      </c>
      <c r="AV172" s="451" t="str">
        <f t="shared" si="243"/>
        <v/>
      </c>
      <c r="AW172" s="452" t="str">
        <f t="shared" si="243"/>
        <v/>
      </c>
      <c r="AX172" s="452" t="str">
        <f t="shared" si="243"/>
        <v/>
      </c>
      <c r="AY172" s="452" t="str">
        <f t="shared" si="243"/>
        <v/>
      </c>
      <c r="AZ172" s="453" t="str">
        <f t="shared" si="243"/>
        <v/>
      </c>
      <c r="BA172" s="451" t="str">
        <f t="shared" si="243"/>
        <v/>
      </c>
      <c r="BB172" s="452" t="str">
        <f t="shared" si="243"/>
        <v/>
      </c>
      <c r="BC172" s="452" t="str">
        <f t="shared" si="243"/>
        <v/>
      </c>
      <c r="BD172" s="452" t="str">
        <f t="shared" si="243"/>
        <v/>
      </c>
      <c r="BE172" s="453" t="str">
        <f t="shared" si="243"/>
        <v/>
      </c>
      <c r="BF172" s="451" t="str">
        <f t="shared" si="243"/>
        <v/>
      </c>
      <c r="BG172" s="452" t="str">
        <f t="shared" si="243"/>
        <v/>
      </c>
      <c r="BH172" s="452" t="str">
        <f t="shared" si="243"/>
        <v/>
      </c>
      <c r="BI172" s="452" t="str">
        <f t="shared" si="244"/>
        <v/>
      </c>
      <c r="BJ172" s="453" t="str">
        <f t="shared" si="244"/>
        <v/>
      </c>
      <c r="BK172" s="451" t="str">
        <f t="shared" si="244"/>
        <v/>
      </c>
      <c r="BL172" s="452" t="str">
        <f t="shared" si="244"/>
        <v/>
      </c>
      <c r="BM172" s="452" t="str">
        <f t="shared" si="244"/>
        <v/>
      </c>
      <c r="BN172" s="452" t="str">
        <f t="shared" si="244"/>
        <v/>
      </c>
      <c r="BO172" s="453" t="str">
        <f t="shared" si="244"/>
        <v/>
      </c>
      <c r="BP172" s="451" t="str">
        <f t="shared" si="244"/>
        <v/>
      </c>
      <c r="BQ172" s="452" t="str">
        <f t="shared" si="244"/>
        <v/>
      </c>
      <c r="BR172" s="452" t="str">
        <f t="shared" si="244"/>
        <v/>
      </c>
      <c r="BS172" s="452" t="str">
        <f t="shared" si="244"/>
        <v/>
      </c>
      <c r="BT172" s="453" t="str">
        <f t="shared" si="244"/>
        <v/>
      </c>
      <c r="BU172" s="451" t="str">
        <f t="shared" si="244"/>
        <v/>
      </c>
      <c r="BV172" s="452" t="str">
        <f t="shared" si="244"/>
        <v/>
      </c>
      <c r="BW172" s="452" t="str">
        <f t="shared" si="244"/>
        <v/>
      </c>
      <c r="BX172" s="452" t="str">
        <f t="shared" si="244"/>
        <v/>
      </c>
      <c r="BY172" s="453" t="str">
        <f t="shared" si="245"/>
        <v/>
      </c>
      <c r="BZ172" s="451" t="str">
        <f t="shared" si="245"/>
        <v/>
      </c>
      <c r="CA172" s="452" t="str">
        <f t="shared" si="245"/>
        <v/>
      </c>
      <c r="CB172" s="452" t="str">
        <f t="shared" si="245"/>
        <v/>
      </c>
      <c r="CC172" s="452" t="str">
        <f t="shared" si="245"/>
        <v/>
      </c>
      <c r="CD172" s="453" t="str">
        <f t="shared" si="245"/>
        <v/>
      </c>
      <c r="CE172" s="451" t="str">
        <f t="shared" si="245"/>
        <v/>
      </c>
      <c r="CF172" s="452" t="str">
        <f t="shared" si="245"/>
        <v/>
      </c>
      <c r="CG172" s="452" t="str">
        <f t="shared" si="245"/>
        <v/>
      </c>
      <c r="CH172" s="452" t="str">
        <f t="shared" si="245"/>
        <v/>
      </c>
      <c r="CI172" s="453" t="str">
        <f t="shared" si="245"/>
        <v/>
      </c>
      <c r="CJ172" s="451" t="str">
        <f t="shared" si="245"/>
        <v/>
      </c>
      <c r="CK172" s="452" t="str">
        <f t="shared" si="245"/>
        <v/>
      </c>
      <c r="CL172" s="452" t="str">
        <f t="shared" si="245"/>
        <v/>
      </c>
      <c r="CM172" s="452" t="str">
        <f t="shared" si="245"/>
        <v/>
      </c>
      <c r="CN172" s="453" t="str">
        <f t="shared" si="241"/>
        <v/>
      </c>
      <c r="CO172" s="451" t="str">
        <f t="shared" si="241"/>
        <v/>
      </c>
      <c r="CP172" s="452" t="str">
        <f t="shared" si="241"/>
        <v/>
      </c>
      <c r="CQ172" s="452" t="str">
        <f t="shared" si="241"/>
        <v/>
      </c>
      <c r="CR172" s="452" t="str">
        <f t="shared" si="241"/>
        <v/>
      </c>
      <c r="CS172" s="453" t="str">
        <f t="shared" si="241"/>
        <v/>
      </c>
      <c r="CT172" s="451" t="str">
        <f t="shared" si="241"/>
        <v/>
      </c>
      <c r="CU172" s="452" t="str">
        <f t="shared" si="241"/>
        <v/>
      </c>
      <c r="CV172" s="452" t="str">
        <f t="shared" si="241"/>
        <v/>
      </c>
      <c r="CW172" s="452" t="str">
        <f t="shared" si="241"/>
        <v/>
      </c>
      <c r="CX172" s="453" t="str">
        <f t="shared" si="241"/>
        <v/>
      </c>
      <c r="CY172" s="451" t="str">
        <f t="shared" si="241"/>
        <v/>
      </c>
      <c r="CZ172" s="452" t="str">
        <f t="shared" si="241"/>
        <v/>
      </c>
      <c r="DA172" s="452" t="str">
        <f t="shared" si="241"/>
        <v/>
      </c>
      <c r="DB172" s="452" t="str">
        <f t="shared" si="241"/>
        <v/>
      </c>
      <c r="DC172" s="453" t="str">
        <f t="shared" si="241"/>
        <v/>
      </c>
      <c r="DD172" s="451" t="str">
        <f t="shared" si="242"/>
        <v/>
      </c>
      <c r="DE172" s="452" t="str">
        <f t="shared" si="242"/>
        <v/>
      </c>
      <c r="DF172" s="452" t="str">
        <f t="shared" si="242"/>
        <v/>
      </c>
      <c r="DG172" s="452" t="str">
        <f t="shared" si="242"/>
        <v/>
      </c>
      <c r="DH172" s="453" t="str">
        <f t="shared" si="242"/>
        <v/>
      </c>
      <c r="DI172" s="451" t="str">
        <f t="shared" si="242"/>
        <v/>
      </c>
      <c r="DJ172" s="452" t="str">
        <f t="shared" si="242"/>
        <v/>
      </c>
      <c r="DK172" s="452" t="str">
        <f t="shared" si="242"/>
        <v/>
      </c>
      <c r="DL172" s="452" t="str">
        <f t="shared" si="242"/>
        <v/>
      </c>
      <c r="DM172" s="453" t="str">
        <f t="shared" si="242"/>
        <v/>
      </c>
      <c r="DN172" s="451" t="str">
        <f t="shared" si="242"/>
        <v/>
      </c>
      <c r="DO172" s="452" t="str">
        <f t="shared" si="242"/>
        <v/>
      </c>
      <c r="DP172" s="452" t="str">
        <f t="shared" si="242"/>
        <v/>
      </c>
      <c r="DQ172" s="452" t="str">
        <f t="shared" si="242"/>
        <v/>
      </c>
      <c r="DR172" s="453" t="str">
        <f t="shared" si="242"/>
        <v/>
      </c>
      <c r="DS172" s="451" t="str">
        <f t="shared" si="242"/>
        <v/>
      </c>
      <c r="DT172" s="452" t="str">
        <f t="shared" si="247"/>
        <v/>
      </c>
      <c r="DU172" s="452" t="str">
        <f t="shared" si="247"/>
        <v/>
      </c>
      <c r="DV172" s="452" t="str">
        <f t="shared" si="247"/>
        <v/>
      </c>
      <c r="DW172" s="453" t="str">
        <f t="shared" si="247"/>
        <v/>
      </c>
      <c r="DX172" s="451" t="str">
        <f t="shared" si="247"/>
        <v/>
      </c>
      <c r="DY172" s="452" t="str">
        <f t="shared" si="247"/>
        <v/>
      </c>
      <c r="DZ172" s="452" t="str">
        <f t="shared" si="247"/>
        <v/>
      </c>
      <c r="EA172" s="452" t="str">
        <f t="shared" si="247"/>
        <v/>
      </c>
      <c r="EB172" s="453" t="str">
        <f t="shared" si="247"/>
        <v/>
      </c>
      <c r="EC172" s="451" t="str">
        <f t="shared" si="247"/>
        <v/>
      </c>
      <c r="ED172" s="452" t="str">
        <f t="shared" si="247"/>
        <v/>
      </c>
      <c r="EE172" s="452" t="str">
        <f t="shared" si="247"/>
        <v/>
      </c>
      <c r="EF172" s="452" t="str">
        <f t="shared" si="247"/>
        <v/>
      </c>
      <c r="EG172" s="453" t="str">
        <f t="shared" si="247"/>
        <v/>
      </c>
      <c r="EH172" s="451" t="str">
        <f t="shared" si="247"/>
        <v/>
      </c>
      <c r="EI172" s="452" t="str">
        <f t="shared" si="247"/>
        <v/>
      </c>
      <c r="EJ172" s="452" t="str">
        <f t="shared" si="251"/>
        <v/>
      </c>
      <c r="EK172" s="452" t="str">
        <f t="shared" si="251"/>
        <v/>
      </c>
      <c r="EL172" s="453" t="str">
        <f t="shared" si="251"/>
        <v/>
      </c>
      <c r="EM172" s="451" t="str">
        <f t="shared" si="251"/>
        <v/>
      </c>
      <c r="EN172" s="452" t="str">
        <f t="shared" si="251"/>
        <v/>
      </c>
      <c r="EO172" s="452" t="str">
        <f t="shared" si="251"/>
        <v/>
      </c>
      <c r="EP172" s="452" t="str">
        <f t="shared" si="251"/>
        <v/>
      </c>
      <c r="EQ172" s="453" t="str">
        <f t="shared" si="251"/>
        <v/>
      </c>
      <c r="ER172" s="451" t="str">
        <f t="shared" si="251"/>
        <v/>
      </c>
      <c r="ES172" s="452" t="str">
        <f t="shared" si="251"/>
        <v/>
      </c>
      <c r="ET172" s="452" t="str">
        <f t="shared" si="251"/>
        <v/>
      </c>
      <c r="EU172" s="452" t="str">
        <f t="shared" si="251"/>
        <v/>
      </c>
      <c r="EV172" s="453" t="str">
        <f t="shared" si="251"/>
        <v/>
      </c>
      <c r="EW172" s="451" t="str">
        <f t="shared" si="251"/>
        <v/>
      </c>
      <c r="EX172" s="452" t="str">
        <f t="shared" si="251"/>
        <v/>
      </c>
      <c r="EY172" s="452" t="str">
        <f t="shared" si="251"/>
        <v/>
      </c>
      <c r="EZ172" s="452" t="str">
        <f t="shared" si="252"/>
        <v/>
      </c>
      <c r="FA172" s="453" t="str">
        <f t="shared" si="252"/>
        <v/>
      </c>
      <c r="FB172" s="451" t="str">
        <f t="shared" si="252"/>
        <v/>
      </c>
      <c r="FC172" s="452" t="str">
        <f t="shared" si="252"/>
        <v/>
      </c>
      <c r="FD172" s="452" t="str">
        <f t="shared" si="252"/>
        <v/>
      </c>
      <c r="FE172" s="452" t="str">
        <f t="shared" si="252"/>
        <v/>
      </c>
      <c r="FF172" s="453" t="str">
        <f t="shared" si="252"/>
        <v/>
      </c>
      <c r="FG172" s="451" t="str">
        <f t="shared" si="252"/>
        <v/>
      </c>
      <c r="FH172" s="452" t="str">
        <f t="shared" si="252"/>
        <v/>
      </c>
      <c r="FI172" s="452" t="str">
        <f t="shared" si="252"/>
        <v/>
      </c>
      <c r="FJ172" s="452" t="str">
        <f t="shared" si="252"/>
        <v/>
      </c>
      <c r="FK172" s="453" t="str">
        <f t="shared" si="252"/>
        <v/>
      </c>
      <c r="FL172" s="451" t="str">
        <f t="shared" si="252"/>
        <v/>
      </c>
      <c r="FM172" s="452" t="str">
        <f t="shared" si="252"/>
        <v/>
      </c>
      <c r="FN172" s="452" t="str">
        <f t="shared" si="252"/>
        <v/>
      </c>
      <c r="FO172" s="452" t="str">
        <f t="shared" si="248"/>
        <v/>
      </c>
      <c r="FP172" s="453" t="str">
        <f t="shared" si="248"/>
        <v/>
      </c>
      <c r="FQ172" s="451" t="str">
        <f t="shared" si="248"/>
        <v/>
      </c>
      <c r="FR172" s="452" t="str">
        <f t="shared" si="248"/>
        <v/>
      </c>
      <c r="FS172" s="452" t="str">
        <f t="shared" si="248"/>
        <v/>
      </c>
      <c r="FT172" s="452" t="str">
        <f t="shared" si="248"/>
        <v/>
      </c>
      <c r="FU172" s="453" t="str">
        <f t="shared" si="248"/>
        <v/>
      </c>
      <c r="FV172" s="451" t="str">
        <f t="shared" si="248"/>
        <v/>
      </c>
      <c r="FW172" s="452" t="str">
        <f t="shared" si="248"/>
        <v/>
      </c>
      <c r="FX172" s="452" t="str">
        <f t="shared" si="248"/>
        <v/>
      </c>
      <c r="FY172" s="452" t="str">
        <f t="shared" si="248"/>
        <v/>
      </c>
      <c r="FZ172" s="453" t="str">
        <f t="shared" si="248"/>
        <v/>
      </c>
      <c r="GA172" s="451" t="str">
        <f t="shared" si="248"/>
        <v/>
      </c>
      <c r="GB172" s="452" t="str">
        <f t="shared" si="248"/>
        <v/>
      </c>
      <c r="GC172" s="452" t="str">
        <f t="shared" si="248"/>
        <v/>
      </c>
      <c r="GD172" s="452" t="str">
        <f t="shared" si="249"/>
        <v/>
      </c>
      <c r="GE172" s="453" t="str">
        <f t="shared" si="249"/>
        <v/>
      </c>
      <c r="GF172" s="451" t="str">
        <f t="shared" si="249"/>
        <v/>
      </c>
      <c r="GG172" s="452" t="str">
        <f t="shared" si="249"/>
        <v/>
      </c>
      <c r="GH172" s="452" t="str">
        <f t="shared" si="249"/>
        <v/>
      </c>
      <c r="GI172" s="452" t="str">
        <f t="shared" si="249"/>
        <v/>
      </c>
      <c r="GJ172" s="453" t="str">
        <f t="shared" si="249"/>
        <v/>
      </c>
      <c r="GK172" s="451" t="str">
        <f t="shared" si="249"/>
        <v/>
      </c>
      <c r="GL172" s="452" t="str">
        <f t="shared" si="249"/>
        <v/>
      </c>
      <c r="GM172" s="452" t="str">
        <f t="shared" si="249"/>
        <v/>
      </c>
      <c r="GN172" s="452" t="str">
        <f t="shared" si="249"/>
        <v/>
      </c>
      <c r="GO172" s="453" t="str">
        <f t="shared" si="249"/>
        <v/>
      </c>
      <c r="GP172" s="451" t="str">
        <f t="shared" si="249"/>
        <v/>
      </c>
      <c r="GQ172" s="452" t="str">
        <f t="shared" si="249"/>
        <v/>
      </c>
      <c r="GR172" s="452" t="str">
        <f t="shared" si="249"/>
        <v/>
      </c>
      <c r="GS172" s="452" t="str">
        <f t="shared" si="249"/>
        <v/>
      </c>
      <c r="GT172" s="453" t="str">
        <f t="shared" si="253"/>
        <v/>
      </c>
      <c r="GU172" s="451" t="str">
        <f t="shared" si="253"/>
        <v/>
      </c>
      <c r="GV172" s="452" t="str">
        <f t="shared" si="253"/>
        <v/>
      </c>
      <c r="GW172" s="452" t="str">
        <f t="shared" si="253"/>
        <v/>
      </c>
      <c r="GX172" s="452" t="str">
        <f t="shared" si="253"/>
        <v/>
      </c>
      <c r="GY172" s="453" t="str">
        <f t="shared" si="253"/>
        <v/>
      </c>
      <c r="GZ172" s="451" t="str">
        <f t="shared" si="253"/>
        <v/>
      </c>
      <c r="HA172" s="452" t="str">
        <f t="shared" si="253"/>
        <v/>
      </c>
      <c r="HB172" s="452" t="str">
        <f t="shared" si="253"/>
        <v/>
      </c>
      <c r="HC172" s="452" t="str">
        <f t="shared" si="253"/>
        <v/>
      </c>
      <c r="HD172" s="453" t="str">
        <f t="shared" si="253"/>
        <v/>
      </c>
      <c r="HE172" s="451" t="str">
        <f t="shared" si="253"/>
        <v/>
      </c>
      <c r="HF172" s="452" t="str">
        <f t="shared" si="253"/>
        <v/>
      </c>
      <c r="HG172" s="452" t="str">
        <f t="shared" si="253"/>
        <v/>
      </c>
      <c r="HH172" s="452" t="str">
        <f t="shared" si="253"/>
        <v/>
      </c>
      <c r="HI172" s="453" t="str">
        <f t="shared" si="253"/>
        <v/>
      </c>
      <c r="HJ172" s="451" t="str">
        <f t="shared" si="250"/>
        <v/>
      </c>
      <c r="HK172" s="452" t="str">
        <f t="shared" si="250"/>
        <v/>
      </c>
      <c r="HL172" s="452" t="str">
        <f t="shared" si="250"/>
        <v/>
      </c>
      <c r="HM172" s="452" t="str">
        <f t="shared" si="250"/>
        <v/>
      </c>
      <c r="HN172" s="453" t="str">
        <f t="shared" si="250"/>
        <v/>
      </c>
      <c r="HO172" s="451" t="str">
        <f t="shared" si="250"/>
        <v/>
      </c>
      <c r="HP172" s="452" t="str">
        <f t="shared" si="250"/>
        <v/>
      </c>
      <c r="HQ172" s="452" t="str">
        <f t="shared" si="250"/>
        <v/>
      </c>
      <c r="HR172" s="452" t="str">
        <f t="shared" si="250"/>
        <v/>
      </c>
      <c r="HS172" s="453" t="str">
        <f t="shared" si="250"/>
        <v/>
      </c>
      <c r="HT172" s="451" t="str">
        <f t="shared" si="250"/>
        <v/>
      </c>
      <c r="HU172" s="452" t="str">
        <f t="shared" si="250"/>
        <v/>
      </c>
      <c r="HV172" s="452" t="str">
        <f t="shared" si="250"/>
        <v/>
      </c>
      <c r="HW172" s="452" t="str">
        <f t="shared" si="250"/>
        <v/>
      </c>
      <c r="HX172" s="453" t="str">
        <f t="shared" si="250"/>
        <v/>
      </c>
      <c r="HY172" s="451" t="str">
        <f t="shared" si="250"/>
        <v/>
      </c>
      <c r="HZ172" s="452" t="str">
        <f t="shared" si="250"/>
        <v/>
      </c>
      <c r="IA172" s="452" t="str">
        <f t="shared" si="254"/>
        <v/>
      </c>
      <c r="IB172" s="452" t="str">
        <f t="shared" si="254"/>
        <v/>
      </c>
      <c r="IC172" s="453" t="str">
        <f t="shared" si="254"/>
        <v/>
      </c>
      <c r="ID172" s="451" t="str">
        <f t="shared" si="237"/>
        <v/>
      </c>
      <c r="IE172" s="452" t="str">
        <f t="shared" si="237"/>
        <v/>
      </c>
      <c r="IF172" s="452" t="str">
        <f t="shared" si="237"/>
        <v/>
      </c>
      <c r="IG172" s="452" t="str">
        <f t="shared" si="237"/>
        <v/>
      </c>
      <c r="IH172" s="453" t="str">
        <f t="shared" si="237"/>
        <v/>
      </c>
      <c r="II172" s="451" t="str">
        <f t="shared" si="237"/>
        <v/>
      </c>
      <c r="IJ172" s="452" t="str">
        <f t="shared" si="237"/>
        <v/>
      </c>
      <c r="IK172" s="452" t="str">
        <f t="shared" si="237"/>
        <v/>
      </c>
      <c r="IL172" s="452" t="str">
        <f t="shared" si="237"/>
        <v/>
      </c>
      <c r="IM172" s="453" t="str">
        <f t="shared" si="237"/>
        <v/>
      </c>
      <c r="IN172" s="451" t="str">
        <f t="shared" si="237"/>
        <v/>
      </c>
      <c r="IO172" s="452" t="str">
        <f t="shared" si="237"/>
        <v/>
      </c>
      <c r="IP172" s="452" t="str">
        <f t="shared" si="237"/>
        <v/>
      </c>
      <c r="IQ172" s="452" t="str">
        <f t="shared" si="237"/>
        <v/>
      </c>
      <c r="IR172" s="453" t="str">
        <f t="shared" si="237"/>
        <v/>
      </c>
    </row>
    <row r="173" spans="1:252" x14ac:dyDescent="0.2">
      <c r="A173" s="461">
        <v>16.399999999999999</v>
      </c>
      <c r="C173" s="447" t="s">
        <v>1354</v>
      </c>
      <c r="D173" s="447"/>
      <c r="E173" s="448"/>
      <c r="F173" s="448"/>
      <c r="G173" s="448"/>
      <c r="H173" s="448"/>
      <c r="I173" s="448"/>
      <c r="J173" s="449" t="str">
        <f t="shared" si="256"/>
        <v/>
      </c>
      <c r="K173" s="449" t="str">
        <f t="shared" si="257"/>
        <v/>
      </c>
      <c r="L173" s="450">
        <f t="shared" si="255"/>
        <v>0</v>
      </c>
      <c r="M173" s="451" t="str">
        <f t="shared" si="259"/>
        <v/>
      </c>
      <c r="N173" s="452" t="str">
        <f t="shared" si="259"/>
        <v/>
      </c>
      <c r="O173" s="452" t="str">
        <f t="shared" si="259"/>
        <v/>
      </c>
      <c r="P173" s="452" t="str">
        <f t="shared" si="259"/>
        <v/>
      </c>
      <c r="Q173" s="453" t="str">
        <f t="shared" si="259"/>
        <v/>
      </c>
      <c r="R173" s="451" t="str">
        <f t="shared" si="259"/>
        <v/>
      </c>
      <c r="S173" s="452" t="str">
        <f t="shared" si="259"/>
        <v/>
      </c>
      <c r="T173" s="452" t="str">
        <f t="shared" si="259"/>
        <v/>
      </c>
      <c r="U173" s="452" t="str">
        <f t="shared" si="259"/>
        <v/>
      </c>
      <c r="V173" s="453" t="str">
        <f t="shared" si="259"/>
        <v/>
      </c>
      <c r="W173" s="451" t="str">
        <f t="shared" si="259"/>
        <v/>
      </c>
      <c r="X173" s="452" t="str">
        <f t="shared" si="259"/>
        <v/>
      </c>
      <c r="Y173" s="452" t="str">
        <f t="shared" si="259"/>
        <v/>
      </c>
      <c r="Z173" s="452" t="str">
        <f t="shared" si="259"/>
        <v/>
      </c>
      <c r="AA173" s="453" t="str">
        <f t="shared" si="259"/>
        <v/>
      </c>
      <c r="AB173" s="451" t="str">
        <f t="shared" si="259"/>
        <v/>
      </c>
      <c r="AC173" s="452" t="str">
        <f t="shared" si="246"/>
        <v/>
      </c>
      <c r="AD173" s="452" t="str">
        <f t="shared" si="246"/>
        <v/>
      </c>
      <c r="AE173" s="452" t="str">
        <f t="shared" si="246"/>
        <v/>
      </c>
      <c r="AF173" s="453" t="str">
        <f t="shared" si="246"/>
        <v/>
      </c>
      <c r="AG173" s="451" t="str">
        <f t="shared" si="246"/>
        <v/>
      </c>
      <c r="AH173" s="452" t="str">
        <f t="shared" si="246"/>
        <v/>
      </c>
      <c r="AI173" s="452" t="str">
        <f t="shared" si="246"/>
        <v/>
      </c>
      <c r="AJ173" s="452" t="str">
        <f t="shared" si="246"/>
        <v/>
      </c>
      <c r="AK173" s="453" t="str">
        <f t="shared" si="246"/>
        <v/>
      </c>
      <c r="AL173" s="451" t="str">
        <f t="shared" si="246"/>
        <v/>
      </c>
      <c r="AM173" s="452" t="str">
        <f t="shared" si="246"/>
        <v/>
      </c>
      <c r="AN173" s="452" t="str">
        <f t="shared" si="246"/>
        <v/>
      </c>
      <c r="AO173" s="452" t="str">
        <f t="shared" si="246"/>
        <v/>
      </c>
      <c r="AP173" s="453" t="str">
        <f t="shared" si="246"/>
        <v/>
      </c>
      <c r="AQ173" s="451" t="str">
        <f t="shared" si="246"/>
        <v/>
      </c>
      <c r="AR173" s="452" t="str">
        <f t="shared" si="246"/>
        <v/>
      </c>
      <c r="AS173" s="452" t="str">
        <f t="shared" si="243"/>
        <v/>
      </c>
      <c r="AT173" s="452" t="str">
        <f t="shared" si="243"/>
        <v/>
      </c>
      <c r="AU173" s="453" t="str">
        <f t="shared" si="243"/>
        <v/>
      </c>
      <c r="AV173" s="451" t="str">
        <f t="shared" si="243"/>
        <v/>
      </c>
      <c r="AW173" s="452" t="str">
        <f t="shared" si="243"/>
        <v/>
      </c>
      <c r="AX173" s="452" t="str">
        <f t="shared" si="243"/>
        <v/>
      </c>
      <c r="AY173" s="452" t="str">
        <f t="shared" si="243"/>
        <v/>
      </c>
      <c r="AZ173" s="453" t="str">
        <f t="shared" si="243"/>
        <v/>
      </c>
      <c r="BA173" s="451" t="str">
        <f t="shared" si="243"/>
        <v/>
      </c>
      <c r="BB173" s="452" t="str">
        <f t="shared" si="243"/>
        <v/>
      </c>
      <c r="BC173" s="452" t="str">
        <f t="shared" si="243"/>
        <v/>
      </c>
      <c r="BD173" s="452" t="str">
        <f t="shared" si="243"/>
        <v/>
      </c>
      <c r="BE173" s="453" t="str">
        <f t="shared" si="243"/>
        <v/>
      </c>
      <c r="BF173" s="451" t="str">
        <f t="shared" si="243"/>
        <v/>
      </c>
      <c r="BG173" s="452" t="str">
        <f t="shared" si="243"/>
        <v/>
      </c>
      <c r="BH173" s="452" t="str">
        <f t="shared" si="243"/>
        <v/>
      </c>
      <c r="BI173" s="452" t="str">
        <f t="shared" si="244"/>
        <v/>
      </c>
      <c r="BJ173" s="453" t="str">
        <f t="shared" si="244"/>
        <v/>
      </c>
      <c r="BK173" s="451" t="str">
        <f t="shared" si="244"/>
        <v/>
      </c>
      <c r="BL173" s="452" t="str">
        <f t="shared" si="244"/>
        <v/>
      </c>
      <c r="BM173" s="452" t="str">
        <f t="shared" si="244"/>
        <v/>
      </c>
      <c r="BN173" s="452" t="str">
        <f t="shared" si="244"/>
        <v/>
      </c>
      <c r="BO173" s="453" t="str">
        <f t="shared" si="244"/>
        <v/>
      </c>
      <c r="BP173" s="451" t="str">
        <f t="shared" si="244"/>
        <v/>
      </c>
      <c r="BQ173" s="452" t="str">
        <f t="shared" si="244"/>
        <v/>
      </c>
      <c r="BR173" s="452" t="str">
        <f t="shared" si="244"/>
        <v/>
      </c>
      <c r="BS173" s="452" t="str">
        <f t="shared" si="244"/>
        <v/>
      </c>
      <c r="BT173" s="453" t="str">
        <f t="shared" si="244"/>
        <v/>
      </c>
      <c r="BU173" s="451" t="str">
        <f t="shared" si="244"/>
        <v/>
      </c>
      <c r="BV173" s="452" t="str">
        <f t="shared" si="244"/>
        <v/>
      </c>
      <c r="BW173" s="452" t="str">
        <f t="shared" si="244"/>
        <v/>
      </c>
      <c r="BX173" s="452" t="str">
        <f t="shared" si="244"/>
        <v/>
      </c>
      <c r="BY173" s="453" t="str">
        <f t="shared" si="245"/>
        <v/>
      </c>
      <c r="BZ173" s="451" t="str">
        <f t="shared" si="245"/>
        <v/>
      </c>
      <c r="CA173" s="452" t="str">
        <f t="shared" si="245"/>
        <v/>
      </c>
      <c r="CB173" s="452" t="str">
        <f t="shared" si="245"/>
        <v/>
      </c>
      <c r="CC173" s="452" t="str">
        <f t="shared" si="245"/>
        <v/>
      </c>
      <c r="CD173" s="453" t="str">
        <f t="shared" si="245"/>
        <v/>
      </c>
      <c r="CE173" s="451" t="str">
        <f t="shared" si="245"/>
        <v/>
      </c>
      <c r="CF173" s="452" t="str">
        <f t="shared" si="245"/>
        <v/>
      </c>
      <c r="CG173" s="452" t="str">
        <f t="shared" si="245"/>
        <v/>
      </c>
      <c r="CH173" s="452" t="str">
        <f t="shared" si="245"/>
        <v/>
      </c>
      <c r="CI173" s="453" t="str">
        <f t="shared" si="245"/>
        <v/>
      </c>
      <c r="CJ173" s="451" t="str">
        <f t="shared" si="245"/>
        <v/>
      </c>
      <c r="CK173" s="452" t="str">
        <f t="shared" si="245"/>
        <v/>
      </c>
      <c r="CL173" s="452" t="str">
        <f t="shared" si="245"/>
        <v/>
      </c>
      <c r="CM173" s="452" t="str">
        <f t="shared" si="245"/>
        <v/>
      </c>
      <c r="CN173" s="453" t="str">
        <f t="shared" si="241"/>
        <v/>
      </c>
      <c r="CO173" s="451" t="str">
        <f t="shared" si="241"/>
        <v/>
      </c>
      <c r="CP173" s="452" t="str">
        <f t="shared" si="241"/>
        <v/>
      </c>
      <c r="CQ173" s="452" t="str">
        <f t="shared" si="241"/>
        <v/>
      </c>
      <c r="CR173" s="452" t="str">
        <f t="shared" si="241"/>
        <v/>
      </c>
      <c r="CS173" s="453" t="str">
        <f t="shared" si="241"/>
        <v/>
      </c>
      <c r="CT173" s="451" t="str">
        <f t="shared" si="241"/>
        <v/>
      </c>
      <c r="CU173" s="452" t="str">
        <f t="shared" si="241"/>
        <v/>
      </c>
      <c r="CV173" s="452" t="str">
        <f t="shared" si="241"/>
        <v/>
      </c>
      <c r="CW173" s="452" t="str">
        <f t="shared" si="241"/>
        <v/>
      </c>
      <c r="CX173" s="453" t="str">
        <f t="shared" si="241"/>
        <v/>
      </c>
      <c r="CY173" s="451" t="str">
        <f t="shared" si="241"/>
        <v/>
      </c>
      <c r="CZ173" s="452" t="str">
        <f t="shared" si="241"/>
        <v/>
      </c>
      <c r="DA173" s="452" t="str">
        <f t="shared" si="241"/>
        <v/>
      </c>
      <c r="DB173" s="452" t="str">
        <f t="shared" si="241"/>
        <v/>
      </c>
      <c r="DC173" s="453" t="str">
        <f t="shared" si="241"/>
        <v/>
      </c>
      <c r="DD173" s="451" t="str">
        <f t="shared" si="242"/>
        <v/>
      </c>
      <c r="DE173" s="452" t="str">
        <f t="shared" si="242"/>
        <v/>
      </c>
      <c r="DF173" s="452" t="str">
        <f t="shared" si="242"/>
        <v/>
      </c>
      <c r="DG173" s="452" t="str">
        <f t="shared" si="242"/>
        <v/>
      </c>
      <c r="DH173" s="453" t="str">
        <f t="shared" si="242"/>
        <v/>
      </c>
      <c r="DI173" s="451" t="str">
        <f t="shared" si="242"/>
        <v/>
      </c>
      <c r="DJ173" s="452" t="str">
        <f t="shared" si="242"/>
        <v/>
      </c>
      <c r="DK173" s="452" t="str">
        <f t="shared" si="242"/>
        <v/>
      </c>
      <c r="DL173" s="452" t="str">
        <f t="shared" si="242"/>
        <v/>
      </c>
      <c r="DM173" s="453" t="str">
        <f t="shared" si="242"/>
        <v/>
      </c>
      <c r="DN173" s="451" t="str">
        <f t="shared" si="242"/>
        <v/>
      </c>
      <c r="DO173" s="452" t="str">
        <f t="shared" si="242"/>
        <v/>
      </c>
      <c r="DP173" s="452" t="str">
        <f t="shared" si="242"/>
        <v/>
      </c>
      <c r="DQ173" s="452" t="str">
        <f t="shared" si="242"/>
        <v/>
      </c>
      <c r="DR173" s="453" t="str">
        <f t="shared" si="242"/>
        <v/>
      </c>
      <c r="DS173" s="451" t="str">
        <f t="shared" si="242"/>
        <v/>
      </c>
      <c r="DT173" s="452" t="str">
        <f t="shared" si="247"/>
        <v/>
      </c>
      <c r="DU173" s="452" t="str">
        <f t="shared" si="247"/>
        <v/>
      </c>
      <c r="DV173" s="452" t="str">
        <f t="shared" si="247"/>
        <v/>
      </c>
      <c r="DW173" s="453" t="str">
        <f t="shared" si="247"/>
        <v/>
      </c>
      <c r="DX173" s="451" t="str">
        <f t="shared" si="247"/>
        <v/>
      </c>
      <c r="DY173" s="452" t="str">
        <f t="shared" si="247"/>
        <v/>
      </c>
      <c r="DZ173" s="452" t="str">
        <f t="shared" si="247"/>
        <v/>
      </c>
      <c r="EA173" s="452" t="str">
        <f t="shared" si="247"/>
        <v/>
      </c>
      <c r="EB173" s="453" t="str">
        <f t="shared" si="247"/>
        <v/>
      </c>
      <c r="EC173" s="451" t="str">
        <f t="shared" si="247"/>
        <v/>
      </c>
      <c r="ED173" s="452" t="str">
        <f t="shared" si="247"/>
        <v/>
      </c>
      <c r="EE173" s="452" t="str">
        <f t="shared" si="247"/>
        <v/>
      </c>
      <c r="EF173" s="452" t="str">
        <f t="shared" si="247"/>
        <v/>
      </c>
      <c r="EG173" s="453" t="str">
        <f t="shared" si="247"/>
        <v/>
      </c>
      <c r="EH173" s="451" t="str">
        <f t="shared" si="247"/>
        <v/>
      </c>
      <c r="EI173" s="452" t="str">
        <f t="shared" si="247"/>
        <v/>
      </c>
      <c r="EJ173" s="452" t="str">
        <f t="shared" si="251"/>
        <v/>
      </c>
      <c r="EK173" s="452" t="str">
        <f t="shared" si="251"/>
        <v/>
      </c>
      <c r="EL173" s="453" t="str">
        <f t="shared" si="251"/>
        <v/>
      </c>
      <c r="EM173" s="451" t="str">
        <f t="shared" si="251"/>
        <v/>
      </c>
      <c r="EN173" s="452" t="str">
        <f t="shared" si="251"/>
        <v/>
      </c>
      <c r="EO173" s="452" t="str">
        <f t="shared" si="251"/>
        <v/>
      </c>
      <c r="EP173" s="452" t="str">
        <f t="shared" si="251"/>
        <v/>
      </c>
      <c r="EQ173" s="453" t="str">
        <f t="shared" si="251"/>
        <v/>
      </c>
      <c r="ER173" s="451" t="str">
        <f t="shared" si="251"/>
        <v/>
      </c>
      <c r="ES173" s="452" t="str">
        <f t="shared" si="251"/>
        <v/>
      </c>
      <c r="ET173" s="452" t="str">
        <f t="shared" si="251"/>
        <v/>
      </c>
      <c r="EU173" s="452" t="str">
        <f t="shared" si="251"/>
        <v/>
      </c>
      <c r="EV173" s="453" t="str">
        <f t="shared" si="251"/>
        <v/>
      </c>
      <c r="EW173" s="451" t="str">
        <f t="shared" si="251"/>
        <v/>
      </c>
      <c r="EX173" s="452" t="str">
        <f t="shared" si="251"/>
        <v/>
      </c>
      <c r="EY173" s="452" t="str">
        <f t="shared" si="251"/>
        <v/>
      </c>
      <c r="EZ173" s="452" t="str">
        <f t="shared" si="252"/>
        <v/>
      </c>
      <c r="FA173" s="453" t="str">
        <f t="shared" si="252"/>
        <v/>
      </c>
      <c r="FB173" s="451" t="str">
        <f t="shared" si="252"/>
        <v/>
      </c>
      <c r="FC173" s="452" t="str">
        <f t="shared" si="252"/>
        <v/>
      </c>
      <c r="FD173" s="452" t="str">
        <f t="shared" si="252"/>
        <v/>
      </c>
      <c r="FE173" s="452" t="str">
        <f t="shared" si="252"/>
        <v/>
      </c>
      <c r="FF173" s="453" t="str">
        <f t="shared" si="252"/>
        <v/>
      </c>
      <c r="FG173" s="451" t="str">
        <f t="shared" si="252"/>
        <v/>
      </c>
      <c r="FH173" s="452" t="str">
        <f t="shared" si="252"/>
        <v/>
      </c>
      <c r="FI173" s="452" t="str">
        <f t="shared" si="252"/>
        <v/>
      </c>
      <c r="FJ173" s="452" t="str">
        <f t="shared" si="252"/>
        <v/>
      </c>
      <c r="FK173" s="453" t="str">
        <f t="shared" si="252"/>
        <v/>
      </c>
      <c r="FL173" s="451" t="str">
        <f t="shared" si="252"/>
        <v/>
      </c>
      <c r="FM173" s="452" t="str">
        <f t="shared" si="252"/>
        <v/>
      </c>
      <c r="FN173" s="452" t="str">
        <f t="shared" si="252"/>
        <v/>
      </c>
      <c r="FO173" s="452" t="str">
        <f t="shared" si="248"/>
        <v/>
      </c>
      <c r="FP173" s="453" t="str">
        <f t="shared" si="248"/>
        <v/>
      </c>
      <c r="FQ173" s="451" t="str">
        <f t="shared" si="248"/>
        <v/>
      </c>
      <c r="FR173" s="452" t="str">
        <f t="shared" si="248"/>
        <v/>
      </c>
      <c r="FS173" s="452" t="str">
        <f t="shared" si="248"/>
        <v/>
      </c>
      <c r="FT173" s="452" t="str">
        <f t="shared" si="248"/>
        <v/>
      </c>
      <c r="FU173" s="453" t="str">
        <f t="shared" si="248"/>
        <v/>
      </c>
      <c r="FV173" s="451" t="str">
        <f t="shared" si="248"/>
        <v/>
      </c>
      <c r="FW173" s="452" t="str">
        <f t="shared" si="248"/>
        <v/>
      </c>
      <c r="FX173" s="452" t="str">
        <f t="shared" si="248"/>
        <v/>
      </c>
      <c r="FY173" s="452" t="str">
        <f t="shared" si="248"/>
        <v/>
      </c>
      <c r="FZ173" s="453" t="str">
        <f t="shared" si="248"/>
        <v/>
      </c>
      <c r="GA173" s="451" t="str">
        <f t="shared" si="248"/>
        <v/>
      </c>
      <c r="GB173" s="452" t="str">
        <f t="shared" si="248"/>
        <v/>
      </c>
      <c r="GC173" s="452" t="str">
        <f t="shared" si="248"/>
        <v/>
      </c>
      <c r="GD173" s="452" t="str">
        <f t="shared" si="249"/>
        <v/>
      </c>
      <c r="GE173" s="453" t="str">
        <f t="shared" si="249"/>
        <v/>
      </c>
      <c r="GF173" s="451" t="str">
        <f t="shared" si="249"/>
        <v/>
      </c>
      <c r="GG173" s="452" t="str">
        <f t="shared" si="249"/>
        <v/>
      </c>
      <c r="GH173" s="452" t="str">
        <f t="shared" si="249"/>
        <v/>
      </c>
      <c r="GI173" s="452" t="str">
        <f t="shared" si="249"/>
        <v/>
      </c>
      <c r="GJ173" s="453" t="str">
        <f t="shared" si="249"/>
        <v/>
      </c>
      <c r="GK173" s="451" t="str">
        <f t="shared" si="249"/>
        <v/>
      </c>
      <c r="GL173" s="452" t="str">
        <f t="shared" si="249"/>
        <v/>
      </c>
      <c r="GM173" s="452" t="str">
        <f t="shared" si="249"/>
        <v/>
      </c>
      <c r="GN173" s="452" t="str">
        <f t="shared" si="249"/>
        <v/>
      </c>
      <c r="GO173" s="453" t="str">
        <f t="shared" si="249"/>
        <v/>
      </c>
      <c r="GP173" s="451" t="str">
        <f t="shared" si="249"/>
        <v/>
      </c>
      <c r="GQ173" s="452" t="str">
        <f t="shared" si="249"/>
        <v/>
      </c>
      <c r="GR173" s="452" t="str">
        <f t="shared" si="249"/>
        <v/>
      </c>
      <c r="GS173" s="452" t="str">
        <f t="shared" si="249"/>
        <v/>
      </c>
      <c r="GT173" s="453" t="str">
        <f t="shared" si="253"/>
        <v/>
      </c>
      <c r="GU173" s="451" t="str">
        <f t="shared" si="253"/>
        <v/>
      </c>
      <c r="GV173" s="452" t="str">
        <f t="shared" si="253"/>
        <v/>
      </c>
      <c r="GW173" s="452" t="str">
        <f t="shared" si="253"/>
        <v/>
      </c>
      <c r="GX173" s="452" t="str">
        <f t="shared" si="253"/>
        <v/>
      </c>
      <c r="GY173" s="453" t="str">
        <f t="shared" si="253"/>
        <v/>
      </c>
      <c r="GZ173" s="451" t="str">
        <f t="shared" si="253"/>
        <v/>
      </c>
      <c r="HA173" s="452" t="str">
        <f t="shared" si="253"/>
        <v/>
      </c>
      <c r="HB173" s="452" t="str">
        <f t="shared" si="253"/>
        <v/>
      </c>
      <c r="HC173" s="452" t="str">
        <f t="shared" si="253"/>
        <v/>
      </c>
      <c r="HD173" s="453" t="str">
        <f t="shared" si="253"/>
        <v/>
      </c>
      <c r="HE173" s="451" t="str">
        <f t="shared" si="253"/>
        <v/>
      </c>
      <c r="HF173" s="452" t="str">
        <f t="shared" si="253"/>
        <v/>
      </c>
      <c r="HG173" s="452" t="str">
        <f t="shared" si="253"/>
        <v/>
      </c>
      <c r="HH173" s="452" t="str">
        <f t="shared" si="253"/>
        <v/>
      </c>
      <c r="HI173" s="453" t="str">
        <f t="shared" si="253"/>
        <v/>
      </c>
      <c r="HJ173" s="451" t="str">
        <f t="shared" si="250"/>
        <v/>
      </c>
      <c r="HK173" s="452" t="str">
        <f t="shared" si="250"/>
        <v/>
      </c>
      <c r="HL173" s="452" t="str">
        <f t="shared" si="250"/>
        <v/>
      </c>
      <c r="HM173" s="452" t="str">
        <f t="shared" si="250"/>
        <v/>
      </c>
      <c r="HN173" s="453" t="str">
        <f t="shared" si="250"/>
        <v/>
      </c>
      <c r="HO173" s="451" t="str">
        <f t="shared" si="250"/>
        <v/>
      </c>
      <c r="HP173" s="452" t="str">
        <f t="shared" si="250"/>
        <v/>
      </c>
      <c r="HQ173" s="452" t="str">
        <f t="shared" si="250"/>
        <v/>
      </c>
      <c r="HR173" s="452" t="str">
        <f t="shared" si="250"/>
        <v/>
      </c>
      <c r="HS173" s="453" t="str">
        <f t="shared" si="250"/>
        <v/>
      </c>
      <c r="HT173" s="451" t="str">
        <f t="shared" si="250"/>
        <v/>
      </c>
      <c r="HU173" s="452" t="str">
        <f t="shared" si="250"/>
        <v/>
      </c>
      <c r="HV173" s="452" t="str">
        <f t="shared" si="250"/>
        <v/>
      </c>
      <c r="HW173" s="452" t="str">
        <f t="shared" si="250"/>
        <v/>
      </c>
      <c r="HX173" s="453" t="str">
        <f t="shared" si="250"/>
        <v/>
      </c>
      <c r="HY173" s="451" t="str">
        <f t="shared" si="250"/>
        <v/>
      </c>
      <c r="HZ173" s="452" t="str">
        <f t="shared" si="250"/>
        <v/>
      </c>
      <c r="IA173" s="452" t="str">
        <f t="shared" si="254"/>
        <v/>
      </c>
      <c r="IB173" s="452" t="str">
        <f t="shared" si="254"/>
        <v/>
      </c>
      <c r="IC173" s="453" t="str">
        <f t="shared" si="254"/>
        <v/>
      </c>
      <c r="ID173" s="451" t="str">
        <f t="shared" si="237"/>
        <v/>
      </c>
      <c r="IE173" s="452" t="str">
        <f t="shared" si="237"/>
        <v/>
      </c>
      <c r="IF173" s="452" t="str">
        <f t="shared" si="237"/>
        <v/>
      </c>
      <c r="IG173" s="452" t="str">
        <f t="shared" si="237"/>
        <v/>
      </c>
      <c r="IH173" s="453" t="str">
        <f t="shared" si="237"/>
        <v/>
      </c>
      <c r="II173" s="451" t="str">
        <f t="shared" si="237"/>
        <v/>
      </c>
      <c r="IJ173" s="452" t="str">
        <f t="shared" si="237"/>
        <v/>
      </c>
      <c r="IK173" s="452" t="str">
        <f t="shared" si="237"/>
        <v/>
      </c>
      <c r="IL173" s="452" t="str">
        <f t="shared" si="237"/>
        <v/>
      </c>
      <c r="IM173" s="453" t="str">
        <f t="shared" si="237"/>
        <v/>
      </c>
      <c r="IN173" s="451" t="str">
        <f t="shared" si="237"/>
        <v/>
      </c>
      <c r="IO173" s="452" t="str">
        <f t="shared" si="237"/>
        <v/>
      </c>
      <c r="IP173" s="452" t="str">
        <f t="shared" si="237"/>
        <v/>
      </c>
      <c r="IQ173" s="452" t="str">
        <f t="shared" si="237"/>
        <v/>
      </c>
      <c r="IR173" s="453" t="str">
        <f t="shared" si="237"/>
        <v/>
      </c>
    </row>
    <row r="174" spans="1:252" x14ac:dyDescent="0.2">
      <c r="A174" s="461">
        <v>16.5</v>
      </c>
      <c r="C174" s="447" t="s">
        <v>1355</v>
      </c>
      <c r="D174" s="447"/>
      <c r="E174" s="448"/>
      <c r="F174" s="448"/>
      <c r="G174" s="448"/>
      <c r="H174" s="448"/>
      <c r="I174" s="448"/>
      <c r="J174" s="449" t="str">
        <f t="shared" si="256"/>
        <v/>
      </c>
      <c r="K174" s="449" t="str">
        <f t="shared" si="257"/>
        <v/>
      </c>
      <c r="L174" s="450">
        <f t="shared" si="255"/>
        <v>0</v>
      </c>
      <c r="M174" s="451" t="str">
        <f t="shared" si="259"/>
        <v/>
      </c>
      <c r="N174" s="452" t="str">
        <f t="shared" si="259"/>
        <v/>
      </c>
      <c r="O174" s="452" t="str">
        <f t="shared" si="259"/>
        <v/>
      </c>
      <c r="P174" s="452" t="str">
        <f t="shared" si="259"/>
        <v/>
      </c>
      <c r="Q174" s="453" t="str">
        <f t="shared" si="259"/>
        <v/>
      </c>
      <c r="R174" s="451" t="str">
        <f t="shared" si="259"/>
        <v/>
      </c>
      <c r="S174" s="452" t="str">
        <f t="shared" si="259"/>
        <v/>
      </c>
      <c r="T174" s="452" t="str">
        <f t="shared" si="259"/>
        <v/>
      </c>
      <c r="U174" s="452" t="str">
        <f t="shared" si="259"/>
        <v/>
      </c>
      <c r="V174" s="453" t="str">
        <f t="shared" si="259"/>
        <v/>
      </c>
      <c r="W174" s="451" t="str">
        <f t="shared" si="259"/>
        <v/>
      </c>
      <c r="X174" s="452" t="str">
        <f t="shared" si="259"/>
        <v/>
      </c>
      <c r="Y174" s="452" t="str">
        <f t="shared" si="259"/>
        <v/>
      </c>
      <c r="Z174" s="452" t="str">
        <f t="shared" si="259"/>
        <v/>
      </c>
      <c r="AA174" s="453" t="str">
        <f t="shared" si="259"/>
        <v/>
      </c>
      <c r="AB174" s="451" t="str">
        <f t="shared" si="259"/>
        <v/>
      </c>
      <c r="AC174" s="452" t="str">
        <f t="shared" si="246"/>
        <v/>
      </c>
      <c r="AD174" s="452" t="str">
        <f t="shared" si="246"/>
        <v/>
      </c>
      <c r="AE174" s="452" t="str">
        <f t="shared" si="246"/>
        <v/>
      </c>
      <c r="AF174" s="453" t="str">
        <f t="shared" si="246"/>
        <v/>
      </c>
      <c r="AG174" s="451" t="str">
        <f t="shared" si="246"/>
        <v/>
      </c>
      <c r="AH174" s="452" t="str">
        <f t="shared" si="246"/>
        <v/>
      </c>
      <c r="AI174" s="452" t="str">
        <f t="shared" si="246"/>
        <v/>
      </c>
      <c r="AJ174" s="452" t="str">
        <f t="shared" si="246"/>
        <v/>
      </c>
      <c r="AK174" s="453" t="str">
        <f t="shared" si="246"/>
        <v/>
      </c>
      <c r="AL174" s="451" t="str">
        <f t="shared" si="246"/>
        <v/>
      </c>
      <c r="AM174" s="452" t="str">
        <f t="shared" si="246"/>
        <v/>
      </c>
      <c r="AN174" s="452" t="str">
        <f t="shared" si="246"/>
        <v/>
      </c>
      <c r="AO174" s="452" t="str">
        <f t="shared" si="246"/>
        <v/>
      </c>
      <c r="AP174" s="453" t="str">
        <f t="shared" si="246"/>
        <v/>
      </c>
      <c r="AQ174" s="451" t="str">
        <f t="shared" si="246"/>
        <v/>
      </c>
      <c r="AR174" s="452" t="str">
        <f t="shared" si="246"/>
        <v/>
      </c>
      <c r="AS174" s="452" t="str">
        <f t="shared" si="243"/>
        <v/>
      </c>
      <c r="AT174" s="452" t="str">
        <f t="shared" si="243"/>
        <v/>
      </c>
      <c r="AU174" s="453" t="str">
        <f t="shared" si="243"/>
        <v/>
      </c>
      <c r="AV174" s="451" t="str">
        <f t="shared" si="243"/>
        <v/>
      </c>
      <c r="AW174" s="452" t="str">
        <f t="shared" si="243"/>
        <v/>
      </c>
      <c r="AX174" s="452" t="str">
        <f t="shared" si="243"/>
        <v/>
      </c>
      <c r="AY174" s="452" t="str">
        <f t="shared" si="243"/>
        <v/>
      </c>
      <c r="AZ174" s="453" t="str">
        <f t="shared" si="243"/>
        <v/>
      </c>
      <c r="BA174" s="451" t="str">
        <f t="shared" si="243"/>
        <v/>
      </c>
      <c r="BB174" s="452" t="str">
        <f t="shared" si="243"/>
        <v/>
      </c>
      <c r="BC174" s="452" t="str">
        <f t="shared" si="243"/>
        <v/>
      </c>
      <c r="BD174" s="452" t="str">
        <f t="shared" si="243"/>
        <v/>
      </c>
      <c r="BE174" s="453" t="str">
        <f t="shared" si="243"/>
        <v/>
      </c>
      <c r="BF174" s="451" t="str">
        <f t="shared" si="243"/>
        <v/>
      </c>
      <c r="BG174" s="452" t="str">
        <f t="shared" si="243"/>
        <v/>
      </c>
      <c r="BH174" s="452" t="str">
        <f t="shared" si="243"/>
        <v/>
      </c>
      <c r="BI174" s="452" t="str">
        <f t="shared" si="244"/>
        <v/>
      </c>
      <c r="BJ174" s="453" t="str">
        <f t="shared" si="244"/>
        <v/>
      </c>
      <c r="BK174" s="451" t="str">
        <f t="shared" si="244"/>
        <v/>
      </c>
      <c r="BL174" s="452" t="str">
        <f t="shared" si="244"/>
        <v/>
      </c>
      <c r="BM174" s="452" t="str">
        <f t="shared" si="244"/>
        <v/>
      </c>
      <c r="BN174" s="452" t="str">
        <f t="shared" si="244"/>
        <v/>
      </c>
      <c r="BO174" s="453" t="str">
        <f t="shared" si="244"/>
        <v/>
      </c>
      <c r="BP174" s="451" t="str">
        <f t="shared" si="244"/>
        <v/>
      </c>
      <c r="BQ174" s="452" t="str">
        <f t="shared" si="244"/>
        <v/>
      </c>
      <c r="BR174" s="452" t="str">
        <f t="shared" si="244"/>
        <v/>
      </c>
      <c r="BS174" s="452" t="str">
        <f t="shared" si="244"/>
        <v/>
      </c>
      <c r="BT174" s="453" t="str">
        <f t="shared" si="244"/>
        <v/>
      </c>
      <c r="BU174" s="451" t="str">
        <f t="shared" si="244"/>
        <v/>
      </c>
      <c r="BV174" s="452" t="str">
        <f t="shared" si="244"/>
        <v/>
      </c>
      <c r="BW174" s="452" t="str">
        <f t="shared" si="244"/>
        <v/>
      </c>
      <c r="BX174" s="452" t="str">
        <f t="shared" si="244"/>
        <v/>
      </c>
      <c r="BY174" s="453" t="str">
        <f t="shared" si="245"/>
        <v/>
      </c>
      <c r="BZ174" s="451" t="str">
        <f t="shared" si="245"/>
        <v/>
      </c>
      <c r="CA174" s="452" t="str">
        <f t="shared" si="245"/>
        <v/>
      </c>
      <c r="CB174" s="452" t="str">
        <f t="shared" si="245"/>
        <v/>
      </c>
      <c r="CC174" s="452" t="str">
        <f t="shared" si="245"/>
        <v/>
      </c>
      <c r="CD174" s="453" t="str">
        <f t="shared" si="245"/>
        <v/>
      </c>
      <c r="CE174" s="451" t="str">
        <f t="shared" si="245"/>
        <v/>
      </c>
      <c r="CF174" s="452" t="str">
        <f t="shared" si="245"/>
        <v/>
      </c>
      <c r="CG174" s="452" t="str">
        <f t="shared" si="245"/>
        <v/>
      </c>
      <c r="CH174" s="452" t="str">
        <f t="shared" si="245"/>
        <v/>
      </c>
      <c r="CI174" s="453" t="str">
        <f t="shared" si="245"/>
        <v/>
      </c>
      <c r="CJ174" s="451" t="str">
        <f t="shared" si="245"/>
        <v/>
      </c>
      <c r="CK174" s="452" t="str">
        <f t="shared" si="245"/>
        <v/>
      </c>
      <c r="CL174" s="452" t="str">
        <f t="shared" si="245"/>
        <v/>
      </c>
      <c r="CM174" s="452" t="str">
        <f t="shared" si="245"/>
        <v/>
      </c>
      <c r="CN174" s="453" t="str">
        <f t="shared" si="241"/>
        <v/>
      </c>
      <c r="CO174" s="451" t="str">
        <f t="shared" si="241"/>
        <v/>
      </c>
      <c r="CP174" s="452" t="str">
        <f t="shared" si="241"/>
        <v/>
      </c>
      <c r="CQ174" s="452" t="str">
        <f t="shared" si="241"/>
        <v/>
      </c>
      <c r="CR174" s="452" t="str">
        <f t="shared" si="241"/>
        <v/>
      </c>
      <c r="CS174" s="453" t="str">
        <f t="shared" si="241"/>
        <v/>
      </c>
      <c r="CT174" s="451" t="str">
        <f t="shared" si="241"/>
        <v/>
      </c>
      <c r="CU174" s="452" t="str">
        <f t="shared" si="241"/>
        <v/>
      </c>
      <c r="CV174" s="452" t="str">
        <f t="shared" si="241"/>
        <v/>
      </c>
      <c r="CW174" s="452" t="str">
        <f t="shared" si="241"/>
        <v/>
      </c>
      <c r="CX174" s="453" t="str">
        <f t="shared" si="241"/>
        <v/>
      </c>
      <c r="CY174" s="451" t="str">
        <f t="shared" si="241"/>
        <v/>
      </c>
      <c r="CZ174" s="452" t="str">
        <f t="shared" si="241"/>
        <v/>
      </c>
      <c r="DA174" s="452" t="str">
        <f t="shared" si="241"/>
        <v/>
      </c>
      <c r="DB174" s="452" t="str">
        <f t="shared" si="241"/>
        <v/>
      </c>
      <c r="DC174" s="453" t="str">
        <f t="shared" si="241"/>
        <v/>
      </c>
      <c r="DD174" s="451" t="str">
        <f t="shared" si="242"/>
        <v/>
      </c>
      <c r="DE174" s="452" t="str">
        <f t="shared" si="242"/>
        <v/>
      </c>
      <c r="DF174" s="452" t="str">
        <f t="shared" si="242"/>
        <v/>
      </c>
      <c r="DG174" s="452" t="str">
        <f t="shared" si="242"/>
        <v/>
      </c>
      <c r="DH174" s="453" t="str">
        <f t="shared" si="242"/>
        <v/>
      </c>
      <c r="DI174" s="451" t="str">
        <f t="shared" si="242"/>
        <v/>
      </c>
      <c r="DJ174" s="452" t="str">
        <f t="shared" si="242"/>
        <v/>
      </c>
      <c r="DK174" s="452" t="str">
        <f t="shared" si="242"/>
        <v/>
      </c>
      <c r="DL174" s="452" t="str">
        <f t="shared" si="242"/>
        <v/>
      </c>
      <c r="DM174" s="453" t="str">
        <f t="shared" si="242"/>
        <v/>
      </c>
      <c r="DN174" s="451" t="str">
        <f t="shared" si="242"/>
        <v/>
      </c>
      <c r="DO174" s="452" t="str">
        <f t="shared" si="242"/>
        <v/>
      </c>
      <c r="DP174" s="452" t="str">
        <f t="shared" si="242"/>
        <v/>
      </c>
      <c r="DQ174" s="452" t="str">
        <f t="shared" si="242"/>
        <v/>
      </c>
      <c r="DR174" s="453" t="str">
        <f t="shared" si="242"/>
        <v/>
      </c>
      <c r="DS174" s="451" t="str">
        <f t="shared" si="242"/>
        <v/>
      </c>
      <c r="DT174" s="452" t="str">
        <f t="shared" si="247"/>
        <v/>
      </c>
      <c r="DU174" s="452" t="str">
        <f t="shared" si="247"/>
        <v/>
      </c>
      <c r="DV174" s="452" t="str">
        <f t="shared" si="247"/>
        <v/>
      </c>
      <c r="DW174" s="453" t="str">
        <f t="shared" si="247"/>
        <v/>
      </c>
      <c r="DX174" s="451" t="str">
        <f t="shared" si="247"/>
        <v/>
      </c>
      <c r="DY174" s="452" t="str">
        <f t="shared" si="247"/>
        <v/>
      </c>
      <c r="DZ174" s="452" t="str">
        <f t="shared" si="247"/>
        <v/>
      </c>
      <c r="EA174" s="452" t="str">
        <f t="shared" si="247"/>
        <v/>
      </c>
      <c r="EB174" s="453" t="str">
        <f t="shared" si="247"/>
        <v/>
      </c>
      <c r="EC174" s="451" t="str">
        <f t="shared" si="247"/>
        <v/>
      </c>
      <c r="ED174" s="452" t="str">
        <f t="shared" si="247"/>
        <v/>
      </c>
      <c r="EE174" s="452" t="str">
        <f t="shared" si="247"/>
        <v/>
      </c>
      <c r="EF174" s="452" t="str">
        <f t="shared" si="247"/>
        <v/>
      </c>
      <c r="EG174" s="453" t="str">
        <f t="shared" si="247"/>
        <v/>
      </c>
      <c r="EH174" s="451" t="str">
        <f t="shared" si="247"/>
        <v/>
      </c>
      <c r="EI174" s="452" t="str">
        <f t="shared" si="247"/>
        <v/>
      </c>
      <c r="EJ174" s="452" t="str">
        <f t="shared" si="251"/>
        <v/>
      </c>
      <c r="EK174" s="452" t="str">
        <f t="shared" si="251"/>
        <v/>
      </c>
      <c r="EL174" s="453" t="str">
        <f t="shared" si="251"/>
        <v/>
      </c>
      <c r="EM174" s="451" t="str">
        <f t="shared" si="251"/>
        <v/>
      </c>
      <c r="EN174" s="452" t="str">
        <f t="shared" si="251"/>
        <v/>
      </c>
      <c r="EO174" s="452" t="str">
        <f t="shared" si="251"/>
        <v/>
      </c>
      <c r="EP174" s="452" t="str">
        <f t="shared" si="251"/>
        <v/>
      </c>
      <c r="EQ174" s="453" t="str">
        <f t="shared" si="251"/>
        <v/>
      </c>
      <c r="ER174" s="451" t="str">
        <f t="shared" si="251"/>
        <v/>
      </c>
      <c r="ES174" s="452" t="str">
        <f t="shared" si="251"/>
        <v/>
      </c>
      <c r="ET174" s="452" t="str">
        <f t="shared" si="251"/>
        <v/>
      </c>
      <c r="EU174" s="452" t="str">
        <f t="shared" si="251"/>
        <v/>
      </c>
      <c r="EV174" s="453" t="str">
        <f t="shared" si="251"/>
        <v/>
      </c>
      <c r="EW174" s="451" t="str">
        <f t="shared" si="251"/>
        <v/>
      </c>
      <c r="EX174" s="452" t="str">
        <f t="shared" si="251"/>
        <v/>
      </c>
      <c r="EY174" s="452" t="str">
        <f t="shared" si="251"/>
        <v/>
      </c>
      <c r="EZ174" s="452" t="str">
        <f t="shared" si="252"/>
        <v/>
      </c>
      <c r="FA174" s="453" t="str">
        <f t="shared" si="252"/>
        <v/>
      </c>
      <c r="FB174" s="451" t="str">
        <f t="shared" si="252"/>
        <v/>
      </c>
      <c r="FC174" s="452" t="str">
        <f t="shared" si="252"/>
        <v/>
      </c>
      <c r="FD174" s="452" t="str">
        <f t="shared" si="252"/>
        <v/>
      </c>
      <c r="FE174" s="452" t="str">
        <f t="shared" si="252"/>
        <v/>
      </c>
      <c r="FF174" s="453" t="str">
        <f t="shared" si="252"/>
        <v/>
      </c>
      <c r="FG174" s="451" t="str">
        <f t="shared" si="252"/>
        <v/>
      </c>
      <c r="FH174" s="452" t="str">
        <f t="shared" si="252"/>
        <v/>
      </c>
      <c r="FI174" s="452" t="str">
        <f t="shared" si="252"/>
        <v/>
      </c>
      <c r="FJ174" s="452" t="str">
        <f t="shared" si="252"/>
        <v/>
      </c>
      <c r="FK174" s="453" t="str">
        <f t="shared" si="252"/>
        <v/>
      </c>
      <c r="FL174" s="451" t="str">
        <f t="shared" si="252"/>
        <v/>
      </c>
      <c r="FM174" s="452" t="str">
        <f t="shared" si="252"/>
        <v/>
      </c>
      <c r="FN174" s="452" t="str">
        <f t="shared" si="252"/>
        <v/>
      </c>
      <c r="FO174" s="452" t="str">
        <f t="shared" si="248"/>
        <v/>
      </c>
      <c r="FP174" s="453" t="str">
        <f t="shared" si="248"/>
        <v/>
      </c>
      <c r="FQ174" s="451" t="str">
        <f t="shared" si="248"/>
        <v/>
      </c>
      <c r="FR174" s="452" t="str">
        <f t="shared" si="248"/>
        <v/>
      </c>
      <c r="FS174" s="452" t="str">
        <f t="shared" si="248"/>
        <v/>
      </c>
      <c r="FT174" s="452" t="str">
        <f t="shared" si="248"/>
        <v/>
      </c>
      <c r="FU174" s="453" t="str">
        <f t="shared" si="248"/>
        <v/>
      </c>
      <c r="FV174" s="451" t="str">
        <f t="shared" si="248"/>
        <v/>
      </c>
      <c r="FW174" s="452" t="str">
        <f t="shared" si="248"/>
        <v/>
      </c>
      <c r="FX174" s="452" t="str">
        <f t="shared" si="248"/>
        <v/>
      </c>
      <c r="FY174" s="452" t="str">
        <f t="shared" si="248"/>
        <v/>
      </c>
      <c r="FZ174" s="453" t="str">
        <f t="shared" si="248"/>
        <v/>
      </c>
      <c r="GA174" s="451" t="str">
        <f t="shared" si="248"/>
        <v/>
      </c>
      <c r="GB174" s="452" t="str">
        <f t="shared" si="248"/>
        <v/>
      </c>
      <c r="GC174" s="452" t="str">
        <f t="shared" si="248"/>
        <v/>
      </c>
      <c r="GD174" s="452" t="str">
        <f t="shared" si="249"/>
        <v/>
      </c>
      <c r="GE174" s="453" t="str">
        <f t="shared" si="249"/>
        <v/>
      </c>
      <c r="GF174" s="451" t="str">
        <f t="shared" si="249"/>
        <v/>
      </c>
      <c r="GG174" s="452" t="str">
        <f t="shared" si="249"/>
        <v/>
      </c>
      <c r="GH174" s="452" t="str">
        <f t="shared" si="249"/>
        <v/>
      </c>
      <c r="GI174" s="452" t="str">
        <f t="shared" si="249"/>
        <v/>
      </c>
      <c r="GJ174" s="453" t="str">
        <f t="shared" si="249"/>
        <v/>
      </c>
      <c r="GK174" s="451" t="str">
        <f t="shared" si="249"/>
        <v/>
      </c>
      <c r="GL174" s="452" t="str">
        <f t="shared" si="249"/>
        <v/>
      </c>
      <c r="GM174" s="452" t="str">
        <f t="shared" si="249"/>
        <v/>
      </c>
      <c r="GN174" s="452" t="str">
        <f t="shared" si="249"/>
        <v/>
      </c>
      <c r="GO174" s="453" t="str">
        <f t="shared" si="249"/>
        <v/>
      </c>
      <c r="GP174" s="451" t="str">
        <f t="shared" si="249"/>
        <v/>
      </c>
      <c r="GQ174" s="452" t="str">
        <f t="shared" si="249"/>
        <v/>
      </c>
      <c r="GR174" s="452" t="str">
        <f t="shared" si="249"/>
        <v/>
      </c>
      <c r="GS174" s="452" t="str">
        <f t="shared" si="249"/>
        <v/>
      </c>
      <c r="GT174" s="453" t="str">
        <f t="shared" si="253"/>
        <v/>
      </c>
      <c r="GU174" s="451" t="str">
        <f t="shared" si="253"/>
        <v/>
      </c>
      <c r="GV174" s="452" t="str">
        <f t="shared" si="253"/>
        <v/>
      </c>
      <c r="GW174" s="452" t="str">
        <f t="shared" si="253"/>
        <v/>
      </c>
      <c r="GX174" s="452" t="str">
        <f t="shared" si="253"/>
        <v/>
      </c>
      <c r="GY174" s="453" t="str">
        <f t="shared" si="253"/>
        <v/>
      </c>
      <c r="GZ174" s="451" t="str">
        <f t="shared" si="253"/>
        <v/>
      </c>
      <c r="HA174" s="452" t="str">
        <f t="shared" si="253"/>
        <v/>
      </c>
      <c r="HB174" s="452" t="str">
        <f t="shared" si="253"/>
        <v/>
      </c>
      <c r="HC174" s="452" t="str">
        <f t="shared" si="253"/>
        <v/>
      </c>
      <c r="HD174" s="453" t="str">
        <f t="shared" si="253"/>
        <v/>
      </c>
      <c r="HE174" s="451" t="str">
        <f t="shared" si="253"/>
        <v/>
      </c>
      <c r="HF174" s="452" t="str">
        <f t="shared" si="253"/>
        <v/>
      </c>
      <c r="HG174" s="452" t="str">
        <f t="shared" si="253"/>
        <v/>
      </c>
      <c r="HH174" s="452" t="str">
        <f t="shared" si="253"/>
        <v/>
      </c>
      <c r="HI174" s="453" t="str">
        <f t="shared" si="253"/>
        <v/>
      </c>
      <c r="HJ174" s="451" t="str">
        <f t="shared" si="250"/>
        <v/>
      </c>
      <c r="HK174" s="452" t="str">
        <f t="shared" si="250"/>
        <v/>
      </c>
      <c r="HL174" s="452" t="str">
        <f t="shared" si="250"/>
        <v/>
      </c>
      <c r="HM174" s="452" t="str">
        <f t="shared" si="250"/>
        <v/>
      </c>
      <c r="HN174" s="453" t="str">
        <f t="shared" si="250"/>
        <v/>
      </c>
      <c r="HO174" s="451" t="str">
        <f t="shared" si="250"/>
        <v/>
      </c>
      <c r="HP174" s="452" t="str">
        <f t="shared" si="250"/>
        <v/>
      </c>
      <c r="HQ174" s="452" t="str">
        <f t="shared" si="250"/>
        <v/>
      </c>
      <c r="HR174" s="452" t="str">
        <f t="shared" si="250"/>
        <v/>
      </c>
      <c r="HS174" s="453" t="str">
        <f t="shared" si="250"/>
        <v/>
      </c>
      <c r="HT174" s="451" t="str">
        <f t="shared" si="250"/>
        <v/>
      </c>
      <c r="HU174" s="452" t="str">
        <f t="shared" si="250"/>
        <v/>
      </c>
      <c r="HV174" s="452" t="str">
        <f t="shared" si="250"/>
        <v/>
      </c>
      <c r="HW174" s="452" t="str">
        <f t="shared" si="250"/>
        <v/>
      </c>
      <c r="HX174" s="453" t="str">
        <f t="shared" si="250"/>
        <v/>
      </c>
      <c r="HY174" s="451" t="str">
        <f t="shared" si="250"/>
        <v/>
      </c>
      <c r="HZ174" s="452" t="str">
        <f t="shared" si="250"/>
        <v/>
      </c>
      <c r="IA174" s="452" t="str">
        <f t="shared" si="254"/>
        <v/>
      </c>
      <c r="IB174" s="452" t="str">
        <f t="shared" si="254"/>
        <v/>
      </c>
      <c r="IC174" s="453" t="str">
        <f t="shared" si="254"/>
        <v/>
      </c>
      <c r="ID174" s="451" t="str">
        <f t="shared" si="254"/>
        <v/>
      </c>
      <c r="IE174" s="452" t="str">
        <f t="shared" si="254"/>
        <v/>
      </c>
      <c r="IF174" s="452" t="str">
        <f t="shared" si="254"/>
        <v/>
      </c>
      <c r="IG174" s="452" t="str">
        <f t="shared" si="254"/>
        <v/>
      </c>
      <c r="IH174" s="453" t="str">
        <f t="shared" si="254"/>
        <v/>
      </c>
      <c r="II174" s="451" t="str">
        <f t="shared" si="254"/>
        <v/>
      </c>
      <c r="IJ174" s="452" t="str">
        <f t="shared" si="254"/>
        <v/>
      </c>
      <c r="IK174" s="452" t="str">
        <f t="shared" si="254"/>
        <v/>
      </c>
      <c r="IL174" s="452" t="str">
        <f t="shared" si="254"/>
        <v/>
      </c>
      <c r="IM174" s="453" t="str">
        <f t="shared" si="254"/>
        <v/>
      </c>
      <c r="IN174" s="451" t="str">
        <f t="shared" si="254"/>
        <v/>
      </c>
      <c r="IO174" s="452" t="str">
        <f t="shared" si="254"/>
        <v/>
      </c>
      <c r="IP174" s="452" t="str">
        <f t="shared" si="254"/>
        <v/>
      </c>
      <c r="IQ174" s="452" t="str">
        <f t="shared" ref="IQ174:IR191" si="260">IF(AND(IQ$2&gt;=$J174,IQ$2&lt;=$K174),1,"")</f>
        <v/>
      </c>
      <c r="IR174" s="453" t="str">
        <f t="shared" si="260"/>
        <v/>
      </c>
    </row>
    <row r="175" spans="1:252" x14ac:dyDescent="0.2">
      <c r="A175" s="461">
        <v>16.600000000000001</v>
      </c>
      <c r="C175" s="447" t="s">
        <v>1356</v>
      </c>
      <c r="D175" s="447"/>
      <c r="E175" s="448"/>
      <c r="F175" s="448"/>
      <c r="G175" s="448"/>
      <c r="H175" s="448"/>
      <c r="I175" s="448"/>
      <c r="J175" s="449" t="str">
        <f t="shared" si="256"/>
        <v/>
      </c>
      <c r="K175" s="449" t="str">
        <f t="shared" si="257"/>
        <v/>
      </c>
      <c r="L175" s="450">
        <f t="shared" si="255"/>
        <v>0</v>
      </c>
      <c r="M175" s="451" t="str">
        <f t="shared" si="259"/>
        <v/>
      </c>
      <c r="N175" s="452" t="str">
        <f t="shared" si="259"/>
        <v/>
      </c>
      <c r="O175" s="452" t="str">
        <f t="shared" si="259"/>
        <v/>
      </c>
      <c r="P175" s="452" t="str">
        <f t="shared" si="259"/>
        <v/>
      </c>
      <c r="Q175" s="453" t="str">
        <f t="shared" si="259"/>
        <v/>
      </c>
      <c r="R175" s="451" t="str">
        <f t="shared" si="259"/>
        <v/>
      </c>
      <c r="S175" s="452" t="str">
        <f t="shared" si="259"/>
        <v/>
      </c>
      <c r="T175" s="452" t="str">
        <f t="shared" si="259"/>
        <v/>
      </c>
      <c r="U175" s="452" t="str">
        <f t="shared" si="259"/>
        <v/>
      </c>
      <c r="V175" s="453" t="str">
        <f t="shared" si="259"/>
        <v/>
      </c>
      <c r="W175" s="451" t="str">
        <f t="shared" si="259"/>
        <v/>
      </c>
      <c r="X175" s="452" t="str">
        <f t="shared" si="259"/>
        <v/>
      </c>
      <c r="Y175" s="452" t="str">
        <f t="shared" si="259"/>
        <v/>
      </c>
      <c r="Z175" s="452" t="str">
        <f t="shared" si="259"/>
        <v/>
      </c>
      <c r="AA175" s="453" t="str">
        <f t="shared" si="259"/>
        <v/>
      </c>
      <c r="AB175" s="451" t="str">
        <f t="shared" si="259"/>
        <v/>
      </c>
      <c r="AC175" s="452" t="str">
        <f t="shared" si="246"/>
        <v/>
      </c>
      <c r="AD175" s="452" t="str">
        <f t="shared" si="246"/>
        <v/>
      </c>
      <c r="AE175" s="452" t="str">
        <f t="shared" si="246"/>
        <v/>
      </c>
      <c r="AF175" s="453" t="str">
        <f t="shared" si="246"/>
        <v/>
      </c>
      <c r="AG175" s="451" t="str">
        <f t="shared" si="246"/>
        <v/>
      </c>
      <c r="AH175" s="452" t="str">
        <f t="shared" si="246"/>
        <v/>
      </c>
      <c r="AI175" s="452" t="str">
        <f t="shared" si="246"/>
        <v/>
      </c>
      <c r="AJ175" s="452" t="str">
        <f t="shared" si="246"/>
        <v/>
      </c>
      <c r="AK175" s="453" t="str">
        <f t="shared" si="246"/>
        <v/>
      </c>
      <c r="AL175" s="451" t="str">
        <f t="shared" si="246"/>
        <v/>
      </c>
      <c r="AM175" s="452" t="str">
        <f t="shared" si="246"/>
        <v/>
      </c>
      <c r="AN175" s="452" t="str">
        <f t="shared" si="246"/>
        <v/>
      </c>
      <c r="AO175" s="452" t="str">
        <f t="shared" si="246"/>
        <v/>
      </c>
      <c r="AP175" s="453" t="str">
        <f t="shared" si="246"/>
        <v/>
      </c>
      <c r="AQ175" s="451" t="str">
        <f t="shared" si="246"/>
        <v/>
      </c>
      <c r="AR175" s="452" t="str">
        <f t="shared" si="246"/>
        <v/>
      </c>
      <c r="AS175" s="452" t="str">
        <f t="shared" si="243"/>
        <v/>
      </c>
      <c r="AT175" s="452" t="str">
        <f t="shared" si="243"/>
        <v/>
      </c>
      <c r="AU175" s="453" t="str">
        <f t="shared" si="243"/>
        <v/>
      </c>
      <c r="AV175" s="451" t="str">
        <f t="shared" si="243"/>
        <v/>
      </c>
      <c r="AW175" s="452" t="str">
        <f t="shared" si="243"/>
        <v/>
      </c>
      <c r="AX175" s="452" t="str">
        <f t="shared" si="243"/>
        <v/>
      </c>
      <c r="AY175" s="452" t="str">
        <f t="shared" si="243"/>
        <v/>
      </c>
      <c r="AZ175" s="453" t="str">
        <f t="shared" si="243"/>
        <v/>
      </c>
      <c r="BA175" s="451" t="str">
        <f t="shared" si="243"/>
        <v/>
      </c>
      <c r="BB175" s="452" t="str">
        <f t="shared" si="243"/>
        <v/>
      </c>
      <c r="BC175" s="452" t="str">
        <f t="shared" si="243"/>
        <v/>
      </c>
      <c r="BD175" s="452" t="str">
        <f t="shared" si="243"/>
        <v/>
      </c>
      <c r="BE175" s="453" t="str">
        <f t="shared" si="243"/>
        <v/>
      </c>
      <c r="BF175" s="451" t="str">
        <f t="shared" si="243"/>
        <v/>
      </c>
      <c r="BG175" s="452" t="str">
        <f t="shared" si="243"/>
        <v/>
      </c>
      <c r="BH175" s="452" t="str">
        <f t="shared" ref="BH175:BW191" si="261">IF(AND(BH$2&gt;=$J175,BH$2&lt;=$K175),1,"")</f>
        <v/>
      </c>
      <c r="BI175" s="452" t="str">
        <f t="shared" si="244"/>
        <v/>
      </c>
      <c r="BJ175" s="453" t="str">
        <f t="shared" si="244"/>
        <v/>
      </c>
      <c r="BK175" s="451" t="str">
        <f t="shared" si="244"/>
        <v/>
      </c>
      <c r="BL175" s="452" t="str">
        <f t="shared" si="244"/>
        <v/>
      </c>
      <c r="BM175" s="452" t="str">
        <f t="shared" si="244"/>
        <v/>
      </c>
      <c r="BN175" s="452" t="str">
        <f t="shared" si="244"/>
        <v/>
      </c>
      <c r="BO175" s="453" t="str">
        <f t="shared" si="244"/>
        <v/>
      </c>
      <c r="BP175" s="451" t="str">
        <f t="shared" si="244"/>
        <v/>
      </c>
      <c r="BQ175" s="452" t="str">
        <f t="shared" si="244"/>
        <v/>
      </c>
      <c r="BR175" s="452" t="str">
        <f t="shared" si="244"/>
        <v/>
      </c>
      <c r="BS175" s="452" t="str">
        <f t="shared" si="244"/>
        <v/>
      </c>
      <c r="BT175" s="453" t="str">
        <f t="shared" si="244"/>
        <v/>
      </c>
      <c r="BU175" s="451" t="str">
        <f t="shared" si="244"/>
        <v/>
      </c>
      <c r="BV175" s="452" t="str">
        <f t="shared" si="244"/>
        <v/>
      </c>
      <c r="BW175" s="452" t="str">
        <f t="shared" si="244"/>
        <v/>
      </c>
      <c r="BX175" s="452" t="str">
        <f t="shared" si="244"/>
        <v/>
      </c>
      <c r="BY175" s="453" t="str">
        <f t="shared" si="245"/>
        <v/>
      </c>
      <c r="BZ175" s="451" t="str">
        <f t="shared" si="245"/>
        <v/>
      </c>
      <c r="CA175" s="452" t="str">
        <f t="shared" si="245"/>
        <v/>
      </c>
      <c r="CB175" s="452" t="str">
        <f t="shared" si="245"/>
        <v/>
      </c>
      <c r="CC175" s="452" t="str">
        <f t="shared" si="245"/>
        <v/>
      </c>
      <c r="CD175" s="453" t="str">
        <f t="shared" si="245"/>
        <v/>
      </c>
      <c r="CE175" s="451" t="str">
        <f t="shared" si="245"/>
        <v/>
      </c>
      <c r="CF175" s="452" t="str">
        <f t="shared" si="245"/>
        <v/>
      </c>
      <c r="CG175" s="452" t="str">
        <f t="shared" si="245"/>
        <v/>
      </c>
      <c r="CH175" s="452" t="str">
        <f t="shared" si="245"/>
        <v/>
      </c>
      <c r="CI175" s="453" t="str">
        <f t="shared" si="245"/>
        <v/>
      </c>
      <c r="CJ175" s="451" t="str">
        <f t="shared" si="245"/>
        <v/>
      </c>
      <c r="CK175" s="452" t="str">
        <f t="shared" si="245"/>
        <v/>
      </c>
      <c r="CL175" s="452" t="str">
        <f t="shared" si="245"/>
        <v/>
      </c>
      <c r="CM175" s="452" t="str">
        <f t="shared" si="245"/>
        <v/>
      </c>
      <c r="CN175" s="453" t="str">
        <f t="shared" si="245"/>
        <v/>
      </c>
      <c r="CO175" s="451" t="str">
        <f t="shared" ref="CO175:DD191" si="262">IF(AND(CO$2&gt;=$J175,CO$2&lt;=$K175),1,"")</f>
        <v/>
      </c>
      <c r="CP175" s="452" t="str">
        <f t="shared" si="262"/>
        <v/>
      </c>
      <c r="CQ175" s="452" t="str">
        <f t="shared" si="262"/>
        <v/>
      </c>
      <c r="CR175" s="452" t="str">
        <f t="shared" si="262"/>
        <v/>
      </c>
      <c r="CS175" s="453" t="str">
        <f t="shared" si="262"/>
        <v/>
      </c>
      <c r="CT175" s="451" t="str">
        <f t="shared" si="262"/>
        <v/>
      </c>
      <c r="CU175" s="452" t="str">
        <f t="shared" si="262"/>
        <v/>
      </c>
      <c r="CV175" s="452" t="str">
        <f t="shared" si="262"/>
        <v/>
      </c>
      <c r="CW175" s="452" t="str">
        <f t="shared" si="262"/>
        <v/>
      </c>
      <c r="CX175" s="453" t="str">
        <f t="shared" si="262"/>
        <v/>
      </c>
      <c r="CY175" s="451" t="str">
        <f t="shared" si="262"/>
        <v/>
      </c>
      <c r="CZ175" s="452" t="str">
        <f t="shared" si="262"/>
        <v/>
      </c>
      <c r="DA175" s="452" t="str">
        <f t="shared" si="262"/>
        <v/>
      </c>
      <c r="DB175" s="452" t="str">
        <f t="shared" si="262"/>
        <v/>
      </c>
      <c r="DC175" s="453" t="str">
        <f t="shared" si="262"/>
        <v/>
      </c>
      <c r="DD175" s="451" t="str">
        <f t="shared" si="262"/>
        <v/>
      </c>
      <c r="DE175" s="452" t="str">
        <f t="shared" ref="DE175:DT191" si="263">IF(AND(DE$2&gt;=$J175,DE$2&lt;=$K175),1,"")</f>
        <v/>
      </c>
      <c r="DF175" s="452" t="str">
        <f t="shared" si="263"/>
        <v/>
      </c>
      <c r="DG175" s="452" t="str">
        <f t="shared" si="263"/>
        <v/>
      </c>
      <c r="DH175" s="453" t="str">
        <f t="shared" si="263"/>
        <v/>
      </c>
      <c r="DI175" s="451" t="str">
        <f t="shared" si="263"/>
        <v/>
      </c>
      <c r="DJ175" s="452" t="str">
        <f t="shared" si="263"/>
        <v/>
      </c>
      <c r="DK175" s="452" t="str">
        <f t="shared" si="263"/>
        <v/>
      </c>
      <c r="DL175" s="452" t="str">
        <f t="shared" si="263"/>
        <v/>
      </c>
      <c r="DM175" s="453" t="str">
        <f t="shared" si="263"/>
        <v/>
      </c>
      <c r="DN175" s="451" t="str">
        <f t="shared" si="263"/>
        <v/>
      </c>
      <c r="DO175" s="452" t="str">
        <f t="shared" si="263"/>
        <v/>
      </c>
      <c r="DP175" s="452" t="str">
        <f t="shared" si="263"/>
        <v/>
      </c>
      <c r="DQ175" s="452" t="str">
        <f t="shared" si="263"/>
        <v/>
      </c>
      <c r="DR175" s="453" t="str">
        <f t="shared" si="263"/>
        <v/>
      </c>
      <c r="DS175" s="451" t="str">
        <f t="shared" si="263"/>
        <v/>
      </c>
      <c r="DT175" s="452" t="str">
        <f t="shared" si="247"/>
        <v/>
      </c>
      <c r="DU175" s="452" t="str">
        <f t="shared" si="247"/>
        <v/>
      </c>
      <c r="DV175" s="452" t="str">
        <f t="shared" si="247"/>
        <v/>
      </c>
      <c r="DW175" s="453" t="str">
        <f t="shared" si="247"/>
        <v/>
      </c>
      <c r="DX175" s="451" t="str">
        <f t="shared" si="247"/>
        <v/>
      </c>
      <c r="DY175" s="452" t="str">
        <f t="shared" si="247"/>
        <v/>
      </c>
      <c r="DZ175" s="452" t="str">
        <f t="shared" si="247"/>
        <v/>
      </c>
      <c r="EA175" s="452" t="str">
        <f t="shared" si="247"/>
        <v/>
      </c>
      <c r="EB175" s="453" t="str">
        <f t="shared" si="247"/>
        <v/>
      </c>
      <c r="EC175" s="451" t="str">
        <f t="shared" si="247"/>
        <v/>
      </c>
      <c r="ED175" s="452" t="str">
        <f t="shared" si="247"/>
        <v/>
      </c>
      <c r="EE175" s="452" t="str">
        <f t="shared" si="247"/>
        <v/>
      </c>
      <c r="EF175" s="452" t="str">
        <f t="shared" si="247"/>
        <v/>
      </c>
      <c r="EG175" s="453" t="str">
        <f t="shared" si="247"/>
        <v/>
      </c>
      <c r="EH175" s="451" t="str">
        <f t="shared" si="247"/>
        <v/>
      </c>
      <c r="EI175" s="452" t="str">
        <f t="shared" si="247"/>
        <v/>
      </c>
      <c r="EJ175" s="452" t="str">
        <f t="shared" si="251"/>
        <v/>
      </c>
      <c r="EK175" s="452" t="str">
        <f t="shared" si="251"/>
        <v/>
      </c>
      <c r="EL175" s="453" t="str">
        <f t="shared" si="251"/>
        <v/>
      </c>
      <c r="EM175" s="451" t="str">
        <f t="shared" si="251"/>
        <v/>
      </c>
      <c r="EN175" s="452" t="str">
        <f t="shared" si="251"/>
        <v/>
      </c>
      <c r="EO175" s="452" t="str">
        <f t="shared" si="251"/>
        <v/>
      </c>
      <c r="EP175" s="452" t="str">
        <f t="shared" si="251"/>
        <v/>
      </c>
      <c r="EQ175" s="453" t="str">
        <f t="shared" si="251"/>
        <v/>
      </c>
      <c r="ER175" s="451" t="str">
        <f t="shared" si="251"/>
        <v/>
      </c>
      <c r="ES175" s="452" t="str">
        <f t="shared" si="251"/>
        <v/>
      </c>
      <c r="ET175" s="452" t="str">
        <f t="shared" si="251"/>
        <v/>
      </c>
      <c r="EU175" s="452" t="str">
        <f t="shared" si="251"/>
        <v/>
      </c>
      <c r="EV175" s="453" t="str">
        <f t="shared" si="251"/>
        <v/>
      </c>
      <c r="EW175" s="451" t="str">
        <f t="shared" si="251"/>
        <v/>
      </c>
      <c r="EX175" s="452" t="str">
        <f t="shared" si="251"/>
        <v/>
      </c>
      <c r="EY175" s="452" t="str">
        <f t="shared" si="251"/>
        <v/>
      </c>
      <c r="EZ175" s="452" t="str">
        <f t="shared" si="252"/>
        <v/>
      </c>
      <c r="FA175" s="453" t="str">
        <f t="shared" si="252"/>
        <v/>
      </c>
      <c r="FB175" s="451" t="str">
        <f t="shared" si="252"/>
        <v/>
      </c>
      <c r="FC175" s="452" t="str">
        <f t="shared" si="252"/>
        <v/>
      </c>
      <c r="FD175" s="452" t="str">
        <f t="shared" si="252"/>
        <v/>
      </c>
      <c r="FE175" s="452" t="str">
        <f t="shared" si="252"/>
        <v/>
      </c>
      <c r="FF175" s="453" t="str">
        <f t="shared" si="252"/>
        <v/>
      </c>
      <c r="FG175" s="451" t="str">
        <f t="shared" si="252"/>
        <v/>
      </c>
      <c r="FH175" s="452" t="str">
        <f t="shared" si="252"/>
        <v/>
      </c>
      <c r="FI175" s="452" t="str">
        <f t="shared" si="252"/>
        <v/>
      </c>
      <c r="FJ175" s="452" t="str">
        <f t="shared" si="252"/>
        <v/>
      </c>
      <c r="FK175" s="453" t="str">
        <f t="shared" si="252"/>
        <v/>
      </c>
      <c r="FL175" s="451" t="str">
        <f t="shared" si="252"/>
        <v/>
      </c>
      <c r="FM175" s="452" t="str">
        <f t="shared" si="252"/>
        <v/>
      </c>
      <c r="FN175" s="452" t="str">
        <f t="shared" si="248"/>
        <v/>
      </c>
      <c r="FO175" s="452" t="str">
        <f t="shared" si="248"/>
        <v/>
      </c>
      <c r="FP175" s="453" t="str">
        <f t="shared" si="248"/>
        <v/>
      </c>
      <c r="FQ175" s="451" t="str">
        <f t="shared" si="248"/>
        <v/>
      </c>
      <c r="FR175" s="452" t="str">
        <f t="shared" si="248"/>
        <v/>
      </c>
      <c r="FS175" s="452" t="str">
        <f t="shared" si="248"/>
        <v/>
      </c>
      <c r="FT175" s="452" t="str">
        <f t="shared" si="248"/>
        <v/>
      </c>
      <c r="FU175" s="453" t="str">
        <f t="shared" si="248"/>
        <v/>
      </c>
      <c r="FV175" s="451" t="str">
        <f t="shared" si="248"/>
        <v/>
      </c>
      <c r="FW175" s="452" t="str">
        <f t="shared" si="248"/>
        <v/>
      </c>
      <c r="FX175" s="452" t="str">
        <f t="shared" si="248"/>
        <v/>
      </c>
      <c r="FY175" s="452" t="str">
        <f t="shared" si="248"/>
        <v/>
      </c>
      <c r="FZ175" s="453" t="str">
        <f t="shared" si="248"/>
        <v/>
      </c>
      <c r="GA175" s="451" t="str">
        <f t="shared" si="248"/>
        <v/>
      </c>
      <c r="GB175" s="452" t="str">
        <f t="shared" si="248"/>
        <v/>
      </c>
      <c r="GC175" s="452" t="str">
        <f t="shared" si="248"/>
        <v/>
      </c>
      <c r="GD175" s="452" t="str">
        <f t="shared" si="249"/>
        <v/>
      </c>
      <c r="GE175" s="453" t="str">
        <f t="shared" si="249"/>
        <v/>
      </c>
      <c r="GF175" s="451" t="str">
        <f t="shared" si="249"/>
        <v/>
      </c>
      <c r="GG175" s="452" t="str">
        <f t="shared" si="249"/>
        <v/>
      </c>
      <c r="GH175" s="452" t="str">
        <f t="shared" si="249"/>
        <v/>
      </c>
      <c r="GI175" s="452" t="str">
        <f t="shared" si="249"/>
        <v/>
      </c>
      <c r="GJ175" s="453" t="str">
        <f t="shared" si="249"/>
        <v/>
      </c>
      <c r="GK175" s="451" t="str">
        <f t="shared" si="249"/>
        <v/>
      </c>
      <c r="GL175" s="452" t="str">
        <f t="shared" si="249"/>
        <v/>
      </c>
      <c r="GM175" s="452" t="str">
        <f t="shared" si="249"/>
        <v/>
      </c>
      <c r="GN175" s="452" t="str">
        <f t="shared" si="249"/>
        <v/>
      </c>
      <c r="GO175" s="453" t="str">
        <f t="shared" si="249"/>
        <v/>
      </c>
      <c r="GP175" s="451" t="str">
        <f t="shared" si="249"/>
        <v/>
      </c>
      <c r="GQ175" s="452" t="str">
        <f t="shared" si="249"/>
        <v/>
      </c>
      <c r="GR175" s="452" t="str">
        <f t="shared" si="249"/>
        <v/>
      </c>
      <c r="GS175" s="452" t="str">
        <f t="shared" si="249"/>
        <v/>
      </c>
      <c r="GT175" s="453" t="str">
        <f t="shared" si="253"/>
        <v/>
      </c>
      <c r="GU175" s="451" t="str">
        <f t="shared" si="253"/>
        <v/>
      </c>
      <c r="GV175" s="452" t="str">
        <f t="shared" si="253"/>
        <v/>
      </c>
      <c r="GW175" s="452" t="str">
        <f t="shared" si="253"/>
        <v/>
      </c>
      <c r="GX175" s="452" t="str">
        <f t="shared" si="253"/>
        <v/>
      </c>
      <c r="GY175" s="453" t="str">
        <f t="shared" si="253"/>
        <v/>
      </c>
      <c r="GZ175" s="451" t="str">
        <f t="shared" si="253"/>
        <v/>
      </c>
      <c r="HA175" s="452" t="str">
        <f t="shared" si="253"/>
        <v/>
      </c>
      <c r="HB175" s="452" t="str">
        <f t="shared" si="253"/>
        <v/>
      </c>
      <c r="HC175" s="452" t="str">
        <f t="shared" si="253"/>
        <v/>
      </c>
      <c r="HD175" s="453" t="str">
        <f t="shared" si="253"/>
        <v/>
      </c>
      <c r="HE175" s="451" t="str">
        <f t="shared" si="253"/>
        <v/>
      </c>
      <c r="HF175" s="452" t="str">
        <f t="shared" si="253"/>
        <v/>
      </c>
      <c r="HG175" s="452" t="str">
        <f t="shared" si="253"/>
        <v/>
      </c>
      <c r="HH175" s="452" t="str">
        <f t="shared" si="253"/>
        <v/>
      </c>
      <c r="HI175" s="453" t="str">
        <f t="shared" si="253"/>
        <v/>
      </c>
      <c r="HJ175" s="451" t="str">
        <f t="shared" si="250"/>
        <v/>
      </c>
      <c r="HK175" s="452" t="str">
        <f t="shared" si="250"/>
        <v/>
      </c>
      <c r="HL175" s="452" t="str">
        <f t="shared" si="250"/>
        <v/>
      </c>
      <c r="HM175" s="452" t="str">
        <f t="shared" si="250"/>
        <v/>
      </c>
      <c r="HN175" s="453" t="str">
        <f t="shared" si="250"/>
        <v/>
      </c>
      <c r="HO175" s="451" t="str">
        <f t="shared" si="250"/>
        <v/>
      </c>
      <c r="HP175" s="452" t="str">
        <f t="shared" si="250"/>
        <v/>
      </c>
      <c r="HQ175" s="452" t="str">
        <f t="shared" si="250"/>
        <v/>
      </c>
      <c r="HR175" s="452" t="str">
        <f t="shared" si="250"/>
        <v/>
      </c>
      <c r="HS175" s="453" t="str">
        <f t="shared" si="250"/>
        <v/>
      </c>
      <c r="HT175" s="451" t="str">
        <f t="shared" si="250"/>
        <v/>
      </c>
      <c r="HU175" s="452" t="str">
        <f t="shared" si="250"/>
        <v/>
      </c>
      <c r="HV175" s="452" t="str">
        <f t="shared" si="250"/>
        <v/>
      </c>
      <c r="HW175" s="452" t="str">
        <f t="shared" si="250"/>
        <v/>
      </c>
      <c r="HX175" s="453" t="str">
        <f t="shared" si="250"/>
        <v/>
      </c>
      <c r="HY175" s="451" t="str">
        <f t="shared" si="250"/>
        <v/>
      </c>
      <c r="HZ175" s="452" t="str">
        <f t="shared" si="250"/>
        <v/>
      </c>
      <c r="IA175" s="452" t="str">
        <f t="shared" si="254"/>
        <v/>
      </c>
      <c r="IB175" s="452" t="str">
        <f t="shared" si="254"/>
        <v/>
      </c>
      <c r="IC175" s="453" t="str">
        <f t="shared" si="254"/>
        <v/>
      </c>
      <c r="ID175" s="451" t="str">
        <f t="shared" si="254"/>
        <v/>
      </c>
      <c r="IE175" s="452" t="str">
        <f t="shared" si="254"/>
        <v/>
      </c>
      <c r="IF175" s="452" t="str">
        <f t="shared" si="254"/>
        <v/>
      </c>
      <c r="IG175" s="452" t="str">
        <f t="shared" si="254"/>
        <v/>
      </c>
      <c r="IH175" s="453" t="str">
        <f t="shared" si="254"/>
        <v/>
      </c>
      <c r="II175" s="451" t="str">
        <f t="shared" si="254"/>
        <v/>
      </c>
      <c r="IJ175" s="452" t="str">
        <f t="shared" si="254"/>
        <v/>
      </c>
      <c r="IK175" s="452" t="str">
        <f t="shared" si="254"/>
        <v/>
      </c>
      <c r="IL175" s="452" t="str">
        <f t="shared" si="254"/>
        <v/>
      </c>
      <c r="IM175" s="453" t="str">
        <f t="shared" si="254"/>
        <v/>
      </c>
      <c r="IN175" s="451" t="str">
        <f t="shared" si="254"/>
        <v/>
      </c>
      <c r="IO175" s="452" t="str">
        <f t="shared" si="254"/>
        <v/>
      </c>
      <c r="IP175" s="452" t="str">
        <f t="shared" si="254"/>
        <v/>
      </c>
      <c r="IQ175" s="452" t="str">
        <f t="shared" si="260"/>
        <v/>
      </c>
      <c r="IR175" s="453" t="str">
        <f t="shared" si="260"/>
        <v/>
      </c>
    </row>
    <row r="176" spans="1:252" x14ac:dyDescent="0.2">
      <c r="A176" s="461">
        <v>16.7</v>
      </c>
      <c r="C176" s="447" t="s">
        <v>1357</v>
      </c>
      <c r="D176" s="447"/>
      <c r="E176" s="448"/>
      <c r="F176" s="448"/>
      <c r="G176" s="448"/>
      <c r="H176" s="448"/>
      <c r="I176" s="448"/>
      <c r="J176" s="449" t="str">
        <f t="shared" si="256"/>
        <v/>
      </c>
      <c r="K176" s="449" t="str">
        <f t="shared" si="257"/>
        <v/>
      </c>
      <c r="L176" s="450">
        <f t="shared" si="255"/>
        <v>0</v>
      </c>
      <c r="M176" s="451" t="str">
        <f t="shared" si="259"/>
        <v/>
      </c>
      <c r="N176" s="452" t="str">
        <f t="shared" si="259"/>
        <v/>
      </c>
      <c r="O176" s="452" t="str">
        <f t="shared" si="259"/>
        <v/>
      </c>
      <c r="P176" s="452" t="str">
        <f t="shared" si="259"/>
        <v/>
      </c>
      <c r="Q176" s="453" t="str">
        <f t="shared" si="259"/>
        <v/>
      </c>
      <c r="R176" s="451" t="str">
        <f t="shared" si="259"/>
        <v/>
      </c>
      <c r="S176" s="452" t="str">
        <f t="shared" si="259"/>
        <v/>
      </c>
      <c r="T176" s="452" t="str">
        <f t="shared" si="259"/>
        <v/>
      </c>
      <c r="U176" s="452" t="str">
        <f t="shared" si="259"/>
        <v/>
      </c>
      <c r="V176" s="453" t="str">
        <f t="shared" si="259"/>
        <v/>
      </c>
      <c r="W176" s="451" t="str">
        <f t="shared" si="259"/>
        <v/>
      </c>
      <c r="X176" s="452" t="str">
        <f t="shared" si="259"/>
        <v/>
      </c>
      <c r="Y176" s="452" t="str">
        <f t="shared" si="259"/>
        <v/>
      </c>
      <c r="Z176" s="452" t="str">
        <f t="shared" si="259"/>
        <v/>
      </c>
      <c r="AA176" s="453" t="str">
        <f t="shared" si="259"/>
        <v/>
      </c>
      <c r="AB176" s="451" t="str">
        <f t="shared" si="259"/>
        <v/>
      </c>
      <c r="AC176" s="452" t="str">
        <f t="shared" si="246"/>
        <v/>
      </c>
      <c r="AD176" s="452" t="str">
        <f t="shared" si="246"/>
        <v/>
      </c>
      <c r="AE176" s="452" t="str">
        <f t="shared" si="246"/>
        <v/>
      </c>
      <c r="AF176" s="453" t="str">
        <f t="shared" si="246"/>
        <v/>
      </c>
      <c r="AG176" s="451" t="str">
        <f t="shared" si="246"/>
        <v/>
      </c>
      <c r="AH176" s="452" t="str">
        <f t="shared" si="246"/>
        <v/>
      </c>
      <c r="AI176" s="452" t="str">
        <f t="shared" si="246"/>
        <v/>
      </c>
      <c r="AJ176" s="452" t="str">
        <f t="shared" si="246"/>
        <v/>
      </c>
      <c r="AK176" s="453" t="str">
        <f t="shared" si="246"/>
        <v/>
      </c>
      <c r="AL176" s="451" t="str">
        <f t="shared" si="246"/>
        <v/>
      </c>
      <c r="AM176" s="452" t="str">
        <f t="shared" si="246"/>
        <v/>
      </c>
      <c r="AN176" s="452" t="str">
        <f t="shared" si="246"/>
        <v/>
      </c>
      <c r="AO176" s="452" t="str">
        <f t="shared" si="246"/>
        <v/>
      </c>
      <c r="AP176" s="453" t="str">
        <f t="shared" si="246"/>
        <v/>
      </c>
      <c r="AQ176" s="451" t="str">
        <f t="shared" si="246"/>
        <v/>
      </c>
      <c r="AR176" s="452" t="str">
        <f t="shared" ref="AR176:BG191" si="264">IF(AND(AR$2&gt;=$J176,AR$2&lt;=$K176),1,"")</f>
        <v/>
      </c>
      <c r="AS176" s="452" t="str">
        <f t="shared" si="264"/>
        <v/>
      </c>
      <c r="AT176" s="452" t="str">
        <f t="shared" si="264"/>
        <v/>
      </c>
      <c r="AU176" s="453" t="str">
        <f t="shared" si="264"/>
        <v/>
      </c>
      <c r="AV176" s="451" t="str">
        <f t="shared" si="264"/>
        <v/>
      </c>
      <c r="AW176" s="452" t="str">
        <f t="shared" si="264"/>
        <v/>
      </c>
      <c r="AX176" s="452" t="str">
        <f t="shared" si="264"/>
        <v/>
      </c>
      <c r="AY176" s="452" t="str">
        <f t="shared" si="264"/>
        <v/>
      </c>
      <c r="AZ176" s="453" t="str">
        <f t="shared" si="264"/>
        <v/>
      </c>
      <c r="BA176" s="451" t="str">
        <f t="shared" si="264"/>
        <v/>
      </c>
      <c r="BB176" s="452" t="str">
        <f t="shared" si="264"/>
        <v/>
      </c>
      <c r="BC176" s="452" t="str">
        <f t="shared" si="264"/>
        <v/>
      </c>
      <c r="BD176" s="452" t="str">
        <f t="shared" si="264"/>
        <v/>
      </c>
      <c r="BE176" s="453" t="str">
        <f t="shared" si="264"/>
        <v/>
      </c>
      <c r="BF176" s="451" t="str">
        <f t="shared" si="264"/>
        <v/>
      </c>
      <c r="BG176" s="452" t="str">
        <f t="shared" si="264"/>
        <v/>
      </c>
      <c r="BH176" s="452" t="str">
        <f t="shared" si="261"/>
        <v/>
      </c>
      <c r="BI176" s="452" t="str">
        <f t="shared" si="261"/>
        <v/>
      </c>
      <c r="BJ176" s="453" t="str">
        <f t="shared" si="261"/>
        <v/>
      </c>
      <c r="BK176" s="451" t="str">
        <f t="shared" si="261"/>
        <v/>
      </c>
      <c r="BL176" s="452" t="str">
        <f t="shared" si="261"/>
        <v/>
      </c>
      <c r="BM176" s="452" t="str">
        <f t="shared" si="261"/>
        <v/>
      </c>
      <c r="BN176" s="452" t="str">
        <f t="shared" si="261"/>
        <v/>
      </c>
      <c r="BO176" s="453" t="str">
        <f t="shared" si="261"/>
        <v/>
      </c>
      <c r="BP176" s="451" t="str">
        <f t="shared" si="261"/>
        <v/>
      </c>
      <c r="BQ176" s="452" t="str">
        <f t="shared" si="261"/>
        <v/>
      </c>
      <c r="BR176" s="452" t="str">
        <f t="shared" si="261"/>
        <v/>
      </c>
      <c r="BS176" s="452" t="str">
        <f t="shared" si="261"/>
        <v/>
      </c>
      <c r="BT176" s="453" t="str">
        <f t="shared" si="261"/>
        <v/>
      </c>
      <c r="BU176" s="451" t="str">
        <f t="shared" si="261"/>
        <v/>
      </c>
      <c r="BV176" s="452" t="str">
        <f t="shared" si="261"/>
        <v/>
      </c>
      <c r="BW176" s="452" t="str">
        <f t="shared" si="261"/>
        <v/>
      </c>
      <c r="BX176" s="452" t="str">
        <f t="shared" ref="BX176:CM191" si="265">IF(AND(BX$2&gt;=$J176,BX$2&lt;=$K176),1,"")</f>
        <v/>
      </c>
      <c r="BY176" s="453" t="str">
        <f t="shared" si="265"/>
        <v/>
      </c>
      <c r="BZ176" s="451" t="str">
        <f t="shared" si="265"/>
        <v/>
      </c>
      <c r="CA176" s="452" t="str">
        <f t="shared" si="265"/>
        <v/>
      </c>
      <c r="CB176" s="452" t="str">
        <f t="shared" si="265"/>
        <v/>
      </c>
      <c r="CC176" s="452" t="str">
        <f t="shared" si="265"/>
        <v/>
      </c>
      <c r="CD176" s="453" t="str">
        <f t="shared" si="265"/>
        <v/>
      </c>
      <c r="CE176" s="451" t="str">
        <f t="shared" si="265"/>
        <v/>
      </c>
      <c r="CF176" s="452" t="str">
        <f t="shared" si="265"/>
        <v/>
      </c>
      <c r="CG176" s="452" t="str">
        <f t="shared" si="265"/>
        <v/>
      </c>
      <c r="CH176" s="452" t="str">
        <f t="shared" si="265"/>
        <v/>
      </c>
      <c r="CI176" s="453" t="str">
        <f t="shared" si="265"/>
        <v/>
      </c>
      <c r="CJ176" s="451" t="str">
        <f t="shared" si="265"/>
        <v/>
      </c>
      <c r="CK176" s="452" t="str">
        <f t="shared" si="265"/>
        <v/>
      </c>
      <c r="CL176" s="452" t="str">
        <f t="shared" si="265"/>
        <v/>
      </c>
      <c r="CM176" s="452" t="str">
        <f t="shared" si="265"/>
        <v/>
      </c>
      <c r="CN176" s="453" t="str">
        <f t="shared" ref="CN176:DC191" si="266">IF(AND(CN$2&gt;=$J176,CN$2&lt;=$K176),1,"")</f>
        <v/>
      </c>
      <c r="CO176" s="451" t="str">
        <f t="shared" si="262"/>
        <v/>
      </c>
      <c r="CP176" s="452" t="str">
        <f t="shared" si="262"/>
        <v/>
      </c>
      <c r="CQ176" s="452" t="str">
        <f t="shared" si="262"/>
        <v/>
      </c>
      <c r="CR176" s="452" t="str">
        <f t="shared" si="262"/>
        <v/>
      </c>
      <c r="CS176" s="453" t="str">
        <f t="shared" si="262"/>
        <v/>
      </c>
      <c r="CT176" s="451" t="str">
        <f t="shared" si="262"/>
        <v/>
      </c>
      <c r="CU176" s="452" t="str">
        <f t="shared" si="262"/>
        <v/>
      </c>
      <c r="CV176" s="452" t="str">
        <f t="shared" si="262"/>
        <v/>
      </c>
      <c r="CW176" s="452" t="str">
        <f t="shared" si="262"/>
        <v/>
      </c>
      <c r="CX176" s="453" t="str">
        <f t="shared" si="262"/>
        <v/>
      </c>
      <c r="CY176" s="451" t="str">
        <f t="shared" si="262"/>
        <v/>
      </c>
      <c r="CZ176" s="452" t="str">
        <f t="shared" si="262"/>
        <v/>
      </c>
      <c r="DA176" s="452" t="str">
        <f t="shared" si="262"/>
        <v/>
      </c>
      <c r="DB176" s="452" t="str">
        <f t="shared" si="262"/>
        <v/>
      </c>
      <c r="DC176" s="453" t="str">
        <f t="shared" si="262"/>
        <v/>
      </c>
      <c r="DD176" s="451" t="str">
        <f t="shared" si="262"/>
        <v/>
      </c>
      <c r="DE176" s="452" t="str">
        <f t="shared" si="263"/>
        <v/>
      </c>
      <c r="DF176" s="452" t="str">
        <f t="shared" si="263"/>
        <v/>
      </c>
      <c r="DG176" s="452" t="str">
        <f t="shared" si="263"/>
        <v/>
      </c>
      <c r="DH176" s="453" t="str">
        <f t="shared" si="263"/>
        <v/>
      </c>
      <c r="DI176" s="451" t="str">
        <f t="shared" si="263"/>
        <v/>
      </c>
      <c r="DJ176" s="452" t="str">
        <f t="shared" si="263"/>
        <v/>
      </c>
      <c r="DK176" s="452" t="str">
        <f t="shared" si="263"/>
        <v/>
      </c>
      <c r="DL176" s="452" t="str">
        <f t="shared" si="263"/>
        <v/>
      </c>
      <c r="DM176" s="453" t="str">
        <f t="shared" si="263"/>
        <v/>
      </c>
      <c r="DN176" s="451" t="str">
        <f t="shared" si="263"/>
        <v/>
      </c>
      <c r="DO176" s="452" t="str">
        <f t="shared" si="263"/>
        <v/>
      </c>
      <c r="DP176" s="452" t="str">
        <f t="shared" si="263"/>
        <v/>
      </c>
      <c r="DQ176" s="452" t="str">
        <f t="shared" si="263"/>
        <v/>
      </c>
      <c r="DR176" s="453" t="str">
        <f t="shared" si="263"/>
        <v/>
      </c>
      <c r="DS176" s="451" t="str">
        <f t="shared" si="263"/>
        <v/>
      </c>
      <c r="DT176" s="452" t="str">
        <f t="shared" si="247"/>
        <v/>
      </c>
      <c r="DU176" s="452" t="str">
        <f t="shared" si="247"/>
        <v/>
      </c>
      <c r="DV176" s="452" t="str">
        <f t="shared" si="247"/>
        <v/>
      </c>
      <c r="DW176" s="453" t="str">
        <f t="shared" si="247"/>
        <v/>
      </c>
      <c r="DX176" s="451" t="str">
        <f t="shared" si="247"/>
        <v/>
      </c>
      <c r="DY176" s="452" t="str">
        <f t="shared" si="247"/>
        <v/>
      </c>
      <c r="DZ176" s="452" t="str">
        <f t="shared" si="247"/>
        <v/>
      </c>
      <c r="EA176" s="452" t="str">
        <f t="shared" si="247"/>
        <v/>
      </c>
      <c r="EB176" s="453" t="str">
        <f t="shared" si="247"/>
        <v/>
      </c>
      <c r="EC176" s="451" t="str">
        <f t="shared" si="247"/>
        <v/>
      </c>
      <c r="ED176" s="452" t="str">
        <f t="shared" si="247"/>
        <v/>
      </c>
      <c r="EE176" s="452" t="str">
        <f t="shared" si="247"/>
        <v/>
      </c>
      <c r="EF176" s="452" t="str">
        <f t="shared" si="247"/>
        <v/>
      </c>
      <c r="EG176" s="453" t="str">
        <f t="shared" si="247"/>
        <v/>
      </c>
      <c r="EH176" s="451" t="str">
        <f t="shared" si="247"/>
        <v/>
      </c>
      <c r="EI176" s="452" t="str">
        <f t="shared" si="247"/>
        <v/>
      </c>
      <c r="EJ176" s="452" t="str">
        <f t="shared" si="251"/>
        <v/>
      </c>
      <c r="EK176" s="452" t="str">
        <f t="shared" si="251"/>
        <v/>
      </c>
      <c r="EL176" s="453" t="str">
        <f t="shared" si="251"/>
        <v/>
      </c>
      <c r="EM176" s="451" t="str">
        <f t="shared" si="251"/>
        <v/>
      </c>
      <c r="EN176" s="452" t="str">
        <f t="shared" si="251"/>
        <v/>
      </c>
      <c r="EO176" s="452" t="str">
        <f t="shared" si="251"/>
        <v/>
      </c>
      <c r="EP176" s="452" t="str">
        <f t="shared" si="251"/>
        <v/>
      </c>
      <c r="EQ176" s="453" t="str">
        <f t="shared" si="251"/>
        <v/>
      </c>
      <c r="ER176" s="451" t="str">
        <f t="shared" si="251"/>
        <v/>
      </c>
      <c r="ES176" s="452" t="str">
        <f t="shared" si="251"/>
        <v/>
      </c>
      <c r="ET176" s="452" t="str">
        <f t="shared" si="251"/>
        <v/>
      </c>
      <c r="EU176" s="452" t="str">
        <f t="shared" si="251"/>
        <v/>
      </c>
      <c r="EV176" s="453" t="str">
        <f t="shared" si="251"/>
        <v/>
      </c>
      <c r="EW176" s="451" t="str">
        <f t="shared" si="251"/>
        <v/>
      </c>
      <c r="EX176" s="452" t="str">
        <f t="shared" si="251"/>
        <v/>
      </c>
      <c r="EY176" s="452" t="str">
        <f t="shared" si="251"/>
        <v/>
      </c>
      <c r="EZ176" s="452" t="str">
        <f t="shared" si="252"/>
        <v/>
      </c>
      <c r="FA176" s="453" t="str">
        <f t="shared" si="252"/>
        <v/>
      </c>
      <c r="FB176" s="451" t="str">
        <f t="shared" si="252"/>
        <v/>
      </c>
      <c r="FC176" s="452" t="str">
        <f t="shared" si="252"/>
        <v/>
      </c>
      <c r="FD176" s="452" t="str">
        <f t="shared" si="252"/>
        <v/>
      </c>
      <c r="FE176" s="452" t="str">
        <f t="shared" si="252"/>
        <v/>
      </c>
      <c r="FF176" s="453" t="str">
        <f t="shared" si="252"/>
        <v/>
      </c>
      <c r="FG176" s="451" t="str">
        <f t="shared" si="252"/>
        <v/>
      </c>
      <c r="FH176" s="452" t="str">
        <f t="shared" si="252"/>
        <v/>
      </c>
      <c r="FI176" s="452" t="str">
        <f t="shared" si="252"/>
        <v/>
      </c>
      <c r="FJ176" s="452" t="str">
        <f t="shared" si="252"/>
        <v/>
      </c>
      <c r="FK176" s="453" t="str">
        <f t="shared" si="252"/>
        <v/>
      </c>
      <c r="FL176" s="451" t="str">
        <f t="shared" si="252"/>
        <v/>
      </c>
      <c r="FM176" s="452" t="str">
        <f t="shared" si="252"/>
        <v/>
      </c>
      <c r="FN176" s="452" t="str">
        <f t="shared" si="252"/>
        <v/>
      </c>
      <c r="FO176" s="452" t="str">
        <f t="shared" si="248"/>
        <v/>
      </c>
      <c r="FP176" s="453" t="str">
        <f t="shared" si="248"/>
        <v/>
      </c>
      <c r="FQ176" s="451" t="str">
        <f t="shared" si="248"/>
        <v/>
      </c>
      <c r="FR176" s="452" t="str">
        <f t="shared" si="248"/>
        <v/>
      </c>
      <c r="FS176" s="452" t="str">
        <f t="shared" si="248"/>
        <v/>
      </c>
      <c r="FT176" s="452" t="str">
        <f t="shared" si="248"/>
        <v/>
      </c>
      <c r="FU176" s="453" t="str">
        <f t="shared" si="248"/>
        <v/>
      </c>
      <c r="FV176" s="451" t="str">
        <f t="shared" si="248"/>
        <v/>
      </c>
      <c r="FW176" s="452" t="str">
        <f t="shared" si="248"/>
        <v/>
      </c>
      <c r="FX176" s="452" t="str">
        <f t="shared" si="248"/>
        <v/>
      </c>
      <c r="FY176" s="452" t="str">
        <f t="shared" si="248"/>
        <v/>
      </c>
      <c r="FZ176" s="453" t="str">
        <f t="shared" si="248"/>
        <v/>
      </c>
      <c r="GA176" s="451" t="str">
        <f t="shared" si="248"/>
        <v/>
      </c>
      <c r="GB176" s="452" t="str">
        <f t="shared" si="248"/>
        <v/>
      </c>
      <c r="GC176" s="452" t="str">
        <f t="shared" si="248"/>
        <v/>
      </c>
      <c r="GD176" s="452" t="str">
        <f t="shared" si="249"/>
        <v/>
      </c>
      <c r="GE176" s="453" t="str">
        <f t="shared" si="249"/>
        <v/>
      </c>
      <c r="GF176" s="451" t="str">
        <f t="shared" si="249"/>
        <v/>
      </c>
      <c r="GG176" s="452" t="str">
        <f t="shared" si="249"/>
        <v/>
      </c>
      <c r="GH176" s="452" t="str">
        <f t="shared" si="249"/>
        <v/>
      </c>
      <c r="GI176" s="452" t="str">
        <f t="shared" si="249"/>
        <v/>
      </c>
      <c r="GJ176" s="453" t="str">
        <f t="shared" si="249"/>
        <v/>
      </c>
      <c r="GK176" s="451" t="str">
        <f t="shared" si="249"/>
        <v/>
      </c>
      <c r="GL176" s="452" t="str">
        <f t="shared" si="249"/>
        <v/>
      </c>
      <c r="GM176" s="452" t="str">
        <f t="shared" si="249"/>
        <v/>
      </c>
      <c r="GN176" s="452" t="str">
        <f t="shared" si="249"/>
        <v/>
      </c>
      <c r="GO176" s="453" t="str">
        <f t="shared" si="249"/>
        <v/>
      </c>
      <c r="GP176" s="451" t="str">
        <f t="shared" si="249"/>
        <v/>
      </c>
      <c r="GQ176" s="452" t="str">
        <f t="shared" si="249"/>
        <v/>
      </c>
      <c r="GR176" s="452" t="str">
        <f t="shared" si="249"/>
        <v/>
      </c>
      <c r="GS176" s="452" t="str">
        <f t="shared" si="249"/>
        <v/>
      </c>
      <c r="GT176" s="453" t="str">
        <f t="shared" si="253"/>
        <v/>
      </c>
      <c r="GU176" s="451" t="str">
        <f t="shared" si="253"/>
        <v/>
      </c>
      <c r="GV176" s="452" t="str">
        <f t="shared" si="253"/>
        <v/>
      </c>
      <c r="GW176" s="452" t="str">
        <f t="shared" si="253"/>
        <v/>
      </c>
      <c r="GX176" s="452" t="str">
        <f t="shared" si="253"/>
        <v/>
      </c>
      <c r="GY176" s="453" t="str">
        <f t="shared" si="253"/>
        <v/>
      </c>
      <c r="GZ176" s="451" t="str">
        <f t="shared" si="253"/>
        <v/>
      </c>
      <c r="HA176" s="452" t="str">
        <f t="shared" si="253"/>
        <v/>
      </c>
      <c r="HB176" s="452" t="str">
        <f t="shared" si="253"/>
        <v/>
      </c>
      <c r="HC176" s="452" t="str">
        <f t="shared" si="253"/>
        <v/>
      </c>
      <c r="HD176" s="453" t="str">
        <f t="shared" si="253"/>
        <v/>
      </c>
      <c r="HE176" s="451" t="str">
        <f t="shared" si="253"/>
        <v/>
      </c>
      <c r="HF176" s="452" t="str">
        <f t="shared" si="253"/>
        <v/>
      </c>
      <c r="HG176" s="452" t="str">
        <f t="shared" si="253"/>
        <v/>
      </c>
      <c r="HH176" s="452" t="str">
        <f t="shared" si="253"/>
        <v/>
      </c>
      <c r="HI176" s="453" t="str">
        <f t="shared" si="253"/>
        <v/>
      </c>
      <c r="HJ176" s="451" t="str">
        <f t="shared" si="250"/>
        <v/>
      </c>
      <c r="HK176" s="452" t="str">
        <f t="shared" si="250"/>
        <v/>
      </c>
      <c r="HL176" s="452" t="str">
        <f t="shared" si="250"/>
        <v/>
      </c>
      <c r="HM176" s="452" t="str">
        <f t="shared" si="250"/>
        <v/>
      </c>
      <c r="HN176" s="453" t="str">
        <f t="shared" si="250"/>
        <v/>
      </c>
      <c r="HO176" s="451" t="str">
        <f t="shared" si="250"/>
        <v/>
      </c>
      <c r="HP176" s="452" t="str">
        <f t="shared" si="250"/>
        <v/>
      </c>
      <c r="HQ176" s="452" t="str">
        <f t="shared" si="250"/>
        <v/>
      </c>
      <c r="HR176" s="452" t="str">
        <f t="shared" si="250"/>
        <v/>
      </c>
      <c r="HS176" s="453" t="str">
        <f t="shared" si="250"/>
        <v/>
      </c>
      <c r="HT176" s="451" t="str">
        <f t="shared" si="250"/>
        <v/>
      </c>
      <c r="HU176" s="452" t="str">
        <f t="shared" si="250"/>
        <v/>
      </c>
      <c r="HV176" s="452" t="str">
        <f t="shared" si="250"/>
        <v/>
      </c>
      <c r="HW176" s="452" t="str">
        <f t="shared" si="250"/>
        <v/>
      </c>
      <c r="HX176" s="453" t="str">
        <f t="shared" si="250"/>
        <v/>
      </c>
      <c r="HY176" s="451" t="str">
        <f t="shared" si="250"/>
        <v/>
      </c>
      <c r="HZ176" s="452" t="str">
        <f t="shared" si="250"/>
        <v/>
      </c>
      <c r="IA176" s="452" t="str">
        <f t="shared" si="254"/>
        <v/>
      </c>
      <c r="IB176" s="452" t="str">
        <f t="shared" si="254"/>
        <v/>
      </c>
      <c r="IC176" s="453" t="str">
        <f t="shared" si="254"/>
        <v/>
      </c>
      <c r="ID176" s="451" t="str">
        <f t="shared" si="254"/>
        <v/>
      </c>
      <c r="IE176" s="452" t="str">
        <f t="shared" si="254"/>
        <v/>
      </c>
      <c r="IF176" s="452" t="str">
        <f t="shared" si="254"/>
        <v/>
      </c>
      <c r="IG176" s="452" t="str">
        <f t="shared" si="254"/>
        <v/>
      </c>
      <c r="IH176" s="453" t="str">
        <f t="shared" si="254"/>
        <v/>
      </c>
      <c r="II176" s="451" t="str">
        <f t="shared" si="254"/>
        <v/>
      </c>
      <c r="IJ176" s="452" t="str">
        <f t="shared" si="254"/>
        <v/>
      </c>
      <c r="IK176" s="452" t="str">
        <f t="shared" si="254"/>
        <v/>
      </c>
      <c r="IL176" s="452" t="str">
        <f t="shared" si="254"/>
        <v/>
      </c>
      <c r="IM176" s="453" t="str">
        <f t="shared" si="254"/>
        <v/>
      </c>
      <c r="IN176" s="451" t="str">
        <f t="shared" si="254"/>
        <v/>
      </c>
      <c r="IO176" s="452" t="str">
        <f t="shared" si="254"/>
        <v/>
      </c>
      <c r="IP176" s="452" t="str">
        <f t="shared" si="254"/>
        <v/>
      </c>
      <c r="IQ176" s="452" t="str">
        <f t="shared" si="260"/>
        <v/>
      </c>
      <c r="IR176" s="453" t="str">
        <f t="shared" si="260"/>
        <v/>
      </c>
    </row>
    <row r="177" spans="1:252" x14ac:dyDescent="0.2">
      <c r="A177" s="461">
        <v>16.8</v>
      </c>
      <c r="C177" s="447" t="s">
        <v>1358</v>
      </c>
      <c r="D177" s="447"/>
      <c r="E177" s="448"/>
      <c r="F177" s="448"/>
      <c r="G177" s="448"/>
      <c r="H177" s="448"/>
      <c r="I177" s="448"/>
      <c r="J177" s="449" t="str">
        <f t="shared" si="256"/>
        <v/>
      </c>
      <c r="K177" s="449" t="str">
        <f t="shared" si="257"/>
        <v/>
      </c>
      <c r="L177" s="450">
        <f t="shared" si="255"/>
        <v>0</v>
      </c>
      <c r="M177" s="451" t="str">
        <f t="shared" si="259"/>
        <v/>
      </c>
      <c r="N177" s="452" t="str">
        <f t="shared" si="259"/>
        <v/>
      </c>
      <c r="O177" s="452" t="str">
        <f t="shared" si="259"/>
        <v/>
      </c>
      <c r="P177" s="452" t="str">
        <f t="shared" si="259"/>
        <v/>
      </c>
      <c r="Q177" s="453" t="str">
        <f t="shared" si="259"/>
        <v/>
      </c>
      <c r="R177" s="451" t="str">
        <f t="shared" si="259"/>
        <v/>
      </c>
      <c r="S177" s="452" t="str">
        <f t="shared" si="259"/>
        <v/>
      </c>
      <c r="T177" s="452" t="str">
        <f t="shared" si="259"/>
        <v/>
      </c>
      <c r="U177" s="452" t="str">
        <f t="shared" si="259"/>
        <v/>
      </c>
      <c r="V177" s="453" t="str">
        <f t="shared" si="259"/>
        <v/>
      </c>
      <c r="W177" s="451" t="str">
        <f t="shared" si="259"/>
        <v/>
      </c>
      <c r="X177" s="452" t="str">
        <f t="shared" si="259"/>
        <v/>
      </c>
      <c r="Y177" s="452" t="str">
        <f t="shared" si="259"/>
        <v/>
      </c>
      <c r="Z177" s="452" t="str">
        <f t="shared" si="259"/>
        <v/>
      </c>
      <c r="AA177" s="453" t="str">
        <f t="shared" si="259"/>
        <v/>
      </c>
      <c r="AB177" s="451" t="str">
        <f t="shared" si="259"/>
        <v/>
      </c>
      <c r="AC177" s="452" t="str">
        <f t="shared" ref="AC177:AR192" si="267">IF(AND(AC$2&gt;=$J177,AC$2&lt;=$K177),1,"")</f>
        <v/>
      </c>
      <c r="AD177" s="452" t="str">
        <f t="shared" si="267"/>
        <v/>
      </c>
      <c r="AE177" s="452" t="str">
        <f t="shared" si="267"/>
        <v/>
      </c>
      <c r="AF177" s="453" t="str">
        <f t="shared" si="267"/>
        <v/>
      </c>
      <c r="AG177" s="451" t="str">
        <f t="shared" si="267"/>
        <v/>
      </c>
      <c r="AH177" s="452" t="str">
        <f t="shared" si="267"/>
        <v/>
      </c>
      <c r="AI177" s="452" t="str">
        <f t="shared" si="267"/>
        <v/>
      </c>
      <c r="AJ177" s="452" t="str">
        <f t="shared" si="267"/>
        <v/>
      </c>
      <c r="AK177" s="453" t="str">
        <f t="shared" si="267"/>
        <v/>
      </c>
      <c r="AL177" s="451" t="str">
        <f t="shared" si="267"/>
        <v/>
      </c>
      <c r="AM177" s="452" t="str">
        <f t="shared" si="267"/>
        <v/>
      </c>
      <c r="AN177" s="452" t="str">
        <f t="shared" si="267"/>
        <v/>
      </c>
      <c r="AO177" s="452" t="str">
        <f t="shared" si="267"/>
        <v/>
      </c>
      <c r="AP177" s="453" t="str">
        <f t="shared" si="267"/>
        <v/>
      </c>
      <c r="AQ177" s="451" t="str">
        <f t="shared" si="267"/>
        <v/>
      </c>
      <c r="AR177" s="452" t="str">
        <f t="shared" si="267"/>
        <v/>
      </c>
      <c r="AS177" s="452" t="str">
        <f t="shared" si="264"/>
        <v/>
      </c>
      <c r="AT177" s="452" t="str">
        <f t="shared" si="264"/>
        <v/>
      </c>
      <c r="AU177" s="453" t="str">
        <f t="shared" si="264"/>
        <v/>
      </c>
      <c r="AV177" s="451" t="str">
        <f t="shared" si="264"/>
        <v/>
      </c>
      <c r="AW177" s="452" t="str">
        <f t="shared" si="264"/>
        <v/>
      </c>
      <c r="AX177" s="452" t="str">
        <f t="shared" si="264"/>
        <v/>
      </c>
      <c r="AY177" s="452" t="str">
        <f t="shared" si="264"/>
        <v/>
      </c>
      <c r="AZ177" s="453" t="str">
        <f t="shared" si="264"/>
        <v/>
      </c>
      <c r="BA177" s="451" t="str">
        <f t="shared" si="264"/>
        <v/>
      </c>
      <c r="BB177" s="452" t="str">
        <f t="shared" si="264"/>
        <v/>
      </c>
      <c r="BC177" s="452" t="str">
        <f t="shared" si="264"/>
        <v/>
      </c>
      <c r="BD177" s="452" t="str">
        <f t="shared" si="264"/>
        <v/>
      </c>
      <c r="BE177" s="453" t="str">
        <f t="shared" si="264"/>
        <v/>
      </c>
      <c r="BF177" s="451" t="str">
        <f t="shared" si="264"/>
        <v/>
      </c>
      <c r="BG177" s="452" t="str">
        <f t="shared" si="264"/>
        <v/>
      </c>
      <c r="BH177" s="452" t="str">
        <f t="shared" si="261"/>
        <v/>
      </c>
      <c r="BI177" s="452" t="str">
        <f t="shared" si="261"/>
        <v/>
      </c>
      <c r="BJ177" s="453" t="str">
        <f t="shared" si="261"/>
        <v/>
      </c>
      <c r="BK177" s="451" t="str">
        <f t="shared" si="261"/>
        <v/>
      </c>
      <c r="BL177" s="452" t="str">
        <f t="shared" si="261"/>
        <v/>
      </c>
      <c r="BM177" s="452" t="str">
        <f t="shared" si="261"/>
        <v/>
      </c>
      <c r="BN177" s="452" t="str">
        <f t="shared" si="261"/>
        <v/>
      </c>
      <c r="BO177" s="453" t="str">
        <f t="shared" si="261"/>
        <v/>
      </c>
      <c r="BP177" s="451" t="str">
        <f t="shared" si="261"/>
        <v/>
      </c>
      <c r="BQ177" s="452" t="str">
        <f t="shared" si="261"/>
        <v/>
      </c>
      <c r="BR177" s="452" t="str">
        <f t="shared" si="261"/>
        <v/>
      </c>
      <c r="BS177" s="452" t="str">
        <f t="shared" si="261"/>
        <v/>
      </c>
      <c r="BT177" s="453" t="str">
        <f t="shared" si="261"/>
        <v/>
      </c>
      <c r="BU177" s="451" t="str">
        <f t="shared" si="261"/>
        <v/>
      </c>
      <c r="BV177" s="452" t="str">
        <f t="shared" si="261"/>
        <v/>
      </c>
      <c r="BW177" s="452" t="str">
        <f t="shared" si="261"/>
        <v/>
      </c>
      <c r="BX177" s="452" t="str">
        <f t="shared" si="265"/>
        <v/>
      </c>
      <c r="BY177" s="453" t="str">
        <f t="shared" si="265"/>
        <v/>
      </c>
      <c r="BZ177" s="451" t="str">
        <f t="shared" si="265"/>
        <v/>
      </c>
      <c r="CA177" s="452" t="str">
        <f t="shared" si="265"/>
        <v/>
      </c>
      <c r="CB177" s="452" t="str">
        <f t="shared" si="265"/>
        <v/>
      </c>
      <c r="CC177" s="452" t="str">
        <f t="shared" si="265"/>
        <v/>
      </c>
      <c r="CD177" s="453" t="str">
        <f t="shared" si="265"/>
        <v/>
      </c>
      <c r="CE177" s="451" t="str">
        <f t="shared" si="265"/>
        <v/>
      </c>
      <c r="CF177" s="452" t="str">
        <f t="shared" si="265"/>
        <v/>
      </c>
      <c r="CG177" s="452" t="str">
        <f t="shared" si="265"/>
        <v/>
      </c>
      <c r="CH177" s="452" t="str">
        <f t="shared" si="265"/>
        <v/>
      </c>
      <c r="CI177" s="453" t="str">
        <f t="shared" si="265"/>
        <v/>
      </c>
      <c r="CJ177" s="451" t="str">
        <f t="shared" si="265"/>
        <v/>
      </c>
      <c r="CK177" s="452" t="str">
        <f t="shared" si="265"/>
        <v/>
      </c>
      <c r="CL177" s="452" t="str">
        <f t="shared" si="265"/>
        <v/>
      </c>
      <c r="CM177" s="452" t="str">
        <f t="shared" si="265"/>
        <v/>
      </c>
      <c r="CN177" s="453" t="str">
        <f t="shared" si="266"/>
        <v/>
      </c>
      <c r="CO177" s="451" t="str">
        <f t="shared" si="266"/>
        <v/>
      </c>
      <c r="CP177" s="452" t="str">
        <f t="shared" si="266"/>
        <v/>
      </c>
      <c r="CQ177" s="452" t="str">
        <f t="shared" si="266"/>
        <v/>
      </c>
      <c r="CR177" s="452" t="str">
        <f t="shared" si="266"/>
        <v/>
      </c>
      <c r="CS177" s="453" t="str">
        <f t="shared" si="266"/>
        <v/>
      </c>
      <c r="CT177" s="451" t="str">
        <f t="shared" si="266"/>
        <v/>
      </c>
      <c r="CU177" s="452" t="str">
        <f t="shared" si="266"/>
        <v/>
      </c>
      <c r="CV177" s="452" t="str">
        <f t="shared" si="266"/>
        <v/>
      </c>
      <c r="CW177" s="452" t="str">
        <f t="shared" si="266"/>
        <v/>
      </c>
      <c r="CX177" s="453" t="str">
        <f t="shared" si="266"/>
        <v/>
      </c>
      <c r="CY177" s="451" t="str">
        <f t="shared" si="266"/>
        <v/>
      </c>
      <c r="CZ177" s="452" t="str">
        <f t="shared" si="266"/>
        <v/>
      </c>
      <c r="DA177" s="452" t="str">
        <f t="shared" si="266"/>
        <v/>
      </c>
      <c r="DB177" s="452" t="str">
        <f t="shared" si="266"/>
        <v/>
      </c>
      <c r="DC177" s="453" t="str">
        <f t="shared" si="266"/>
        <v/>
      </c>
      <c r="DD177" s="451" t="str">
        <f t="shared" si="262"/>
        <v/>
      </c>
      <c r="DE177" s="452" t="str">
        <f t="shared" si="263"/>
        <v/>
      </c>
      <c r="DF177" s="452" t="str">
        <f t="shared" si="263"/>
        <v/>
      </c>
      <c r="DG177" s="452" t="str">
        <f t="shared" si="263"/>
        <v/>
      </c>
      <c r="DH177" s="453" t="str">
        <f t="shared" si="263"/>
        <v/>
      </c>
      <c r="DI177" s="451" t="str">
        <f t="shared" si="263"/>
        <v/>
      </c>
      <c r="DJ177" s="452" t="str">
        <f t="shared" si="263"/>
        <v/>
      </c>
      <c r="DK177" s="452" t="str">
        <f t="shared" si="263"/>
        <v/>
      </c>
      <c r="DL177" s="452" t="str">
        <f t="shared" si="263"/>
        <v/>
      </c>
      <c r="DM177" s="453" t="str">
        <f t="shared" si="263"/>
        <v/>
      </c>
      <c r="DN177" s="451" t="str">
        <f t="shared" si="263"/>
        <v/>
      </c>
      <c r="DO177" s="452" t="str">
        <f t="shared" si="263"/>
        <v/>
      </c>
      <c r="DP177" s="452" t="str">
        <f t="shared" si="263"/>
        <v/>
      </c>
      <c r="DQ177" s="452" t="str">
        <f t="shared" si="263"/>
        <v/>
      </c>
      <c r="DR177" s="453" t="str">
        <f t="shared" si="263"/>
        <v/>
      </c>
      <c r="DS177" s="451" t="str">
        <f t="shared" si="263"/>
        <v/>
      </c>
      <c r="DT177" s="452" t="str">
        <f t="shared" si="263"/>
        <v/>
      </c>
      <c r="DU177" s="452" t="str">
        <f t="shared" ref="DU177:EJ192" si="268">IF(AND(DU$2&gt;=$J177,DU$2&lt;=$K177),1,"")</f>
        <v/>
      </c>
      <c r="DV177" s="452" t="str">
        <f t="shared" si="268"/>
        <v/>
      </c>
      <c r="DW177" s="453" t="str">
        <f t="shared" si="268"/>
        <v/>
      </c>
      <c r="DX177" s="451" t="str">
        <f t="shared" si="268"/>
        <v/>
      </c>
      <c r="DY177" s="452" t="str">
        <f t="shared" si="268"/>
        <v/>
      </c>
      <c r="DZ177" s="452" t="str">
        <f t="shared" si="268"/>
        <v/>
      </c>
      <c r="EA177" s="452" t="str">
        <f t="shared" si="268"/>
        <v/>
      </c>
      <c r="EB177" s="453" t="str">
        <f t="shared" si="268"/>
        <v/>
      </c>
      <c r="EC177" s="451" t="str">
        <f t="shared" si="268"/>
        <v/>
      </c>
      <c r="ED177" s="452" t="str">
        <f t="shared" si="268"/>
        <v/>
      </c>
      <c r="EE177" s="452" t="str">
        <f t="shared" si="268"/>
        <v/>
      </c>
      <c r="EF177" s="452" t="str">
        <f t="shared" si="268"/>
        <v/>
      </c>
      <c r="EG177" s="453" t="str">
        <f t="shared" si="268"/>
        <v/>
      </c>
      <c r="EH177" s="451" t="str">
        <f t="shared" si="268"/>
        <v/>
      </c>
      <c r="EI177" s="452" t="str">
        <f t="shared" si="268"/>
        <v/>
      </c>
      <c r="EJ177" s="452" t="str">
        <f t="shared" si="251"/>
        <v/>
      </c>
      <c r="EK177" s="452" t="str">
        <f t="shared" si="251"/>
        <v/>
      </c>
      <c r="EL177" s="453" t="str">
        <f t="shared" si="251"/>
        <v/>
      </c>
      <c r="EM177" s="451" t="str">
        <f t="shared" si="251"/>
        <v/>
      </c>
      <c r="EN177" s="452" t="str">
        <f t="shared" si="251"/>
        <v/>
      </c>
      <c r="EO177" s="452" t="str">
        <f t="shared" si="251"/>
        <v/>
      </c>
      <c r="EP177" s="452" t="str">
        <f t="shared" si="251"/>
        <v/>
      </c>
      <c r="EQ177" s="453" t="str">
        <f t="shared" si="251"/>
        <v/>
      </c>
      <c r="ER177" s="451" t="str">
        <f t="shared" si="251"/>
        <v/>
      </c>
      <c r="ES177" s="452" t="str">
        <f t="shared" si="251"/>
        <v/>
      </c>
      <c r="ET177" s="452" t="str">
        <f t="shared" si="251"/>
        <v/>
      </c>
      <c r="EU177" s="452" t="str">
        <f t="shared" si="251"/>
        <v/>
      </c>
      <c r="EV177" s="453" t="str">
        <f t="shared" si="251"/>
        <v/>
      </c>
      <c r="EW177" s="451" t="str">
        <f t="shared" si="251"/>
        <v/>
      </c>
      <c r="EX177" s="452" t="str">
        <f t="shared" si="251"/>
        <v/>
      </c>
      <c r="EY177" s="452" t="str">
        <f t="shared" si="251"/>
        <v/>
      </c>
      <c r="EZ177" s="452" t="str">
        <f t="shared" si="252"/>
        <v/>
      </c>
      <c r="FA177" s="453" t="str">
        <f t="shared" si="252"/>
        <v/>
      </c>
      <c r="FB177" s="451" t="str">
        <f t="shared" si="252"/>
        <v/>
      </c>
      <c r="FC177" s="452" t="str">
        <f t="shared" si="252"/>
        <v/>
      </c>
      <c r="FD177" s="452" t="str">
        <f t="shared" si="252"/>
        <v/>
      </c>
      <c r="FE177" s="452" t="str">
        <f t="shared" si="252"/>
        <v/>
      </c>
      <c r="FF177" s="453" t="str">
        <f t="shared" si="252"/>
        <v/>
      </c>
      <c r="FG177" s="451" t="str">
        <f t="shared" si="252"/>
        <v/>
      </c>
      <c r="FH177" s="452" t="str">
        <f t="shared" si="252"/>
        <v/>
      </c>
      <c r="FI177" s="452" t="str">
        <f t="shared" si="252"/>
        <v/>
      </c>
      <c r="FJ177" s="452" t="str">
        <f t="shared" si="252"/>
        <v/>
      </c>
      <c r="FK177" s="453" t="str">
        <f t="shared" si="252"/>
        <v/>
      </c>
      <c r="FL177" s="451" t="str">
        <f t="shared" si="252"/>
        <v/>
      </c>
      <c r="FM177" s="452" t="str">
        <f t="shared" si="252"/>
        <v/>
      </c>
      <c r="FN177" s="452" t="str">
        <f t="shared" si="252"/>
        <v/>
      </c>
      <c r="FO177" s="452" t="str">
        <f t="shared" si="248"/>
        <v/>
      </c>
      <c r="FP177" s="453" t="str">
        <f t="shared" si="248"/>
        <v/>
      </c>
      <c r="FQ177" s="451" t="str">
        <f t="shared" si="248"/>
        <v/>
      </c>
      <c r="FR177" s="452" t="str">
        <f t="shared" si="248"/>
        <v/>
      </c>
      <c r="FS177" s="452" t="str">
        <f t="shared" si="248"/>
        <v/>
      </c>
      <c r="FT177" s="452" t="str">
        <f t="shared" si="248"/>
        <v/>
      </c>
      <c r="FU177" s="453" t="str">
        <f t="shared" si="248"/>
        <v/>
      </c>
      <c r="FV177" s="451" t="str">
        <f t="shared" si="248"/>
        <v/>
      </c>
      <c r="FW177" s="452" t="str">
        <f t="shared" si="248"/>
        <v/>
      </c>
      <c r="FX177" s="452" t="str">
        <f t="shared" si="248"/>
        <v/>
      </c>
      <c r="FY177" s="452" t="str">
        <f t="shared" si="248"/>
        <v/>
      </c>
      <c r="FZ177" s="453" t="str">
        <f t="shared" si="248"/>
        <v/>
      </c>
      <c r="GA177" s="451" t="str">
        <f t="shared" si="248"/>
        <v/>
      </c>
      <c r="GB177" s="452" t="str">
        <f t="shared" si="248"/>
        <v/>
      </c>
      <c r="GC177" s="452" t="str">
        <f t="shared" si="248"/>
        <v/>
      </c>
      <c r="GD177" s="452" t="str">
        <f t="shared" si="249"/>
        <v/>
      </c>
      <c r="GE177" s="453" t="str">
        <f t="shared" si="249"/>
        <v/>
      </c>
      <c r="GF177" s="451" t="str">
        <f t="shared" si="249"/>
        <v/>
      </c>
      <c r="GG177" s="452" t="str">
        <f t="shared" si="249"/>
        <v/>
      </c>
      <c r="GH177" s="452" t="str">
        <f t="shared" si="249"/>
        <v/>
      </c>
      <c r="GI177" s="452" t="str">
        <f t="shared" si="249"/>
        <v/>
      </c>
      <c r="GJ177" s="453" t="str">
        <f t="shared" si="249"/>
        <v/>
      </c>
      <c r="GK177" s="451" t="str">
        <f t="shared" si="249"/>
        <v/>
      </c>
      <c r="GL177" s="452" t="str">
        <f t="shared" si="249"/>
        <v/>
      </c>
      <c r="GM177" s="452" t="str">
        <f t="shared" si="249"/>
        <v/>
      </c>
      <c r="GN177" s="452" t="str">
        <f t="shared" si="249"/>
        <v/>
      </c>
      <c r="GO177" s="453" t="str">
        <f t="shared" si="249"/>
        <v/>
      </c>
      <c r="GP177" s="451" t="str">
        <f t="shared" si="249"/>
        <v/>
      </c>
      <c r="GQ177" s="452" t="str">
        <f t="shared" si="249"/>
        <v/>
      </c>
      <c r="GR177" s="452" t="str">
        <f t="shared" si="249"/>
        <v/>
      </c>
      <c r="GS177" s="452" t="str">
        <f t="shared" si="249"/>
        <v/>
      </c>
      <c r="GT177" s="453" t="str">
        <f t="shared" si="253"/>
        <v/>
      </c>
      <c r="GU177" s="451" t="str">
        <f t="shared" si="253"/>
        <v/>
      </c>
      <c r="GV177" s="452" t="str">
        <f t="shared" si="253"/>
        <v/>
      </c>
      <c r="GW177" s="452" t="str">
        <f t="shared" si="253"/>
        <v/>
      </c>
      <c r="GX177" s="452" t="str">
        <f t="shared" si="253"/>
        <v/>
      </c>
      <c r="GY177" s="453" t="str">
        <f t="shared" si="253"/>
        <v/>
      </c>
      <c r="GZ177" s="451" t="str">
        <f t="shared" si="253"/>
        <v/>
      </c>
      <c r="HA177" s="452" t="str">
        <f t="shared" si="253"/>
        <v/>
      </c>
      <c r="HB177" s="452" t="str">
        <f t="shared" si="253"/>
        <v/>
      </c>
      <c r="HC177" s="452" t="str">
        <f t="shared" si="253"/>
        <v/>
      </c>
      <c r="HD177" s="453" t="str">
        <f t="shared" si="253"/>
        <v/>
      </c>
      <c r="HE177" s="451" t="str">
        <f t="shared" si="253"/>
        <v/>
      </c>
      <c r="HF177" s="452" t="str">
        <f t="shared" si="253"/>
        <v/>
      </c>
      <c r="HG177" s="452" t="str">
        <f t="shared" si="253"/>
        <v/>
      </c>
      <c r="HH177" s="452" t="str">
        <f t="shared" si="253"/>
        <v/>
      </c>
      <c r="HI177" s="453" t="str">
        <f t="shared" si="253"/>
        <v/>
      </c>
      <c r="HJ177" s="451" t="str">
        <f t="shared" si="250"/>
        <v/>
      </c>
      <c r="HK177" s="452" t="str">
        <f t="shared" si="250"/>
        <v/>
      </c>
      <c r="HL177" s="452" t="str">
        <f t="shared" si="250"/>
        <v/>
      </c>
      <c r="HM177" s="452" t="str">
        <f t="shared" si="250"/>
        <v/>
      </c>
      <c r="HN177" s="453" t="str">
        <f t="shared" si="250"/>
        <v/>
      </c>
      <c r="HO177" s="451" t="str">
        <f t="shared" si="250"/>
        <v/>
      </c>
      <c r="HP177" s="452" t="str">
        <f t="shared" si="250"/>
        <v/>
      </c>
      <c r="HQ177" s="452" t="str">
        <f t="shared" si="250"/>
        <v/>
      </c>
      <c r="HR177" s="452" t="str">
        <f t="shared" si="250"/>
        <v/>
      </c>
      <c r="HS177" s="453" t="str">
        <f t="shared" si="250"/>
        <v/>
      </c>
      <c r="HT177" s="451" t="str">
        <f t="shared" si="250"/>
        <v/>
      </c>
      <c r="HU177" s="452" t="str">
        <f t="shared" si="250"/>
        <v/>
      </c>
      <c r="HV177" s="452" t="str">
        <f t="shared" si="250"/>
        <v/>
      </c>
      <c r="HW177" s="452" t="str">
        <f t="shared" si="250"/>
        <v/>
      </c>
      <c r="HX177" s="453" t="str">
        <f t="shared" si="250"/>
        <v/>
      </c>
      <c r="HY177" s="451" t="str">
        <f t="shared" si="250"/>
        <v/>
      </c>
      <c r="HZ177" s="452" t="str">
        <f t="shared" si="250"/>
        <v/>
      </c>
      <c r="IA177" s="452" t="str">
        <f t="shared" si="254"/>
        <v/>
      </c>
      <c r="IB177" s="452" t="str">
        <f t="shared" si="254"/>
        <v/>
      </c>
      <c r="IC177" s="453" t="str">
        <f t="shared" si="254"/>
        <v/>
      </c>
      <c r="ID177" s="451" t="str">
        <f t="shared" si="254"/>
        <v/>
      </c>
      <c r="IE177" s="452" t="str">
        <f t="shared" si="254"/>
        <v/>
      </c>
      <c r="IF177" s="452" t="str">
        <f t="shared" si="254"/>
        <v/>
      </c>
      <c r="IG177" s="452" t="str">
        <f t="shared" si="254"/>
        <v/>
      </c>
      <c r="IH177" s="453" t="str">
        <f t="shared" si="254"/>
        <v/>
      </c>
      <c r="II177" s="451" t="str">
        <f t="shared" si="254"/>
        <v/>
      </c>
      <c r="IJ177" s="452" t="str">
        <f t="shared" si="254"/>
        <v/>
      </c>
      <c r="IK177" s="452" t="str">
        <f t="shared" si="254"/>
        <v/>
      </c>
      <c r="IL177" s="452" t="str">
        <f t="shared" si="254"/>
        <v/>
      </c>
      <c r="IM177" s="453" t="str">
        <f t="shared" si="254"/>
        <v/>
      </c>
      <c r="IN177" s="451" t="str">
        <f t="shared" si="254"/>
        <v/>
      </c>
      <c r="IO177" s="452" t="str">
        <f t="shared" si="254"/>
        <v/>
      </c>
      <c r="IP177" s="452" t="str">
        <f t="shared" si="254"/>
        <v/>
      </c>
      <c r="IQ177" s="452" t="str">
        <f t="shared" si="260"/>
        <v/>
      </c>
      <c r="IR177" s="453" t="str">
        <f t="shared" si="260"/>
        <v/>
      </c>
    </row>
    <row r="178" spans="1:252" x14ac:dyDescent="0.2">
      <c r="A178" s="461">
        <v>16.899999999999999</v>
      </c>
      <c r="C178" s="447" t="s">
        <v>1359</v>
      </c>
      <c r="D178" s="447"/>
      <c r="E178" s="448"/>
      <c r="F178" s="448"/>
      <c r="G178" s="448"/>
      <c r="H178" s="448"/>
      <c r="I178" s="448"/>
      <c r="J178" s="449" t="str">
        <f t="shared" si="256"/>
        <v/>
      </c>
      <c r="K178" s="449" t="str">
        <f t="shared" si="257"/>
        <v/>
      </c>
      <c r="L178" s="450">
        <f t="shared" si="255"/>
        <v>0</v>
      </c>
      <c r="M178" s="451" t="str">
        <f t="shared" si="259"/>
        <v/>
      </c>
      <c r="N178" s="452" t="str">
        <f t="shared" si="259"/>
        <v/>
      </c>
      <c r="O178" s="452" t="str">
        <f t="shared" si="259"/>
        <v/>
      </c>
      <c r="P178" s="452" t="str">
        <f t="shared" si="259"/>
        <v/>
      </c>
      <c r="Q178" s="453" t="str">
        <f t="shared" si="259"/>
        <v/>
      </c>
      <c r="R178" s="451" t="str">
        <f t="shared" si="259"/>
        <v/>
      </c>
      <c r="S178" s="452" t="str">
        <f t="shared" si="259"/>
        <v/>
      </c>
      <c r="T178" s="452" t="str">
        <f t="shared" si="259"/>
        <v/>
      </c>
      <c r="U178" s="452" t="str">
        <f t="shared" si="259"/>
        <v/>
      </c>
      <c r="V178" s="453" t="str">
        <f t="shared" si="259"/>
        <v/>
      </c>
      <c r="W178" s="451" t="str">
        <f t="shared" si="259"/>
        <v/>
      </c>
      <c r="X178" s="452" t="str">
        <f t="shared" si="259"/>
        <v/>
      </c>
      <c r="Y178" s="452" t="str">
        <f t="shared" si="259"/>
        <v/>
      </c>
      <c r="Z178" s="452" t="str">
        <f t="shared" si="259"/>
        <v/>
      </c>
      <c r="AA178" s="453" t="str">
        <f t="shared" si="259"/>
        <v/>
      </c>
      <c r="AB178" s="451" t="str">
        <f t="shared" si="259"/>
        <v/>
      </c>
      <c r="AC178" s="452" t="str">
        <f t="shared" si="267"/>
        <v/>
      </c>
      <c r="AD178" s="452" t="str">
        <f t="shared" si="267"/>
        <v/>
      </c>
      <c r="AE178" s="452" t="str">
        <f t="shared" si="267"/>
        <v/>
      </c>
      <c r="AF178" s="453" t="str">
        <f t="shared" si="267"/>
        <v/>
      </c>
      <c r="AG178" s="451" t="str">
        <f t="shared" si="267"/>
        <v/>
      </c>
      <c r="AH178" s="452" t="str">
        <f t="shared" si="267"/>
        <v/>
      </c>
      <c r="AI178" s="452" t="str">
        <f t="shared" si="267"/>
        <v/>
      </c>
      <c r="AJ178" s="452" t="str">
        <f t="shared" si="267"/>
        <v/>
      </c>
      <c r="AK178" s="453" t="str">
        <f t="shared" si="267"/>
        <v/>
      </c>
      <c r="AL178" s="451" t="str">
        <f t="shared" si="267"/>
        <v/>
      </c>
      <c r="AM178" s="452" t="str">
        <f t="shared" si="267"/>
        <v/>
      </c>
      <c r="AN178" s="452" t="str">
        <f t="shared" si="267"/>
        <v/>
      </c>
      <c r="AO178" s="452" t="str">
        <f t="shared" si="267"/>
        <v/>
      </c>
      <c r="AP178" s="453" t="str">
        <f t="shared" si="267"/>
        <v/>
      </c>
      <c r="AQ178" s="451" t="str">
        <f t="shared" si="267"/>
        <v/>
      </c>
      <c r="AR178" s="452" t="str">
        <f t="shared" si="267"/>
        <v/>
      </c>
      <c r="AS178" s="452" t="str">
        <f t="shared" si="264"/>
        <v/>
      </c>
      <c r="AT178" s="452" t="str">
        <f t="shared" si="264"/>
        <v/>
      </c>
      <c r="AU178" s="453" t="str">
        <f t="shared" si="264"/>
        <v/>
      </c>
      <c r="AV178" s="451" t="str">
        <f t="shared" si="264"/>
        <v/>
      </c>
      <c r="AW178" s="452" t="str">
        <f t="shared" si="264"/>
        <v/>
      </c>
      <c r="AX178" s="452" t="str">
        <f t="shared" si="264"/>
        <v/>
      </c>
      <c r="AY178" s="452" t="str">
        <f t="shared" si="264"/>
        <v/>
      </c>
      <c r="AZ178" s="453" t="str">
        <f t="shared" si="264"/>
        <v/>
      </c>
      <c r="BA178" s="451" t="str">
        <f t="shared" si="264"/>
        <v/>
      </c>
      <c r="BB178" s="452" t="str">
        <f t="shared" si="264"/>
        <v/>
      </c>
      <c r="BC178" s="452" t="str">
        <f t="shared" si="264"/>
        <v/>
      </c>
      <c r="BD178" s="452" t="str">
        <f t="shared" si="264"/>
        <v/>
      </c>
      <c r="BE178" s="453" t="str">
        <f t="shared" si="264"/>
        <v/>
      </c>
      <c r="BF178" s="451" t="str">
        <f t="shared" si="264"/>
        <v/>
      </c>
      <c r="BG178" s="452" t="str">
        <f t="shared" si="264"/>
        <v/>
      </c>
      <c r="BH178" s="452" t="str">
        <f t="shared" si="261"/>
        <v/>
      </c>
      <c r="BI178" s="452" t="str">
        <f t="shared" si="261"/>
        <v/>
      </c>
      <c r="BJ178" s="453" t="str">
        <f t="shared" si="261"/>
        <v/>
      </c>
      <c r="BK178" s="451" t="str">
        <f t="shared" si="261"/>
        <v/>
      </c>
      <c r="BL178" s="452" t="str">
        <f t="shared" si="261"/>
        <v/>
      </c>
      <c r="BM178" s="452" t="str">
        <f t="shared" si="261"/>
        <v/>
      </c>
      <c r="BN178" s="452" t="str">
        <f t="shared" si="261"/>
        <v/>
      </c>
      <c r="BO178" s="453" t="str">
        <f t="shared" si="261"/>
        <v/>
      </c>
      <c r="BP178" s="451" t="str">
        <f t="shared" si="261"/>
        <v/>
      </c>
      <c r="BQ178" s="452" t="str">
        <f t="shared" si="261"/>
        <v/>
      </c>
      <c r="BR178" s="452" t="str">
        <f t="shared" si="261"/>
        <v/>
      </c>
      <c r="BS178" s="452" t="str">
        <f t="shared" si="261"/>
        <v/>
      </c>
      <c r="BT178" s="453" t="str">
        <f t="shared" si="261"/>
        <v/>
      </c>
      <c r="BU178" s="451" t="str">
        <f t="shared" si="261"/>
        <v/>
      </c>
      <c r="BV178" s="452" t="str">
        <f t="shared" si="261"/>
        <v/>
      </c>
      <c r="BW178" s="452" t="str">
        <f t="shared" si="261"/>
        <v/>
      </c>
      <c r="BX178" s="452" t="str">
        <f t="shared" si="265"/>
        <v/>
      </c>
      <c r="BY178" s="453" t="str">
        <f t="shared" si="265"/>
        <v/>
      </c>
      <c r="BZ178" s="451" t="str">
        <f t="shared" si="265"/>
        <v/>
      </c>
      <c r="CA178" s="452" t="str">
        <f t="shared" si="265"/>
        <v/>
      </c>
      <c r="CB178" s="452" t="str">
        <f t="shared" si="265"/>
        <v/>
      </c>
      <c r="CC178" s="452" t="str">
        <f t="shared" si="265"/>
        <v/>
      </c>
      <c r="CD178" s="453" t="str">
        <f t="shared" si="265"/>
        <v/>
      </c>
      <c r="CE178" s="451" t="str">
        <f t="shared" si="265"/>
        <v/>
      </c>
      <c r="CF178" s="452" t="str">
        <f t="shared" si="265"/>
        <v/>
      </c>
      <c r="CG178" s="452" t="str">
        <f t="shared" si="265"/>
        <v/>
      </c>
      <c r="CH178" s="452" t="str">
        <f t="shared" si="265"/>
        <v/>
      </c>
      <c r="CI178" s="453" t="str">
        <f t="shared" si="265"/>
        <v/>
      </c>
      <c r="CJ178" s="451" t="str">
        <f t="shared" si="265"/>
        <v/>
      </c>
      <c r="CK178" s="452" t="str">
        <f t="shared" si="265"/>
        <v/>
      </c>
      <c r="CL178" s="452" t="str">
        <f t="shared" si="265"/>
        <v/>
      </c>
      <c r="CM178" s="452" t="str">
        <f t="shared" si="265"/>
        <v/>
      </c>
      <c r="CN178" s="453" t="str">
        <f t="shared" si="266"/>
        <v/>
      </c>
      <c r="CO178" s="451" t="str">
        <f t="shared" si="266"/>
        <v/>
      </c>
      <c r="CP178" s="452" t="str">
        <f t="shared" si="266"/>
        <v/>
      </c>
      <c r="CQ178" s="452" t="str">
        <f t="shared" si="266"/>
        <v/>
      </c>
      <c r="CR178" s="452" t="str">
        <f t="shared" si="266"/>
        <v/>
      </c>
      <c r="CS178" s="453" t="str">
        <f t="shared" si="266"/>
        <v/>
      </c>
      <c r="CT178" s="451" t="str">
        <f t="shared" si="266"/>
        <v/>
      </c>
      <c r="CU178" s="452" t="str">
        <f t="shared" si="266"/>
        <v/>
      </c>
      <c r="CV178" s="452" t="str">
        <f t="shared" si="266"/>
        <v/>
      </c>
      <c r="CW178" s="452" t="str">
        <f t="shared" si="266"/>
        <v/>
      </c>
      <c r="CX178" s="453" t="str">
        <f t="shared" si="266"/>
        <v/>
      </c>
      <c r="CY178" s="451" t="str">
        <f t="shared" si="266"/>
        <v/>
      </c>
      <c r="CZ178" s="452" t="str">
        <f t="shared" si="266"/>
        <v/>
      </c>
      <c r="DA178" s="452" t="str">
        <f t="shared" si="266"/>
        <v/>
      </c>
      <c r="DB178" s="452" t="str">
        <f t="shared" si="266"/>
        <v/>
      </c>
      <c r="DC178" s="453" t="str">
        <f t="shared" si="266"/>
        <v/>
      </c>
      <c r="DD178" s="451" t="str">
        <f t="shared" si="262"/>
        <v/>
      </c>
      <c r="DE178" s="452" t="str">
        <f t="shared" si="263"/>
        <v/>
      </c>
      <c r="DF178" s="452" t="str">
        <f t="shared" si="263"/>
        <v/>
      </c>
      <c r="DG178" s="452" t="str">
        <f t="shared" si="263"/>
        <v/>
      </c>
      <c r="DH178" s="453" t="str">
        <f t="shared" si="263"/>
        <v/>
      </c>
      <c r="DI178" s="451" t="str">
        <f t="shared" si="263"/>
        <v/>
      </c>
      <c r="DJ178" s="452" t="str">
        <f t="shared" si="263"/>
        <v/>
      </c>
      <c r="DK178" s="452" t="str">
        <f t="shared" si="263"/>
        <v/>
      </c>
      <c r="DL178" s="452" t="str">
        <f t="shared" si="263"/>
        <v/>
      </c>
      <c r="DM178" s="453" t="str">
        <f t="shared" si="263"/>
        <v/>
      </c>
      <c r="DN178" s="451" t="str">
        <f t="shared" si="263"/>
        <v/>
      </c>
      <c r="DO178" s="452" t="str">
        <f t="shared" si="263"/>
        <v/>
      </c>
      <c r="DP178" s="452" t="str">
        <f t="shared" si="263"/>
        <v/>
      </c>
      <c r="DQ178" s="452" t="str">
        <f t="shared" si="263"/>
        <v/>
      </c>
      <c r="DR178" s="453" t="str">
        <f t="shared" si="263"/>
        <v/>
      </c>
      <c r="DS178" s="451" t="str">
        <f t="shared" si="263"/>
        <v/>
      </c>
      <c r="DT178" s="452" t="str">
        <f t="shared" si="263"/>
        <v/>
      </c>
      <c r="DU178" s="452" t="str">
        <f t="shared" si="268"/>
        <v/>
      </c>
      <c r="DV178" s="452" t="str">
        <f t="shared" si="268"/>
        <v/>
      </c>
      <c r="DW178" s="453" t="str">
        <f t="shared" si="268"/>
        <v/>
      </c>
      <c r="DX178" s="451" t="str">
        <f t="shared" si="268"/>
        <v/>
      </c>
      <c r="DY178" s="452" t="str">
        <f t="shared" si="268"/>
        <v/>
      </c>
      <c r="DZ178" s="452" t="str">
        <f t="shared" si="268"/>
        <v/>
      </c>
      <c r="EA178" s="452" t="str">
        <f t="shared" si="268"/>
        <v/>
      </c>
      <c r="EB178" s="453" t="str">
        <f t="shared" si="268"/>
        <v/>
      </c>
      <c r="EC178" s="451" t="str">
        <f t="shared" si="268"/>
        <v/>
      </c>
      <c r="ED178" s="452" t="str">
        <f t="shared" si="268"/>
        <v/>
      </c>
      <c r="EE178" s="452" t="str">
        <f t="shared" si="268"/>
        <v/>
      </c>
      <c r="EF178" s="452" t="str">
        <f t="shared" si="268"/>
        <v/>
      </c>
      <c r="EG178" s="453" t="str">
        <f t="shared" si="268"/>
        <v/>
      </c>
      <c r="EH178" s="451" t="str">
        <f t="shared" si="268"/>
        <v/>
      </c>
      <c r="EI178" s="452" t="str">
        <f t="shared" si="268"/>
        <v/>
      </c>
      <c r="EJ178" s="452" t="str">
        <f t="shared" si="251"/>
        <v/>
      </c>
      <c r="EK178" s="452" t="str">
        <f t="shared" si="251"/>
        <v/>
      </c>
      <c r="EL178" s="453" t="str">
        <f t="shared" si="251"/>
        <v/>
      </c>
      <c r="EM178" s="451" t="str">
        <f t="shared" si="251"/>
        <v/>
      </c>
      <c r="EN178" s="452" t="str">
        <f t="shared" si="251"/>
        <v/>
      </c>
      <c r="EO178" s="452" t="str">
        <f t="shared" si="251"/>
        <v/>
      </c>
      <c r="EP178" s="452" t="str">
        <f t="shared" si="251"/>
        <v/>
      </c>
      <c r="EQ178" s="453" t="str">
        <f t="shared" si="251"/>
        <v/>
      </c>
      <c r="ER178" s="451" t="str">
        <f t="shared" si="251"/>
        <v/>
      </c>
      <c r="ES178" s="452" t="str">
        <f t="shared" si="251"/>
        <v/>
      </c>
      <c r="ET178" s="452" t="str">
        <f t="shared" si="251"/>
        <v/>
      </c>
      <c r="EU178" s="452" t="str">
        <f t="shared" si="251"/>
        <v/>
      </c>
      <c r="EV178" s="453" t="str">
        <f t="shared" si="251"/>
        <v/>
      </c>
      <c r="EW178" s="451" t="str">
        <f t="shared" si="251"/>
        <v/>
      </c>
      <c r="EX178" s="452" t="str">
        <f t="shared" si="251"/>
        <v/>
      </c>
      <c r="EY178" s="452" t="str">
        <f t="shared" si="251"/>
        <v/>
      </c>
      <c r="EZ178" s="452" t="str">
        <f t="shared" si="252"/>
        <v/>
      </c>
      <c r="FA178" s="453" t="str">
        <f t="shared" si="252"/>
        <v/>
      </c>
      <c r="FB178" s="451" t="str">
        <f t="shared" si="252"/>
        <v/>
      </c>
      <c r="FC178" s="452" t="str">
        <f t="shared" si="252"/>
        <v/>
      </c>
      <c r="FD178" s="452" t="str">
        <f t="shared" si="252"/>
        <v/>
      </c>
      <c r="FE178" s="452" t="str">
        <f t="shared" si="252"/>
        <v/>
      </c>
      <c r="FF178" s="453" t="str">
        <f t="shared" si="252"/>
        <v/>
      </c>
      <c r="FG178" s="451" t="str">
        <f t="shared" si="252"/>
        <v/>
      </c>
      <c r="FH178" s="452" t="str">
        <f t="shared" si="252"/>
        <v/>
      </c>
      <c r="FI178" s="452" t="str">
        <f t="shared" si="252"/>
        <v/>
      </c>
      <c r="FJ178" s="452" t="str">
        <f t="shared" si="252"/>
        <v/>
      </c>
      <c r="FK178" s="453" t="str">
        <f t="shared" si="252"/>
        <v/>
      </c>
      <c r="FL178" s="451" t="str">
        <f t="shared" si="252"/>
        <v/>
      </c>
      <c r="FM178" s="452" t="str">
        <f t="shared" si="252"/>
        <v/>
      </c>
      <c r="FN178" s="452" t="str">
        <f t="shared" si="252"/>
        <v/>
      </c>
      <c r="FO178" s="452" t="str">
        <f t="shared" si="248"/>
        <v/>
      </c>
      <c r="FP178" s="453" t="str">
        <f t="shared" si="248"/>
        <v/>
      </c>
      <c r="FQ178" s="451" t="str">
        <f t="shared" si="248"/>
        <v/>
      </c>
      <c r="FR178" s="452" t="str">
        <f t="shared" si="248"/>
        <v/>
      </c>
      <c r="FS178" s="452" t="str">
        <f t="shared" si="248"/>
        <v/>
      </c>
      <c r="FT178" s="452" t="str">
        <f t="shared" si="248"/>
        <v/>
      </c>
      <c r="FU178" s="453" t="str">
        <f t="shared" si="248"/>
        <v/>
      </c>
      <c r="FV178" s="451" t="str">
        <f t="shared" si="248"/>
        <v/>
      </c>
      <c r="FW178" s="452" t="str">
        <f t="shared" si="248"/>
        <v/>
      </c>
      <c r="FX178" s="452" t="str">
        <f t="shared" si="248"/>
        <v/>
      </c>
      <c r="FY178" s="452" t="str">
        <f t="shared" si="248"/>
        <v/>
      </c>
      <c r="FZ178" s="453" t="str">
        <f t="shared" si="248"/>
        <v/>
      </c>
      <c r="GA178" s="451" t="str">
        <f t="shared" si="248"/>
        <v/>
      </c>
      <c r="GB178" s="452" t="str">
        <f t="shared" si="248"/>
        <v/>
      </c>
      <c r="GC178" s="452" t="str">
        <f t="shared" si="248"/>
        <v/>
      </c>
      <c r="GD178" s="452" t="str">
        <f t="shared" si="249"/>
        <v/>
      </c>
      <c r="GE178" s="453" t="str">
        <f t="shared" si="249"/>
        <v/>
      </c>
      <c r="GF178" s="451" t="str">
        <f t="shared" si="249"/>
        <v/>
      </c>
      <c r="GG178" s="452" t="str">
        <f t="shared" si="249"/>
        <v/>
      </c>
      <c r="GH178" s="452" t="str">
        <f t="shared" si="249"/>
        <v/>
      </c>
      <c r="GI178" s="452" t="str">
        <f t="shared" si="249"/>
        <v/>
      </c>
      <c r="GJ178" s="453" t="str">
        <f t="shared" si="249"/>
        <v/>
      </c>
      <c r="GK178" s="451" t="str">
        <f t="shared" si="249"/>
        <v/>
      </c>
      <c r="GL178" s="452" t="str">
        <f t="shared" si="249"/>
        <v/>
      </c>
      <c r="GM178" s="452" t="str">
        <f t="shared" si="249"/>
        <v/>
      </c>
      <c r="GN178" s="452" t="str">
        <f t="shared" si="249"/>
        <v/>
      </c>
      <c r="GO178" s="453" t="str">
        <f t="shared" si="249"/>
        <v/>
      </c>
      <c r="GP178" s="451" t="str">
        <f t="shared" si="249"/>
        <v/>
      </c>
      <c r="GQ178" s="452" t="str">
        <f t="shared" si="249"/>
        <v/>
      </c>
      <c r="GR178" s="452" t="str">
        <f t="shared" si="249"/>
        <v/>
      </c>
      <c r="GS178" s="452" t="str">
        <f t="shared" si="249"/>
        <v/>
      </c>
      <c r="GT178" s="453" t="str">
        <f t="shared" si="253"/>
        <v/>
      </c>
      <c r="GU178" s="451" t="str">
        <f t="shared" si="253"/>
        <v/>
      </c>
      <c r="GV178" s="452" t="str">
        <f t="shared" si="253"/>
        <v/>
      </c>
      <c r="GW178" s="452" t="str">
        <f t="shared" si="253"/>
        <v/>
      </c>
      <c r="GX178" s="452" t="str">
        <f t="shared" si="253"/>
        <v/>
      </c>
      <c r="GY178" s="453" t="str">
        <f t="shared" si="253"/>
        <v/>
      </c>
      <c r="GZ178" s="451" t="str">
        <f t="shared" si="253"/>
        <v/>
      </c>
      <c r="HA178" s="452" t="str">
        <f t="shared" si="253"/>
        <v/>
      </c>
      <c r="HB178" s="452" t="str">
        <f t="shared" si="253"/>
        <v/>
      </c>
      <c r="HC178" s="452" t="str">
        <f t="shared" si="253"/>
        <v/>
      </c>
      <c r="HD178" s="453" t="str">
        <f t="shared" si="253"/>
        <v/>
      </c>
      <c r="HE178" s="451" t="str">
        <f t="shared" si="253"/>
        <v/>
      </c>
      <c r="HF178" s="452" t="str">
        <f t="shared" si="253"/>
        <v/>
      </c>
      <c r="HG178" s="452" t="str">
        <f t="shared" si="253"/>
        <v/>
      </c>
      <c r="HH178" s="452" t="str">
        <f t="shared" si="253"/>
        <v/>
      </c>
      <c r="HI178" s="453" t="str">
        <f t="shared" si="253"/>
        <v/>
      </c>
      <c r="HJ178" s="451" t="str">
        <f t="shared" si="250"/>
        <v/>
      </c>
      <c r="HK178" s="452" t="str">
        <f t="shared" si="250"/>
        <v/>
      </c>
      <c r="HL178" s="452" t="str">
        <f t="shared" si="250"/>
        <v/>
      </c>
      <c r="HM178" s="452" t="str">
        <f t="shared" si="250"/>
        <v/>
      </c>
      <c r="HN178" s="453" t="str">
        <f t="shared" si="250"/>
        <v/>
      </c>
      <c r="HO178" s="451" t="str">
        <f t="shared" si="250"/>
        <v/>
      </c>
      <c r="HP178" s="452" t="str">
        <f t="shared" si="250"/>
        <v/>
      </c>
      <c r="HQ178" s="452" t="str">
        <f t="shared" si="250"/>
        <v/>
      </c>
      <c r="HR178" s="452" t="str">
        <f t="shared" si="250"/>
        <v/>
      </c>
      <c r="HS178" s="453" t="str">
        <f t="shared" si="250"/>
        <v/>
      </c>
      <c r="HT178" s="451" t="str">
        <f t="shared" si="250"/>
        <v/>
      </c>
      <c r="HU178" s="452" t="str">
        <f t="shared" si="250"/>
        <v/>
      </c>
      <c r="HV178" s="452" t="str">
        <f t="shared" si="250"/>
        <v/>
      </c>
      <c r="HW178" s="452" t="str">
        <f t="shared" si="250"/>
        <v/>
      </c>
      <c r="HX178" s="453" t="str">
        <f t="shared" si="250"/>
        <v/>
      </c>
      <c r="HY178" s="451" t="str">
        <f t="shared" si="250"/>
        <v/>
      </c>
      <c r="HZ178" s="452" t="str">
        <f t="shared" si="250"/>
        <v/>
      </c>
      <c r="IA178" s="452" t="str">
        <f t="shared" si="254"/>
        <v/>
      </c>
      <c r="IB178" s="452" t="str">
        <f t="shared" si="254"/>
        <v/>
      </c>
      <c r="IC178" s="453" t="str">
        <f t="shared" si="254"/>
        <v/>
      </c>
      <c r="ID178" s="451" t="str">
        <f t="shared" si="254"/>
        <v/>
      </c>
      <c r="IE178" s="452" t="str">
        <f t="shared" si="254"/>
        <v/>
      </c>
      <c r="IF178" s="452" t="str">
        <f t="shared" si="254"/>
        <v/>
      </c>
      <c r="IG178" s="452" t="str">
        <f t="shared" si="254"/>
        <v/>
      </c>
      <c r="IH178" s="453" t="str">
        <f t="shared" si="254"/>
        <v/>
      </c>
      <c r="II178" s="451" t="str">
        <f t="shared" si="254"/>
        <v/>
      </c>
      <c r="IJ178" s="452" t="str">
        <f t="shared" si="254"/>
        <v/>
      </c>
      <c r="IK178" s="452" t="str">
        <f t="shared" si="254"/>
        <v/>
      </c>
      <c r="IL178" s="452" t="str">
        <f t="shared" si="254"/>
        <v/>
      </c>
      <c r="IM178" s="453" t="str">
        <f t="shared" si="254"/>
        <v/>
      </c>
      <c r="IN178" s="451" t="str">
        <f t="shared" si="254"/>
        <v/>
      </c>
      <c r="IO178" s="452" t="str">
        <f t="shared" si="254"/>
        <v/>
      </c>
      <c r="IP178" s="452" t="str">
        <f t="shared" si="254"/>
        <v/>
      </c>
      <c r="IQ178" s="452" t="str">
        <f t="shared" si="260"/>
        <v/>
      </c>
      <c r="IR178" s="453" t="str">
        <f t="shared" si="260"/>
        <v/>
      </c>
    </row>
    <row r="179" spans="1:252" x14ac:dyDescent="0.2">
      <c r="A179" s="462">
        <v>16.100000000000001</v>
      </c>
      <c r="B179" s="463"/>
      <c r="C179" s="464" t="s">
        <v>1360</v>
      </c>
      <c r="D179" s="464"/>
      <c r="E179" s="465"/>
      <c r="F179" s="465"/>
      <c r="G179" s="465"/>
      <c r="H179" s="465"/>
      <c r="I179" s="466"/>
      <c r="J179" s="467" t="str">
        <f t="shared" si="256"/>
        <v/>
      </c>
      <c r="K179" s="467" t="str">
        <f t="shared" si="257"/>
        <v/>
      </c>
      <c r="L179" s="468">
        <f t="shared" si="255"/>
        <v>0</v>
      </c>
      <c r="M179" s="469" t="str">
        <f t="shared" si="259"/>
        <v/>
      </c>
      <c r="N179" s="470" t="str">
        <f t="shared" si="259"/>
        <v/>
      </c>
      <c r="O179" s="470" t="str">
        <f t="shared" si="259"/>
        <v/>
      </c>
      <c r="P179" s="470" t="str">
        <f t="shared" si="259"/>
        <v/>
      </c>
      <c r="Q179" s="471" t="str">
        <f t="shared" si="259"/>
        <v/>
      </c>
      <c r="R179" s="469" t="str">
        <f t="shared" si="259"/>
        <v/>
      </c>
      <c r="S179" s="470" t="str">
        <f t="shared" si="259"/>
        <v/>
      </c>
      <c r="T179" s="470" t="str">
        <f t="shared" si="259"/>
        <v/>
      </c>
      <c r="U179" s="470" t="str">
        <f t="shared" si="259"/>
        <v/>
      </c>
      <c r="V179" s="471" t="str">
        <f t="shared" si="259"/>
        <v/>
      </c>
      <c r="W179" s="469" t="str">
        <f t="shared" si="259"/>
        <v/>
      </c>
      <c r="X179" s="470" t="str">
        <f t="shared" si="259"/>
        <v/>
      </c>
      <c r="Y179" s="470" t="str">
        <f t="shared" si="259"/>
        <v/>
      </c>
      <c r="Z179" s="470" t="str">
        <f t="shared" si="259"/>
        <v/>
      </c>
      <c r="AA179" s="471" t="str">
        <f t="shared" si="259"/>
        <v/>
      </c>
      <c r="AB179" s="469" t="str">
        <f t="shared" si="259"/>
        <v/>
      </c>
      <c r="AC179" s="470" t="str">
        <f t="shared" si="267"/>
        <v/>
      </c>
      <c r="AD179" s="470" t="str">
        <f t="shared" si="267"/>
        <v/>
      </c>
      <c r="AE179" s="470" t="str">
        <f t="shared" si="267"/>
        <v/>
      </c>
      <c r="AF179" s="471" t="str">
        <f t="shared" si="267"/>
        <v/>
      </c>
      <c r="AG179" s="469" t="str">
        <f t="shared" si="267"/>
        <v/>
      </c>
      <c r="AH179" s="470" t="str">
        <f t="shared" si="267"/>
        <v/>
      </c>
      <c r="AI179" s="470" t="str">
        <f t="shared" si="267"/>
        <v/>
      </c>
      <c r="AJ179" s="470" t="str">
        <f t="shared" si="267"/>
        <v/>
      </c>
      <c r="AK179" s="471" t="str">
        <f t="shared" si="267"/>
        <v/>
      </c>
      <c r="AL179" s="469" t="str">
        <f t="shared" si="267"/>
        <v/>
      </c>
      <c r="AM179" s="470" t="str">
        <f t="shared" si="267"/>
        <v/>
      </c>
      <c r="AN179" s="470" t="str">
        <f t="shared" si="267"/>
        <v/>
      </c>
      <c r="AO179" s="470" t="str">
        <f t="shared" si="267"/>
        <v/>
      </c>
      <c r="AP179" s="471" t="str">
        <f t="shared" si="267"/>
        <v/>
      </c>
      <c r="AQ179" s="469" t="str">
        <f t="shared" si="267"/>
        <v/>
      </c>
      <c r="AR179" s="470" t="str">
        <f t="shared" si="267"/>
        <v/>
      </c>
      <c r="AS179" s="470" t="str">
        <f t="shared" si="264"/>
        <v/>
      </c>
      <c r="AT179" s="470" t="str">
        <f t="shared" si="264"/>
        <v/>
      </c>
      <c r="AU179" s="471" t="str">
        <f t="shared" si="264"/>
        <v/>
      </c>
      <c r="AV179" s="469" t="str">
        <f t="shared" si="264"/>
        <v/>
      </c>
      <c r="AW179" s="470" t="str">
        <f t="shared" si="264"/>
        <v/>
      </c>
      <c r="AX179" s="470" t="str">
        <f t="shared" si="264"/>
        <v/>
      </c>
      <c r="AY179" s="470" t="str">
        <f t="shared" si="264"/>
        <v/>
      </c>
      <c r="AZ179" s="471" t="str">
        <f t="shared" si="264"/>
        <v/>
      </c>
      <c r="BA179" s="469" t="str">
        <f t="shared" si="264"/>
        <v/>
      </c>
      <c r="BB179" s="470" t="str">
        <f t="shared" si="264"/>
        <v/>
      </c>
      <c r="BC179" s="470" t="str">
        <f t="shared" si="264"/>
        <v/>
      </c>
      <c r="BD179" s="470" t="str">
        <f t="shared" si="264"/>
        <v/>
      </c>
      <c r="BE179" s="471" t="str">
        <f t="shared" si="264"/>
        <v/>
      </c>
      <c r="BF179" s="469" t="str">
        <f t="shared" si="264"/>
        <v/>
      </c>
      <c r="BG179" s="470" t="str">
        <f t="shared" si="264"/>
        <v/>
      </c>
      <c r="BH179" s="470" t="str">
        <f t="shared" si="261"/>
        <v/>
      </c>
      <c r="BI179" s="470" t="str">
        <f t="shared" si="261"/>
        <v/>
      </c>
      <c r="BJ179" s="471" t="str">
        <f t="shared" si="261"/>
        <v/>
      </c>
      <c r="BK179" s="469" t="str">
        <f t="shared" si="261"/>
        <v/>
      </c>
      <c r="BL179" s="470" t="str">
        <f t="shared" si="261"/>
        <v/>
      </c>
      <c r="BM179" s="470" t="str">
        <f t="shared" si="261"/>
        <v/>
      </c>
      <c r="BN179" s="470" t="str">
        <f t="shared" si="261"/>
        <v/>
      </c>
      <c r="BO179" s="471" t="str">
        <f t="shared" si="261"/>
        <v/>
      </c>
      <c r="BP179" s="469" t="str">
        <f t="shared" si="261"/>
        <v/>
      </c>
      <c r="BQ179" s="470" t="str">
        <f t="shared" si="261"/>
        <v/>
      </c>
      <c r="BR179" s="470" t="str">
        <f t="shared" si="261"/>
        <v/>
      </c>
      <c r="BS179" s="470" t="str">
        <f t="shared" si="261"/>
        <v/>
      </c>
      <c r="BT179" s="471" t="str">
        <f t="shared" si="261"/>
        <v/>
      </c>
      <c r="BU179" s="469" t="str">
        <f t="shared" si="261"/>
        <v/>
      </c>
      <c r="BV179" s="470" t="str">
        <f t="shared" si="261"/>
        <v/>
      </c>
      <c r="BW179" s="470" t="str">
        <f t="shared" si="261"/>
        <v/>
      </c>
      <c r="BX179" s="470" t="str">
        <f t="shared" si="265"/>
        <v/>
      </c>
      <c r="BY179" s="471" t="str">
        <f t="shared" si="265"/>
        <v/>
      </c>
      <c r="BZ179" s="469" t="str">
        <f t="shared" si="265"/>
        <v/>
      </c>
      <c r="CA179" s="470" t="str">
        <f t="shared" si="265"/>
        <v/>
      </c>
      <c r="CB179" s="470" t="str">
        <f t="shared" si="265"/>
        <v/>
      </c>
      <c r="CC179" s="470" t="str">
        <f t="shared" si="265"/>
        <v/>
      </c>
      <c r="CD179" s="471" t="str">
        <f t="shared" si="265"/>
        <v/>
      </c>
      <c r="CE179" s="469" t="str">
        <f t="shared" si="265"/>
        <v/>
      </c>
      <c r="CF179" s="470" t="str">
        <f t="shared" si="265"/>
        <v/>
      </c>
      <c r="CG179" s="470" t="str">
        <f t="shared" si="265"/>
        <v/>
      </c>
      <c r="CH179" s="470" t="str">
        <f t="shared" si="265"/>
        <v/>
      </c>
      <c r="CI179" s="471" t="str">
        <f t="shared" si="265"/>
        <v/>
      </c>
      <c r="CJ179" s="469" t="str">
        <f t="shared" si="265"/>
        <v/>
      </c>
      <c r="CK179" s="470" t="str">
        <f t="shared" si="265"/>
        <v/>
      </c>
      <c r="CL179" s="470" t="str">
        <f t="shared" si="265"/>
        <v/>
      </c>
      <c r="CM179" s="470" t="str">
        <f t="shared" si="265"/>
        <v/>
      </c>
      <c r="CN179" s="471" t="str">
        <f t="shared" si="266"/>
        <v/>
      </c>
      <c r="CO179" s="469" t="str">
        <f t="shared" si="266"/>
        <v/>
      </c>
      <c r="CP179" s="470" t="str">
        <f t="shared" si="266"/>
        <v/>
      </c>
      <c r="CQ179" s="470" t="str">
        <f t="shared" si="266"/>
        <v/>
      </c>
      <c r="CR179" s="470" t="str">
        <f t="shared" si="266"/>
        <v/>
      </c>
      <c r="CS179" s="471" t="str">
        <f t="shared" si="266"/>
        <v/>
      </c>
      <c r="CT179" s="469" t="str">
        <f t="shared" si="266"/>
        <v/>
      </c>
      <c r="CU179" s="470" t="str">
        <f t="shared" si="266"/>
        <v/>
      </c>
      <c r="CV179" s="470" t="str">
        <f t="shared" si="266"/>
        <v/>
      </c>
      <c r="CW179" s="470" t="str">
        <f t="shared" si="266"/>
        <v/>
      </c>
      <c r="CX179" s="471" t="str">
        <f t="shared" si="266"/>
        <v/>
      </c>
      <c r="CY179" s="469" t="str">
        <f t="shared" si="266"/>
        <v/>
      </c>
      <c r="CZ179" s="470" t="str">
        <f t="shared" si="266"/>
        <v/>
      </c>
      <c r="DA179" s="470" t="str">
        <f t="shared" si="266"/>
        <v/>
      </c>
      <c r="DB179" s="470" t="str">
        <f t="shared" si="266"/>
        <v/>
      </c>
      <c r="DC179" s="471" t="str">
        <f t="shared" si="266"/>
        <v/>
      </c>
      <c r="DD179" s="469" t="str">
        <f t="shared" si="262"/>
        <v/>
      </c>
      <c r="DE179" s="470" t="str">
        <f t="shared" si="263"/>
        <v/>
      </c>
      <c r="DF179" s="470" t="str">
        <f t="shared" si="263"/>
        <v/>
      </c>
      <c r="DG179" s="470" t="str">
        <f t="shared" si="263"/>
        <v/>
      </c>
      <c r="DH179" s="471" t="str">
        <f t="shared" si="263"/>
        <v/>
      </c>
      <c r="DI179" s="469" t="str">
        <f t="shared" si="263"/>
        <v/>
      </c>
      <c r="DJ179" s="470" t="str">
        <f t="shared" si="263"/>
        <v/>
      </c>
      <c r="DK179" s="470" t="str">
        <f t="shared" si="263"/>
        <v/>
      </c>
      <c r="DL179" s="470" t="str">
        <f t="shared" si="263"/>
        <v/>
      </c>
      <c r="DM179" s="471" t="str">
        <f t="shared" si="263"/>
        <v/>
      </c>
      <c r="DN179" s="469" t="str">
        <f t="shared" si="263"/>
        <v/>
      </c>
      <c r="DO179" s="470" t="str">
        <f t="shared" si="263"/>
        <v/>
      </c>
      <c r="DP179" s="470" t="str">
        <f t="shared" si="263"/>
        <v/>
      </c>
      <c r="DQ179" s="470" t="str">
        <f t="shared" si="263"/>
        <v/>
      </c>
      <c r="DR179" s="471" t="str">
        <f t="shared" si="263"/>
        <v/>
      </c>
      <c r="DS179" s="469" t="str">
        <f t="shared" si="263"/>
        <v/>
      </c>
      <c r="DT179" s="470" t="str">
        <f t="shared" si="263"/>
        <v/>
      </c>
      <c r="DU179" s="470" t="str">
        <f t="shared" si="268"/>
        <v/>
      </c>
      <c r="DV179" s="470" t="str">
        <f t="shared" si="268"/>
        <v/>
      </c>
      <c r="DW179" s="471" t="str">
        <f t="shared" si="268"/>
        <v/>
      </c>
      <c r="DX179" s="469" t="str">
        <f t="shared" si="268"/>
        <v/>
      </c>
      <c r="DY179" s="470" t="str">
        <f t="shared" si="268"/>
        <v/>
      </c>
      <c r="DZ179" s="470" t="str">
        <f t="shared" si="268"/>
        <v/>
      </c>
      <c r="EA179" s="470" t="str">
        <f t="shared" si="268"/>
        <v/>
      </c>
      <c r="EB179" s="471" t="str">
        <f t="shared" si="268"/>
        <v/>
      </c>
      <c r="EC179" s="469" t="str">
        <f t="shared" si="268"/>
        <v/>
      </c>
      <c r="ED179" s="470" t="str">
        <f t="shared" si="268"/>
        <v/>
      </c>
      <c r="EE179" s="470" t="str">
        <f t="shared" si="268"/>
        <v/>
      </c>
      <c r="EF179" s="470" t="str">
        <f t="shared" si="268"/>
        <v/>
      </c>
      <c r="EG179" s="471" t="str">
        <f t="shared" si="268"/>
        <v/>
      </c>
      <c r="EH179" s="469" t="str">
        <f t="shared" si="268"/>
        <v/>
      </c>
      <c r="EI179" s="470" t="str">
        <f t="shared" si="268"/>
        <v/>
      </c>
      <c r="EJ179" s="470" t="str">
        <f t="shared" si="251"/>
        <v/>
      </c>
      <c r="EK179" s="470" t="str">
        <f t="shared" si="251"/>
        <v/>
      </c>
      <c r="EL179" s="471" t="str">
        <f t="shared" si="251"/>
        <v/>
      </c>
      <c r="EM179" s="469" t="str">
        <f t="shared" si="251"/>
        <v/>
      </c>
      <c r="EN179" s="470" t="str">
        <f t="shared" si="251"/>
        <v/>
      </c>
      <c r="EO179" s="470" t="str">
        <f t="shared" si="251"/>
        <v/>
      </c>
      <c r="EP179" s="470" t="str">
        <f t="shared" si="251"/>
        <v/>
      </c>
      <c r="EQ179" s="471" t="str">
        <f t="shared" si="251"/>
        <v/>
      </c>
      <c r="ER179" s="469" t="str">
        <f t="shared" si="251"/>
        <v/>
      </c>
      <c r="ES179" s="470" t="str">
        <f t="shared" si="251"/>
        <v/>
      </c>
      <c r="ET179" s="470" t="str">
        <f t="shared" si="251"/>
        <v/>
      </c>
      <c r="EU179" s="470" t="str">
        <f t="shared" si="251"/>
        <v/>
      </c>
      <c r="EV179" s="471" t="str">
        <f t="shared" si="251"/>
        <v/>
      </c>
      <c r="EW179" s="469" t="str">
        <f t="shared" si="251"/>
        <v/>
      </c>
      <c r="EX179" s="470" t="str">
        <f t="shared" si="251"/>
        <v/>
      </c>
      <c r="EY179" s="470" t="str">
        <f t="shared" si="251"/>
        <v/>
      </c>
      <c r="EZ179" s="470" t="str">
        <f t="shared" si="252"/>
        <v/>
      </c>
      <c r="FA179" s="471" t="str">
        <f t="shared" si="252"/>
        <v/>
      </c>
      <c r="FB179" s="469" t="str">
        <f t="shared" si="252"/>
        <v/>
      </c>
      <c r="FC179" s="470" t="str">
        <f t="shared" si="252"/>
        <v/>
      </c>
      <c r="FD179" s="470" t="str">
        <f t="shared" si="252"/>
        <v/>
      </c>
      <c r="FE179" s="470" t="str">
        <f t="shared" si="252"/>
        <v/>
      </c>
      <c r="FF179" s="471" t="str">
        <f t="shared" si="252"/>
        <v/>
      </c>
      <c r="FG179" s="469" t="str">
        <f t="shared" si="252"/>
        <v/>
      </c>
      <c r="FH179" s="470" t="str">
        <f t="shared" si="252"/>
        <v/>
      </c>
      <c r="FI179" s="470" t="str">
        <f t="shared" si="252"/>
        <v/>
      </c>
      <c r="FJ179" s="470" t="str">
        <f t="shared" si="252"/>
        <v/>
      </c>
      <c r="FK179" s="471" t="str">
        <f t="shared" si="252"/>
        <v/>
      </c>
      <c r="FL179" s="469" t="str">
        <f t="shared" si="252"/>
        <v/>
      </c>
      <c r="FM179" s="470" t="str">
        <f t="shared" si="252"/>
        <v/>
      </c>
      <c r="FN179" s="470" t="str">
        <f t="shared" si="252"/>
        <v/>
      </c>
      <c r="FO179" s="470" t="str">
        <f t="shared" si="248"/>
        <v/>
      </c>
      <c r="FP179" s="471" t="str">
        <f t="shared" si="248"/>
        <v/>
      </c>
      <c r="FQ179" s="469" t="str">
        <f t="shared" si="248"/>
        <v/>
      </c>
      <c r="FR179" s="470" t="str">
        <f t="shared" si="248"/>
        <v/>
      </c>
      <c r="FS179" s="470" t="str">
        <f t="shared" si="248"/>
        <v/>
      </c>
      <c r="FT179" s="470" t="str">
        <f t="shared" si="248"/>
        <v/>
      </c>
      <c r="FU179" s="471" t="str">
        <f t="shared" si="248"/>
        <v/>
      </c>
      <c r="FV179" s="469" t="str">
        <f t="shared" si="248"/>
        <v/>
      </c>
      <c r="FW179" s="470" t="str">
        <f t="shared" si="248"/>
        <v/>
      </c>
      <c r="FX179" s="470" t="str">
        <f t="shared" si="248"/>
        <v/>
      </c>
      <c r="FY179" s="470" t="str">
        <f t="shared" si="248"/>
        <v/>
      </c>
      <c r="FZ179" s="471" t="str">
        <f t="shared" si="248"/>
        <v/>
      </c>
      <c r="GA179" s="469" t="str">
        <f t="shared" si="248"/>
        <v/>
      </c>
      <c r="GB179" s="470" t="str">
        <f t="shared" si="248"/>
        <v/>
      </c>
      <c r="GC179" s="470" t="str">
        <f t="shared" si="248"/>
        <v/>
      </c>
      <c r="GD179" s="470" t="str">
        <f t="shared" si="249"/>
        <v/>
      </c>
      <c r="GE179" s="471" t="str">
        <f t="shared" si="249"/>
        <v/>
      </c>
      <c r="GF179" s="469" t="str">
        <f t="shared" si="249"/>
        <v/>
      </c>
      <c r="GG179" s="470" t="str">
        <f t="shared" si="249"/>
        <v/>
      </c>
      <c r="GH179" s="470" t="str">
        <f t="shared" si="249"/>
        <v/>
      </c>
      <c r="GI179" s="470" t="str">
        <f t="shared" si="249"/>
        <v/>
      </c>
      <c r="GJ179" s="471" t="str">
        <f t="shared" si="249"/>
        <v/>
      </c>
      <c r="GK179" s="469" t="str">
        <f t="shared" si="249"/>
        <v/>
      </c>
      <c r="GL179" s="470" t="str">
        <f t="shared" si="249"/>
        <v/>
      </c>
      <c r="GM179" s="470" t="str">
        <f t="shared" si="249"/>
        <v/>
      </c>
      <c r="GN179" s="470" t="str">
        <f t="shared" si="249"/>
        <v/>
      </c>
      <c r="GO179" s="471" t="str">
        <f t="shared" si="249"/>
        <v/>
      </c>
      <c r="GP179" s="469" t="str">
        <f t="shared" si="249"/>
        <v/>
      </c>
      <c r="GQ179" s="470" t="str">
        <f t="shared" si="249"/>
        <v/>
      </c>
      <c r="GR179" s="470" t="str">
        <f t="shared" si="249"/>
        <v/>
      </c>
      <c r="GS179" s="470" t="str">
        <f t="shared" ref="GS179" si="269">IF(AND(GS$2&gt;=$J179,GS$2&lt;=$K179),1,"")</f>
        <v/>
      </c>
      <c r="GT179" s="471" t="str">
        <f t="shared" si="253"/>
        <v/>
      </c>
      <c r="GU179" s="469" t="str">
        <f t="shared" si="253"/>
        <v/>
      </c>
      <c r="GV179" s="470" t="str">
        <f t="shared" si="253"/>
        <v/>
      </c>
      <c r="GW179" s="470" t="str">
        <f t="shared" si="253"/>
        <v/>
      </c>
      <c r="GX179" s="470" t="str">
        <f t="shared" si="253"/>
        <v/>
      </c>
      <c r="GY179" s="471" t="str">
        <f t="shared" si="253"/>
        <v/>
      </c>
      <c r="GZ179" s="469" t="str">
        <f t="shared" si="253"/>
        <v/>
      </c>
      <c r="HA179" s="470" t="str">
        <f t="shared" si="253"/>
        <v/>
      </c>
      <c r="HB179" s="470" t="str">
        <f t="shared" si="253"/>
        <v/>
      </c>
      <c r="HC179" s="470" t="str">
        <f t="shared" si="253"/>
        <v/>
      </c>
      <c r="HD179" s="471" t="str">
        <f t="shared" si="253"/>
        <v/>
      </c>
      <c r="HE179" s="469" t="str">
        <f t="shared" si="253"/>
        <v/>
      </c>
      <c r="HF179" s="470" t="str">
        <f t="shared" si="253"/>
        <v/>
      </c>
      <c r="HG179" s="470" t="str">
        <f t="shared" si="253"/>
        <v/>
      </c>
      <c r="HH179" s="470" t="str">
        <f t="shared" si="253"/>
        <v/>
      </c>
      <c r="HI179" s="471" t="str">
        <f t="shared" si="253"/>
        <v/>
      </c>
      <c r="HJ179" s="469" t="str">
        <f t="shared" si="250"/>
        <v/>
      </c>
      <c r="HK179" s="470" t="str">
        <f t="shared" si="250"/>
        <v/>
      </c>
      <c r="HL179" s="470" t="str">
        <f t="shared" si="250"/>
        <v/>
      </c>
      <c r="HM179" s="470" t="str">
        <f t="shared" si="250"/>
        <v/>
      </c>
      <c r="HN179" s="471" t="str">
        <f t="shared" si="250"/>
        <v/>
      </c>
      <c r="HO179" s="469" t="str">
        <f t="shared" si="250"/>
        <v/>
      </c>
      <c r="HP179" s="470" t="str">
        <f t="shared" si="250"/>
        <v/>
      </c>
      <c r="HQ179" s="470" t="str">
        <f t="shared" si="250"/>
        <v/>
      </c>
      <c r="HR179" s="470" t="str">
        <f t="shared" si="250"/>
        <v/>
      </c>
      <c r="HS179" s="471" t="str">
        <f t="shared" si="250"/>
        <v/>
      </c>
      <c r="HT179" s="469" t="str">
        <f t="shared" si="250"/>
        <v/>
      </c>
      <c r="HU179" s="470" t="str">
        <f t="shared" si="250"/>
        <v/>
      </c>
      <c r="HV179" s="470" t="str">
        <f t="shared" si="250"/>
        <v/>
      </c>
      <c r="HW179" s="470" t="str">
        <f t="shared" si="250"/>
        <v/>
      </c>
      <c r="HX179" s="471" t="str">
        <f t="shared" si="250"/>
        <v/>
      </c>
      <c r="HY179" s="469" t="str">
        <f t="shared" si="250"/>
        <v/>
      </c>
      <c r="HZ179" s="470" t="str">
        <f t="shared" si="250"/>
        <v/>
      </c>
      <c r="IA179" s="470" t="str">
        <f t="shared" si="254"/>
        <v/>
      </c>
      <c r="IB179" s="470" t="str">
        <f t="shared" si="254"/>
        <v/>
      </c>
      <c r="IC179" s="471" t="str">
        <f t="shared" si="254"/>
        <v/>
      </c>
      <c r="ID179" s="469" t="str">
        <f t="shared" si="254"/>
        <v/>
      </c>
      <c r="IE179" s="470" t="str">
        <f t="shared" si="254"/>
        <v/>
      </c>
      <c r="IF179" s="470" t="str">
        <f t="shared" si="254"/>
        <v/>
      </c>
      <c r="IG179" s="470" t="str">
        <f t="shared" si="254"/>
        <v/>
      </c>
      <c r="IH179" s="471" t="str">
        <f t="shared" si="254"/>
        <v/>
      </c>
      <c r="II179" s="469" t="str">
        <f t="shared" si="254"/>
        <v/>
      </c>
      <c r="IJ179" s="470" t="str">
        <f t="shared" si="254"/>
        <v/>
      </c>
      <c r="IK179" s="470" t="str">
        <f t="shared" si="254"/>
        <v/>
      </c>
      <c r="IL179" s="470" t="str">
        <f t="shared" si="254"/>
        <v/>
      </c>
      <c r="IM179" s="471" t="str">
        <f t="shared" si="254"/>
        <v/>
      </c>
      <c r="IN179" s="469" t="str">
        <f t="shared" si="254"/>
        <v/>
      </c>
      <c r="IO179" s="470" t="str">
        <f t="shared" si="254"/>
        <v/>
      </c>
      <c r="IP179" s="470" t="str">
        <f t="shared" si="254"/>
        <v/>
      </c>
      <c r="IQ179" s="470" t="str">
        <f t="shared" si="260"/>
        <v/>
      </c>
      <c r="IR179" s="471" t="str">
        <f t="shared" si="260"/>
        <v/>
      </c>
    </row>
    <row r="180" spans="1:252" x14ac:dyDescent="0.2">
      <c r="A180" s="455">
        <v>17</v>
      </c>
      <c r="B180" s="456"/>
      <c r="C180" s="456" t="str">
        <f>Breakdown!$A25</f>
        <v/>
      </c>
      <c r="D180" s="457"/>
      <c r="E180" s="437" t="str">
        <f>IF(E181="","",MIN(E181:E190))</f>
        <v/>
      </c>
      <c r="F180" s="437" t="str">
        <f>IF(F181="","",MAX(F181:F190))</f>
        <v/>
      </c>
      <c r="G180" s="437"/>
      <c r="H180" s="437"/>
      <c r="I180" s="458"/>
      <c r="J180" s="459">
        <f>MIN(J181:J190)</f>
        <v>0</v>
      </c>
      <c r="K180" s="459">
        <f>MAX(K181:K190)</f>
        <v>0</v>
      </c>
      <c r="L180" s="460">
        <f t="shared" ref="L180:L190" si="270">SUM(M180:IR180)</f>
        <v>0</v>
      </c>
      <c r="M180" s="451" t="str">
        <f t="shared" si="259"/>
        <v/>
      </c>
      <c r="N180" s="452" t="str">
        <f t="shared" si="259"/>
        <v/>
      </c>
      <c r="O180" s="452" t="str">
        <f t="shared" si="259"/>
        <v/>
      </c>
      <c r="P180" s="452" t="str">
        <f t="shared" si="259"/>
        <v/>
      </c>
      <c r="Q180" s="453" t="str">
        <f t="shared" si="259"/>
        <v/>
      </c>
      <c r="R180" s="451" t="str">
        <f t="shared" si="259"/>
        <v/>
      </c>
      <c r="S180" s="452" t="str">
        <f t="shared" si="259"/>
        <v/>
      </c>
      <c r="T180" s="452" t="str">
        <f t="shared" si="259"/>
        <v/>
      </c>
      <c r="U180" s="452" t="str">
        <f t="shared" si="259"/>
        <v/>
      </c>
      <c r="V180" s="453" t="str">
        <f t="shared" si="259"/>
        <v/>
      </c>
      <c r="W180" s="451" t="str">
        <f t="shared" si="259"/>
        <v/>
      </c>
      <c r="X180" s="452" t="str">
        <f t="shared" si="259"/>
        <v/>
      </c>
      <c r="Y180" s="452" t="str">
        <f t="shared" si="259"/>
        <v/>
      </c>
      <c r="Z180" s="452" t="str">
        <f t="shared" si="259"/>
        <v/>
      </c>
      <c r="AA180" s="453" t="str">
        <f t="shared" si="259"/>
        <v/>
      </c>
      <c r="AB180" s="451" t="str">
        <f t="shared" si="259"/>
        <v/>
      </c>
      <c r="AC180" s="452" t="str">
        <f t="shared" si="267"/>
        <v/>
      </c>
      <c r="AD180" s="452" t="str">
        <f t="shared" si="267"/>
        <v/>
      </c>
      <c r="AE180" s="452" t="str">
        <f t="shared" si="267"/>
        <v/>
      </c>
      <c r="AF180" s="453" t="str">
        <f t="shared" si="267"/>
        <v/>
      </c>
      <c r="AG180" s="451" t="str">
        <f t="shared" si="267"/>
        <v/>
      </c>
      <c r="AH180" s="452" t="str">
        <f t="shared" si="267"/>
        <v/>
      </c>
      <c r="AI180" s="452" t="str">
        <f t="shared" si="267"/>
        <v/>
      </c>
      <c r="AJ180" s="452" t="str">
        <f t="shared" si="267"/>
        <v/>
      </c>
      <c r="AK180" s="453" t="str">
        <f t="shared" si="267"/>
        <v/>
      </c>
      <c r="AL180" s="451" t="str">
        <f t="shared" si="267"/>
        <v/>
      </c>
      <c r="AM180" s="452" t="str">
        <f t="shared" si="267"/>
        <v/>
      </c>
      <c r="AN180" s="452" t="str">
        <f t="shared" si="267"/>
        <v/>
      </c>
      <c r="AO180" s="452" t="str">
        <f t="shared" si="267"/>
        <v/>
      </c>
      <c r="AP180" s="453" t="str">
        <f t="shared" si="267"/>
        <v/>
      </c>
      <c r="AQ180" s="451" t="str">
        <f t="shared" si="267"/>
        <v/>
      </c>
      <c r="AR180" s="452" t="str">
        <f t="shared" si="267"/>
        <v/>
      </c>
      <c r="AS180" s="452" t="str">
        <f t="shared" si="264"/>
        <v/>
      </c>
      <c r="AT180" s="452" t="str">
        <f t="shared" si="264"/>
        <v/>
      </c>
      <c r="AU180" s="453" t="str">
        <f t="shared" si="264"/>
        <v/>
      </c>
      <c r="AV180" s="451" t="str">
        <f t="shared" si="264"/>
        <v/>
      </c>
      <c r="AW180" s="452" t="str">
        <f t="shared" si="264"/>
        <v/>
      </c>
      <c r="AX180" s="452" t="str">
        <f t="shared" si="264"/>
        <v/>
      </c>
      <c r="AY180" s="452" t="str">
        <f t="shared" si="264"/>
        <v/>
      </c>
      <c r="AZ180" s="453" t="str">
        <f t="shared" si="264"/>
        <v/>
      </c>
      <c r="BA180" s="451" t="str">
        <f t="shared" si="264"/>
        <v/>
      </c>
      <c r="BB180" s="452" t="str">
        <f t="shared" si="264"/>
        <v/>
      </c>
      <c r="BC180" s="452" t="str">
        <f t="shared" si="264"/>
        <v/>
      </c>
      <c r="BD180" s="452" t="str">
        <f t="shared" si="264"/>
        <v/>
      </c>
      <c r="BE180" s="453" t="str">
        <f t="shared" si="264"/>
        <v/>
      </c>
      <c r="BF180" s="451" t="str">
        <f t="shared" si="264"/>
        <v/>
      </c>
      <c r="BG180" s="452" t="str">
        <f t="shared" si="264"/>
        <v/>
      </c>
      <c r="BH180" s="452" t="str">
        <f t="shared" si="261"/>
        <v/>
      </c>
      <c r="BI180" s="452" t="str">
        <f t="shared" si="261"/>
        <v/>
      </c>
      <c r="BJ180" s="453" t="str">
        <f t="shared" si="261"/>
        <v/>
      </c>
      <c r="BK180" s="451" t="str">
        <f t="shared" si="261"/>
        <v/>
      </c>
      <c r="BL180" s="452" t="str">
        <f t="shared" si="261"/>
        <v/>
      </c>
      <c r="BM180" s="452" t="str">
        <f t="shared" si="261"/>
        <v/>
      </c>
      <c r="BN180" s="452" t="str">
        <f t="shared" si="261"/>
        <v/>
      </c>
      <c r="BO180" s="453" t="str">
        <f t="shared" si="261"/>
        <v/>
      </c>
      <c r="BP180" s="451" t="str">
        <f t="shared" si="261"/>
        <v/>
      </c>
      <c r="BQ180" s="452" t="str">
        <f t="shared" si="261"/>
        <v/>
      </c>
      <c r="BR180" s="452" t="str">
        <f t="shared" si="261"/>
        <v/>
      </c>
      <c r="BS180" s="452" t="str">
        <f t="shared" si="261"/>
        <v/>
      </c>
      <c r="BT180" s="453" t="str">
        <f t="shared" si="261"/>
        <v/>
      </c>
      <c r="BU180" s="451" t="str">
        <f t="shared" si="261"/>
        <v/>
      </c>
      <c r="BV180" s="452" t="str">
        <f t="shared" si="261"/>
        <v/>
      </c>
      <c r="BW180" s="452" t="str">
        <f t="shared" si="261"/>
        <v/>
      </c>
      <c r="BX180" s="452" t="str">
        <f t="shared" si="265"/>
        <v/>
      </c>
      <c r="BY180" s="453" t="str">
        <f t="shared" si="265"/>
        <v/>
      </c>
      <c r="BZ180" s="451" t="str">
        <f t="shared" si="265"/>
        <v/>
      </c>
      <c r="CA180" s="452" t="str">
        <f t="shared" si="265"/>
        <v/>
      </c>
      <c r="CB180" s="452" t="str">
        <f t="shared" si="265"/>
        <v/>
      </c>
      <c r="CC180" s="452" t="str">
        <f t="shared" si="265"/>
        <v/>
      </c>
      <c r="CD180" s="453" t="str">
        <f t="shared" si="265"/>
        <v/>
      </c>
      <c r="CE180" s="451" t="str">
        <f t="shared" si="265"/>
        <v/>
      </c>
      <c r="CF180" s="452" t="str">
        <f t="shared" si="265"/>
        <v/>
      </c>
      <c r="CG180" s="452" t="str">
        <f t="shared" si="265"/>
        <v/>
      </c>
      <c r="CH180" s="452" t="str">
        <f t="shared" si="265"/>
        <v/>
      </c>
      <c r="CI180" s="453" t="str">
        <f t="shared" si="265"/>
        <v/>
      </c>
      <c r="CJ180" s="451" t="str">
        <f t="shared" si="265"/>
        <v/>
      </c>
      <c r="CK180" s="452" t="str">
        <f t="shared" si="265"/>
        <v/>
      </c>
      <c r="CL180" s="452" t="str">
        <f t="shared" si="265"/>
        <v/>
      </c>
      <c r="CM180" s="452" t="str">
        <f t="shared" si="265"/>
        <v/>
      </c>
      <c r="CN180" s="453" t="str">
        <f t="shared" si="266"/>
        <v/>
      </c>
      <c r="CO180" s="451" t="str">
        <f t="shared" si="266"/>
        <v/>
      </c>
      <c r="CP180" s="452" t="str">
        <f t="shared" si="266"/>
        <v/>
      </c>
      <c r="CQ180" s="452" t="str">
        <f t="shared" si="266"/>
        <v/>
      </c>
      <c r="CR180" s="452" t="str">
        <f t="shared" si="266"/>
        <v/>
      </c>
      <c r="CS180" s="453" t="str">
        <f t="shared" si="266"/>
        <v/>
      </c>
      <c r="CT180" s="451" t="str">
        <f t="shared" si="266"/>
        <v/>
      </c>
      <c r="CU180" s="452" t="str">
        <f t="shared" si="266"/>
        <v/>
      </c>
      <c r="CV180" s="452" t="str">
        <f t="shared" si="266"/>
        <v/>
      </c>
      <c r="CW180" s="452" t="str">
        <f t="shared" si="266"/>
        <v/>
      </c>
      <c r="CX180" s="453" t="str">
        <f t="shared" si="266"/>
        <v/>
      </c>
      <c r="CY180" s="451" t="str">
        <f t="shared" si="266"/>
        <v/>
      </c>
      <c r="CZ180" s="452" t="str">
        <f t="shared" si="266"/>
        <v/>
      </c>
      <c r="DA180" s="452" t="str">
        <f t="shared" si="266"/>
        <v/>
      </c>
      <c r="DB180" s="452" t="str">
        <f t="shared" si="266"/>
        <v/>
      </c>
      <c r="DC180" s="453" t="str">
        <f t="shared" si="266"/>
        <v/>
      </c>
      <c r="DD180" s="451" t="str">
        <f t="shared" si="262"/>
        <v/>
      </c>
      <c r="DE180" s="452" t="str">
        <f t="shared" si="263"/>
        <v/>
      </c>
      <c r="DF180" s="452" t="str">
        <f t="shared" si="263"/>
        <v/>
      </c>
      <c r="DG180" s="452" t="str">
        <f t="shared" si="263"/>
        <v/>
      </c>
      <c r="DH180" s="453" t="str">
        <f t="shared" si="263"/>
        <v/>
      </c>
      <c r="DI180" s="451" t="str">
        <f t="shared" si="263"/>
        <v/>
      </c>
      <c r="DJ180" s="452" t="str">
        <f t="shared" si="263"/>
        <v/>
      </c>
      <c r="DK180" s="452" t="str">
        <f t="shared" si="263"/>
        <v/>
      </c>
      <c r="DL180" s="452" t="str">
        <f t="shared" si="263"/>
        <v/>
      </c>
      <c r="DM180" s="453" t="str">
        <f t="shared" si="263"/>
        <v/>
      </c>
      <c r="DN180" s="451" t="str">
        <f t="shared" si="263"/>
        <v/>
      </c>
      <c r="DO180" s="452" t="str">
        <f t="shared" si="263"/>
        <v/>
      </c>
      <c r="DP180" s="452" t="str">
        <f t="shared" si="263"/>
        <v/>
      </c>
      <c r="DQ180" s="452" t="str">
        <f t="shared" si="263"/>
        <v/>
      </c>
      <c r="DR180" s="453" t="str">
        <f t="shared" si="263"/>
        <v/>
      </c>
      <c r="DS180" s="451" t="str">
        <f t="shared" si="263"/>
        <v/>
      </c>
      <c r="DT180" s="452" t="str">
        <f t="shared" si="263"/>
        <v/>
      </c>
      <c r="DU180" s="452" t="str">
        <f t="shared" si="268"/>
        <v/>
      </c>
      <c r="DV180" s="452" t="str">
        <f t="shared" si="268"/>
        <v/>
      </c>
      <c r="DW180" s="453" t="str">
        <f t="shared" si="268"/>
        <v/>
      </c>
      <c r="DX180" s="451" t="str">
        <f t="shared" si="268"/>
        <v/>
      </c>
      <c r="DY180" s="452" t="str">
        <f t="shared" si="268"/>
        <v/>
      </c>
      <c r="DZ180" s="452" t="str">
        <f t="shared" si="268"/>
        <v/>
      </c>
      <c r="EA180" s="452" t="str">
        <f t="shared" si="268"/>
        <v/>
      </c>
      <c r="EB180" s="453" t="str">
        <f t="shared" si="268"/>
        <v/>
      </c>
      <c r="EC180" s="451" t="str">
        <f t="shared" si="268"/>
        <v/>
      </c>
      <c r="ED180" s="452" t="str">
        <f t="shared" si="268"/>
        <v/>
      </c>
      <c r="EE180" s="452" t="str">
        <f t="shared" si="268"/>
        <v/>
      </c>
      <c r="EF180" s="452" t="str">
        <f t="shared" si="268"/>
        <v/>
      </c>
      <c r="EG180" s="453" t="str">
        <f t="shared" si="268"/>
        <v/>
      </c>
      <c r="EH180" s="451" t="str">
        <f t="shared" si="268"/>
        <v/>
      </c>
      <c r="EI180" s="452" t="str">
        <f t="shared" si="268"/>
        <v/>
      </c>
      <c r="EJ180" s="452" t="str">
        <f t="shared" si="251"/>
        <v/>
      </c>
      <c r="EK180" s="452" t="str">
        <f t="shared" si="251"/>
        <v/>
      </c>
      <c r="EL180" s="453" t="str">
        <f t="shared" si="251"/>
        <v/>
      </c>
      <c r="EM180" s="451" t="str">
        <f t="shared" si="251"/>
        <v/>
      </c>
      <c r="EN180" s="452" t="str">
        <f t="shared" si="251"/>
        <v/>
      </c>
      <c r="EO180" s="452" t="str">
        <f t="shared" si="251"/>
        <v/>
      </c>
      <c r="EP180" s="452" t="str">
        <f t="shared" si="251"/>
        <v/>
      </c>
      <c r="EQ180" s="453" t="str">
        <f t="shared" si="251"/>
        <v/>
      </c>
      <c r="ER180" s="451" t="str">
        <f t="shared" si="251"/>
        <v/>
      </c>
      <c r="ES180" s="452" t="str">
        <f t="shared" si="251"/>
        <v/>
      </c>
      <c r="ET180" s="452" t="str">
        <f t="shared" si="251"/>
        <v/>
      </c>
      <c r="EU180" s="452" t="str">
        <f t="shared" si="251"/>
        <v/>
      </c>
      <c r="EV180" s="453" t="str">
        <f t="shared" si="251"/>
        <v/>
      </c>
      <c r="EW180" s="451" t="str">
        <f t="shared" si="251"/>
        <v/>
      </c>
      <c r="EX180" s="452" t="str">
        <f t="shared" si="251"/>
        <v/>
      </c>
      <c r="EY180" s="452" t="str">
        <f t="shared" ref="EY180:EY191" si="271">IF(AND(EY$2&gt;=$J180,EY$2&lt;=$K180),1,"")</f>
        <v/>
      </c>
      <c r="EZ180" s="452" t="str">
        <f t="shared" si="252"/>
        <v/>
      </c>
      <c r="FA180" s="453" t="str">
        <f t="shared" si="252"/>
        <v/>
      </c>
      <c r="FB180" s="451" t="str">
        <f t="shared" si="252"/>
        <v/>
      </c>
      <c r="FC180" s="452" t="str">
        <f t="shared" si="252"/>
        <v/>
      </c>
      <c r="FD180" s="452" t="str">
        <f t="shared" si="252"/>
        <v/>
      </c>
      <c r="FE180" s="452" t="str">
        <f t="shared" si="252"/>
        <v/>
      </c>
      <c r="FF180" s="453" t="str">
        <f t="shared" si="252"/>
        <v/>
      </c>
      <c r="FG180" s="451" t="str">
        <f t="shared" si="252"/>
        <v/>
      </c>
      <c r="FH180" s="452" t="str">
        <f t="shared" si="252"/>
        <v/>
      </c>
      <c r="FI180" s="452" t="str">
        <f t="shared" si="252"/>
        <v/>
      </c>
      <c r="FJ180" s="452" t="str">
        <f t="shared" si="252"/>
        <v/>
      </c>
      <c r="FK180" s="453" t="str">
        <f t="shared" si="252"/>
        <v/>
      </c>
      <c r="FL180" s="451" t="str">
        <f t="shared" si="252"/>
        <v/>
      </c>
      <c r="FM180" s="452" t="str">
        <f t="shared" si="252"/>
        <v/>
      </c>
      <c r="FN180" s="452" t="str">
        <f t="shared" si="252"/>
        <v/>
      </c>
      <c r="FO180" s="452" t="str">
        <f t="shared" si="248"/>
        <v/>
      </c>
      <c r="FP180" s="453" t="str">
        <f t="shared" si="248"/>
        <v/>
      </c>
      <c r="FQ180" s="451" t="str">
        <f t="shared" si="248"/>
        <v/>
      </c>
      <c r="FR180" s="452" t="str">
        <f t="shared" si="248"/>
        <v/>
      </c>
      <c r="FS180" s="452" t="str">
        <f t="shared" si="248"/>
        <v/>
      </c>
      <c r="FT180" s="452" t="str">
        <f t="shared" si="248"/>
        <v/>
      </c>
      <c r="FU180" s="453" t="str">
        <f t="shared" si="248"/>
        <v/>
      </c>
      <c r="FV180" s="451" t="str">
        <f t="shared" si="248"/>
        <v/>
      </c>
      <c r="FW180" s="452" t="str">
        <f t="shared" si="248"/>
        <v/>
      </c>
      <c r="FX180" s="452" t="str">
        <f t="shared" si="248"/>
        <v/>
      </c>
      <c r="FY180" s="452" t="str">
        <f t="shared" si="248"/>
        <v/>
      </c>
      <c r="FZ180" s="453" t="str">
        <f t="shared" si="248"/>
        <v/>
      </c>
      <c r="GA180" s="451" t="str">
        <f t="shared" si="248"/>
        <v/>
      </c>
      <c r="GB180" s="452" t="str">
        <f t="shared" ref="GB180:GQ195" si="272">IF(AND(GB$2&gt;=$J180,GB$2&lt;=$K180),1,"")</f>
        <v/>
      </c>
      <c r="GC180" s="452" t="str">
        <f t="shared" si="272"/>
        <v/>
      </c>
      <c r="GD180" s="452" t="str">
        <f t="shared" si="272"/>
        <v/>
      </c>
      <c r="GE180" s="453" t="str">
        <f t="shared" si="272"/>
        <v/>
      </c>
      <c r="GF180" s="451" t="str">
        <f t="shared" si="272"/>
        <v/>
      </c>
      <c r="GG180" s="452" t="str">
        <f t="shared" si="272"/>
        <v/>
      </c>
      <c r="GH180" s="452" t="str">
        <f t="shared" si="272"/>
        <v/>
      </c>
      <c r="GI180" s="452" t="str">
        <f t="shared" si="272"/>
        <v/>
      </c>
      <c r="GJ180" s="453" t="str">
        <f t="shared" si="272"/>
        <v/>
      </c>
      <c r="GK180" s="451" t="str">
        <f t="shared" si="272"/>
        <v/>
      </c>
      <c r="GL180" s="452" t="str">
        <f t="shared" si="272"/>
        <v/>
      </c>
      <c r="GM180" s="452" t="str">
        <f t="shared" si="272"/>
        <v/>
      </c>
      <c r="GN180" s="452" t="str">
        <f t="shared" si="272"/>
        <v/>
      </c>
      <c r="GO180" s="453" t="str">
        <f t="shared" si="272"/>
        <v/>
      </c>
      <c r="GP180" s="451" t="str">
        <f t="shared" si="272"/>
        <v/>
      </c>
      <c r="GQ180" s="452" t="str">
        <f t="shared" si="272"/>
        <v/>
      </c>
      <c r="GR180" s="452" t="str">
        <f t="shared" ref="GR180:HG195" si="273">IF(AND(GR$2&gt;=$J180,GR$2&lt;=$K180),1,"")</f>
        <v/>
      </c>
      <c r="GS180" s="452" t="str">
        <f t="shared" si="273"/>
        <v/>
      </c>
      <c r="GT180" s="453" t="str">
        <f t="shared" si="253"/>
        <v/>
      </c>
      <c r="GU180" s="451" t="str">
        <f t="shared" si="253"/>
        <v/>
      </c>
      <c r="GV180" s="452" t="str">
        <f t="shared" si="253"/>
        <v/>
      </c>
      <c r="GW180" s="452" t="str">
        <f t="shared" si="253"/>
        <v/>
      </c>
      <c r="GX180" s="452" t="str">
        <f t="shared" si="253"/>
        <v/>
      </c>
      <c r="GY180" s="453" t="str">
        <f t="shared" si="253"/>
        <v/>
      </c>
      <c r="GZ180" s="451" t="str">
        <f t="shared" si="253"/>
        <v/>
      </c>
      <c r="HA180" s="452" t="str">
        <f t="shared" si="253"/>
        <v/>
      </c>
      <c r="HB180" s="452" t="str">
        <f t="shared" si="253"/>
        <v/>
      </c>
      <c r="HC180" s="452" t="str">
        <f t="shared" si="253"/>
        <v/>
      </c>
      <c r="HD180" s="453" t="str">
        <f t="shared" si="253"/>
        <v/>
      </c>
      <c r="HE180" s="451" t="str">
        <f t="shared" si="253"/>
        <v/>
      </c>
      <c r="HF180" s="452" t="str">
        <f t="shared" si="253"/>
        <v/>
      </c>
      <c r="HG180" s="452" t="str">
        <f t="shared" si="253"/>
        <v/>
      </c>
      <c r="HH180" s="452" t="str">
        <f t="shared" si="253"/>
        <v/>
      </c>
      <c r="HI180" s="453" t="str">
        <f t="shared" ref="HI180:HI191" si="274">IF(AND(HI$2&gt;=$J180,HI$2&lt;=$K180),1,"")</f>
        <v/>
      </c>
      <c r="HJ180" s="451" t="str">
        <f t="shared" si="250"/>
        <v/>
      </c>
      <c r="HK180" s="452" t="str">
        <f t="shared" si="250"/>
        <v/>
      </c>
      <c r="HL180" s="452" t="str">
        <f t="shared" si="250"/>
        <v/>
      </c>
      <c r="HM180" s="452" t="str">
        <f t="shared" si="250"/>
        <v/>
      </c>
      <c r="HN180" s="453" t="str">
        <f t="shared" si="250"/>
        <v/>
      </c>
      <c r="HO180" s="451" t="str">
        <f t="shared" si="250"/>
        <v/>
      </c>
      <c r="HP180" s="452" t="str">
        <f t="shared" si="250"/>
        <v/>
      </c>
      <c r="HQ180" s="452" t="str">
        <f t="shared" si="250"/>
        <v/>
      </c>
      <c r="HR180" s="452" t="str">
        <f t="shared" si="250"/>
        <v/>
      </c>
      <c r="HS180" s="453" t="str">
        <f t="shared" si="250"/>
        <v/>
      </c>
      <c r="HT180" s="451" t="str">
        <f t="shared" si="250"/>
        <v/>
      </c>
      <c r="HU180" s="452" t="str">
        <f t="shared" si="250"/>
        <v/>
      </c>
      <c r="HV180" s="452" t="str">
        <f t="shared" si="250"/>
        <v/>
      </c>
      <c r="HW180" s="452" t="str">
        <f t="shared" si="250"/>
        <v/>
      </c>
      <c r="HX180" s="453" t="str">
        <f t="shared" si="250"/>
        <v/>
      </c>
      <c r="HY180" s="451" t="str">
        <f t="shared" si="250"/>
        <v/>
      </c>
      <c r="HZ180" s="452" t="str">
        <f t="shared" si="250"/>
        <v/>
      </c>
      <c r="IA180" s="452" t="str">
        <f t="shared" si="254"/>
        <v/>
      </c>
      <c r="IB180" s="452" t="str">
        <f t="shared" si="254"/>
        <v/>
      </c>
      <c r="IC180" s="453" t="str">
        <f t="shared" si="254"/>
        <v/>
      </c>
      <c r="ID180" s="451" t="str">
        <f t="shared" si="254"/>
        <v/>
      </c>
      <c r="IE180" s="452" t="str">
        <f t="shared" si="254"/>
        <v/>
      </c>
      <c r="IF180" s="452" t="str">
        <f t="shared" si="254"/>
        <v/>
      </c>
      <c r="IG180" s="452" t="str">
        <f t="shared" si="254"/>
        <v/>
      </c>
      <c r="IH180" s="453" t="str">
        <f t="shared" si="254"/>
        <v/>
      </c>
      <c r="II180" s="451" t="str">
        <f t="shared" si="254"/>
        <v/>
      </c>
      <c r="IJ180" s="452" t="str">
        <f t="shared" si="254"/>
        <v/>
      </c>
      <c r="IK180" s="452" t="str">
        <f t="shared" si="254"/>
        <v/>
      </c>
      <c r="IL180" s="452" t="str">
        <f t="shared" si="254"/>
        <v/>
      </c>
      <c r="IM180" s="453" t="str">
        <f t="shared" si="254"/>
        <v/>
      </c>
      <c r="IN180" s="451" t="str">
        <f t="shared" si="254"/>
        <v/>
      </c>
      <c r="IO180" s="452" t="str">
        <f t="shared" si="254"/>
        <v/>
      </c>
      <c r="IP180" s="452" t="str">
        <f t="shared" si="254"/>
        <v/>
      </c>
      <c r="IQ180" s="452" t="str">
        <f t="shared" si="260"/>
        <v/>
      </c>
      <c r="IR180" s="453" t="str">
        <f t="shared" si="260"/>
        <v/>
      </c>
    </row>
    <row r="181" spans="1:252" x14ac:dyDescent="0.2">
      <c r="A181" s="461">
        <v>17.100000000000001</v>
      </c>
      <c r="C181" s="447" t="s">
        <v>1351</v>
      </c>
      <c r="D181" s="447"/>
      <c r="E181" s="448"/>
      <c r="F181" s="448"/>
      <c r="G181" s="448"/>
      <c r="H181" s="448"/>
      <c r="I181" s="448"/>
      <c r="J181" s="449" t="str">
        <f t="shared" ref="J181:J190" si="275">IF(E181="","",E181-$M$3+1)</f>
        <v/>
      </c>
      <c r="K181" s="449" t="str">
        <f t="shared" ref="K181:K190" si="276">IF(F181="","",F181-$M$3+1)</f>
        <v/>
      </c>
      <c r="L181" s="450">
        <f t="shared" si="270"/>
        <v>0</v>
      </c>
      <c r="M181" s="451" t="str">
        <f t="shared" si="259"/>
        <v/>
      </c>
      <c r="N181" s="452" t="str">
        <f t="shared" si="259"/>
        <v/>
      </c>
      <c r="O181" s="452" t="str">
        <f t="shared" si="259"/>
        <v/>
      </c>
      <c r="P181" s="452" t="str">
        <f t="shared" si="259"/>
        <v/>
      </c>
      <c r="Q181" s="453" t="str">
        <f t="shared" si="259"/>
        <v/>
      </c>
      <c r="R181" s="451" t="str">
        <f t="shared" si="259"/>
        <v/>
      </c>
      <c r="S181" s="452" t="str">
        <f t="shared" si="259"/>
        <v/>
      </c>
      <c r="T181" s="452" t="str">
        <f t="shared" si="259"/>
        <v/>
      </c>
      <c r="U181" s="452" t="str">
        <f t="shared" si="259"/>
        <v/>
      </c>
      <c r="V181" s="453" t="str">
        <f t="shared" si="259"/>
        <v/>
      </c>
      <c r="W181" s="451" t="str">
        <f t="shared" si="259"/>
        <v/>
      </c>
      <c r="X181" s="452" t="str">
        <f t="shared" si="259"/>
        <v/>
      </c>
      <c r="Y181" s="452" t="str">
        <f t="shared" si="259"/>
        <v/>
      </c>
      <c r="Z181" s="452" t="str">
        <f t="shared" si="259"/>
        <v/>
      </c>
      <c r="AA181" s="453" t="str">
        <f t="shared" si="259"/>
        <v/>
      </c>
      <c r="AB181" s="451" t="str">
        <f t="shared" si="259"/>
        <v/>
      </c>
      <c r="AC181" s="452" t="str">
        <f t="shared" si="267"/>
        <v/>
      </c>
      <c r="AD181" s="452" t="str">
        <f t="shared" si="267"/>
        <v/>
      </c>
      <c r="AE181" s="452" t="str">
        <f t="shared" si="267"/>
        <v/>
      </c>
      <c r="AF181" s="453" t="str">
        <f t="shared" si="267"/>
        <v/>
      </c>
      <c r="AG181" s="451" t="str">
        <f t="shared" si="267"/>
        <v/>
      </c>
      <c r="AH181" s="452" t="str">
        <f t="shared" si="267"/>
        <v/>
      </c>
      <c r="AI181" s="452" t="str">
        <f t="shared" si="267"/>
        <v/>
      </c>
      <c r="AJ181" s="452" t="str">
        <f t="shared" si="267"/>
        <v/>
      </c>
      <c r="AK181" s="453" t="str">
        <f t="shared" si="267"/>
        <v/>
      </c>
      <c r="AL181" s="451" t="str">
        <f t="shared" si="267"/>
        <v/>
      </c>
      <c r="AM181" s="452" t="str">
        <f t="shared" si="267"/>
        <v/>
      </c>
      <c r="AN181" s="452" t="str">
        <f t="shared" si="267"/>
        <v/>
      </c>
      <c r="AO181" s="452" t="str">
        <f t="shared" si="267"/>
        <v/>
      </c>
      <c r="AP181" s="453" t="str">
        <f t="shared" si="267"/>
        <v/>
      </c>
      <c r="AQ181" s="451" t="str">
        <f t="shared" si="267"/>
        <v/>
      </c>
      <c r="AR181" s="452" t="str">
        <f t="shared" si="267"/>
        <v/>
      </c>
      <c r="AS181" s="452" t="str">
        <f t="shared" si="264"/>
        <v/>
      </c>
      <c r="AT181" s="452" t="str">
        <f t="shared" si="264"/>
        <v/>
      </c>
      <c r="AU181" s="453" t="str">
        <f t="shared" si="264"/>
        <v/>
      </c>
      <c r="AV181" s="451" t="str">
        <f t="shared" si="264"/>
        <v/>
      </c>
      <c r="AW181" s="452" t="str">
        <f t="shared" si="264"/>
        <v/>
      </c>
      <c r="AX181" s="452" t="str">
        <f t="shared" si="264"/>
        <v/>
      </c>
      <c r="AY181" s="452" t="str">
        <f t="shared" si="264"/>
        <v/>
      </c>
      <c r="AZ181" s="453" t="str">
        <f t="shared" si="264"/>
        <v/>
      </c>
      <c r="BA181" s="451" t="str">
        <f t="shared" si="264"/>
        <v/>
      </c>
      <c r="BB181" s="452" t="str">
        <f t="shared" si="264"/>
        <v/>
      </c>
      <c r="BC181" s="452" t="str">
        <f t="shared" si="264"/>
        <v/>
      </c>
      <c r="BD181" s="452" t="str">
        <f t="shared" si="264"/>
        <v/>
      </c>
      <c r="BE181" s="453" t="str">
        <f t="shared" si="264"/>
        <v/>
      </c>
      <c r="BF181" s="451" t="str">
        <f t="shared" si="264"/>
        <v/>
      </c>
      <c r="BG181" s="452" t="str">
        <f t="shared" si="264"/>
        <v/>
      </c>
      <c r="BH181" s="452" t="str">
        <f t="shared" si="261"/>
        <v/>
      </c>
      <c r="BI181" s="452" t="str">
        <f t="shared" si="261"/>
        <v/>
      </c>
      <c r="BJ181" s="453" t="str">
        <f t="shared" si="261"/>
        <v/>
      </c>
      <c r="BK181" s="451" t="str">
        <f t="shared" si="261"/>
        <v/>
      </c>
      <c r="BL181" s="452" t="str">
        <f t="shared" si="261"/>
        <v/>
      </c>
      <c r="BM181" s="452" t="str">
        <f t="shared" si="261"/>
        <v/>
      </c>
      <c r="BN181" s="452" t="str">
        <f t="shared" si="261"/>
        <v/>
      </c>
      <c r="BO181" s="453" t="str">
        <f t="shared" si="261"/>
        <v/>
      </c>
      <c r="BP181" s="451" t="str">
        <f t="shared" si="261"/>
        <v/>
      </c>
      <c r="BQ181" s="452" t="str">
        <f t="shared" si="261"/>
        <v/>
      </c>
      <c r="BR181" s="452" t="str">
        <f t="shared" si="261"/>
        <v/>
      </c>
      <c r="BS181" s="452" t="str">
        <f t="shared" si="261"/>
        <v/>
      </c>
      <c r="BT181" s="453" t="str">
        <f t="shared" si="261"/>
        <v/>
      </c>
      <c r="BU181" s="451" t="str">
        <f t="shared" si="261"/>
        <v/>
      </c>
      <c r="BV181" s="452" t="str">
        <f t="shared" si="261"/>
        <v/>
      </c>
      <c r="BW181" s="452" t="str">
        <f t="shared" si="261"/>
        <v/>
      </c>
      <c r="BX181" s="452" t="str">
        <f t="shared" si="265"/>
        <v/>
      </c>
      <c r="BY181" s="453" t="str">
        <f t="shared" si="265"/>
        <v/>
      </c>
      <c r="BZ181" s="451" t="str">
        <f t="shared" si="265"/>
        <v/>
      </c>
      <c r="CA181" s="452" t="str">
        <f t="shared" si="265"/>
        <v/>
      </c>
      <c r="CB181" s="452" t="str">
        <f t="shared" si="265"/>
        <v/>
      </c>
      <c r="CC181" s="452" t="str">
        <f t="shared" si="265"/>
        <v/>
      </c>
      <c r="CD181" s="453" t="str">
        <f t="shared" si="265"/>
        <v/>
      </c>
      <c r="CE181" s="451" t="str">
        <f t="shared" si="265"/>
        <v/>
      </c>
      <c r="CF181" s="452" t="str">
        <f t="shared" si="265"/>
        <v/>
      </c>
      <c r="CG181" s="452" t="str">
        <f t="shared" si="265"/>
        <v/>
      </c>
      <c r="CH181" s="452" t="str">
        <f t="shared" si="265"/>
        <v/>
      </c>
      <c r="CI181" s="453" t="str">
        <f t="shared" si="265"/>
        <v/>
      </c>
      <c r="CJ181" s="451" t="str">
        <f t="shared" si="265"/>
        <v/>
      </c>
      <c r="CK181" s="452" t="str">
        <f t="shared" si="265"/>
        <v/>
      </c>
      <c r="CL181" s="452" t="str">
        <f t="shared" si="265"/>
        <v/>
      </c>
      <c r="CM181" s="452" t="str">
        <f t="shared" si="265"/>
        <v/>
      </c>
      <c r="CN181" s="453" t="str">
        <f t="shared" si="266"/>
        <v/>
      </c>
      <c r="CO181" s="451" t="str">
        <f t="shared" si="266"/>
        <v/>
      </c>
      <c r="CP181" s="452" t="str">
        <f t="shared" si="266"/>
        <v/>
      </c>
      <c r="CQ181" s="452" t="str">
        <f t="shared" si="266"/>
        <v/>
      </c>
      <c r="CR181" s="452" t="str">
        <f t="shared" si="266"/>
        <v/>
      </c>
      <c r="CS181" s="453" t="str">
        <f t="shared" si="266"/>
        <v/>
      </c>
      <c r="CT181" s="451" t="str">
        <f t="shared" si="266"/>
        <v/>
      </c>
      <c r="CU181" s="452" t="str">
        <f t="shared" si="266"/>
        <v/>
      </c>
      <c r="CV181" s="452" t="str">
        <f t="shared" si="266"/>
        <v/>
      </c>
      <c r="CW181" s="452" t="str">
        <f t="shared" si="266"/>
        <v/>
      </c>
      <c r="CX181" s="453" t="str">
        <f t="shared" si="266"/>
        <v/>
      </c>
      <c r="CY181" s="451" t="str">
        <f t="shared" si="266"/>
        <v/>
      </c>
      <c r="CZ181" s="452" t="str">
        <f t="shared" si="266"/>
        <v/>
      </c>
      <c r="DA181" s="452" t="str">
        <f t="shared" si="266"/>
        <v/>
      </c>
      <c r="DB181" s="452" t="str">
        <f t="shared" si="266"/>
        <v/>
      </c>
      <c r="DC181" s="453" t="str">
        <f t="shared" si="266"/>
        <v/>
      </c>
      <c r="DD181" s="451" t="str">
        <f t="shared" si="262"/>
        <v/>
      </c>
      <c r="DE181" s="452" t="str">
        <f t="shared" si="263"/>
        <v/>
      </c>
      <c r="DF181" s="452" t="str">
        <f t="shared" si="263"/>
        <v/>
      </c>
      <c r="DG181" s="452" t="str">
        <f t="shared" si="263"/>
        <v/>
      </c>
      <c r="DH181" s="453" t="str">
        <f t="shared" si="263"/>
        <v/>
      </c>
      <c r="DI181" s="451" t="str">
        <f t="shared" si="263"/>
        <v/>
      </c>
      <c r="DJ181" s="452" t="str">
        <f t="shared" si="263"/>
        <v/>
      </c>
      <c r="DK181" s="452" t="str">
        <f t="shared" si="263"/>
        <v/>
      </c>
      <c r="DL181" s="452" t="str">
        <f t="shared" si="263"/>
        <v/>
      </c>
      <c r="DM181" s="453" t="str">
        <f t="shared" si="263"/>
        <v/>
      </c>
      <c r="DN181" s="451" t="str">
        <f t="shared" si="263"/>
        <v/>
      </c>
      <c r="DO181" s="452" t="str">
        <f t="shared" si="263"/>
        <v/>
      </c>
      <c r="DP181" s="452" t="str">
        <f t="shared" si="263"/>
        <v/>
      </c>
      <c r="DQ181" s="452" t="str">
        <f t="shared" si="263"/>
        <v/>
      </c>
      <c r="DR181" s="453" t="str">
        <f t="shared" si="263"/>
        <v/>
      </c>
      <c r="DS181" s="451" t="str">
        <f t="shared" si="263"/>
        <v/>
      </c>
      <c r="DT181" s="452" t="str">
        <f t="shared" si="263"/>
        <v/>
      </c>
      <c r="DU181" s="452" t="str">
        <f t="shared" si="268"/>
        <v/>
      </c>
      <c r="DV181" s="452" t="str">
        <f t="shared" si="268"/>
        <v/>
      </c>
      <c r="DW181" s="453" t="str">
        <f t="shared" si="268"/>
        <v/>
      </c>
      <c r="DX181" s="451" t="str">
        <f t="shared" si="268"/>
        <v/>
      </c>
      <c r="DY181" s="452" t="str">
        <f t="shared" si="268"/>
        <v/>
      </c>
      <c r="DZ181" s="452" t="str">
        <f t="shared" si="268"/>
        <v/>
      </c>
      <c r="EA181" s="452" t="str">
        <f t="shared" si="268"/>
        <v/>
      </c>
      <c r="EB181" s="453" t="str">
        <f t="shared" si="268"/>
        <v/>
      </c>
      <c r="EC181" s="451" t="str">
        <f t="shared" si="268"/>
        <v/>
      </c>
      <c r="ED181" s="452" t="str">
        <f t="shared" si="268"/>
        <v/>
      </c>
      <c r="EE181" s="452" t="str">
        <f t="shared" si="268"/>
        <v/>
      </c>
      <c r="EF181" s="452" t="str">
        <f t="shared" si="268"/>
        <v/>
      </c>
      <c r="EG181" s="453" t="str">
        <f t="shared" si="268"/>
        <v/>
      </c>
      <c r="EH181" s="451" t="str">
        <f t="shared" si="268"/>
        <v/>
      </c>
      <c r="EI181" s="452" t="str">
        <f t="shared" si="268"/>
        <v/>
      </c>
      <c r="EJ181" s="452" t="str">
        <f t="shared" si="268"/>
        <v/>
      </c>
      <c r="EK181" s="452" t="str">
        <f t="shared" ref="EK181:EZ196" si="277">IF(AND(EK$2&gt;=$J181,EK$2&lt;=$K181),1,"")</f>
        <v/>
      </c>
      <c r="EL181" s="453" t="str">
        <f t="shared" si="277"/>
        <v/>
      </c>
      <c r="EM181" s="451" t="str">
        <f t="shared" si="277"/>
        <v/>
      </c>
      <c r="EN181" s="452" t="str">
        <f t="shared" si="277"/>
        <v/>
      </c>
      <c r="EO181" s="452" t="str">
        <f t="shared" si="277"/>
        <v/>
      </c>
      <c r="EP181" s="452" t="str">
        <f t="shared" si="277"/>
        <v/>
      </c>
      <c r="EQ181" s="453" t="str">
        <f t="shared" si="277"/>
        <v/>
      </c>
      <c r="ER181" s="451" t="str">
        <f t="shared" si="277"/>
        <v/>
      </c>
      <c r="ES181" s="452" t="str">
        <f t="shared" si="277"/>
        <v/>
      </c>
      <c r="ET181" s="452" t="str">
        <f t="shared" si="277"/>
        <v/>
      </c>
      <c r="EU181" s="452" t="str">
        <f t="shared" si="277"/>
        <v/>
      </c>
      <c r="EV181" s="453" t="str">
        <f t="shared" si="277"/>
        <v/>
      </c>
      <c r="EW181" s="451" t="str">
        <f t="shared" si="277"/>
        <v/>
      </c>
      <c r="EX181" s="452" t="str">
        <f t="shared" si="277"/>
        <v/>
      </c>
      <c r="EY181" s="452" t="str">
        <f t="shared" si="277"/>
        <v/>
      </c>
      <c r="EZ181" s="452" t="str">
        <f t="shared" si="277"/>
        <v/>
      </c>
      <c r="FA181" s="453" t="str">
        <f t="shared" ref="FA181:FP196" si="278">IF(AND(FA$2&gt;=$J181,FA$2&lt;=$K181),1,"")</f>
        <v/>
      </c>
      <c r="FB181" s="451" t="str">
        <f t="shared" si="278"/>
        <v/>
      </c>
      <c r="FC181" s="452" t="str">
        <f t="shared" si="278"/>
        <v/>
      </c>
      <c r="FD181" s="452" t="str">
        <f t="shared" si="278"/>
        <v/>
      </c>
      <c r="FE181" s="452" t="str">
        <f t="shared" si="278"/>
        <v/>
      </c>
      <c r="FF181" s="453" t="str">
        <f t="shared" si="278"/>
        <v/>
      </c>
      <c r="FG181" s="451" t="str">
        <f t="shared" si="278"/>
        <v/>
      </c>
      <c r="FH181" s="452" t="str">
        <f t="shared" si="278"/>
        <v/>
      </c>
      <c r="FI181" s="452" t="str">
        <f t="shared" si="278"/>
        <v/>
      </c>
      <c r="FJ181" s="452" t="str">
        <f t="shared" si="278"/>
        <v/>
      </c>
      <c r="FK181" s="453" t="str">
        <f t="shared" si="278"/>
        <v/>
      </c>
      <c r="FL181" s="451" t="str">
        <f t="shared" si="278"/>
        <v/>
      </c>
      <c r="FM181" s="452" t="str">
        <f t="shared" si="278"/>
        <v/>
      </c>
      <c r="FN181" s="452" t="str">
        <f t="shared" si="278"/>
        <v/>
      </c>
      <c r="FO181" s="452" t="str">
        <f t="shared" si="278"/>
        <v/>
      </c>
      <c r="FP181" s="453" t="str">
        <f t="shared" si="278"/>
        <v/>
      </c>
      <c r="FQ181" s="451" t="str">
        <f t="shared" ref="FQ181:GF196" si="279">IF(AND(FQ$2&gt;=$J181,FQ$2&lt;=$K181),1,"")</f>
        <v/>
      </c>
      <c r="FR181" s="452" t="str">
        <f t="shared" si="279"/>
        <v/>
      </c>
      <c r="FS181" s="452" t="str">
        <f t="shared" si="279"/>
        <v/>
      </c>
      <c r="FT181" s="452" t="str">
        <f t="shared" si="279"/>
        <v/>
      </c>
      <c r="FU181" s="453" t="str">
        <f t="shared" si="279"/>
        <v/>
      </c>
      <c r="FV181" s="451" t="str">
        <f t="shared" si="279"/>
        <v/>
      </c>
      <c r="FW181" s="452" t="str">
        <f t="shared" si="279"/>
        <v/>
      </c>
      <c r="FX181" s="452" t="str">
        <f t="shared" si="279"/>
        <v/>
      </c>
      <c r="FY181" s="452" t="str">
        <f t="shared" si="279"/>
        <v/>
      </c>
      <c r="FZ181" s="453" t="str">
        <f t="shared" si="279"/>
        <v/>
      </c>
      <c r="GA181" s="451" t="str">
        <f t="shared" si="279"/>
        <v/>
      </c>
      <c r="GB181" s="452" t="str">
        <f t="shared" si="279"/>
        <v/>
      </c>
      <c r="GC181" s="452" t="str">
        <f t="shared" si="279"/>
        <v/>
      </c>
      <c r="GD181" s="452" t="str">
        <f t="shared" si="272"/>
        <v/>
      </c>
      <c r="GE181" s="453" t="str">
        <f t="shared" si="272"/>
        <v/>
      </c>
      <c r="GF181" s="451" t="str">
        <f t="shared" si="272"/>
        <v/>
      </c>
      <c r="GG181" s="452" t="str">
        <f t="shared" si="272"/>
        <v/>
      </c>
      <c r="GH181" s="452" t="str">
        <f t="shared" si="272"/>
        <v/>
      </c>
      <c r="GI181" s="452" t="str">
        <f t="shared" si="272"/>
        <v/>
      </c>
      <c r="GJ181" s="453" t="str">
        <f t="shared" si="272"/>
        <v/>
      </c>
      <c r="GK181" s="451" t="str">
        <f t="shared" si="272"/>
        <v/>
      </c>
      <c r="GL181" s="452" t="str">
        <f t="shared" si="272"/>
        <v/>
      </c>
      <c r="GM181" s="452" t="str">
        <f t="shared" si="272"/>
        <v/>
      </c>
      <c r="GN181" s="452" t="str">
        <f t="shared" si="272"/>
        <v/>
      </c>
      <c r="GO181" s="453" t="str">
        <f t="shared" si="272"/>
        <v/>
      </c>
      <c r="GP181" s="451" t="str">
        <f t="shared" si="272"/>
        <v/>
      </c>
      <c r="GQ181" s="452" t="str">
        <f t="shared" si="272"/>
        <v/>
      </c>
      <c r="GR181" s="452" t="str">
        <f t="shared" si="273"/>
        <v/>
      </c>
      <c r="GS181" s="452" t="str">
        <f t="shared" si="273"/>
        <v/>
      </c>
      <c r="GT181" s="453" t="str">
        <f t="shared" si="273"/>
        <v/>
      </c>
      <c r="GU181" s="451" t="str">
        <f t="shared" si="273"/>
        <v/>
      </c>
      <c r="GV181" s="452" t="str">
        <f t="shared" si="273"/>
        <v/>
      </c>
      <c r="GW181" s="452" t="str">
        <f t="shared" si="273"/>
        <v/>
      </c>
      <c r="GX181" s="452" t="str">
        <f t="shared" si="273"/>
        <v/>
      </c>
      <c r="GY181" s="453" t="str">
        <f t="shared" si="273"/>
        <v/>
      </c>
      <c r="GZ181" s="451" t="str">
        <f t="shared" si="273"/>
        <v/>
      </c>
      <c r="HA181" s="452" t="str">
        <f t="shared" si="273"/>
        <v/>
      </c>
      <c r="HB181" s="452" t="str">
        <f t="shared" si="273"/>
        <v/>
      </c>
      <c r="HC181" s="452" t="str">
        <f t="shared" si="273"/>
        <v/>
      </c>
      <c r="HD181" s="453" t="str">
        <f t="shared" si="273"/>
        <v/>
      </c>
      <c r="HE181" s="451" t="str">
        <f t="shared" si="273"/>
        <v/>
      </c>
      <c r="HF181" s="452" t="str">
        <f t="shared" si="273"/>
        <v/>
      </c>
      <c r="HG181" s="452" t="str">
        <f t="shared" si="273"/>
        <v/>
      </c>
      <c r="HH181" s="452" t="str">
        <f t="shared" ref="HH181:HW196" si="280">IF(AND(HH$2&gt;=$J181,HH$2&lt;=$K181),1,"")</f>
        <v/>
      </c>
      <c r="HI181" s="453" t="str">
        <f t="shared" si="280"/>
        <v/>
      </c>
      <c r="HJ181" s="451" t="str">
        <f t="shared" si="280"/>
        <v/>
      </c>
      <c r="HK181" s="452" t="str">
        <f t="shared" si="280"/>
        <v/>
      </c>
      <c r="HL181" s="452" t="str">
        <f t="shared" si="280"/>
        <v/>
      </c>
      <c r="HM181" s="452" t="str">
        <f t="shared" si="280"/>
        <v/>
      </c>
      <c r="HN181" s="453" t="str">
        <f t="shared" si="280"/>
        <v/>
      </c>
      <c r="HO181" s="451" t="str">
        <f t="shared" si="280"/>
        <v/>
      </c>
      <c r="HP181" s="452" t="str">
        <f t="shared" si="280"/>
        <v/>
      </c>
      <c r="HQ181" s="452" t="str">
        <f t="shared" si="280"/>
        <v/>
      </c>
      <c r="HR181" s="452" t="str">
        <f t="shared" si="280"/>
        <v/>
      </c>
      <c r="HS181" s="453" t="str">
        <f t="shared" si="280"/>
        <v/>
      </c>
      <c r="HT181" s="451" t="str">
        <f t="shared" si="280"/>
        <v/>
      </c>
      <c r="HU181" s="452" t="str">
        <f t="shared" si="280"/>
        <v/>
      </c>
      <c r="HV181" s="452" t="str">
        <f t="shared" si="280"/>
        <v/>
      </c>
      <c r="HW181" s="452" t="str">
        <f t="shared" si="280"/>
        <v/>
      </c>
      <c r="HX181" s="453" t="str">
        <f t="shared" ref="HX181:IN196" si="281">IF(AND(HX$2&gt;=$J181,HX$2&lt;=$K181),1,"")</f>
        <v/>
      </c>
      <c r="HY181" s="451" t="str">
        <f t="shared" si="281"/>
        <v/>
      </c>
      <c r="HZ181" s="452" t="str">
        <f t="shared" si="281"/>
        <v/>
      </c>
      <c r="IA181" s="452" t="str">
        <f t="shared" si="254"/>
        <v/>
      </c>
      <c r="IB181" s="452" t="str">
        <f t="shared" si="254"/>
        <v/>
      </c>
      <c r="IC181" s="453" t="str">
        <f t="shared" si="254"/>
        <v/>
      </c>
      <c r="ID181" s="451" t="str">
        <f t="shared" si="254"/>
        <v/>
      </c>
      <c r="IE181" s="452" t="str">
        <f t="shared" si="254"/>
        <v/>
      </c>
      <c r="IF181" s="452" t="str">
        <f t="shared" si="254"/>
        <v/>
      </c>
      <c r="IG181" s="452" t="str">
        <f t="shared" si="254"/>
        <v/>
      </c>
      <c r="IH181" s="453" t="str">
        <f t="shared" si="254"/>
        <v/>
      </c>
      <c r="II181" s="451" t="str">
        <f t="shared" si="254"/>
        <v/>
      </c>
      <c r="IJ181" s="452" t="str">
        <f t="shared" si="254"/>
        <v/>
      </c>
      <c r="IK181" s="452" t="str">
        <f t="shared" si="254"/>
        <v/>
      </c>
      <c r="IL181" s="452" t="str">
        <f t="shared" si="254"/>
        <v/>
      </c>
      <c r="IM181" s="453" t="str">
        <f t="shared" si="254"/>
        <v/>
      </c>
      <c r="IN181" s="451" t="str">
        <f t="shared" si="254"/>
        <v/>
      </c>
      <c r="IO181" s="452" t="str">
        <f t="shared" si="254"/>
        <v/>
      </c>
      <c r="IP181" s="452" t="str">
        <f t="shared" si="254"/>
        <v/>
      </c>
      <c r="IQ181" s="452" t="str">
        <f t="shared" si="260"/>
        <v/>
      </c>
      <c r="IR181" s="453" t="str">
        <f t="shared" si="260"/>
        <v/>
      </c>
    </row>
    <row r="182" spans="1:252" x14ac:dyDescent="0.2">
      <c r="A182" s="461">
        <v>17.2</v>
      </c>
      <c r="C182" s="447" t="s">
        <v>1352</v>
      </c>
      <c r="D182" s="447"/>
      <c r="E182" s="448"/>
      <c r="F182" s="448"/>
      <c r="G182" s="448"/>
      <c r="H182" s="448"/>
      <c r="I182" s="448"/>
      <c r="J182" s="449" t="str">
        <f t="shared" si="275"/>
        <v/>
      </c>
      <c r="K182" s="449" t="str">
        <f t="shared" si="276"/>
        <v/>
      </c>
      <c r="L182" s="450">
        <f t="shared" si="270"/>
        <v>0</v>
      </c>
      <c r="M182" s="451" t="str">
        <f t="shared" si="259"/>
        <v/>
      </c>
      <c r="N182" s="452" t="str">
        <f t="shared" si="259"/>
        <v/>
      </c>
      <c r="O182" s="452" t="str">
        <f t="shared" si="259"/>
        <v/>
      </c>
      <c r="P182" s="452" t="str">
        <f t="shared" si="259"/>
        <v/>
      </c>
      <c r="Q182" s="453" t="str">
        <f t="shared" si="259"/>
        <v/>
      </c>
      <c r="R182" s="451" t="str">
        <f t="shared" si="259"/>
        <v/>
      </c>
      <c r="S182" s="452" t="str">
        <f t="shared" si="259"/>
        <v/>
      </c>
      <c r="T182" s="452" t="str">
        <f t="shared" si="259"/>
        <v/>
      </c>
      <c r="U182" s="452" t="str">
        <f t="shared" si="259"/>
        <v/>
      </c>
      <c r="V182" s="453" t="str">
        <f t="shared" si="259"/>
        <v/>
      </c>
      <c r="W182" s="451" t="str">
        <f t="shared" si="259"/>
        <v/>
      </c>
      <c r="X182" s="452" t="str">
        <f t="shared" si="259"/>
        <v/>
      </c>
      <c r="Y182" s="452" t="str">
        <f t="shared" si="259"/>
        <v/>
      </c>
      <c r="Z182" s="452" t="str">
        <f t="shared" si="259"/>
        <v/>
      </c>
      <c r="AA182" s="453" t="str">
        <f t="shared" si="259"/>
        <v/>
      </c>
      <c r="AB182" s="451" t="str">
        <f t="shared" si="259"/>
        <v/>
      </c>
      <c r="AC182" s="452" t="str">
        <f t="shared" si="267"/>
        <v/>
      </c>
      <c r="AD182" s="452" t="str">
        <f t="shared" si="267"/>
        <v/>
      </c>
      <c r="AE182" s="452" t="str">
        <f t="shared" si="267"/>
        <v/>
      </c>
      <c r="AF182" s="453" t="str">
        <f t="shared" si="267"/>
        <v/>
      </c>
      <c r="AG182" s="451" t="str">
        <f t="shared" si="267"/>
        <v/>
      </c>
      <c r="AH182" s="452" t="str">
        <f t="shared" si="267"/>
        <v/>
      </c>
      <c r="AI182" s="452" t="str">
        <f t="shared" si="267"/>
        <v/>
      </c>
      <c r="AJ182" s="452" t="str">
        <f t="shared" si="267"/>
        <v/>
      </c>
      <c r="AK182" s="453" t="str">
        <f t="shared" si="267"/>
        <v/>
      </c>
      <c r="AL182" s="451" t="str">
        <f t="shared" si="267"/>
        <v/>
      </c>
      <c r="AM182" s="452" t="str">
        <f t="shared" si="267"/>
        <v/>
      </c>
      <c r="AN182" s="452" t="str">
        <f t="shared" si="267"/>
        <v/>
      </c>
      <c r="AO182" s="452" t="str">
        <f t="shared" si="267"/>
        <v/>
      </c>
      <c r="AP182" s="453" t="str">
        <f t="shared" si="267"/>
        <v/>
      </c>
      <c r="AQ182" s="451" t="str">
        <f t="shared" si="267"/>
        <v/>
      </c>
      <c r="AR182" s="452" t="str">
        <f t="shared" si="267"/>
        <v/>
      </c>
      <c r="AS182" s="452" t="str">
        <f t="shared" si="264"/>
        <v/>
      </c>
      <c r="AT182" s="452" t="str">
        <f t="shared" si="264"/>
        <v/>
      </c>
      <c r="AU182" s="453" t="str">
        <f t="shared" si="264"/>
        <v/>
      </c>
      <c r="AV182" s="451" t="str">
        <f t="shared" si="264"/>
        <v/>
      </c>
      <c r="AW182" s="452" t="str">
        <f t="shared" si="264"/>
        <v/>
      </c>
      <c r="AX182" s="452" t="str">
        <f t="shared" si="264"/>
        <v/>
      </c>
      <c r="AY182" s="452" t="str">
        <f t="shared" si="264"/>
        <v/>
      </c>
      <c r="AZ182" s="453" t="str">
        <f t="shared" si="264"/>
        <v/>
      </c>
      <c r="BA182" s="451" t="str">
        <f t="shared" si="264"/>
        <v/>
      </c>
      <c r="BB182" s="452" t="str">
        <f t="shared" si="264"/>
        <v/>
      </c>
      <c r="BC182" s="452" t="str">
        <f t="shared" si="264"/>
        <v/>
      </c>
      <c r="BD182" s="452" t="str">
        <f t="shared" si="264"/>
        <v/>
      </c>
      <c r="BE182" s="453" t="str">
        <f t="shared" si="264"/>
        <v/>
      </c>
      <c r="BF182" s="451" t="str">
        <f t="shared" si="264"/>
        <v/>
      </c>
      <c r="BG182" s="452" t="str">
        <f t="shared" si="264"/>
        <v/>
      </c>
      <c r="BH182" s="452" t="str">
        <f t="shared" si="261"/>
        <v/>
      </c>
      <c r="BI182" s="452" t="str">
        <f t="shared" si="261"/>
        <v/>
      </c>
      <c r="BJ182" s="453" t="str">
        <f t="shared" si="261"/>
        <v/>
      </c>
      <c r="BK182" s="451" t="str">
        <f t="shared" si="261"/>
        <v/>
      </c>
      <c r="BL182" s="452" t="str">
        <f t="shared" si="261"/>
        <v/>
      </c>
      <c r="BM182" s="452" t="str">
        <f t="shared" si="261"/>
        <v/>
      </c>
      <c r="BN182" s="452" t="str">
        <f t="shared" si="261"/>
        <v/>
      </c>
      <c r="BO182" s="453" t="str">
        <f t="shared" si="261"/>
        <v/>
      </c>
      <c r="BP182" s="451" t="str">
        <f t="shared" si="261"/>
        <v/>
      </c>
      <c r="BQ182" s="452" t="str">
        <f t="shared" si="261"/>
        <v/>
      </c>
      <c r="BR182" s="452" t="str">
        <f t="shared" si="261"/>
        <v/>
      </c>
      <c r="BS182" s="452" t="str">
        <f t="shared" si="261"/>
        <v/>
      </c>
      <c r="BT182" s="453" t="str">
        <f t="shared" si="261"/>
        <v/>
      </c>
      <c r="BU182" s="451" t="str">
        <f t="shared" si="261"/>
        <v/>
      </c>
      <c r="BV182" s="452" t="str">
        <f t="shared" si="261"/>
        <v/>
      </c>
      <c r="BW182" s="452" t="str">
        <f t="shared" si="261"/>
        <v/>
      </c>
      <c r="BX182" s="452" t="str">
        <f t="shared" si="265"/>
        <v/>
      </c>
      <c r="BY182" s="453" t="str">
        <f t="shared" si="265"/>
        <v/>
      </c>
      <c r="BZ182" s="451" t="str">
        <f t="shared" si="265"/>
        <v/>
      </c>
      <c r="CA182" s="452" t="str">
        <f t="shared" si="265"/>
        <v/>
      </c>
      <c r="CB182" s="452" t="str">
        <f t="shared" si="265"/>
        <v/>
      </c>
      <c r="CC182" s="452" t="str">
        <f t="shared" si="265"/>
        <v/>
      </c>
      <c r="CD182" s="453" t="str">
        <f t="shared" si="265"/>
        <v/>
      </c>
      <c r="CE182" s="451" t="str">
        <f t="shared" si="265"/>
        <v/>
      </c>
      <c r="CF182" s="452" t="str">
        <f t="shared" si="265"/>
        <v/>
      </c>
      <c r="CG182" s="452" t="str">
        <f t="shared" si="265"/>
        <v/>
      </c>
      <c r="CH182" s="452" t="str">
        <f t="shared" si="265"/>
        <v/>
      </c>
      <c r="CI182" s="453" t="str">
        <f t="shared" si="265"/>
        <v/>
      </c>
      <c r="CJ182" s="451" t="str">
        <f t="shared" si="265"/>
        <v/>
      </c>
      <c r="CK182" s="452" t="str">
        <f t="shared" si="265"/>
        <v/>
      </c>
      <c r="CL182" s="452" t="str">
        <f t="shared" si="265"/>
        <v/>
      </c>
      <c r="CM182" s="452" t="str">
        <f t="shared" si="265"/>
        <v/>
      </c>
      <c r="CN182" s="453" t="str">
        <f t="shared" si="266"/>
        <v/>
      </c>
      <c r="CO182" s="451" t="str">
        <f t="shared" si="266"/>
        <v/>
      </c>
      <c r="CP182" s="452" t="str">
        <f t="shared" si="266"/>
        <v/>
      </c>
      <c r="CQ182" s="452" t="str">
        <f t="shared" si="266"/>
        <v/>
      </c>
      <c r="CR182" s="452" t="str">
        <f t="shared" si="266"/>
        <v/>
      </c>
      <c r="CS182" s="453" t="str">
        <f t="shared" si="266"/>
        <v/>
      </c>
      <c r="CT182" s="451" t="str">
        <f t="shared" si="266"/>
        <v/>
      </c>
      <c r="CU182" s="452" t="str">
        <f t="shared" si="266"/>
        <v/>
      </c>
      <c r="CV182" s="452" t="str">
        <f t="shared" si="266"/>
        <v/>
      </c>
      <c r="CW182" s="452" t="str">
        <f t="shared" si="266"/>
        <v/>
      </c>
      <c r="CX182" s="453" t="str">
        <f t="shared" si="266"/>
        <v/>
      </c>
      <c r="CY182" s="451" t="str">
        <f t="shared" si="266"/>
        <v/>
      </c>
      <c r="CZ182" s="452" t="str">
        <f t="shared" si="266"/>
        <v/>
      </c>
      <c r="DA182" s="452" t="str">
        <f t="shared" si="266"/>
        <v/>
      </c>
      <c r="DB182" s="452" t="str">
        <f t="shared" si="266"/>
        <v/>
      </c>
      <c r="DC182" s="453" t="str">
        <f t="shared" si="266"/>
        <v/>
      </c>
      <c r="DD182" s="451" t="str">
        <f t="shared" si="262"/>
        <v/>
      </c>
      <c r="DE182" s="452" t="str">
        <f t="shared" si="263"/>
        <v/>
      </c>
      <c r="DF182" s="452" t="str">
        <f t="shared" si="263"/>
        <v/>
      </c>
      <c r="DG182" s="452" t="str">
        <f t="shared" si="263"/>
        <v/>
      </c>
      <c r="DH182" s="453" t="str">
        <f t="shared" si="263"/>
        <v/>
      </c>
      <c r="DI182" s="451" t="str">
        <f t="shared" si="263"/>
        <v/>
      </c>
      <c r="DJ182" s="452" t="str">
        <f t="shared" si="263"/>
        <v/>
      </c>
      <c r="DK182" s="452" t="str">
        <f t="shared" si="263"/>
        <v/>
      </c>
      <c r="DL182" s="452" t="str">
        <f t="shared" si="263"/>
        <v/>
      </c>
      <c r="DM182" s="453" t="str">
        <f t="shared" si="263"/>
        <v/>
      </c>
      <c r="DN182" s="451" t="str">
        <f t="shared" si="263"/>
        <v/>
      </c>
      <c r="DO182" s="452" t="str">
        <f t="shared" si="263"/>
        <v/>
      </c>
      <c r="DP182" s="452" t="str">
        <f t="shared" si="263"/>
        <v/>
      </c>
      <c r="DQ182" s="452" t="str">
        <f t="shared" si="263"/>
        <v/>
      </c>
      <c r="DR182" s="453" t="str">
        <f t="shared" si="263"/>
        <v/>
      </c>
      <c r="DS182" s="451" t="str">
        <f t="shared" si="263"/>
        <v/>
      </c>
      <c r="DT182" s="452" t="str">
        <f t="shared" si="263"/>
        <v/>
      </c>
      <c r="DU182" s="452" t="str">
        <f t="shared" si="268"/>
        <v/>
      </c>
      <c r="DV182" s="452" t="str">
        <f t="shared" si="268"/>
        <v/>
      </c>
      <c r="DW182" s="453" t="str">
        <f t="shared" si="268"/>
        <v/>
      </c>
      <c r="DX182" s="451" t="str">
        <f t="shared" si="268"/>
        <v/>
      </c>
      <c r="DY182" s="452" t="str">
        <f t="shared" si="268"/>
        <v/>
      </c>
      <c r="DZ182" s="452" t="str">
        <f t="shared" si="268"/>
        <v/>
      </c>
      <c r="EA182" s="452" t="str">
        <f t="shared" si="268"/>
        <v/>
      </c>
      <c r="EB182" s="453" t="str">
        <f t="shared" si="268"/>
        <v/>
      </c>
      <c r="EC182" s="451" t="str">
        <f t="shared" si="268"/>
        <v/>
      </c>
      <c r="ED182" s="452" t="str">
        <f t="shared" si="268"/>
        <v/>
      </c>
      <c r="EE182" s="452" t="str">
        <f t="shared" si="268"/>
        <v/>
      </c>
      <c r="EF182" s="452" t="str">
        <f t="shared" si="268"/>
        <v/>
      </c>
      <c r="EG182" s="453" t="str">
        <f t="shared" si="268"/>
        <v/>
      </c>
      <c r="EH182" s="451" t="str">
        <f t="shared" si="268"/>
        <v/>
      </c>
      <c r="EI182" s="452" t="str">
        <f t="shared" si="268"/>
        <v/>
      </c>
      <c r="EJ182" s="452" t="str">
        <f t="shared" si="268"/>
        <v/>
      </c>
      <c r="EK182" s="452" t="str">
        <f t="shared" si="277"/>
        <v/>
      </c>
      <c r="EL182" s="453" t="str">
        <f t="shared" si="277"/>
        <v/>
      </c>
      <c r="EM182" s="451" t="str">
        <f t="shared" si="277"/>
        <v/>
      </c>
      <c r="EN182" s="452" t="str">
        <f t="shared" si="277"/>
        <v/>
      </c>
      <c r="EO182" s="452" t="str">
        <f t="shared" si="277"/>
        <v/>
      </c>
      <c r="EP182" s="452" t="str">
        <f t="shared" si="277"/>
        <v/>
      </c>
      <c r="EQ182" s="453" t="str">
        <f t="shared" si="277"/>
        <v/>
      </c>
      <c r="ER182" s="451" t="str">
        <f t="shared" si="277"/>
        <v/>
      </c>
      <c r="ES182" s="452" t="str">
        <f t="shared" si="277"/>
        <v/>
      </c>
      <c r="ET182" s="452" t="str">
        <f t="shared" si="277"/>
        <v/>
      </c>
      <c r="EU182" s="452" t="str">
        <f t="shared" si="277"/>
        <v/>
      </c>
      <c r="EV182" s="453" t="str">
        <f t="shared" si="277"/>
        <v/>
      </c>
      <c r="EW182" s="451" t="str">
        <f t="shared" si="277"/>
        <v/>
      </c>
      <c r="EX182" s="452" t="str">
        <f t="shared" si="277"/>
        <v/>
      </c>
      <c r="EY182" s="452" t="str">
        <f t="shared" si="277"/>
        <v/>
      </c>
      <c r="EZ182" s="452" t="str">
        <f t="shared" si="277"/>
        <v/>
      </c>
      <c r="FA182" s="453" t="str">
        <f t="shared" si="278"/>
        <v/>
      </c>
      <c r="FB182" s="451" t="str">
        <f t="shared" si="278"/>
        <v/>
      </c>
      <c r="FC182" s="452" t="str">
        <f t="shared" si="278"/>
        <v/>
      </c>
      <c r="FD182" s="452" t="str">
        <f t="shared" si="278"/>
        <v/>
      </c>
      <c r="FE182" s="452" t="str">
        <f t="shared" si="278"/>
        <v/>
      </c>
      <c r="FF182" s="453" t="str">
        <f t="shared" si="278"/>
        <v/>
      </c>
      <c r="FG182" s="451" t="str">
        <f t="shared" si="278"/>
        <v/>
      </c>
      <c r="FH182" s="452" t="str">
        <f t="shared" si="278"/>
        <v/>
      </c>
      <c r="FI182" s="452" t="str">
        <f t="shared" si="278"/>
        <v/>
      </c>
      <c r="FJ182" s="452" t="str">
        <f t="shared" si="278"/>
        <v/>
      </c>
      <c r="FK182" s="453" t="str">
        <f t="shared" si="278"/>
        <v/>
      </c>
      <c r="FL182" s="451" t="str">
        <f t="shared" si="278"/>
        <v/>
      </c>
      <c r="FM182" s="452" t="str">
        <f t="shared" si="278"/>
        <v/>
      </c>
      <c r="FN182" s="452" t="str">
        <f t="shared" si="278"/>
        <v/>
      </c>
      <c r="FO182" s="452" t="str">
        <f t="shared" si="278"/>
        <v/>
      </c>
      <c r="FP182" s="453" t="str">
        <f t="shared" si="278"/>
        <v/>
      </c>
      <c r="FQ182" s="451" t="str">
        <f t="shared" si="279"/>
        <v/>
      </c>
      <c r="FR182" s="452" t="str">
        <f t="shared" si="279"/>
        <v/>
      </c>
      <c r="FS182" s="452" t="str">
        <f t="shared" si="279"/>
        <v/>
      </c>
      <c r="FT182" s="452" t="str">
        <f t="shared" si="279"/>
        <v/>
      </c>
      <c r="FU182" s="453" t="str">
        <f t="shared" si="279"/>
        <v/>
      </c>
      <c r="FV182" s="451" t="str">
        <f t="shared" si="279"/>
        <v/>
      </c>
      <c r="FW182" s="452" t="str">
        <f t="shared" si="279"/>
        <v/>
      </c>
      <c r="FX182" s="452" t="str">
        <f t="shared" si="279"/>
        <v/>
      </c>
      <c r="FY182" s="452" t="str">
        <f t="shared" si="279"/>
        <v/>
      </c>
      <c r="FZ182" s="453" t="str">
        <f t="shared" si="279"/>
        <v/>
      </c>
      <c r="GA182" s="451" t="str">
        <f t="shared" si="279"/>
        <v/>
      </c>
      <c r="GB182" s="452" t="str">
        <f t="shared" si="279"/>
        <v/>
      </c>
      <c r="GC182" s="452" t="str">
        <f t="shared" si="279"/>
        <v/>
      </c>
      <c r="GD182" s="452" t="str">
        <f t="shared" si="272"/>
        <v/>
      </c>
      <c r="GE182" s="453" t="str">
        <f t="shared" si="272"/>
        <v/>
      </c>
      <c r="GF182" s="451" t="str">
        <f t="shared" si="272"/>
        <v/>
      </c>
      <c r="GG182" s="452" t="str">
        <f t="shared" si="272"/>
        <v/>
      </c>
      <c r="GH182" s="452" t="str">
        <f t="shared" si="272"/>
        <v/>
      </c>
      <c r="GI182" s="452" t="str">
        <f t="shared" si="272"/>
        <v/>
      </c>
      <c r="GJ182" s="453" t="str">
        <f t="shared" si="272"/>
        <v/>
      </c>
      <c r="GK182" s="451" t="str">
        <f t="shared" si="272"/>
        <v/>
      </c>
      <c r="GL182" s="452" t="str">
        <f t="shared" si="272"/>
        <v/>
      </c>
      <c r="GM182" s="452" t="str">
        <f t="shared" si="272"/>
        <v/>
      </c>
      <c r="GN182" s="452" t="str">
        <f t="shared" si="272"/>
        <v/>
      </c>
      <c r="GO182" s="453" t="str">
        <f t="shared" si="272"/>
        <v/>
      </c>
      <c r="GP182" s="451" t="str">
        <f t="shared" si="272"/>
        <v/>
      </c>
      <c r="GQ182" s="452" t="str">
        <f t="shared" si="272"/>
        <v/>
      </c>
      <c r="GR182" s="452" t="str">
        <f t="shared" si="273"/>
        <v/>
      </c>
      <c r="GS182" s="452" t="str">
        <f t="shared" si="273"/>
        <v/>
      </c>
      <c r="GT182" s="453" t="str">
        <f t="shared" si="273"/>
        <v/>
      </c>
      <c r="GU182" s="451" t="str">
        <f t="shared" si="273"/>
        <v/>
      </c>
      <c r="GV182" s="452" t="str">
        <f t="shared" si="273"/>
        <v/>
      </c>
      <c r="GW182" s="452" t="str">
        <f t="shared" si="273"/>
        <v/>
      </c>
      <c r="GX182" s="452" t="str">
        <f t="shared" si="273"/>
        <v/>
      </c>
      <c r="GY182" s="453" t="str">
        <f t="shared" si="273"/>
        <v/>
      </c>
      <c r="GZ182" s="451" t="str">
        <f t="shared" si="273"/>
        <v/>
      </c>
      <c r="HA182" s="452" t="str">
        <f t="shared" si="273"/>
        <v/>
      </c>
      <c r="HB182" s="452" t="str">
        <f t="shared" si="273"/>
        <v/>
      </c>
      <c r="HC182" s="452" t="str">
        <f t="shared" si="273"/>
        <v/>
      </c>
      <c r="HD182" s="453" t="str">
        <f t="shared" si="273"/>
        <v/>
      </c>
      <c r="HE182" s="451" t="str">
        <f t="shared" si="273"/>
        <v/>
      </c>
      <c r="HF182" s="452" t="str">
        <f t="shared" si="273"/>
        <v/>
      </c>
      <c r="HG182" s="452" t="str">
        <f t="shared" si="273"/>
        <v/>
      </c>
      <c r="HH182" s="452" t="str">
        <f t="shared" si="280"/>
        <v/>
      </c>
      <c r="HI182" s="453" t="str">
        <f t="shared" si="280"/>
        <v/>
      </c>
      <c r="HJ182" s="451" t="str">
        <f t="shared" si="280"/>
        <v/>
      </c>
      <c r="HK182" s="452" t="str">
        <f t="shared" si="280"/>
        <v/>
      </c>
      <c r="HL182" s="452" t="str">
        <f t="shared" si="280"/>
        <v/>
      </c>
      <c r="HM182" s="452" t="str">
        <f t="shared" si="280"/>
        <v/>
      </c>
      <c r="HN182" s="453" t="str">
        <f t="shared" si="280"/>
        <v/>
      </c>
      <c r="HO182" s="451" t="str">
        <f t="shared" si="280"/>
        <v/>
      </c>
      <c r="HP182" s="452" t="str">
        <f t="shared" si="280"/>
        <v/>
      </c>
      <c r="HQ182" s="452" t="str">
        <f t="shared" si="280"/>
        <v/>
      </c>
      <c r="HR182" s="452" t="str">
        <f t="shared" si="280"/>
        <v/>
      </c>
      <c r="HS182" s="453" t="str">
        <f t="shared" si="280"/>
        <v/>
      </c>
      <c r="HT182" s="451" t="str">
        <f t="shared" si="280"/>
        <v/>
      </c>
      <c r="HU182" s="452" t="str">
        <f t="shared" si="280"/>
        <v/>
      </c>
      <c r="HV182" s="452" t="str">
        <f t="shared" si="280"/>
        <v/>
      </c>
      <c r="HW182" s="452" t="str">
        <f t="shared" si="280"/>
        <v/>
      </c>
      <c r="HX182" s="453" t="str">
        <f t="shared" si="281"/>
        <v/>
      </c>
      <c r="HY182" s="451" t="str">
        <f t="shared" si="281"/>
        <v/>
      </c>
      <c r="HZ182" s="452" t="str">
        <f t="shared" si="281"/>
        <v/>
      </c>
      <c r="IA182" s="452" t="str">
        <f t="shared" si="254"/>
        <v/>
      </c>
      <c r="IB182" s="452" t="str">
        <f t="shared" si="254"/>
        <v/>
      </c>
      <c r="IC182" s="453" t="str">
        <f t="shared" si="254"/>
        <v/>
      </c>
      <c r="ID182" s="451" t="str">
        <f t="shared" si="254"/>
        <v/>
      </c>
      <c r="IE182" s="452" t="str">
        <f t="shared" si="254"/>
        <v/>
      </c>
      <c r="IF182" s="452" t="str">
        <f t="shared" si="254"/>
        <v/>
      </c>
      <c r="IG182" s="452" t="str">
        <f t="shared" si="254"/>
        <v/>
      </c>
      <c r="IH182" s="453" t="str">
        <f t="shared" si="254"/>
        <v/>
      </c>
      <c r="II182" s="451" t="str">
        <f t="shared" si="254"/>
        <v/>
      </c>
      <c r="IJ182" s="452" t="str">
        <f t="shared" si="254"/>
        <v/>
      </c>
      <c r="IK182" s="452" t="str">
        <f t="shared" si="254"/>
        <v/>
      </c>
      <c r="IL182" s="452" t="str">
        <f t="shared" si="254"/>
        <v/>
      </c>
      <c r="IM182" s="453" t="str">
        <f t="shared" si="254"/>
        <v/>
      </c>
      <c r="IN182" s="451" t="str">
        <f t="shared" si="254"/>
        <v/>
      </c>
      <c r="IO182" s="452" t="str">
        <f t="shared" si="254"/>
        <v/>
      </c>
      <c r="IP182" s="452" t="str">
        <f t="shared" si="254"/>
        <v/>
      </c>
      <c r="IQ182" s="452" t="str">
        <f t="shared" si="260"/>
        <v/>
      </c>
      <c r="IR182" s="453" t="str">
        <f t="shared" si="260"/>
        <v/>
      </c>
    </row>
    <row r="183" spans="1:252" x14ac:dyDescent="0.2">
      <c r="A183" s="461">
        <v>17.3</v>
      </c>
      <c r="C183" s="447" t="s">
        <v>1353</v>
      </c>
      <c r="D183" s="447"/>
      <c r="E183" s="448"/>
      <c r="F183" s="448"/>
      <c r="G183" s="448"/>
      <c r="H183" s="448"/>
      <c r="I183" s="448"/>
      <c r="J183" s="449" t="str">
        <f t="shared" si="275"/>
        <v/>
      </c>
      <c r="K183" s="449" t="str">
        <f t="shared" si="276"/>
        <v/>
      </c>
      <c r="L183" s="450">
        <f t="shared" si="270"/>
        <v>0</v>
      </c>
      <c r="M183" s="451" t="str">
        <f t="shared" si="259"/>
        <v/>
      </c>
      <c r="N183" s="452" t="str">
        <f t="shared" si="259"/>
        <v/>
      </c>
      <c r="O183" s="452" t="str">
        <f t="shared" si="259"/>
        <v/>
      </c>
      <c r="P183" s="452" t="str">
        <f t="shared" si="259"/>
        <v/>
      </c>
      <c r="Q183" s="453" t="str">
        <f t="shared" si="259"/>
        <v/>
      </c>
      <c r="R183" s="451" t="str">
        <f t="shared" si="259"/>
        <v/>
      </c>
      <c r="S183" s="452" t="str">
        <f t="shared" si="259"/>
        <v/>
      </c>
      <c r="T183" s="452" t="str">
        <f t="shared" si="259"/>
        <v/>
      </c>
      <c r="U183" s="452" t="str">
        <f t="shared" si="259"/>
        <v/>
      </c>
      <c r="V183" s="453" t="str">
        <f t="shared" si="259"/>
        <v/>
      </c>
      <c r="W183" s="451" t="str">
        <f t="shared" si="259"/>
        <v/>
      </c>
      <c r="X183" s="452" t="str">
        <f t="shared" si="259"/>
        <v/>
      </c>
      <c r="Y183" s="452" t="str">
        <f t="shared" si="259"/>
        <v/>
      </c>
      <c r="Z183" s="452" t="str">
        <f t="shared" si="259"/>
        <v/>
      </c>
      <c r="AA183" s="453" t="str">
        <f t="shared" si="259"/>
        <v/>
      </c>
      <c r="AB183" s="451" t="str">
        <f t="shared" si="259"/>
        <v/>
      </c>
      <c r="AC183" s="452" t="str">
        <f t="shared" si="267"/>
        <v/>
      </c>
      <c r="AD183" s="452" t="str">
        <f t="shared" si="267"/>
        <v/>
      </c>
      <c r="AE183" s="452" t="str">
        <f t="shared" si="267"/>
        <v/>
      </c>
      <c r="AF183" s="453" t="str">
        <f t="shared" si="267"/>
        <v/>
      </c>
      <c r="AG183" s="451" t="str">
        <f t="shared" si="267"/>
        <v/>
      </c>
      <c r="AH183" s="452" t="str">
        <f t="shared" si="267"/>
        <v/>
      </c>
      <c r="AI183" s="452" t="str">
        <f t="shared" si="267"/>
        <v/>
      </c>
      <c r="AJ183" s="452" t="str">
        <f t="shared" si="267"/>
        <v/>
      </c>
      <c r="AK183" s="453" t="str">
        <f t="shared" si="267"/>
        <v/>
      </c>
      <c r="AL183" s="451" t="str">
        <f t="shared" si="267"/>
        <v/>
      </c>
      <c r="AM183" s="452" t="str">
        <f t="shared" si="267"/>
        <v/>
      </c>
      <c r="AN183" s="452" t="str">
        <f t="shared" si="267"/>
        <v/>
      </c>
      <c r="AO183" s="452" t="str">
        <f t="shared" si="267"/>
        <v/>
      </c>
      <c r="AP183" s="453" t="str">
        <f t="shared" si="267"/>
        <v/>
      </c>
      <c r="AQ183" s="451" t="str">
        <f t="shared" si="267"/>
        <v/>
      </c>
      <c r="AR183" s="452" t="str">
        <f t="shared" si="267"/>
        <v/>
      </c>
      <c r="AS183" s="452" t="str">
        <f t="shared" si="264"/>
        <v/>
      </c>
      <c r="AT183" s="452" t="str">
        <f t="shared" si="264"/>
        <v/>
      </c>
      <c r="AU183" s="453" t="str">
        <f t="shared" si="264"/>
        <v/>
      </c>
      <c r="AV183" s="451" t="str">
        <f t="shared" si="264"/>
        <v/>
      </c>
      <c r="AW183" s="452" t="str">
        <f t="shared" si="264"/>
        <v/>
      </c>
      <c r="AX183" s="452" t="str">
        <f t="shared" si="264"/>
        <v/>
      </c>
      <c r="AY183" s="452" t="str">
        <f t="shared" si="264"/>
        <v/>
      </c>
      <c r="AZ183" s="453" t="str">
        <f t="shared" si="264"/>
        <v/>
      </c>
      <c r="BA183" s="451" t="str">
        <f t="shared" si="264"/>
        <v/>
      </c>
      <c r="BB183" s="452" t="str">
        <f t="shared" si="264"/>
        <v/>
      </c>
      <c r="BC183" s="452" t="str">
        <f t="shared" si="264"/>
        <v/>
      </c>
      <c r="BD183" s="452" t="str">
        <f t="shared" si="264"/>
        <v/>
      </c>
      <c r="BE183" s="453" t="str">
        <f t="shared" si="264"/>
        <v/>
      </c>
      <c r="BF183" s="451" t="str">
        <f t="shared" si="264"/>
        <v/>
      </c>
      <c r="BG183" s="452" t="str">
        <f t="shared" si="264"/>
        <v/>
      </c>
      <c r="BH183" s="452" t="str">
        <f t="shared" si="261"/>
        <v/>
      </c>
      <c r="BI183" s="452" t="str">
        <f t="shared" si="261"/>
        <v/>
      </c>
      <c r="BJ183" s="453" t="str">
        <f t="shared" si="261"/>
        <v/>
      </c>
      <c r="BK183" s="451" t="str">
        <f t="shared" si="261"/>
        <v/>
      </c>
      <c r="BL183" s="452" t="str">
        <f t="shared" si="261"/>
        <v/>
      </c>
      <c r="BM183" s="452" t="str">
        <f t="shared" si="261"/>
        <v/>
      </c>
      <c r="BN183" s="452" t="str">
        <f t="shared" si="261"/>
        <v/>
      </c>
      <c r="BO183" s="453" t="str">
        <f t="shared" si="261"/>
        <v/>
      </c>
      <c r="BP183" s="451" t="str">
        <f t="shared" si="261"/>
        <v/>
      </c>
      <c r="BQ183" s="452" t="str">
        <f t="shared" si="261"/>
        <v/>
      </c>
      <c r="BR183" s="452" t="str">
        <f t="shared" si="261"/>
        <v/>
      </c>
      <c r="BS183" s="452" t="str">
        <f t="shared" si="261"/>
        <v/>
      </c>
      <c r="BT183" s="453" t="str">
        <f t="shared" si="261"/>
        <v/>
      </c>
      <c r="BU183" s="451" t="str">
        <f t="shared" si="261"/>
        <v/>
      </c>
      <c r="BV183" s="452" t="str">
        <f t="shared" si="261"/>
        <v/>
      </c>
      <c r="BW183" s="452" t="str">
        <f t="shared" si="261"/>
        <v/>
      </c>
      <c r="BX183" s="452" t="str">
        <f t="shared" si="265"/>
        <v/>
      </c>
      <c r="BY183" s="453" t="str">
        <f t="shared" si="265"/>
        <v/>
      </c>
      <c r="BZ183" s="451" t="str">
        <f t="shared" si="265"/>
        <v/>
      </c>
      <c r="CA183" s="452" t="str">
        <f t="shared" si="265"/>
        <v/>
      </c>
      <c r="CB183" s="452" t="str">
        <f t="shared" si="265"/>
        <v/>
      </c>
      <c r="CC183" s="452" t="str">
        <f t="shared" si="265"/>
        <v/>
      </c>
      <c r="CD183" s="453" t="str">
        <f t="shared" si="265"/>
        <v/>
      </c>
      <c r="CE183" s="451" t="str">
        <f t="shared" si="265"/>
        <v/>
      </c>
      <c r="CF183" s="452" t="str">
        <f t="shared" si="265"/>
        <v/>
      </c>
      <c r="CG183" s="452" t="str">
        <f t="shared" si="265"/>
        <v/>
      </c>
      <c r="CH183" s="452" t="str">
        <f t="shared" si="265"/>
        <v/>
      </c>
      <c r="CI183" s="453" t="str">
        <f t="shared" si="265"/>
        <v/>
      </c>
      <c r="CJ183" s="451" t="str">
        <f t="shared" si="265"/>
        <v/>
      </c>
      <c r="CK183" s="452" t="str">
        <f t="shared" si="265"/>
        <v/>
      </c>
      <c r="CL183" s="452" t="str">
        <f t="shared" si="265"/>
        <v/>
      </c>
      <c r="CM183" s="452" t="str">
        <f t="shared" si="265"/>
        <v/>
      </c>
      <c r="CN183" s="453" t="str">
        <f t="shared" si="266"/>
        <v/>
      </c>
      <c r="CO183" s="451" t="str">
        <f t="shared" si="266"/>
        <v/>
      </c>
      <c r="CP183" s="452" t="str">
        <f t="shared" si="266"/>
        <v/>
      </c>
      <c r="CQ183" s="452" t="str">
        <f t="shared" si="266"/>
        <v/>
      </c>
      <c r="CR183" s="452" t="str">
        <f t="shared" si="266"/>
        <v/>
      </c>
      <c r="CS183" s="453" t="str">
        <f t="shared" si="266"/>
        <v/>
      </c>
      <c r="CT183" s="451" t="str">
        <f t="shared" si="266"/>
        <v/>
      </c>
      <c r="CU183" s="452" t="str">
        <f t="shared" si="266"/>
        <v/>
      </c>
      <c r="CV183" s="452" t="str">
        <f t="shared" si="266"/>
        <v/>
      </c>
      <c r="CW183" s="452" t="str">
        <f t="shared" si="266"/>
        <v/>
      </c>
      <c r="CX183" s="453" t="str">
        <f t="shared" si="266"/>
        <v/>
      </c>
      <c r="CY183" s="451" t="str">
        <f t="shared" si="266"/>
        <v/>
      </c>
      <c r="CZ183" s="452" t="str">
        <f t="shared" si="266"/>
        <v/>
      </c>
      <c r="DA183" s="452" t="str">
        <f t="shared" si="266"/>
        <v/>
      </c>
      <c r="DB183" s="452" t="str">
        <f t="shared" si="266"/>
        <v/>
      </c>
      <c r="DC183" s="453" t="str">
        <f t="shared" si="266"/>
        <v/>
      </c>
      <c r="DD183" s="451" t="str">
        <f t="shared" si="262"/>
        <v/>
      </c>
      <c r="DE183" s="452" t="str">
        <f t="shared" si="263"/>
        <v/>
      </c>
      <c r="DF183" s="452" t="str">
        <f t="shared" si="263"/>
        <v/>
      </c>
      <c r="DG183" s="452" t="str">
        <f t="shared" si="263"/>
        <v/>
      </c>
      <c r="DH183" s="453" t="str">
        <f t="shared" si="263"/>
        <v/>
      </c>
      <c r="DI183" s="451" t="str">
        <f t="shared" si="263"/>
        <v/>
      </c>
      <c r="DJ183" s="452" t="str">
        <f t="shared" si="263"/>
        <v/>
      </c>
      <c r="DK183" s="452" t="str">
        <f t="shared" si="263"/>
        <v/>
      </c>
      <c r="DL183" s="452" t="str">
        <f t="shared" si="263"/>
        <v/>
      </c>
      <c r="DM183" s="453" t="str">
        <f t="shared" si="263"/>
        <v/>
      </c>
      <c r="DN183" s="451" t="str">
        <f t="shared" si="263"/>
        <v/>
      </c>
      <c r="DO183" s="452" t="str">
        <f t="shared" si="263"/>
        <v/>
      </c>
      <c r="DP183" s="452" t="str">
        <f t="shared" si="263"/>
        <v/>
      </c>
      <c r="DQ183" s="452" t="str">
        <f t="shared" si="263"/>
        <v/>
      </c>
      <c r="DR183" s="453" t="str">
        <f t="shared" si="263"/>
        <v/>
      </c>
      <c r="DS183" s="451" t="str">
        <f t="shared" si="263"/>
        <v/>
      </c>
      <c r="DT183" s="452" t="str">
        <f t="shared" si="263"/>
        <v/>
      </c>
      <c r="DU183" s="452" t="str">
        <f t="shared" si="268"/>
        <v/>
      </c>
      <c r="DV183" s="452" t="str">
        <f t="shared" si="268"/>
        <v/>
      </c>
      <c r="DW183" s="453" t="str">
        <f t="shared" si="268"/>
        <v/>
      </c>
      <c r="DX183" s="451" t="str">
        <f t="shared" si="268"/>
        <v/>
      </c>
      <c r="DY183" s="452" t="str">
        <f t="shared" si="268"/>
        <v/>
      </c>
      <c r="DZ183" s="452" t="str">
        <f t="shared" si="268"/>
        <v/>
      </c>
      <c r="EA183" s="452" t="str">
        <f t="shared" si="268"/>
        <v/>
      </c>
      <c r="EB183" s="453" t="str">
        <f t="shared" si="268"/>
        <v/>
      </c>
      <c r="EC183" s="451" t="str">
        <f t="shared" si="268"/>
        <v/>
      </c>
      <c r="ED183" s="452" t="str">
        <f t="shared" si="268"/>
        <v/>
      </c>
      <c r="EE183" s="452" t="str">
        <f t="shared" si="268"/>
        <v/>
      </c>
      <c r="EF183" s="452" t="str">
        <f t="shared" si="268"/>
        <v/>
      </c>
      <c r="EG183" s="453" t="str">
        <f t="shared" si="268"/>
        <v/>
      </c>
      <c r="EH183" s="451" t="str">
        <f t="shared" si="268"/>
        <v/>
      </c>
      <c r="EI183" s="452" t="str">
        <f t="shared" si="268"/>
        <v/>
      </c>
      <c r="EJ183" s="452" t="str">
        <f t="shared" si="268"/>
        <v/>
      </c>
      <c r="EK183" s="452" t="str">
        <f t="shared" si="277"/>
        <v/>
      </c>
      <c r="EL183" s="453" t="str">
        <f t="shared" si="277"/>
        <v/>
      </c>
      <c r="EM183" s="451" t="str">
        <f t="shared" si="277"/>
        <v/>
      </c>
      <c r="EN183" s="452" t="str">
        <f t="shared" si="277"/>
        <v/>
      </c>
      <c r="EO183" s="452" t="str">
        <f t="shared" si="277"/>
        <v/>
      </c>
      <c r="EP183" s="452" t="str">
        <f t="shared" si="277"/>
        <v/>
      </c>
      <c r="EQ183" s="453" t="str">
        <f t="shared" si="277"/>
        <v/>
      </c>
      <c r="ER183" s="451" t="str">
        <f t="shared" si="277"/>
        <v/>
      </c>
      <c r="ES183" s="452" t="str">
        <f t="shared" si="277"/>
        <v/>
      </c>
      <c r="ET183" s="452" t="str">
        <f t="shared" si="277"/>
        <v/>
      </c>
      <c r="EU183" s="452" t="str">
        <f t="shared" si="277"/>
        <v/>
      </c>
      <c r="EV183" s="453" t="str">
        <f t="shared" si="277"/>
        <v/>
      </c>
      <c r="EW183" s="451" t="str">
        <f t="shared" si="277"/>
        <v/>
      </c>
      <c r="EX183" s="452" t="str">
        <f t="shared" si="277"/>
        <v/>
      </c>
      <c r="EY183" s="452" t="str">
        <f t="shared" si="277"/>
        <v/>
      </c>
      <c r="EZ183" s="452" t="str">
        <f t="shared" si="277"/>
        <v/>
      </c>
      <c r="FA183" s="453" t="str">
        <f t="shared" si="278"/>
        <v/>
      </c>
      <c r="FB183" s="451" t="str">
        <f t="shared" si="278"/>
        <v/>
      </c>
      <c r="FC183" s="452" t="str">
        <f t="shared" si="278"/>
        <v/>
      </c>
      <c r="FD183" s="452" t="str">
        <f t="shared" si="278"/>
        <v/>
      </c>
      <c r="FE183" s="452" t="str">
        <f t="shared" si="278"/>
        <v/>
      </c>
      <c r="FF183" s="453" t="str">
        <f t="shared" si="278"/>
        <v/>
      </c>
      <c r="FG183" s="451" t="str">
        <f t="shared" si="278"/>
        <v/>
      </c>
      <c r="FH183" s="452" t="str">
        <f t="shared" si="278"/>
        <v/>
      </c>
      <c r="FI183" s="452" t="str">
        <f t="shared" si="278"/>
        <v/>
      </c>
      <c r="FJ183" s="452" t="str">
        <f t="shared" si="278"/>
        <v/>
      </c>
      <c r="FK183" s="453" t="str">
        <f t="shared" si="278"/>
        <v/>
      </c>
      <c r="FL183" s="451" t="str">
        <f t="shared" si="278"/>
        <v/>
      </c>
      <c r="FM183" s="452" t="str">
        <f t="shared" si="278"/>
        <v/>
      </c>
      <c r="FN183" s="452" t="str">
        <f t="shared" si="278"/>
        <v/>
      </c>
      <c r="FO183" s="452" t="str">
        <f t="shared" si="278"/>
        <v/>
      </c>
      <c r="FP183" s="453" t="str">
        <f t="shared" si="278"/>
        <v/>
      </c>
      <c r="FQ183" s="451" t="str">
        <f t="shared" si="279"/>
        <v/>
      </c>
      <c r="FR183" s="452" t="str">
        <f t="shared" si="279"/>
        <v/>
      </c>
      <c r="FS183" s="452" t="str">
        <f t="shared" si="279"/>
        <v/>
      </c>
      <c r="FT183" s="452" t="str">
        <f t="shared" si="279"/>
        <v/>
      </c>
      <c r="FU183" s="453" t="str">
        <f t="shared" si="279"/>
        <v/>
      </c>
      <c r="FV183" s="451" t="str">
        <f t="shared" si="279"/>
        <v/>
      </c>
      <c r="FW183" s="452" t="str">
        <f t="shared" si="279"/>
        <v/>
      </c>
      <c r="FX183" s="452" t="str">
        <f t="shared" si="279"/>
        <v/>
      </c>
      <c r="FY183" s="452" t="str">
        <f t="shared" si="279"/>
        <v/>
      </c>
      <c r="FZ183" s="453" t="str">
        <f t="shared" si="279"/>
        <v/>
      </c>
      <c r="GA183" s="451" t="str">
        <f t="shared" si="279"/>
        <v/>
      </c>
      <c r="GB183" s="452" t="str">
        <f t="shared" si="279"/>
        <v/>
      </c>
      <c r="GC183" s="452" t="str">
        <f t="shared" si="279"/>
        <v/>
      </c>
      <c r="GD183" s="452" t="str">
        <f t="shared" si="272"/>
        <v/>
      </c>
      <c r="GE183" s="453" t="str">
        <f t="shared" si="272"/>
        <v/>
      </c>
      <c r="GF183" s="451" t="str">
        <f t="shared" si="272"/>
        <v/>
      </c>
      <c r="GG183" s="452" t="str">
        <f t="shared" si="272"/>
        <v/>
      </c>
      <c r="GH183" s="452" t="str">
        <f t="shared" si="272"/>
        <v/>
      </c>
      <c r="GI183" s="452" t="str">
        <f t="shared" si="272"/>
        <v/>
      </c>
      <c r="GJ183" s="453" t="str">
        <f t="shared" si="272"/>
        <v/>
      </c>
      <c r="GK183" s="451" t="str">
        <f t="shared" si="272"/>
        <v/>
      </c>
      <c r="GL183" s="452" t="str">
        <f t="shared" si="272"/>
        <v/>
      </c>
      <c r="GM183" s="452" t="str">
        <f t="shared" si="272"/>
        <v/>
      </c>
      <c r="GN183" s="452" t="str">
        <f t="shared" si="272"/>
        <v/>
      </c>
      <c r="GO183" s="453" t="str">
        <f t="shared" si="272"/>
        <v/>
      </c>
      <c r="GP183" s="451" t="str">
        <f t="shared" si="272"/>
        <v/>
      </c>
      <c r="GQ183" s="452" t="str">
        <f t="shared" si="272"/>
        <v/>
      </c>
      <c r="GR183" s="452" t="str">
        <f t="shared" si="273"/>
        <v/>
      </c>
      <c r="GS183" s="452" t="str">
        <f t="shared" si="273"/>
        <v/>
      </c>
      <c r="GT183" s="453" t="str">
        <f t="shared" si="273"/>
        <v/>
      </c>
      <c r="GU183" s="451" t="str">
        <f t="shared" si="273"/>
        <v/>
      </c>
      <c r="GV183" s="452" t="str">
        <f t="shared" si="273"/>
        <v/>
      </c>
      <c r="GW183" s="452" t="str">
        <f t="shared" si="273"/>
        <v/>
      </c>
      <c r="GX183" s="452" t="str">
        <f t="shared" si="273"/>
        <v/>
      </c>
      <c r="GY183" s="453" t="str">
        <f t="shared" si="273"/>
        <v/>
      </c>
      <c r="GZ183" s="451" t="str">
        <f t="shared" si="273"/>
        <v/>
      </c>
      <c r="HA183" s="452" t="str">
        <f t="shared" si="273"/>
        <v/>
      </c>
      <c r="HB183" s="452" t="str">
        <f t="shared" si="273"/>
        <v/>
      </c>
      <c r="HC183" s="452" t="str">
        <f t="shared" si="273"/>
        <v/>
      </c>
      <c r="HD183" s="453" t="str">
        <f t="shared" si="273"/>
        <v/>
      </c>
      <c r="HE183" s="451" t="str">
        <f t="shared" si="273"/>
        <v/>
      </c>
      <c r="HF183" s="452" t="str">
        <f t="shared" si="273"/>
        <v/>
      </c>
      <c r="HG183" s="452" t="str">
        <f t="shared" si="273"/>
        <v/>
      </c>
      <c r="HH183" s="452" t="str">
        <f t="shared" si="280"/>
        <v/>
      </c>
      <c r="HI183" s="453" t="str">
        <f t="shared" si="280"/>
        <v/>
      </c>
      <c r="HJ183" s="451" t="str">
        <f t="shared" si="280"/>
        <v/>
      </c>
      <c r="HK183" s="452" t="str">
        <f t="shared" si="280"/>
        <v/>
      </c>
      <c r="HL183" s="452" t="str">
        <f t="shared" si="280"/>
        <v/>
      </c>
      <c r="HM183" s="452" t="str">
        <f t="shared" si="280"/>
        <v/>
      </c>
      <c r="HN183" s="453" t="str">
        <f t="shared" si="280"/>
        <v/>
      </c>
      <c r="HO183" s="451" t="str">
        <f t="shared" si="280"/>
        <v/>
      </c>
      <c r="HP183" s="452" t="str">
        <f t="shared" si="280"/>
        <v/>
      </c>
      <c r="HQ183" s="452" t="str">
        <f t="shared" si="280"/>
        <v/>
      </c>
      <c r="HR183" s="452" t="str">
        <f t="shared" si="280"/>
        <v/>
      </c>
      <c r="HS183" s="453" t="str">
        <f t="shared" si="280"/>
        <v/>
      </c>
      <c r="HT183" s="451" t="str">
        <f t="shared" si="280"/>
        <v/>
      </c>
      <c r="HU183" s="452" t="str">
        <f t="shared" si="280"/>
        <v/>
      </c>
      <c r="HV183" s="452" t="str">
        <f t="shared" si="280"/>
        <v/>
      </c>
      <c r="HW183" s="452" t="str">
        <f t="shared" si="280"/>
        <v/>
      </c>
      <c r="HX183" s="453" t="str">
        <f t="shared" si="281"/>
        <v/>
      </c>
      <c r="HY183" s="451" t="str">
        <f t="shared" si="281"/>
        <v/>
      </c>
      <c r="HZ183" s="452" t="str">
        <f t="shared" si="281"/>
        <v/>
      </c>
      <c r="IA183" s="452" t="str">
        <f t="shared" si="254"/>
        <v/>
      </c>
      <c r="IB183" s="452" t="str">
        <f t="shared" si="254"/>
        <v/>
      </c>
      <c r="IC183" s="453" t="str">
        <f t="shared" si="254"/>
        <v/>
      </c>
      <c r="ID183" s="451" t="str">
        <f t="shared" si="254"/>
        <v/>
      </c>
      <c r="IE183" s="452" t="str">
        <f t="shared" si="254"/>
        <v/>
      </c>
      <c r="IF183" s="452" t="str">
        <f t="shared" si="254"/>
        <v/>
      </c>
      <c r="IG183" s="452" t="str">
        <f t="shared" si="254"/>
        <v/>
      </c>
      <c r="IH183" s="453" t="str">
        <f t="shared" si="254"/>
        <v/>
      </c>
      <c r="II183" s="451" t="str">
        <f t="shared" si="254"/>
        <v/>
      </c>
      <c r="IJ183" s="452" t="str">
        <f t="shared" si="254"/>
        <v/>
      </c>
      <c r="IK183" s="452" t="str">
        <f t="shared" si="254"/>
        <v/>
      </c>
      <c r="IL183" s="452" t="str">
        <f t="shared" si="254"/>
        <v/>
      </c>
      <c r="IM183" s="453" t="str">
        <f t="shared" si="254"/>
        <v/>
      </c>
      <c r="IN183" s="451" t="str">
        <f t="shared" si="254"/>
        <v/>
      </c>
      <c r="IO183" s="452" t="str">
        <f t="shared" si="254"/>
        <v/>
      </c>
      <c r="IP183" s="452" t="str">
        <f t="shared" si="254"/>
        <v/>
      </c>
      <c r="IQ183" s="452" t="str">
        <f t="shared" si="260"/>
        <v/>
      </c>
      <c r="IR183" s="453" t="str">
        <f t="shared" si="260"/>
        <v/>
      </c>
    </row>
    <row r="184" spans="1:252" x14ac:dyDescent="0.2">
      <c r="A184" s="461">
        <v>17.399999999999999</v>
      </c>
      <c r="C184" s="447" t="s">
        <v>1354</v>
      </c>
      <c r="D184" s="447"/>
      <c r="E184" s="448"/>
      <c r="F184" s="448"/>
      <c r="G184" s="448"/>
      <c r="H184" s="448"/>
      <c r="I184" s="448"/>
      <c r="J184" s="449" t="str">
        <f t="shared" si="275"/>
        <v/>
      </c>
      <c r="K184" s="449" t="str">
        <f t="shared" si="276"/>
        <v/>
      </c>
      <c r="L184" s="450">
        <f t="shared" si="270"/>
        <v>0</v>
      </c>
      <c r="M184" s="451" t="str">
        <f t="shared" si="259"/>
        <v/>
      </c>
      <c r="N184" s="452" t="str">
        <f t="shared" si="259"/>
        <v/>
      </c>
      <c r="O184" s="452" t="str">
        <f t="shared" si="259"/>
        <v/>
      </c>
      <c r="P184" s="452" t="str">
        <f t="shared" si="259"/>
        <v/>
      </c>
      <c r="Q184" s="453" t="str">
        <f t="shared" si="259"/>
        <v/>
      </c>
      <c r="R184" s="451" t="str">
        <f t="shared" si="259"/>
        <v/>
      </c>
      <c r="S184" s="452" t="str">
        <f t="shared" si="259"/>
        <v/>
      </c>
      <c r="T184" s="452" t="str">
        <f t="shared" si="259"/>
        <v/>
      </c>
      <c r="U184" s="452" t="str">
        <f t="shared" si="259"/>
        <v/>
      </c>
      <c r="V184" s="453" t="str">
        <f t="shared" si="259"/>
        <v/>
      </c>
      <c r="W184" s="451" t="str">
        <f t="shared" si="259"/>
        <v/>
      </c>
      <c r="X184" s="452" t="str">
        <f t="shared" si="259"/>
        <v/>
      </c>
      <c r="Y184" s="452" t="str">
        <f t="shared" si="259"/>
        <v/>
      </c>
      <c r="Z184" s="452" t="str">
        <f t="shared" si="259"/>
        <v/>
      </c>
      <c r="AA184" s="453" t="str">
        <f t="shared" si="259"/>
        <v/>
      </c>
      <c r="AB184" s="451" t="str">
        <f t="shared" si="259"/>
        <v/>
      </c>
      <c r="AC184" s="452" t="str">
        <f t="shared" si="267"/>
        <v/>
      </c>
      <c r="AD184" s="452" t="str">
        <f t="shared" si="267"/>
        <v/>
      </c>
      <c r="AE184" s="452" t="str">
        <f t="shared" si="267"/>
        <v/>
      </c>
      <c r="AF184" s="453" t="str">
        <f t="shared" si="267"/>
        <v/>
      </c>
      <c r="AG184" s="451" t="str">
        <f t="shared" si="267"/>
        <v/>
      </c>
      <c r="AH184" s="452" t="str">
        <f t="shared" si="267"/>
        <v/>
      </c>
      <c r="AI184" s="452" t="str">
        <f t="shared" si="267"/>
        <v/>
      </c>
      <c r="AJ184" s="452" t="str">
        <f t="shared" si="267"/>
        <v/>
      </c>
      <c r="AK184" s="453" t="str">
        <f t="shared" si="267"/>
        <v/>
      </c>
      <c r="AL184" s="451" t="str">
        <f t="shared" si="267"/>
        <v/>
      </c>
      <c r="AM184" s="452" t="str">
        <f t="shared" si="267"/>
        <v/>
      </c>
      <c r="AN184" s="452" t="str">
        <f t="shared" si="267"/>
        <v/>
      </c>
      <c r="AO184" s="452" t="str">
        <f t="shared" si="267"/>
        <v/>
      </c>
      <c r="AP184" s="453" t="str">
        <f t="shared" si="267"/>
        <v/>
      </c>
      <c r="AQ184" s="451" t="str">
        <f t="shared" si="267"/>
        <v/>
      </c>
      <c r="AR184" s="452" t="str">
        <f t="shared" si="267"/>
        <v/>
      </c>
      <c r="AS184" s="452" t="str">
        <f t="shared" si="264"/>
        <v/>
      </c>
      <c r="AT184" s="452" t="str">
        <f t="shared" si="264"/>
        <v/>
      </c>
      <c r="AU184" s="453" t="str">
        <f t="shared" si="264"/>
        <v/>
      </c>
      <c r="AV184" s="451" t="str">
        <f t="shared" si="264"/>
        <v/>
      </c>
      <c r="AW184" s="452" t="str">
        <f t="shared" si="264"/>
        <v/>
      </c>
      <c r="AX184" s="452" t="str">
        <f t="shared" si="264"/>
        <v/>
      </c>
      <c r="AY184" s="452" t="str">
        <f t="shared" si="264"/>
        <v/>
      </c>
      <c r="AZ184" s="453" t="str">
        <f t="shared" si="264"/>
        <v/>
      </c>
      <c r="BA184" s="451" t="str">
        <f t="shared" si="264"/>
        <v/>
      </c>
      <c r="BB184" s="452" t="str">
        <f t="shared" si="264"/>
        <v/>
      </c>
      <c r="BC184" s="452" t="str">
        <f t="shared" si="264"/>
        <v/>
      </c>
      <c r="BD184" s="452" t="str">
        <f t="shared" si="264"/>
        <v/>
      </c>
      <c r="BE184" s="453" t="str">
        <f t="shared" si="264"/>
        <v/>
      </c>
      <c r="BF184" s="451" t="str">
        <f t="shared" si="264"/>
        <v/>
      </c>
      <c r="BG184" s="452" t="str">
        <f t="shared" si="264"/>
        <v/>
      </c>
      <c r="BH184" s="452" t="str">
        <f t="shared" si="261"/>
        <v/>
      </c>
      <c r="BI184" s="452" t="str">
        <f t="shared" si="261"/>
        <v/>
      </c>
      <c r="BJ184" s="453" t="str">
        <f t="shared" si="261"/>
        <v/>
      </c>
      <c r="BK184" s="451" t="str">
        <f t="shared" si="261"/>
        <v/>
      </c>
      <c r="BL184" s="452" t="str">
        <f t="shared" si="261"/>
        <v/>
      </c>
      <c r="BM184" s="452" t="str">
        <f t="shared" si="261"/>
        <v/>
      </c>
      <c r="BN184" s="452" t="str">
        <f t="shared" si="261"/>
        <v/>
      </c>
      <c r="BO184" s="453" t="str">
        <f t="shared" si="261"/>
        <v/>
      </c>
      <c r="BP184" s="451" t="str">
        <f t="shared" si="261"/>
        <v/>
      </c>
      <c r="BQ184" s="452" t="str">
        <f t="shared" si="261"/>
        <v/>
      </c>
      <c r="BR184" s="452" t="str">
        <f t="shared" si="261"/>
        <v/>
      </c>
      <c r="BS184" s="452" t="str">
        <f t="shared" si="261"/>
        <v/>
      </c>
      <c r="BT184" s="453" t="str">
        <f t="shared" si="261"/>
        <v/>
      </c>
      <c r="BU184" s="451" t="str">
        <f t="shared" si="261"/>
        <v/>
      </c>
      <c r="BV184" s="452" t="str">
        <f t="shared" si="261"/>
        <v/>
      </c>
      <c r="BW184" s="452" t="str">
        <f t="shared" si="261"/>
        <v/>
      </c>
      <c r="BX184" s="452" t="str">
        <f t="shared" si="265"/>
        <v/>
      </c>
      <c r="BY184" s="453" t="str">
        <f t="shared" si="265"/>
        <v/>
      </c>
      <c r="BZ184" s="451" t="str">
        <f t="shared" si="265"/>
        <v/>
      </c>
      <c r="CA184" s="452" t="str">
        <f t="shared" si="265"/>
        <v/>
      </c>
      <c r="CB184" s="452" t="str">
        <f t="shared" si="265"/>
        <v/>
      </c>
      <c r="CC184" s="452" t="str">
        <f t="shared" si="265"/>
        <v/>
      </c>
      <c r="CD184" s="453" t="str">
        <f t="shared" si="265"/>
        <v/>
      </c>
      <c r="CE184" s="451" t="str">
        <f t="shared" si="265"/>
        <v/>
      </c>
      <c r="CF184" s="452" t="str">
        <f t="shared" si="265"/>
        <v/>
      </c>
      <c r="CG184" s="452" t="str">
        <f t="shared" si="265"/>
        <v/>
      </c>
      <c r="CH184" s="452" t="str">
        <f t="shared" si="265"/>
        <v/>
      </c>
      <c r="CI184" s="453" t="str">
        <f t="shared" si="265"/>
        <v/>
      </c>
      <c r="CJ184" s="451" t="str">
        <f t="shared" si="265"/>
        <v/>
      </c>
      <c r="CK184" s="452" t="str">
        <f t="shared" si="265"/>
        <v/>
      </c>
      <c r="CL184" s="452" t="str">
        <f t="shared" si="265"/>
        <v/>
      </c>
      <c r="CM184" s="452" t="str">
        <f t="shared" si="265"/>
        <v/>
      </c>
      <c r="CN184" s="453" t="str">
        <f t="shared" si="266"/>
        <v/>
      </c>
      <c r="CO184" s="451" t="str">
        <f t="shared" si="266"/>
        <v/>
      </c>
      <c r="CP184" s="452" t="str">
        <f t="shared" si="266"/>
        <v/>
      </c>
      <c r="CQ184" s="452" t="str">
        <f t="shared" si="266"/>
        <v/>
      </c>
      <c r="CR184" s="452" t="str">
        <f t="shared" si="266"/>
        <v/>
      </c>
      <c r="CS184" s="453" t="str">
        <f t="shared" si="266"/>
        <v/>
      </c>
      <c r="CT184" s="451" t="str">
        <f t="shared" si="266"/>
        <v/>
      </c>
      <c r="CU184" s="452" t="str">
        <f t="shared" si="266"/>
        <v/>
      </c>
      <c r="CV184" s="452" t="str">
        <f t="shared" si="266"/>
        <v/>
      </c>
      <c r="CW184" s="452" t="str">
        <f t="shared" si="266"/>
        <v/>
      </c>
      <c r="CX184" s="453" t="str">
        <f t="shared" si="266"/>
        <v/>
      </c>
      <c r="CY184" s="451" t="str">
        <f t="shared" si="266"/>
        <v/>
      </c>
      <c r="CZ184" s="452" t="str">
        <f t="shared" si="266"/>
        <v/>
      </c>
      <c r="DA184" s="452" t="str">
        <f t="shared" si="266"/>
        <v/>
      </c>
      <c r="DB184" s="452" t="str">
        <f t="shared" si="266"/>
        <v/>
      </c>
      <c r="DC184" s="453" t="str">
        <f t="shared" si="266"/>
        <v/>
      </c>
      <c r="DD184" s="451" t="str">
        <f t="shared" si="262"/>
        <v/>
      </c>
      <c r="DE184" s="452" t="str">
        <f t="shared" si="263"/>
        <v/>
      </c>
      <c r="DF184" s="452" t="str">
        <f t="shared" si="263"/>
        <v/>
      </c>
      <c r="DG184" s="452" t="str">
        <f t="shared" si="263"/>
        <v/>
      </c>
      <c r="DH184" s="453" t="str">
        <f t="shared" si="263"/>
        <v/>
      </c>
      <c r="DI184" s="451" t="str">
        <f t="shared" si="263"/>
        <v/>
      </c>
      <c r="DJ184" s="452" t="str">
        <f t="shared" si="263"/>
        <v/>
      </c>
      <c r="DK184" s="452" t="str">
        <f t="shared" si="263"/>
        <v/>
      </c>
      <c r="DL184" s="452" t="str">
        <f t="shared" si="263"/>
        <v/>
      </c>
      <c r="DM184" s="453" t="str">
        <f t="shared" si="263"/>
        <v/>
      </c>
      <c r="DN184" s="451" t="str">
        <f t="shared" si="263"/>
        <v/>
      </c>
      <c r="DO184" s="452" t="str">
        <f t="shared" si="263"/>
        <v/>
      </c>
      <c r="DP184" s="452" t="str">
        <f t="shared" si="263"/>
        <v/>
      </c>
      <c r="DQ184" s="452" t="str">
        <f t="shared" si="263"/>
        <v/>
      </c>
      <c r="DR184" s="453" t="str">
        <f t="shared" si="263"/>
        <v/>
      </c>
      <c r="DS184" s="451" t="str">
        <f t="shared" si="263"/>
        <v/>
      </c>
      <c r="DT184" s="452" t="str">
        <f t="shared" si="263"/>
        <v/>
      </c>
      <c r="DU184" s="452" t="str">
        <f t="shared" si="268"/>
        <v/>
      </c>
      <c r="DV184" s="452" t="str">
        <f t="shared" si="268"/>
        <v/>
      </c>
      <c r="DW184" s="453" t="str">
        <f t="shared" si="268"/>
        <v/>
      </c>
      <c r="DX184" s="451" t="str">
        <f t="shared" si="268"/>
        <v/>
      </c>
      <c r="DY184" s="452" t="str">
        <f t="shared" si="268"/>
        <v/>
      </c>
      <c r="DZ184" s="452" t="str">
        <f t="shared" si="268"/>
        <v/>
      </c>
      <c r="EA184" s="452" t="str">
        <f t="shared" si="268"/>
        <v/>
      </c>
      <c r="EB184" s="453" t="str">
        <f t="shared" si="268"/>
        <v/>
      </c>
      <c r="EC184" s="451" t="str">
        <f t="shared" si="268"/>
        <v/>
      </c>
      <c r="ED184" s="452" t="str">
        <f t="shared" si="268"/>
        <v/>
      </c>
      <c r="EE184" s="452" t="str">
        <f t="shared" si="268"/>
        <v/>
      </c>
      <c r="EF184" s="452" t="str">
        <f t="shared" si="268"/>
        <v/>
      </c>
      <c r="EG184" s="453" t="str">
        <f t="shared" si="268"/>
        <v/>
      </c>
      <c r="EH184" s="451" t="str">
        <f t="shared" si="268"/>
        <v/>
      </c>
      <c r="EI184" s="452" t="str">
        <f t="shared" si="268"/>
        <v/>
      </c>
      <c r="EJ184" s="452" t="str">
        <f t="shared" si="268"/>
        <v/>
      </c>
      <c r="EK184" s="452" t="str">
        <f t="shared" si="277"/>
        <v/>
      </c>
      <c r="EL184" s="453" t="str">
        <f t="shared" si="277"/>
        <v/>
      </c>
      <c r="EM184" s="451" t="str">
        <f t="shared" si="277"/>
        <v/>
      </c>
      <c r="EN184" s="452" t="str">
        <f t="shared" si="277"/>
        <v/>
      </c>
      <c r="EO184" s="452" t="str">
        <f t="shared" si="277"/>
        <v/>
      </c>
      <c r="EP184" s="452" t="str">
        <f t="shared" si="277"/>
        <v/>
      </c>
      <c r="EQ184" s="453" t="str">
        <f t="shared" si="277"/>
        <v/>
      </c>
      <c r="ER184" s="451" t="str">
        <f t="shared" si="277"/>
        <v/>
      </c>
      <c r="ES184" s="452" t="str">
        <f t="shared" si="277"/>
        <v/>
      </c>
      <c r="ET184" s="452" t="str">
        <f t="shared" si="277"/>
        <v/>
      </c>
      <c r="EU184" s="452" t="str">
        <f t="shared" si="277"/>
        <v/>
      </c>
      <c r="EV184" s="453" t="str">
        <f t="shared" si="277"/>
        <v/>
      </c>
      <c r="EW184" s="451" t="str">
        <f t="shared" si="277"/>
        <v/>
      </c>
      <c r="EX184" s="452" t="str">
        <f t="shared" si="277"/>
        <v/>
      </c>
      <c r="EY184" s="452" t="str">
        <f t="shared" si="277"/>
        <v/>
      </c>
      <c r="EZ184" s="452" t="str">
        <f t="shared" si="277"/>
        <v/>
      </c>
      <c r="FA184" s="453" t="str">
        <f t="shared" si="278"/>
        <v/>
      </c>
      <c r="FB184" s="451" t="str">
        <f t="shared" si="278"/>
        <v/>
      </c>
      <c r="FC184" s="452" t="str">
        <f t="shared" si="278"/>
        <v/>
      </c>
      <c r="FD184" s="452" t="str">
        <f t="shared" si="278"/>
        <v/>
      </c>
      <c r="FE184" s="452" t="str">
        <f t="shared" si="278"/>
        <v/>
      </c>
      <c r="FF184" s="453" t="str">
        <f t="shared" si="278"/>
        <v/>
      </c>
      <c r="FG184" s="451" t="str">
        <f t="shared" si="278"/>
        <v/>
      </c>
      <c r="FH184" s="452" t="str">
        <f t="shared" si="278"/>
        <v/>
      </c>
      <c r="FI184" s="452" t="str">
        <f t="shared" si="278"/>
        <v/>
      </c>
      <c r="FJ184" s="452" t="str">
        <f t="shared" si="278"/>
        <v/>
      </c>
      <c r="FK184" s="453" t="str">
        <f t="shared" si="278"/>
        <v/>
      </c>
      <c r="FL184" s="451" t="str">
        <f t="shared" si="278"/>
        <v/>
      </c>
      <c r="FM184" s="452" t="str">
        <f t="shared" si="278"/>
        <v/>
      </c>
      <c r="FN184" s="452" t="str">
        <f t="shared" si="278"/>
        <v/>
      </c>
      <c r="FO184" s="452" t="str">
        <f t="shared" si="278"/>
        <v/>
      </c>
      <c r="FP184" s="453" t="str">
        <f t="shared" si="278"/>
        <v/>
      </c>
      <c r="FQ184" s="451" t="str">
        <f t="shared" si="279"/>
        <v/>
      </c>
      <c r="FR184" s="452" t="str">
        <f t="shared" si="279"/>
        <v/>
      </c>
      <c r="FS184" s="452" t="str">
        <f t="shared" si="279"/>
        <v/>
      </c>
      <c r="FT184" s="452" t="str">
        <f t="shared" si="279"/>
        <v/>
      </c>
      <c r="FU184" s="453" t="str">
        <f t="shared" si="279"/>
        <v/>
      </c>
      <c r="FV184" s="451" t="str">
        <f t="shared" si="279"/>
        <v/>
      </c>
      <c r="FW184" s="452" t="str">
        <f t="shared" si="279"/>
        <v/>
      </c>
      <c r="FX184" s="452" t="str">
        <f t="shared" si="279"/>
        <v/>
      </c>
      <c r="FY184" s="452" t="str">
        <f t="shared" si="279"/>
        <v/>
      </c>
      <c r="FZ184" s="453" t="str">
        <f t="shared" si="279"/>
        <v/>
      </c>
      <c r="GA184" s="451" t="str">
        <f t="shared" si="279"/>
        <v/>
      </c>
      <c r="GB184" s="452" t="str">
        <f t="shared" si="279"/>
        <v/>
      </c>
      <c r="GC184" s="452" t="str">
        <f t="shared" si="279"/>
        <v/>
      </c>
      <c r="GD184" s="452" t="str">
        <f t="shared" si="272"/>
        <v/>
      </c>
      <c r="GE184" s="453" t="str">
        <f t="shared" si="272"/>
        <v/>
      </c>
      <c r="GF184" s="451" t="str">
        <f t="shared" si="272"/>
        <v/>
      </c>
      <c r="GG184" s="452" t="str">
        <f t="shared" si="272"/>
        <v/>
      </c>
      <c r="GH184" s="452" t="str">
        <f t="shared" si="272"/>
        <v/>
      </c>
      <c r="GI184" s="452" t="str">
        <f t="shared" si="272"/>
        <v/>
      </c>
      <c r="GJ184" s="453" t="str">
        <f t="shared" si="272"/>
        <v/>
      </c>
      <c r="GK184" s="451" t="str">
        <f t="shared" si="272"/>
        <v/>
      </c>
      <c r="GL184" s="452" t="str">
        <f t="shared" si="272"/>
        <v/>
      </c>
      <c r="GM184" s="452" t="str">
        <f t="shared" si="272"/>
        <v/>
      </c>
      <c r="GN184" s="452" t="str">
        <f t="shared" si="272"/>
        <v/>
      </c>
      <c r="GO184" s="453" t="str">
        <f t="shared" si="272"/>
        <v/>
      </c>
      <c r="GP184" s="451" t="str">
        <f t="shared" si="272"/>
        <v/>
      </c>
      <c r="GQ184" s="452" t="str">
        <f t="shared" si="272"/>
        <v/>
      </c>
      <c r="GR184" s="452" t="str">
        <f t="shared" si="273"/>
        <v/>
      </c>
      <c r="GS184" s="452" t="str">
        <f t="shared" si="273"/>
        <v/>
      </c>
      <c r="GT184" s="453" t="str">
        <f t="shared" si="273"/>
        <v/>
      </c>
      <c r="GU184" s="451" t="str">
        <f t="shared" si="273"/>
        <v/>
      </c>
      <c r="GV184" s="452" t="str">
        <f t="shared" si="273"/>
        <v/>
      </c>
      <c r="GW184" s="452" t="str">
        <f t="shared" si="273"/>
        <v/>
      </c>
      <c r="GX184" s="452" t="str">
        <f t="shared" si="273"/>
        <v/>
      </c>
      <c r="GY184" s="453" t="str">
        <f t="shared" si="273"/>
        <v/>
      </c>
      <c r="GZ184" s="451" t="str">
        <f t="shared" si="273"/>
        <v/>
      </c>
      <c r="HA184" s="452" t="str">
        <f t="shared" si="273"/>
        <v/>
      </c>
      <c r="HB184" s="452" t="str">
        <f t="shared" si="273"/>
        <v/>
      </c>
      <c r="HC184" s="452" t="str">
        <f t="shared" si="273"/>
        <v/>
      </c>
      <c r="HD184" s="453" t="str">
        <f t="shared" si="273"/>
        <v/>
      </c>
      <c r="HE184" s="451" t="str">
        <f t="shared" si="273"/>
        <v/>
      </c>
      <c r="HF184" s="452" t="str">
        <f t="shared" si="273"/>
        <v/>
      </c>
      <c r="HG184" s="452" t="str">
        <f t="shared" si="273"/>
        <v/>
      </c>
      <c r="HH184" s="452" t="str">
        <f t="shared" si="280"/>
        <v/>
      </c>
      <c r="HI184" s="453" t="str">
        <f t="shared" si="280"/>
        <v/>
      </c>
      <c r="HJ184" s="451" t="str">
        <f t="shared" si="280"/>
        <v/>
      </c>
      <c r="HK184" s="452" t="str">
        <f t="shared" si="280"/>
        <v/>
      </c>
      <c r="HL184" s="452" t="str">
        <f t="shared" si="280"/>
        <v/>
      </c>
      <c r="HM184" s="452" t="str">
        <f t="shared" si="280"/>
        <v/>
      </c>
      <c r="HN184" s="453" t="str">
        <f t="shared" si="280"/>
        <v/>
      </c>
      <c r="HO184" s="451" t="str">
        <f t="shared" si="280"/>
        <v/>
      </c>
      <c r="HP184" s="452" t="str">
        <f t="shared" si="280"/>
        <v/>
      </c>
      <c r="HQ184" s="452" t="str">
        <f t="shared" si="280"/>
        <v/>
      </c>
      <c r="HR184" s="452" t="str">
        <f t="shared" si="280"/>
        <v/>
      </c>
      <c r="HS184" s="453" t="str">
        <f t="shared" si="280"/>
        <v/>
      </c>
      <c r="HT184" s="451" t="str">
        <f t="shared" si="280"/>
        <v/>
      </c>
      <c r="HU184" s="452" t="str">
        <f t="shared" si="280"/>
        <v/>
      </c>
      <c r="HV184" s="452" t="str">
        <f t="shared" si="280"/>
        <v/>
      </c>
      <c r="HW184" s="452" t="str">
        <f t="shared" si="280"/>
        <v/>
      </c>
      <c r="HX184" s="453" t="str">
        <f t="shared" si="281"/>
        <v/>
      </c>
      <c r="HY184" s="451" t="str">
        <f t="shared" si="281"/>
        <v/>
      </c>
      <c r="HZ184" s="452" t="str">
        <f t="shared" si="281"/>
        <v/>
      </c>
      <c r="IA184" s="452" t="str">
        <f t="shared" si="281"/>
        <v/>
      </c>
      <c r="IB184" s="452" t="str">
        <f t="shared" si="281"/>
        <v/>
      </c>
      <c r="IC184" s="453" t="str">
        <f t="shared" si="281"/>
        <v/>
      </c>
      <c r="ID184" s="451" t="str">
        <f t="shared" si="281"/>
        <v/>
      </c>
      <c r="IE184" s="452" t="str">
        <f t="shared" si="281"/>
        <v/>
      </c>
      <c r="IF184" s="452" t="str">
        <f t="shared" si="281"/>
        <v/>
      </c>
      <c r="IG184" s="452" t="str">
        <f t="shared" si="281"/>
        <v/>
      </c>
      <c r="IH184" s="453" t="str">
        <f t="shared" si="281"/>
        <v/>
      </c>
      <c r="II184" s="451" t="str">
        <f t="shared" si="281"/>
        <v/>
      </c>
      <c r="IJ184" s="452" t="str">
        <f t="shared" si="281"/>
        <v/>
      </c>
      <c r="IK184" s="452" t="str">
        <f t="shared" si="281"/>
        <v/>
      </c>
      <c r="IL184" s="452" t="str">
        <f t="shared" si="281"/>
        <v/>
      </c>
      <c r="IM184" s="453" t="str">
        <f t="shared" si="281"/>
        <v/>
      </c>
      <c r="IN184" s="451" t="str">
        <f t="shared" si="281"/>
        <v/>
      </c>
      <c r="IO184" s="452" t="str">
        <f t="shared" ref="IO184:IR199" si="282">IF(AND(IO$2&gt;=$J184,IO$2&lt;=$K184),1,"")</f>
        <v/>
      </c>
      <c r="IP184" s="452" t="str">
        <f t="shared" si="282"/>
        <v/>
      </c>
      <c r="IQ184" s="452" t="str">
        <f t="shared" si="282"/>
        <v/>
      </c>
      <c r="IR184" s="453" t="str">
        <f t="shared" si="282"/>
        <v/>
      </c>
    </row>
    <row r="185" spans="1:252" x14ac:dyDescent="0.2">
      <c r="A185" s="461">
        <v>17.5</v>
      </c>
      <c r="C185" s="447" t="s">
        <v>1355</v>
      </c>
      <c r="D185" s="447"/>
      <c r="E185" s="448"/>
      <c r="F185" s="448"/>
      <c r="G185" s="448"/>
      <c r="H185" s="448"/>
      <c r="I185" s="448"/>
      <c r="J185" s="449" t="str">
        <f t="shared" si="275"/>
        <v/>
      </c>
      <c r="K185" s="449" t="str">
        <f t="shared" si="276"/>
        <v/>
      </c>
      <c r="L185" s="450">
        <f t="shared" si="270"/>
        <v>0</v>
      </c>
      <c r="M185" s="451" t="str">
        <f t="shared" si="259"/>
        <v/>
      </c>
      <c r="N185" s="452" t="str">
        <f t="shared" si="259"/>
        <v/>
      </c>
      <c r="O185" s="452" t="str">
        <f t="shared" si="259"/>
        <v/>
      </c>
      <c r="P185" s="452" t="str">
        <f t="shared" si="259"/>
        <v/>
      </c>
      <c r="Q185" s="453" t="str">
        <f t="shared" si="259"/>
        <v/>
      </c>
      <c r="R185" s="451" t="str">
        <f t="shared" si="259"/>
        <v/>
      </c>
      <c r="S185" s="452" t="str">
        <f t="shared" si="259"/>
        <v/>
      </c>
      <c r="T185" s="452" t="str">
        <f t="shared" si="259"/>
        <v/>
      </c>
      <c r="U185" s="452" t="str">
        <f t="shared" si="259"/>
        <v/>
      </c>
      <c r="V185" s="453" t="str">
        <f t="shared" si="259"/>
        <v/>
      </c>
      <c r="W185" s="451" t="str">
        <f t="shared" si="259"/>
        <v/>
      </c>
      <c r="X185" s="452" t="str">
        <f t="shared" si="259"/>
        <v/>
      </c>
      <c r="Y185" s="452" t="str">
        <f t="shared" si="259"/>
        <v/>
      </c>
      <c r="Z185" s="452" t="str">
        <f t="shared" si="259"/>
        <v/>
      </c>
      <c r="AA185" s="453" t="str">
        <f t="shared" si="259"/>
        <v/>
      </c>
      <c r="AB185" s="451" t="str">
        <f t="shared" si="259"/>
        <v/>
      </c>
      <c r="AC185" s="452" t="str">
        <f t="shared" si="267"/>
        <v/>
      </c>
      <c r="AD185" s="452" t="str">
        <f t="shared" si="267"/>
        <v/>
      </c>
      <c r="AE185" s="452" t="str">
        <f t="shared" si="267"/>
        <v/>
      </c>
      <c r="AF185" s="453" t="str">
        <f t="shared" si="267"/>
        <v/>
      </c>
      <c r="AG185" s="451" t="str">
        <f t="shared" si="267"/>
        <v/>
      </c>
      <c r="AH185" s="452" t="str">
        <f t="shared" si="267"/>
        <v/>
      </c>
      <c r="AI185" s="452" t="str">
        <f t="shared" si="267"/>
        <v/>
      </c>
      <c r="AJ185" s="452" t="str">
        <f t="shared" si="267"/>
        <v/>
      </c>
      <c r="AK185" s="453" t="str">
        <f t="shared" si="267"/>
        <v/>
      </c>
      <c r="AL185" s="451" t="str">
        <f t="shared" si="267"/>
        <v/>
      </c>
      <c r="AM185" s="452" t="str">
        <f t="shared" si="267"/>
        <v/>
      </c>
      <c r="AN185" s="452" t="str">
        <f t="shared" si="267"/>
        <v/>
      </c>
      <c r="AO185" s="452" t="str">
        <f t="shared" si="267"/>
        <v/>
      </c>
      <c r="AP185" s="453" t="str">
        <f t="shared" si="267"/>
        <v/>
      </c>
      <c r="AQ185" s="451" t="str">
        <f t="shared" si="267"/>
        <v/>
      </c>
      <c r="AR185" s="452" t="str">
        <f t="shared" si="267"/>
        <v/>
      </c>
      <c r="AS185" s="452" t="str">
        <f t="shared" si="264"/>
        <v/>
      </c>
      <c r="AT185" s="452" t="str">
        <f t="shared" si="264"/>
        <v/>
      </c>
      <c r="AU185" s="453" t="str">
        <f t="shared" si="264"/>
        <v/>
      </c>
      <c r="AV185" s="451" t="str">
        <f t="shared" si="264"/>
        <v/>
      </c>
      <c r="AW185" s="452" t="str">
        <f t="shared" si="264"/>
        <v/>
      </c>
      <c r="AX185" s="452" t="str">
        <f t="shared" si="264"/>
        <v/>
      </c>
      <c r="AY185" s="452" t="str">
        <f t="shared" si="264"/>
        <v/>
      </c>
      <c r="AZ185" s="453" t="str">
        <f t="shared" si="264"/>
        <v/>
      </c>
      <c r="BA185" s="451" t="str">
        <f t="shared" si="264"/>
        <v/>
      </c>
      <c r="BB185" s="452" t="str">
        <f t="shared" si="264"/>
        <v/>
      </c>
      <c r="BC185" s="452" t="str">
        <f t="shared" si="264"/>
        <v/>
      </c>
      <c r="BD185" s="452" t="str">
        <f t="shared" si="264"/>
        <v/>
      </c>
      <c r="BE185" s="453" t="str">
        <f t="shared" si="264"/>
        <v/>
      </c>
      <c r="BF185" s="451" t="str">
        <f t="shared" si="264"/>
        <v/>
      </c>
      <c r="BG185" s="452" t="str">
        <f t="shared" si="264"/>
        <v/>
      </c>
      <c r="BH185" s="452" t="str">
        <f t="shared" si="261"/>
        <v/>
      </c>
      <c r="BI185" s="452" t="str">
        <f t="shared" si="261"/>
        <v/>
      </c>
      <c r="BJ185" s="453" t="str">
        <f t="shared" si="261"/>
        <v/>
      </c>
      <c r="BK185" s="451" t="str">
        <f t="shared" si="261"/>
        <v/>
      </c>
      <c r="BL185" s="452" t="str">
        <f t="shared" si="261"/>
        <v/>
      </c>
      <c r="BM185" s="452" t="str">
        <f t="shared" si="261"/>
        <v/>
      </c>
      <c r="BN185" s="452" t="str">
        <f t="shared" si="261"/>
        <v/>
      </c>
      <c r="BO185" s="453" t="str">
        <f t="shared" si="261"/>
        <v/>
      </c>
      <c r="BP185" s="451" t="str">
        <f t="shared" si="261"/>
        <v/>
      </c>
      <c r="BQ185" s="452" t="str">
        <f t="shared" si="261"/>
        <v/>
      </c>
      <c r="BR185" s="452" t="str">
        <f t="shared" si="261"/>
        <v/>
      </c>
      <c r="BS185" s="452" t="str">
        <f t="shared" si="261"/>
        <v/>
      </c>
      <c r="BT185" s="453" t="str">
        <f t="shared" si="261"/>
        <v/>
      </c>
      <c r="BU185" s="451" t="str">
        <f t="shared" si="261"/>
        <v/>
      </c>
      <c r="BV185" s="452" t="str">
        <f t="shared" si="261"/>
        <v/>
      </c>
      <c r="BW185" s="452" t="str">
        <f t="shared" si="261"/>
        <v/>
      </c>
      <c r="BX185" s="452" t="str">
        <f t="shared" si="265"/>
        <v/>
      </c>
      <c r="BY185" s="453" t="str">
        <f t="shared" si="265"/>
        <v/>
      </c>
      <c r="BZ185" s="451" t="str">
        <f t="shared" si="265"/>
        <v/>
      </c>
      <c r="CA185" s="452" t="str">
        <f t="shared" si="265"/>
        <v/>
      </c>
      <c r="CB185" s="452" t="str">
        <f t="shared" si="265"/>
        <v/>
      </c>
      <c r="CC185" s="452" t="str">
        <f t="shared" si="265"/>
        <v/>
      </c>
      <c r="CD185" s="453" t="str">
        <f t="shared" si="265"/>
        <v/>
      </c>
      <c r="CE185" s="451" t="str">
        <f t="shared" si="265"/>
        <v/>
      </c>
      <c r="CF185" s="452" t="str">
        <f t="shared" si="265"/>
        <v/>
      </c>
      <c r="CG185" s="452" t="str">
        <f t="shared" si="265"/>
        <v/>
      </c>
      <c r="CH185" s="452" t="str">
        <f t="shared" si="265"/>
        <v/>
      </c>
      <c r="CI185" s="453" t="str">
        <f t="shared" si="265"/>
        <v/>
      </c>
      <c r="CJ185" s="451" t="str">
        <f t="shared" si="265"/>
        <v/>
      </c>
      <c r="CK185" s="452" t="str">
        <f t="shared" si="265"/>
        <v/>
      </c>
      <c r="CL185" s="452" t="str">
        <f t="shared" si="265"/>
        <v/>
      </c>
      <c r="CM185" s="452" t="str">
        <f t="shared" si="265"/>
        <v/>
      </c>
      <c r="CN185" s="453" t="str">
        <f t="shared" si="266"/>
        <v/>
      </c>
      <c r="CO185" s="451" t="str">
        <f t="shared" si="266"/>
        <v/>
      </c>
      <c r="CP185" s="452" t="str">
        <f t="shared" si="266"/>
        <v/>
      </c>
      <c r="CQ185" s="452" t="str">
        <f t="shared" si="266"/>
        <v/>
      </c>
      <c r="CR185" s="452" t="str">
        <f t="shared" si="266"/>
        <v/>
      </c>
      <c r="CS185" s="453" t="str">
        <f t="shared" si="266"/>
        <v/>
      </c>
      <c r="CT185" s="451" t="str">
        <f t="shared" si="266"/>
        <v/>
      </c>
      <c r="CU185" s="452" t="str">
        <f t="shared" si="266"/>
        <v/>
      </c>
      <c r="CV185" s="452" t="str">
        <f t="shared" si="266"/>
        <v/>
      </c>
      <c r="CW185" s="452" t="str">
        <f t="shared" si="266"/>
        <v/>
      </c>
      <c r="CX185" s="453" t="str">
        <f t="shared" si="266"/>
        <v/>
      </c>
      <c r="CY185" s="451" t="str">
        <f t="shared" si="266"/>
        <v/>
      </c>
      <c r="CZ185" s="452" t="str">
        <f t="shared" si="266"/>
        <v/>
      </c>
      <c r="DA185" s="452" t="str">
        <f t="shared" si="266"/>
        <v/>
      </c>
      <c r="DB185" s="452" t="str">
        <f t="shared" si="266"/>
        <v/>
      </c>
      <c r="DC185" s="453" t="str">
        <f t="shared" si="266"/>
        <v/>
      </c>
      <c r="DD185" s="451" t="str">
        <f t="shared" si="262"/>
        <v/>
      </c>
      <c r="DE185" s="452" t="str">
        <f t="shared" si="263"/>
        <v/>
      </c>
      <c r="DF185" s="452" t="str">
        <f t="shared" si="263"/>
        <v/>
      </c>
      <c r="DG185" s="452" t="str">
        <f t="shared" si="263"/>
        <v/>
      </c>
      <c r="DH185" s="453" t="str">
        <f t="shared" si="263"/>
        <v/>
      </c>
      <c r="DI185" s="451" t="str">
        <f t="shared" si="263"/>
        <v/>
      </c>
      <c r="DJ185" s="452" t="str">
        <f t="shared" si="263"/>
        <v/>
      </c>
      <c r="DK185" s="452" t="str">
        <f t="shared" si="263"/>
        <v/>
      </c>
      <c r="DL185" s="452" t="str">
        <f t="shared" si="263"/>
        <v/>
      </c>
      <c r="DM185" s="453" t="str">
        <f t="shared" si="263"/>
        <v/>
      </c>
      <c r="DN185" s="451" t="str">
        <f t="shared" si="263"/>
        <v/>
      </c>
      <c r="DO185" s="452" t="str">
        <f t="shared" si="263"/>
        <v/>
      </c>
      <c r="DP185" s="452" t="str">
        <f t="shared" si="263"/>
        <v/>
      </c>
      <c r="DQ185" s="452" t="str">
        <f t="shared" si="263"/>
        <v/>
      </c>
      <c r="DR185" s="453" t="str">
        <f t="shared" si="263"/>
        <v/>
      </c>
      <c r="DS185" s="451" t="str">
        <f t="shared" si="263"/>
        <v/>
      </c>
      <c r="DT185" s="452" t="str">
        <f t="shared" si="263"/>
        <v/>
      </c>
      <c r="DU185" s="452" t="str">
        <f t="shared" si="268"/>
        <v/>
      </c>
      <c r="DV185" s="452" t="str">
        <f t="shared" si="268"/>
        <v/>
      </c>
      <c r="DW185" s="453" t="str">
        <f t="shared" si="268"/>
        <v/>
      </c>
      <c r="DX185" s="451" t="str">
        <f t="shared" si="268"/>
        <v/>
      </c>
      <c r="DY185" s="452" t="str">
        <f t="shared" si="268"/>
        <v/>
      </c>
      <c r="DZ185" s="452" t="str">
        <f t="shared" si="268"/>
        <v/>
      </c>
      <c r="EA185" s="452" t="str">
        <f t="shared" si="268"/>
        <v/>
      </c>
      <c r="EB185" s="453" t="str">
        <f t="shared" si="268"/>
        <v/>
      </c>
      <c r="EC185" s="451" t="str">
        <f t="shared" si="268"/>
        <v/>
      </c>
      <c r="ED185" s="452" t="str">
        <f t="shared" si="268"/>
        <v/>
      </c>
      <c r="EE185" s="452" t="str">
        <f t="shared" si="268"/>
        <v/>
      </c>
      <c r="EF185" s="452" t="str">
        <f t="shared" si="268"/>
        <v/>
      </c>
      <c r="EG185" s="453" t="str">
        <f t="shared" si="268"/>
        <v/>
      </c>
      <c r="EH185" s="451" t="str">
        <f t="shared" si="268"/>
        <v/>
      </c>
      <c r="EI185" s="452" t="str">
        <f t="shared" si="268"/>
        <v/>
      </c>
      <c r="EJ185" s="452" t="str">
        <f t="shared" si="268"/>
        <v/>
      </c>
      <c r="EK185" s="452" t="str">
        <f t="shared" si="277"/>
        <v/>
      </c>
      <c r="EL185" s="453" t="str">
        <f t="shared" si="277"/>
        <v/>
      </c>
      <c r="EM185" s="451" t="str">
        <f t="shared" si="277"/>
        <v/>
      </c>
      <c r="EN185" s="452" t="str">
        <f t="shared" si="277"/>
        <v/>
      </c>
      <c r="EO185" s="452" t="str">
        <f t="shared" si="277"/>
        <v/>
      </c>
      <c r="EP185" s="452" t="str">
        <f t="shared" si="277"/>
        <v/>
      </c>
      <c r="EQ185" s="453" t="str">
        <f t="shared" si="277"/>
        <v/>
      </c>
      <c r="ER185" s="451" t="str">
        <f t="shared" si="277"/>
        <v/>
      </c>
      <c r="ES185" s="452" t="str">
        <f t="shared" si="277"/>
        <v/>
      </c>
      <c r="ET185" s="452" t="str">
        <f t="shared" si="277"/>
        <v/>
      </c>
      <c r="EU185" s="452" t="str">
        <f t="shared" si="277"/>
        <v/>
      </c>
      <c r="EV185" s="453" t="str">
        <f t="shared" si="277"/>
        <v/>
      </c>
      <c r="EW185" s="451" t="str">
        <f t="shared" si="277"/>
        <v/>
      </c>
      <c r="EX185" s="452" t="str">
        <f t="shared" si="277"/>
        <v/>
      </c>
      <c r="EY185" s="452" t="str">
        <f t="shared" si="277"/>
        <v/>
      </c>
      <c r="EZ185" s="452" t="str">
        <f t="shared" si="277"/>
        <v/>
      </c>
      <c r="FA185" s="453" t="str">
        <f t="shared" si="278"/>
        <v/>
      </c>
      <c r="FB185" s="451" t="str">
        <f t="shared" si="278"/>
        <v/>
      </c>
      <c r="FC185" s="452" t="str">
        <f t="shared" si="278"/>
        <v/>
      </c>
      <c r="FD185" s="452" t="str">
        <f t="shared" si="278"/>
        <v/>
      </c>
      <c r="FE185" s="452" t="str">
        <f t="shared" si="278"/>
        <v/>
      </c>
      <c r="FF185" s="453" t="str">
        <f t="shared" si="278"/>
        <v/>
      </c>
      <c r="FG185" s="451" t="str">
        <f t="shared" si="278"/>
        <v/>
      </c>
      <c r="FH185" s="452" t="str">
        <f t="shared" si="278"/>
        <v/>
      </c>
      <c r="FI185" s="452" t="str">
        <f t="shared" si="278"/>
        <v/>
      </c>
      <c r="FJ185" s="452" t="str">
        <f t="shared" si="278"/>
        <v/>
      </c>
      <c r="FK185" s="453" t="str">
        <f t="shared" si="278"/>
        <v/>
      </c>
      <c r="FL185" s="451" t="str">
        <f t="shared" si="278"/>
        <v/>
      </c>
      <c r="FM185" s="452" t="str">
        <f t="shared" si="278"/>
        <v/>
      </c>
      <c r="FN185" s="452" t="str">
        <f t="shared" si="278"/>
        <v/>
      </c>
      <c r="FO185" s="452" t="str">
        <f t="shared" si="278"/>
        <v/>
      </c>
      <c r="FP185" s="453" t="str">
        <f t="shared" si="278"/>
        <v/>
      </c>
      <c r="FQ185" s="451" t="str">
        <f t="shared" si="279"/>
        <v/>
      </c>
      <c r="FR185" s="452" t="str">
        <f t="shared" si="279"/>
        <v/>
      </c>
      <c r="FS185" s="452" t="str">
        <f t="shared" si="279"/>
        <v/>
      </c>
      <c r="FT185" s="452" t="str">
        <f t="shared" si="279"/>
        <v/>
      </c>
      <c r="FU185" s="453" t="str">
        <f t="shared" si="279"/>
        <v/>
      </c>
      <c r="FV185" s="451" t="str">
        <f t="shared" si="279"/>
        <v/>
      </c>
      <c r="FW185" s="452" t="str">
        <f t="shared" si="279"/>
        <v/>
      </c>
      <c r="FX185" s="452" t="str">
        <f t="shared" si="279"/>
        <v/>
      </c>
      <c r="FY185" s="452" t="str">
        <f t="shared" si="279"/>
        <v/>
      </c>
      <c r="FZ185" s="453" t="str">
        <f t="shared" si="279"/>
        <v/>
      </c>
      <c r="GA185" s="451" t="str">
        <f t="shared" si="279"/>
        <v/>
      </c>
      <c r="GB185" s="452" t="str">
        <f t="shared" si="279"/>
        <v/>
      </c>
      <c r="GC185" s="452" t="str">
        <f t="shared" si="279"/>
        <v/>
      </c>
      <c r="GD185" s="452" t="str">
        <f t="shared" si="272"/>
        <v/>
      </c>
      <c r="GE185" s="453" t="str">
        <f t="shared" si="272"/>
        <v/>
      </c>
      <c r="GF185" s="451" t="str">
        <f t="shared" si="272"/>
        <v/>
      </c>
      <c r="GG185" s="452" t="str">
        <f t="shared" si="272"/>
        <v/>
      </c>
      <c r="GH185" s="452" t="str">
        <f t="shared" si="272"/>
        <v/>
      </c>
      <c r="GI185" s="452" t="str">
        <f t="shared" si="272"/>
        <v/>
      </c>
      <c r="GJ185" s="453" t="str">
        <f t="shared" si="272"/>
        <v/>
      </c>
      <c r="GK185" s="451" t="str">
        <f t="shared" si="272"/>
        <v/>
      </c>
      <c r="GL185" s="452" t="str">
        <f t="shared" si="272"/>
        <v/>
      </c>
      <c r="GM185" s="452" t="str">
        <f t="shared" si="272"/>
        <v/>
      </c>
      <c r="GN185" s="452" t="str">
        <f t="shared" si="272"/>
        <v/>
      </c>
      <c r="GO185" s="453" t="str">
        <f t="shared" si="272"/>
        <v/>
      </c>
      <c r="GP185" s="451" t="str">
        <f t="shared" si="272"/>
        <v/>
      </c>
      <c r="GQ185" s="452" t="str">
        <f t="shared" si="272"/>
        <v/>
      </c>
      <c r="GR185" s="452" t="str">
        <f t="shared" si="273"/>
        <v/>
      </c>
      <c r="GS185" s="452" t="str">
        <f t="shared" si="273"/>
        <v/>
      </c>
      <c r="GT185" s="453" t="str">
        <f t="shared" si="273"/>
        <v/>
      </c>
      <c r="GU185" s="451" t="str">
        <f t="shared" si="273"/>
        <v/>
      </c>
      <c r="GV185" s="452" t="str">
        <f t="shared" si="273"/>
        <v/>
      </c>
      <c r="GW185" s="452" t="str">
        <f t="shared" si="273"/>
        <v/>
      </c>
      <c r="GX185" s="452" t="str">
        <f t="shared" si="273"/>
        <v/>
      </c>
      <c r="GY185" s="453" t="str">
        <f t="shared" si="273"/>
        <v/>
      </c>
      <c r="GZ185" s="451" t="str">
        <f t="shared" si="273"/>
        <v/>
      </c>
      <c r="HA185" s="452" t="str">
        <f t="shared" si="273"/>
        <v/>
      </c>
      <c r="HB185" s="452" t="str">
        <f t="shared" si="273"/>
        <v/>
      </c>
      <c r="HC185" s="452" t="str">
        <f t="shared" si="273"/>
        <v/>
      </c>
      <c r="HD185" s="453" t="str">
        <f t="shared" si="273"/>
        <v/>
      </c>
      <c r="HE185" s="451" t="str">
        <f t="shared" si="273"/>
        <v/>
      </c>
      <c r="HF185" s="452" t="str">
        <f t="shared" si="273"/>
        <v/>
      </c>
      <c r="HG185" s="452" t="str">
        <f t="shared" si="273"/>
        <v/>
      </c>
      <c r="HH185" s="452" t="str">
        <f t="shared" si="280"/>
        <v/>
      </c>
      <c r="HI185" s="453" t="str">
        <f t="shared" si="280"/>
        <v/>
      </c>
      <c r="HJ185" s="451" t="str">
        <f t="shared" si="280"/>
        <v/>
      </c>
      <c r="HK185" s="452" t="str">
        <f t="shared" si="280"/>
        <v/>
      </c>
      <c r="HL185" s="452" t="str">
        <f t="shared" si="280"/>
        <v/>
      </c>
      <c r="HM185" s="452" t="str">
        <f t="shared" si="280"/>
        <v/>
      </c>
      <c r="HN185" s="453" t="str">
        <f t="shared" si="280"/>
        <v/>
      </c>
      <c r="HO185" s="451" t="str">
        <f t="shared" si="280"/>
        <v/>
      </c>
      <c r="HP185" s="452" t="str">
        <f t="shared" si="280"/>
        <v/>
      </c>
      <c r="HQ185" s="452" t="str">
        <f t="shared" si="280"/>
        <v/>
      </c>
      <c r="HR185" s="452" t="str">
        <f t="shared" si="280"/>
        <v/>
      </c>
      <c r="HS185" s="453" t="str">
        <f t="shared" si="280"/>
        <v/>
      </c>
      <c r="HT185" s="451" t="str">
        <f t="shared" si="280"/>
        <v/>
      </c>
      <c r="HU185" s="452" t="str">
        <f t="shared" si="280"/>
        <v/>
      </c>
      <c r="HV185" s="452" t="str">
        <f t="shared" si="280"/>
        <v/>
      </c>
      <c r="HW185" s="452" t="str">
        <f t="shared" si="280"/>
        <v/>
      </c>
      <c r="HX185" s="453" t="str">
        <f t="shared" si="281"/>
        <v/>
      </c>
      <c r="HY185" s="451" t="str">
        <f t="shared" si="281"/>
        <v/>
      </c>
      <c r="HZ185" s="452" t="str">
        <f t="shared" si="281"/>
        <v/>
      </c>
      <c r="IA185" s="452" t="str">
        <f t="shared" si="281"/>
        <v/>
      </c>
      <c r="IB185" s="452" t="str">
        <f t="shared" si="281"/>
        <v/>
      </c>
      <c r="IC185" s="453" t="str">
        <f t="shared" si="281"/>
        <v/>
      </c>
      <c r="ID185" s="451" t="str">
        <f t="shared" si="281"/>
        <v/>
      </c>
      <c r="IE185" s="452" t="str">
        <f t="shared" si="281"/>
        <v/>
      </c>
      <c r="IF185" s="452" t="str">
        <f t="shared" si="281"/>
        <v/>
      </c>
      <c r="IG185" s="452" t="str">
        <f t="shared" si="281"/>
        <v/>
      </c>
      <c r="IH185" s="453" t="str">
        <f t="shared" si="281"/>
        <v/>
      </c>
      <c r="II185" s="451" t="str">
        <f t="shared" si="281"/>
        <v/>
      </c>
      <c r="IJ185" s="452" t="str">
        <f t="shared" si="281"/>
        <v/>
      </c>
      <c r="IK185" s="452" t="str">
        <f t="shared" si="281"/>
        <v/>
      </c>
      <c r="IL185" s="452" t="str">
        <f t="shared" si="281"/>
        <v/>
      </c>
      <c r="IM185" s="453" t="str">
        <f t="shared" si="281"/>
        <v/>
      </c>
      <c r="IN185" s="451" t="str">
        <f t="shared" si="281"/>
        <v/>
      </c>
      <c r="IO185" s="452" t="str">
        <f t="shared" si="282"/>
        <v/>
      </c>
      <c r="IP185" s="452" t="str">
        <f t="shared" si="282"/>
        <v/>
      </c>
      <c r="IQ185" s="452" t="str">
        <f t="shared" si="260"/>
        <v/>
      </c>
      <c r="IR185" s="453" t="str">
        <f t="shared" si="260"/>
        <v/>
      </c>
    </row>
    <row r="186" spans="1:252" x14ac:dyDescent="0.2">
      <c r="A186" s="461">
        <v>17.600000000000001</v>
      </c>
      <c r="C186" s="447" t="s">
        <v>1356</v>
      </c>
      <c r="D186" s="447"/>
      <c r="E186" s="448"/>
      <c r="F186" s="448"/>
      <c r="G186" s="448"/>
      <c r="H186" s="448"/>
      <c r="I186" s="448"/>
      <c r="J186" s="449" t="str">
        <f t="shared" si="275"/>
        <v/>
      </c>
      <c r="K186" s="449" t="str">
        <f t="shared" si="276"/>
        <v/>
      </c>
      <c r="L186" s="450">
        <f t="shared" si="270"/>
        <v>0</v>
      </c>
      <c r="M186" s="451" t="str">
        <f t="shared" si="259"/>
        <v/>
      </c>
      <c r="N186" s="452" t="str">
        <f t="shared" si="259"/>
        <v/>
      </c>
      <c r="O186" s="452" t="str">
        <f t="shared" si="259"/>
        <v/>
      </c>
      <c r="P186" s="452" t="str">
        <f t="shared" si="259"/>
        <v/>
      </c>
      <c r="Q186" s="453" t="str">
        <f t="shared" si="259"/>
        <v/>
      </c>
      <c r="R186" s="451" t="str">
        <f t="shared" si="259"/>
        <v/>
      </c>
      <c r="S186" s="452" t="str">
        <f t="shared" si="259"/>
        <v/>
      </c>
      <c r="T186" s="452" t="str">
        <f t="shared" si="259"/>
        <v/>
      </c>
      <c r="U186" s="452" t="str">
        <f t="shared" si="259"/>
        <v/>
      </c>
      <c r="V186" s="453" t="str">
        <f t="shared" si="259"/>
        <v/>
      </c>
      <c r="W186" s="451" t="str">
        <f t="shared" si="259"/>
        <v/>
      </c>
      <c r="X186" s="452" t="str">
        <f t="shared" si="259"/>
        <v/>
      </c>
      <c r="Y186" s="452" t="str">
        <f t="shared" si="259"/>
        <v/>
      </c>
      <c r="Z186" s="452" t="str">
        <f t="shared" si="259"/>
        <v/>
      </c>
      <c r="AA186" s="453" t="str">
        <f t="shared" si="259"/>
        <v/>
      </c>
      <c r="AB186" s="451" t="str">
        <f t="shared" si="259"/>
        <v/>
      </c>
      <c r="AC186" s="452" t="str">
        <f t="shared" si="267"/>
        <v/>
      </c>
      <c r="AD186" s="452" t="str">
        <f t="shared" si="267"/>
        <v/>
      </c>
      <c r="AE186" s="452" t="str">
        <f t="shared" si="267"/>
        <v/>
      </c>
      <c r="AF186" s="453" t="str">
        <f t="shared" si="267"/>
        <v/>
      </c>
      <c r="AG186" s="451" t="str">
        <f t="shared" si="267"/>
        <v/>
      </c>
      <c r="AH186" s="452" t="str">
        <f t="shared" si="267"/>
        <v/>
      </c>
      <c r="AI186" s="452" t="str">
        <f t="shared" si="267"/>
        <v/>
      </c>
      <c r="AJ186" s="452" t="str">
        <f t="shared" si="267"/>
        <v/>
      </c>
      <c r="AK186" s="453" t="str">
        <f t="shared" si="267"/>
        <v/>
      </c>
      <c r="AL186" s="451" t="str">
        <f t="shared" si="267"/>
        <v/>
      </c>
      <c r="AM186" s="452" t="str">
        <f t="shared" si="267"/>
        <v/>
      </c>
      <c r="AN186" s="452" t="str">
        <f t="shared" si="267"/>
        <v/>
      </c>
      <c r="AO186" s="452" t="str">
        <f t="shared" si="267"/>
        <v/>
      </c>
      <c r="AP186" s="453" t="str">
        <f t="shared" si="267"/>
        <v/>
      </c>
      <c r="AQ186" s="451" t="str">
        <f t="shared" si="267"/>
        <v/>
      </c>
      <c r="AR186" s="452" t="str">
        <f t="shared" si="267"/>
        <v/>
      </c>
      <c r="AS186" s="452" t="str">
        <f t="shared" si="264"/>
        <v/>
      </c>
      <c r="AT186" s="452" t="str">
        <f t="shared" si="264"/>
        <v/>
      </c>
      <c r="AU186" s="453" t="str">
        <f t="shared" si="264"/>
        <v/>
      </c>
      <c r="AV186" s="451" t="str">
        <f t="shared" si="264"/>
        <v/>
      </c>
      <c r="AW186" s="452" t="str">
        <f t="shared" si="264"/>
        <v/>
      </c>
      <c r="AX186" s="452" t="str">
        <f t="shared" si="264"/>
        <v/>
      </c>
      <c r="AY186" s="452" t="str">
        <f t="shared" si="264"/>
        <v/>
      </c>
      <c r="AZ186" s="453" t="str">
        <f t="shared" si="264"/>
        <v/>
      </c>
      <c r="BA186" s="451" t="str">
        <f t="shared" si="264"/>
        <v/>
      </c>
      <c r="BB186" s="452" t="str">
        <f t="shared" si="264"/>
        <v/>
      </c>
      <c r="BC186" s="452" t="str">
        <f t="shared" si="264"/>
        <v/>
      </c>
      <c r="BD186" s="452" t="str">
        <f t="shared" si="264"/>
        <v/>
      </c>
      <c r="BE186" s="453" t="str">
        <f t="shared" si="264"/>
        <v/>
      </c>
      <c r="BF186" s="451" t="str">
        <f t="shared" si="264"/>
        <v/>
      </c>
      <c r="BG186" s="452" t="str">
        <f t="shared" si="264"/>
        <v/>
      </c>
      <c r="BH186" s="452" t="str">
        <f t="shared" si="261"/>
        <v/>
      </c>
      <c r="BI186" s="452" t="str">
        <f t="shared" si="261"/>
        <v/>
      </c>
      <c r="BJ186" s="453" t="str">
        <f t="shared" si="261"/>
        <v/>
      </c>
      <c r="BK186" s="451" t="str">
        <f t="shared" si="261"/>
        <v/>
      </c>
      <c r="BL186" s="452" t="str">
        <f t="shared" si="261"/>
        <v/>
      </c>
      <c r="BM186" s="452" t="str">
        <f t="shared" si="261"/>
        <v/>
      </c>
      <c r="BN186" s="452" t="str">
        <f t="shared" si="261"/>
        <v/>
      </c>
      <c r="BO186" s="453" t="str">
        <f t="shared" si="261"/>
        <v/>
      </c>
      <c r="BP186" s="451" t="str">
        <f t="shared" si="261"/>
        <v/>
      </c>
      <c r="BQ186" s="452" t="str">
        <f t="shared" si="261"/>
        <v/>
      </c>
      <c r="BR186" s="452" t="str">
        <f t="shared" si="261"/>
        <v/>
      </c>
      <c r="BS186" s="452" t="str">
        <f t="shared" si="261"/>
        <v/>
      </c>
      <c r="BT186" s="453" t="str">
        <f t="shared" si="261"/>
        <v/>
      </c>
      <c r="BU186" s="451" t="str">
        <f t="shared" si="261"/>
        <v/>
      </c>
      <c r="BV186" s="452" t="str">
        <f t="shared" si="261"/>
        <v/>
      </c>
      <c r="BW186" s="452" t="str">
        <f t="shared" si="261"/>
        <v/>
      </c>
      <c r="BX186" s="452" t="str">
        <f t="shared" si="265"/>
        <v/>
      </c>
      <c r="BY186" s="453" t="str">
        <f t="shared" si="265"/>
        <v/>
      </c>
      <c r="BZ186" s="451" t="str">
        <f t="shared" si="265"/>
        <v/>
      </c>
      <c r="CA186" s="452" t="str">
        <f t="shared" si="265"/>
        <v/>
      </c>
      <c r="CB186" s="452" t="str">
        <f t="shared" si="265"/>
        <v/>
      </c>
      <c r="CC186" s="452" t="str">
        <f t="shared" si="265"/>
        <v/>
      </c>
      <c r="CD186" s="453" t="str">
        <f t="shared" si="265"/>
        <v/>
      </c>
      <c r="CE186" s="451" t="str">
        <f t="shared" si="265"/>
        <v/>
      </c>
      <c r="CF186" s="452" t="str">
        <f t="shared" si="265"/>
        <v/>
      </c>
      <c r="CG186" s="452" t="str">
        <f t="shared" si="265"/>
        <v/>
      </c>
      <c r="CH186" s="452" t="str">
        <f t="shared" si="265"/>
        <v/>
      </c>
      <c r="CI186" s="453" t="str">
        <f t="shared" si="265"/>
        <v/>
      </c>
      <c r="CJ186" s="451" t="str">
        <f t="shared" si="265"/>
        <v/>
      </c>
      <c r="CK186" s="452" t="str">
        <f t="shared" si="265"/>
        <v/>
      </c>
      <c r="CL186" s="452" t="str">
        <f t="shared" si="265"/>
        <v/>
      </c>
      <c r="CM186" s="452" t="str">
        <f t="shared" si="265"/>
        <v/>
      </c>
      <c r="CN186" s="453" t="str">
        <f t="shared" si="266"/>
        <v/>
      </c>
      <c r="CO186" s="451" t="str">
        <f t="shared" si="262"/>
        <v/>
      </c>
      <c r="CP186" s="452" t="str">
        <f t="shared" si="262"/>
        <v/>
      </c>
      <c r="CQ186" s="452" t="str">
        <f t="shared" si="262"/>
        <v/>
      </c>
      <c r="CR186" s="452" t="str">
        <f t="shared" si="262"/>
        <v/>
      </c>
      <c r="CS186" s="453" t="str">
        <f t="shared" si="262"/>
        <v/>
      </c>
      <c r="CT186" s="451" t="str">
        <f t="shared" si="262"/>
        <v/>
      </c>
      <c r="CU186" s="452" t="str">
        <f t="shared" si="262"/>
        <v/>
      </c>
      <c r="CV186" s="452" t="str">
        <f t="shared" si="262"/>
        <v/>
      </c>
      <c r="CW186" s="452" t="str">
        <f t="shared" si="262"/>
        <v/>
      </c>
      <c r="CX186" s="453" t="str">
        <f t="shared" si="262"/>
        <v/>
      </c>
      <c r="CY186" s="451" t="str">
        <f t="shared" si="262"/>
        <v/>
      </c>
      <c r="CZ186" s="452" t="str">
        <f t="shared" si="262"/>
        <v/>
      </c>
      <c r="DA186" s="452" t="str">
        <f t="shared" si="262"/>
        <v/>
      </c>
      <c r="DB186" s="452" t="str">
        <f t="shared" si="262"/>
        <v/>
      </c>
      <c r="DC186" s="453" t="str">
        <f t="shared" si="262"/>
        <v/>
      </c>
      <c r="DD186" s="451" t="str">
        <f t="shared" si="262"/>
        <v/>
      </c>
      <c r="DE186" s="452" t="str">
        <f t="shared" si="263"/>
        <v/>
      </c>
      <c r="DF186" s="452" t="str">
        <f t="shared" si="263"/>
        <v/>
      </c>
      <c r="DG186" s="452" t="str">
        <f t="shared" si="263"/>
        <v/>
      </c>
      <c r="DH186" s="453" t="str">
        <f t="shared" si="263"/>
        <v/>
      </c>
      <c r="DI186" s="451" t="str">
        <f t="shared" si="263"/>
        <v/>
      </c>
      <c r="DJ186" s="452" t="str">
        <f t="shared" si="263"/>
        <v/>
      </c>
      <c r="DK186" s="452" t="str">
        <f t="shared" si="263"/>
        <v/>
      </c>
      <c r="DL186" s="452" t="str">
        <f t="shared" si="263"/>
        <v/>
      </c>
      <c r="DM186" s="453" t="str">
        <f t="shared" si="263"/>
        <v/>
      </c>
      <c r="DN186" s="451" t="str">
        <f t="shared" si="263"/>
        <v/>
      </c>
      <c r="DO186" s="452" t="str">
        <f t="shared" si="263"/>
        <v/>
      </c>
      <c r="DP186" s="452" t="str">
        <f t="shared" si="263"/>
        <v/>
      </c>
      <c r="DQ186" s="452" t="str">
        <f t="shared" si="263"/>
        <v/>
      </c>
      <c r="DR186" s="453" t="str">
        <f t="shared" si="263"/>
        <v/>
      </c>
      <c r="DS186" s="451" t="str">
        <f t="shared" si="263"/>
        <v/>
      </c>
      <c r="DT186" s="452" t="str">
        <f t="shared" si="263"/>
        <v/>
      </c>
      <c r="DU186" s="452" t="str">
        <f t="shared" si="268"/>
        <v/>
      </c>
      <c r="DV186" s="452" t="str">
        <f t="shared" si="268"/>
        <v/>
      </c>
      <c r="DW186" s="453" t="str">
        <f t="shared" si="268"/>
        <v/>
      </c>
      <c r="DX186" s="451" t="str">
        <f t="shared" si="268"/>
        <v/>
      </c>
      <c r="DY186" s="452" t="str">
        <f t="shared" si="268"/>
        <v/>
      </c>
      <c r="DZ186" s="452" t="str">
        <f t="shared" si="268"/>
        <v/>
      </c>
      <c r="EA186" s="452" t="str">
        <f t="shared" si="268"/>
        <v/>
      </c>
      <c r="EB186" s="453" t="str">
        <f t="shared" si="268"/>
        <v/>
      </c>
      <c r="EC186" s="451" t="str">
        <f t="shared" si="268"/>
        <v/>
      </c>
      <c r="ED186" s="452" t="str">
        <f t="shared" si="268"/>
        <v/>
      </c>
      <c r="EE186" s="452" t="str">
        <f t="shared" si="268"/>
        <v/>
      </c>
      <c r="EF186" s="452" t="str">
        <f t="shared" si="268"/>
        <v/>
      </c>
      <c r="EG186" s="453" t="str">
        <f t="shared" si="268"/>
        <v/>
      </c>
      <c r="EH186" s="451" t="str">
        <f t="shared" si="268"/>
        <v/>
      </c>
      <c r="EI186" s="452" t="str">
        <f t="shared" si="268"/>
        <v/>
      </c>
      <c r="EJ186" s="452" t="str">
        <f t="shared" si="268"/>
        <v/>
      </c>
      <c r="EK186" s="452" t="str">
        <f t="shared" si="277"/>
        <v/>
      </c>
      <c r="EL186" s="453" t="str">
        <f t="shared" si="277"/>
        <v/>
      </c>
      <c r="EM186" s="451" t="str">
        <f t="shared" si="277"/>
        <v/>
      </c>
      <c r="EN186" s="452" t="str">
        <f t="shared" si="277"/>
        <v/>
      </c>
      <c r="EO186" s="452" t="str">
        <f t="shared" si="277"/>
        <v/>
      </c>
      <c r="EP186" s="452" t="str">
        <f t="shared" si="277"/>
        <v/>
      </c>
      <c r="EQ186" s="453" t="str">
        <f t="shared" si="277"/>
        <v/>
      </c>
      <c r="ER186" s="451" t="str">
        <f t="shared" si="277"/>
        <v/>
      </c>
      <c r="ES186" s="452" t="str">
        <f t="shared" si="277"/>
        <v/>
      </c>
      <c r="ET186" s="452" t="str">
        <f t="shared" si="277"/>
        <v/>
      </c>
      <c r="EU186" s="452" t="str">
        <f t="shared" si="277"/>
        <v/>
      </c>
      <c r="EV186" s="453" t="str">
        <f t="shared" si="277"/>
        <v/>
      </c>
      <c r="EW186" s="451" t="str">
        <f t="shared" si="277"/>
        <v/>
      </c>
      <c r="EX186" s="452" t="str">
        <f t="shared" si="277"/>
        <v/>
      </c>
      <c r="EY186" s="452" t="str">
        <f t="shared" si="277"/>
        <v/>
      </c>
      <c r="EZ186" s="452" t="str">
        <f t="shared" si="277"/>
        <v/>
      </c>
      <c r="FA186" s="453" t="str">
        <f t="shared" si="278"/>
        <v/>
      </c>
      <c r="FB186" s="451" t="str">
        <f t="shared" si="278"/>
        <v/>
      </c>
      <c r="FC186" s="452" t="str">
        <f t="shared" si="278"/>
        <v/>
      </c>
      <c r="FD186" s="452" t="str">
        <f t="shared" si="278"/>
        <v/>
      </c>
      <c r="FE186" s="452" t="str">
        <f t="shared" si="278"/>
        <v/>
      </c>
      <c r="FF186" s="453" t="str">
        <f t="shared" si="278"/>
        <v/>
      </c>
      <c r="FG186" s="451" t="str">
        <f t="shared" si="278"/>
        <v/>
      </c>
      <c r="FH186" s="452" t="str">
        <f t="shared" si="278"/>
        <v/>
      </c>
      <c r="FI186" s="452" t="str">
        <f t="shared" si="278"/>
        <v/>
      </c>
      <c r="FJ186" s="452" t="str">
        <f t="shared" si="278"/>
        <v/>
      </c>
      <c r="FK186" s="453" t="str">
        <f t="shared" si="278"/>
        <v/>
      </c>
      <c r="FL186" s="451" t="str">
        <f t="shared" si="278"/>
        <v/>
      </c>
      <c r="FM186" s="452" t="str">
        <f t="shared" si="278"/>
        <v/>
      </c>
      <c r="FN186" s="452" t="str">
        <f t="shared" si="278"/>
        <v/>
      </c>
      <c r="FO186" s="452" t="str">
        <f t="shared" si="278"/>
        <v/>
      </c>
      <c r="FP186" s="453" t="str">
        <f t="shared" si="278"/>
        <v/>
      </c>
      <c r="FQ186" s="451" t="str">
        <f t="shared" si="279"/>
        <v/>
      </c>
      <c r="FR186" s="452" t="str">
        <f t="shared" si="279"/>
        <v/>
      </c>
      <c r="FS186" s="452" t="str">
        <f t="shared" si="279"/>
        <v/>
      </c>
      <c r="FT186" s="452" t="str">
        <f t="shared" si="279"/>
        <v/>
      </c>
      <c r="FU186" s="453" t="str">
        <f t="shared" si="279"/>
        <v/>
      </c>
      <c r="FV186" s="451" t="str">
        <f t="shared" si="279"/>
        <v/>
      </c>
      <c r="FW186" s="452" t="str">
        <f t="shared" si="279"/>
        <v/>
      </c>
      <c r="FX186" s="452" t="str">
        <f t="shared" si="279"/>
        <v/>
      </c>
      <c r="FY186" s="452" t="str">
        <f t="shared" si="279"/>
        <v/>
      </c>
      <c r="FZ186" s="453" t="str">
        <f t="shared" si="279"/>
        <v/>
      </c>
      <c r="GA186" s="451" t="str">
        <f t="shared" si="279"/>
        <v/>
      </c>
      <c r="GB186" s="452" t="str">
        <f t="shared" si="279"/>
        <v/>
      </c>
      <c r="GC186" s="452" t="str">
        <f t="shared" si="279"/>
        <v/>
      </c>
      <c r="GD186" s="452" t="str">
        <f t="shared" si="272"/>
        <v/>
      </c>
      <c r="GE186" s="453" t="str">
        <f t="shared" si="272"/>
        <v/>
      </c>
      <c r="GF186" s="451" t="str">
        <f t="shared" si="272"/>
        <v/>
      </c>
      <c r="GG186" s="452" t="str">
        <f t="shared" si="272"/>
        <v/>
      </c>
      <c r="GH186" s="452" t="str">
        <f t="shared" si="272"/>
        <v/>
      </c>
      <c r="GI186" s="452" t="str">
        <f t="shared" si="272"/>
        <v/>
      </c>
      <c r="GJ186" s="453" t="str">
        <f t="shared" si="272"/>
        <v/>
      </c>
      <c r="GK186" s="451" t="str">
        <f t="shared" si="272"/>
        <v/>
      </c>
      <c r="GL186" s="452" t="str">
        <f t="shared" si="272"/>
        <v/>
      </c>
      <c r="GM186" s="452" t="str">
        <f t="shared" si="272"/>
        <v/>
      </c>
      <c r="GN186" s="452" t="str">
        <f t="shared" si="272"/>
        <v/>
      </c>
      <c r="GO186" s="453" t="str">
        <f t="shared" si="272"/>
        <v/>
      </c>
      <c r="GP186" s="451" t="str">
        <f t="shared" si="272"/>
        <v/>
      </c>
      <c r="GQ186" s="452" t="str">
        <f t="shared" si="272"/>
        <v/>
      </c>
      <c r="GR186" s="452" t="str">
        <f t="shared" si="273"/>
        <v/>
      </c>
      <c r="GS186" s="452" t="str">
        <f t="shared" si="273"/>
        <v/>
      </c>
      <c r="GT186" s="453" t="str">
        <f t="shared" si="273"/>
        <v/>
      </c>
      <c r="GU186" s="451" t="str">
        <f t="shared" si="273"/>
        <v/>
      </c>
      <c r="GV186" s="452" t="str">
        <f t="shared" si="273"/>
        <v/>
      </c>
      <c r="GW186" s="452" t="str">
        <f t="shared" si="273"/>
        <v/>
      </c>
      <c r="GX186" s="452" t="str">
        <f t="shared" si="273"/>
        <v/>
      </c>
      <c r="GY186" s="453" t="str">
        <f t="shared" si="273"/>
        <v/>
      </c>
      <c r="GZ186" s="451" t="str">
        <f t="shared" si="273"/>
        <v/>
      </c>
      <c r="HA186" s="452" t="str">
        <f t="shared" si="273"/>
        <v/>
      </c>
      <c r="HB186" s="452" t="str">
        <f t="shared" si="273"/>
        <v/>
      </c>
      <c r="HC186" s="452" t="str">
        <f t="shared" si="273"/>
        <v/>
      </c>
      <c r="HD186" s="453" t="str">
        <f t="shared" si="273"/>
        <v/>
      </c>
      <c r="HE186" s="451" t="str">
        <f t="shared" si="273"/>
        <v/>
      </c>
      <c r="HF186" s="452" t="str">
        <f t="shared" si="273"/>
        <v/>
      </c>
      <c r="HG186" s="452" t="str">
        <f t="shared" si="273"/>
        <v/>
      </c>
      <c r="HH186" s="452" t="str">
        <f t="shared" si="280"/>
        <v/>
      </c>
      <c r="HI186" s="453" t="str">
        <f t="shared" si="280"/>
        <v/>
      </c>
      <c r="HJ186" s="451" t="str">
        <f t="shared" si="280"/>
        <v/>
      </c>
      <c r="HK186" s="452" t="str">
        <f t="shared" si="280"/>
        <v/>
      </c>
      <c r="HL186" s="452" t="str">
        <f t="shared" si="280"/>
        <v/>
      </c>
      <c r="HM186" s="452" t="str">
        <f t="shared" si="280"/>
        <v/>
      </c>
      <c r="HN186" s="453" t="str">
        <f t="shared" si="280"/>
        <v/>
      </c>
      <c r="HO186" s="451" t="str">
        <f t="shared" si="280"/>
        <v/>
      </c>
      <c r="HP186" s="452" t="str">
        <f t="shared" si="280"/>
        <v/>
      </c>
      <c r="HQ186" s="452" t="str">
        <f t="shared" si="280"/>
        <v/>
      </c>
      <c r="HR186" s="452" t="str">
        <f t="shared" si="280"/>
        <v/>
      </c>
      <c r="HS186" s="453" t="str">
        <f t="shared" si="280"/>
        <v/>
      </c>
      <c r="HT186" s="451" t="str">
        <f t="shared" si="280"/>
        <v/>
      </c>
      <c r="HU186" s="452" t="str">
        <f t="shared" si="280"/>
        <v/>
      </c>
      <c r="HV186" s="452" t="str">
        <f t="shared" si="280"/>
        <v/>
      </c>
      <c r="HW186" s="452" t="str">
        <f t="shared" si="280"/>
        <v/>
      </c>
      <c r="HX186" s="453" t="str">
        <f t="shared" si="281"/>
        <v/>
      </c>
      <c r="HY186" s="451" t="str">
        <f t="shared" si="281"/>
        <v/>
      </c>
      <c r="HZ186" s="452" t="str">
        <f t="shared" si="281"/>
        <v/>
      </c>
      <c r="IA186" s="452" t="str">
        <f t="shared" si="281"/>
        <v/>
      </c>
      <c r="IB186" s="452" t="str">
        <f t="shared" si="281"/>
        <v/>
      </c>
      <c r="IC186" s="453" t="str">
        <f t="shared" si="281"/>
        <v/>
      </c>
      <c r="ID186" s="451" t="str">
        <f t="shared" si="281"/>
        <v/>
      </c>
      <c r="IE186" s="452" t="str">
        <f t="shared" si="281"/>
        <v/>
      </c>
      <c r="IF186" s="452" t="str">
        <f t="shared" si="281"/>
        <v/>
      </c>
      <c r="IG186" s="452" t="str">
        <f t="shared" si="281"/>
        <v/>
      </c>
      <c r="IH186" s="453" t="str">
        <f t="shared" si="281"/>
        <v/>
      </c>
      <c r="II186" s="451" t="str">
        <f t="shared" si="281"/>
        <v/>
      </c>
      <c r="IJ186" s="452" t="str">
        <f t="shared" si="281"/>
        <v/>
      </c>
      <c r="IK186" s="452" t="str">
        <f t="shared" si="281"/>
        <v/>
      </c>
      <c r="IL186" s="452" t="str">
        <f t="shared" si="281"/>
        <v/>
      </c>
      <c r="IM186" s="453" t="str">
        <f t="shared" si="281"/>
        <v/>
      </c>
      <c r="IN186" s="451" t="str">
        <f t="shared" si="281"/>
        <v/>
      </c>
      <c r="IO186" s="452" t="str">
        <f t="shared" si="282"/>
        <v/>
      </c>
      <c r="IP186" s="452" t="str">
        <f t="shared" si="282"/>
        <v/>
      </c>
      <c r="IQ186" s="452" t="str">
        <f t="shared" si="260"/>
        <v/>
      </c>
      <c r="IR186" s="453" t="str">
        <f t="shared" si="260"/>
        <v/>
      </c>
    </row>
    <row r="187" spans="1:252" x14ac:dyDescent="0.2">
      <c r="A187" s="461">
        <v>17.7</v>
      </c>
      <c r="C187" s="447" t="s">
        <v>1357</v>
      </c>
      <c r="D187" s="447"/>
      <c r="E187" s="448"/>
      <c r="F187" s="448"/>
      <c r="G187" s="448"/>
      <c r="H187" s="448"/>
      <c r="I187" s="448"/>
      <c r="J187" s="449" t="str">
        <f t="shared" si="275"/>
        <v/>
      </c>
      <c r="K187" s="449" t="str">
        <f t="shared" si="276"/>
        <v/>
      </c>
      <c r="L187" s="450">
        <f t="shared" si="270"/>
        <v>0</v>
      </c>
      <c r="M187" s="451" t="str">
        <f t="shared" si="259"/>
        <v/>
      </c>
      <c r="N187" s="452" t="str">
        <f t="shared" si="259"/>
        <v/>
      </c>
      <c r="O187" s="452" t="str">
        <f t="shared" si="259"/>
        <v/>
      </c>
      <c r="P187" s="452" t="str">
        <f t="shared" si="259"/>
        <v/>
      </c>
      <c r="Q187" s="453" t="str">
        <f t="shared" si="259"/>
        <v/>
      </c>
      <c r="R187" s="451" t="str">
        <f t="shared" si="259"/>
        <v/>
      </c>
      <c r="S187" s="452" t="str">
        <f t="shared" si="259"/>
        <v/>
      </c>
      <c r="T187" s="452" t="str">
        <f t="shared" si="259"/>
        <v/>
      </c>
      <c r="U187" s="452" t="str">
        <f t="shared" si="259"/>
        <v/>
      </c>
      <c r="V187" s="453" t="str">
        <f t="shared" si="259"/>
        <v/>
      </c>
      <c r="W187" s="451" t="str">
        <f t="shared" si="259"/>
        <v/>
      </c>
      <c r="X187" s="452" t="str">
        <f t="shared" si="259"/>
        <v/>
      </c>
      <c r="Y187" s="452" t="str">
        <f t="shared" si="259"/>
        <v/>
      </c>
      <c r="Z187" s="452" t="str">
        <f t="shared" si="259"/>
        <v/>
      </c>
      <c r="AA187" s="453" t="str">
        <f t="shared" si="259"/>
        <v/>
      </c>
      <c r="AB187" s="451" t="str">
        <f t="shared" ref="AB187" si="283">IF(AND(AB$2&gt;=$J187,AB$2&lt;=$K187),1,"")</f>
        <v/>
      </c>
      <c r="AC187" s="452" t="str">
        <f t="shared" si="267"/>
        <v/>
      </c>
      <c r="AD187" s="452" t="str">
        <f t="shared" si="267"/>
        <v/>
      </c>
      <c r="AE187" s="452" t="str">
        <f t="shared" si="267"/>
        <v/>
      </c>
      <c r="AF187" s="453" t="str">
        <f t="shared" si="267"/>
        <v/>
      </c>
      <c r="AG187" s="451" t="str">
        <f t="shared" si="267"/>
        <v/>
      </c>
      <c r="AH187" s="452" t="str">
        <f t="shared" si="267"/>
        <v/>
      </c>
      <c r="AI187" s="452" t="str">
        <f t="shared" si="267"/>
        <v/>
      </c>
      <c r="AJ187" s="452" t="str">
        <f t="shared" si="267"/>
        <v/>
      </c>
      <c r="AK187" s="453" t="str">
        <f t="shared" si="267"/>
        <v/>
      </c>
      <c r="AL187" s="451" t="str">
        <f t="shared" si="267"/>
        <v/>
      </c>
      <c r="AM187" s="452" t="str">
        <f t="shared" si="267"/>
        <v/>
      </c>
      <c r="AN187" s="452" t="str">
        <f t="shared" si="267"/>
        <v/>
      </c>
      <c r="AO187" s="452" t="str">
        <f t="shared" si="267"/>
        <v/>
      </c>
      <c r="AP187" s="453" t="str">
        <f t="shared" si="267"/>
        <v/>
      </c>
      <c r="AQ187" s="451" t="str">
        <f t="shared" si="267"/>
        <v/>
      </c>
      <c r="AR187" s="452" t="str">
        <f t="shared" si="264"/>
        <v/>
      </c>
      <c r="AS187" s="452" t="str">
        <f t="shared" si="264"/>
        <v/>
      </c>
      <c r="AT187" s="452" t="str">
        <f t="shared" si="264"/>
        <v/>
      </c>
      <c r="AU187" s="453" t="str">
        <f t="shared" si="264"/>
        <v/>
      </c>
      <c r="AV187" s="451" t="str">
        <f t="shared" si="264"/>
        <v/>
      </c>
      <c r="AW187" s="452" t="str">
        <f t="shared" si="264"/>
        <v/>
      </c>
      <c r="AX187" s="452" t="str">
        <f t="shared" si="264"/>
        <v/>
      </c>
      <c r="AY187" s="452" t="str">
        <f t="shared" si="264"/>
        <v/>
      </c>
      <c r="AZ187" s="453" t="str">
        <f t="shared" si="264"/>
        <v/>
      </c>
      <c r="BA187" s="451" t="str">
        <f t="shared" si="264"/>
        <v/>
      </c>
      <c r="BB187" s="452" t="str">
        <f t="shared" si="264"/>
        <v/>
      </c>
      <c r="BC187" s="452" t="str">
        <f t="shared" si="264"/>
        <v/>
      </c>
      <c r="BD187" s="452" t="str">
        <f t="shared" si="264"/>
        <v/>
      </c>
      <c r="BE187" s="453" t="str">
        <f t="shared" si="264"/>
        <v/>
      </c>
      <c r="BF187" s="451" t="str">
        <f t="shared" si="264"/>
        <v/>
      </c>
      <c r="BG187" s="452" t="str">
        <f t="shared" si="264"/>
        <v/>
      </c>
      <c r="BH187" s="452" t="str">
        <f t="shared" si="261"/>
        <v/>
      </c>
      <c r="BI187" s="452" t="str">
        <f t="shared" si="261"/>
        <v/>
      </c>
      <c r="BJ187" s="453" t="str">
        <f t="shared" si="261"/>
        <v/>
      </c>
      <c r="BK187" s="451" t="str">
        <f t="shared" si="261"/>
        <v/>
      </c>
      <c r="BL187" s="452" t="str">
        <f t="shared" si="261"/>
        <v/>
      </c>
      <c r="BM187" s="452" t="str">
        <f t="shared" si="261"/>
        <v/>
      </c>
      <c r="BN187" s="452" t="str">
        <f t="shared" si="261"/>
        <v/>
      </c>
      <c r="BO187" s="453" t="str">
        <f t="shared" si="261"/>
        <v/>
      </c>
      <c r="BP187" s="451" t="str">
        <f t="shared" si="261"/>
        <v/>
      </c>
      <c r="BQ187" s="452" t="str">
        <f t="shared" si="261"/>
        <v/>
      </c>
      <c r="BR187" s="452" t="str">
        <f t="shared" si="261"/>
        <v/>
      </c>
      <c r="BS187" s="452" t="str">
        <f t="shared" si="261"/>
        <v/>
      </c>
      <c r="BT187" s="453" t="str">
        <f t="shared" si="261"/>
        <v/>
      </c>
      <c r="BU187" s="451" t="str">
        <f t="shared" si="261"/>
        <v/>
      </c>
      <c r="BV187" s="452" t="str">
        <f t="shared" si="261"/>
        <v/>
      </c>
      <c r="BW187" s="452" t="str">
        <f t="shared" si="261"/>
        <v/>
      </c>
      <c r="BX187" s="452" t="str">
        <f t="shared" si="265"/>
        <v/>
      </c>
      <c r="BY187" s="453" t="str">
        <f t="shared" si="265"/>
        <v/>
      </c>
      <c r="BZ187" s="451" t="str">
        <f t="shared" si="265"/>
        <v/>
      </c>
      <c r="CA187" s="452" t="str">
        <f t="shared" si="265"/>
        <v/>
      </c>
      <c r="CB187" s="452" t="str">
        <f t="shared" si="265"/>
        <v/>
      </c>
      <c r="CC187" s="452" t="str">
        <f t="shared" si="265"/>
        <v/>
      </c>
      <c r="CD187" s="453" t="str">
        <f t="shared" si="265"/>
        <v/>
      </c>
      <c r="CE187" s="451" t="str">
        <f t="shared" si="265"/>
        <v/>
      </c>
      <c r="CF187" s="452" t="str">
        <f t="shared" si="265"/>
        <v/>
      </c>
      <c r="CG187" s="452" t="str">
        <f t="shared" si="265"/>
        <v/>
      </c>
      <c r="CH187" s="452" t="str">
        <f t="shared" si="265"/>
        <v/>
      </c>
      <c r="CI187" s="453" t="str">
        <f t="shared" si="265"/>
        <v/>
      </c>
      <c r="CJ187" s="451" t="str">
        <f t="shared" si="265"/>
        <v/>
      </c>
      <c r="CK187" s="452" t="str">
        <f t="shared" si="265"/>
        <v/>
      </c>
      <c r="CL187" s="452" t="str">
        <f t="shared" si="265"/>
        <v/>
      </c>
      <c r="CM187" s="452" t="str">
        <f t="shared" si="265"/>
        <v/>
      </c>
      <c r="CN187" s="453" t="str">
        <f t="shared" si="266"/>
        <v/>
      </c>
      <c r="CO187" s="451" t="str">
        <f t="shared" si="262"/>
        <v/>
      </c>
      <c r="CP187" s="452" t="str">
        <f t="shared" si="262"/>
        <v/>
      </c>
      <c r="CQ187" s="452" t="str">
        <f t="shared" si="262"/>
        <v/>
      </c>
      <c r="CR187" s="452" t="str">
        <f t="shared" si="262"/>
        <v/>
      </c>
      <c r="CS187" s="453" t="str">
        <f t="shared" si="262"/>
        <v/>
      </c>
      <c r="CT187" s="451" t="str">
        <f t="shared" si="262"/>
        <v/>
      </c>
      <c r="CU187" s="452" t="str">
        <f t="shared" si="262"/>
        <v/>
      </c>
      <c r="CV187" s="452" t="str">
        <f t="shared" si="262"/>
        <v/>
      </c>
      <c r="CW187" s="452" t="str">
        <f t="shared" si="262"/>
        <v/>
      </c>
      <c r="CX187" s="453" t="str">
        <f t="shared" si="262"/>
        <v/>
      </c>
      <c r="CY187" s="451" t="str">
        <f t="shared" si="262"/>
        <v/>
      </c>
      <c r="CZ187" s="452" t="str">
        <f t="shared" si="262"/>
        <v/>
      </c>
      <c r="DA187" s="452" t="str">
        <f t="shared" si="262"/>
        <v/>
      </c>
      <c r="DB187" s="452" t="str">
        <f t="shared" si="262"/>
        <v/>
      </c>
      <c r="DC187" s="453" t="str">
        <f t="shared" si="262"/>
        <v/>
      </c>
      <c r="DD187" s="451" t="str">
        <f t="shared" si="262"/>
        <v/>
      </c>
      <c r="DE187" s="452" t="str">
        <f t="shared" si="263"/>
        <v/>
      </c>
      <c r="DF187" s="452" t="str">
        <f t="shared" si="263"/>
        <v/>
      </c>
      <c r="DG187" s="452" t="str">
        <f t="shared" si="263"/>
        <v/>
      </c>
      <c r="DH187" s="453" t="str">
        <f t="shared" si="263"/>
        <v/>
      </c>
      <c r="DI187" s="451" t="str">
        <f t="shared" si="263"/>
        <v/>
      </c>
      <c r="DJ187" s="452" t="str">
        <f t="shared" si="263"/>
        <v/>
      </c>
      <c r="DK187" s="452" t="str">
        <f t="shared" si="263"/>
        <v/>
      </c>
      <c r="DL187" s="452" t="str">
        <f t="shared" si="263"/>
        <v/>
      </c>
      <c r="DM187" s="453" t="str">
        <f t="shared" si="263"/>
        <v/>
      </c>
      <c r="DN187" s="451" t="str">
        <f t="shared" si="263"/>
        <v/>
      </c>
      <c r="DO187" s="452" t="str">
        <f t="shared" si="263"/>
        <v/>
      </c>
      <c r="DP187" s="452" t="str">
        <f t="shared" si="263"/>
        <v/>
      </c>
      <c r="DQ187" s="452" t="str">
        <f t="shared" si="263"/>
        <v/>
      </c>
      <c r="DR187" s="453" t="str">
        <f t="shared" si="263"/>
        <v/>
      </c>
      <c r="DS187" s="451" t="str">
        <f t="shared" si="263"/>
        <v/>
      </c>
      <c r="DT187" s="452" t="str">
        <f t="shared" si="263"/>
        <v/>
      </c>
      <c r="DU187" s="452" t="str">
        <f t="shared" si="268"/>
        <v/>
      </c>
      <c r="DV187" s="452" t="str">
        <f t="shared" si="268"/>
        <v/>
      </c>
      <c r="DW187" s="453" t="str">
        <f t="shared" si="268"/>
        <v/>
      </c>
      <c r="DX187" s="451" t="str">
        <f t="shared" si="268"/>
        <v/>
      </c>
      <c r="DY187" s="452" t="str">
        <f t="shared" si="268"/>
        <v/>
      </c>
      <c r="DZ187" s="452" t="str">
        <f t="shared" si="268"/>
        <v/>
      </c>
      <c r="EA187" s="452" t="str">
        <f t="shared" si="268"/>
        <v/>
      </c>
      <c r="EB187" s="453" t="str">
        <f t="shared" si="268"/>
        <v/>
      </c>
      <c r="EC187" s="451" t="str">
        <f t="shared" si="268"/>
        <v/>
      </c>
      <c r="ED187" s="452" t="str">
        <f t="shared" si="268"/>
        <v/>
      </c>
      <c r="EE187" s="452" t="str">
        <f t="shared" si="268"/>
        <v/>
      </c>
      <c r="EF187" s="452" t="str">
        <f t="shared" si="268"/>
        <v/>
      </c>
      <c r="EG187" s="453" t="str">
        <f t="shared" si="268"/>
        <v/>
      </c>
      <c r="EH187" s="451" t="str">
        <f t="shared" si="268"/>
        <v/>
      </c>
      <c r="EI187" s="452" t="str">
        <f t="shared" si="268"/>
        <v/>
      </c>
      <c r="EJ187" s="452" t="str">
        <f t="shared" si="268"/>
        <v/>
      </c>
      <c r="EK187" s="452" t="str">
        <f t="shared" si="277"/>
        <v/>
      </c>
      <c r="EL187" s="453" t="str">
        <f t="shared" si="277"/>
        <v/>
      </c>
      <c r="EM187" s="451" t="str">
        <f t="shared" si="277"/>
        <v/>
      </c>
      <c r="EN187" s="452" t="str">
        <f t="shared" si="277"/>
        <v/>
      </c>
      <c r="EO187" s="452" t="str">
        <f t="shared" si="277"/>
        <v/>
      </c>
      <c r="EP187" s="452" t="str">
        <f t="shared" si="277"/>
        <v/>
      </c>
      <c r="EQ187" s="453" t="str">
        <f t="shared" si="277"/>
        <v/>
      </c>
      <c r="ER187" s="451" t="str">
        <f t="shared" si="277"/>
        <v/>
      </c>
      <c r="ES187" s="452" t="str">
        <f t="shared" si="277"/>
        <v/>
      </c>
      <c r="ET187" s="452" t="str">
        <f t="shared" si="277"/>
        <v/>
      </c>
      <c r="EU187" s="452" t="str">
        <f t="shared" si="277"/>
        <v/>
      </c>
      <c r="EV187" s="453" t="str">
        <f t="shared" si="277"/>
        <v/>
      </c>
      <c r="EW187" s="451" t="str">
        <f t="shared" si="277"/>
        <v/>
      </c>
      <c r="EX187" s="452" t="str">
        <f t="shared" si="277"/>
        <v/>
      </c>
      <c r="EY187" s="452" t="str">
        <f t="shared" si="277"/>
        <v/>
      </c>
      <c r="EZ187" s="452" t="str">
        <f t="shared" si="277"/>
        <v/>
      </c>
      <c r="FA187" s="453" t="str">
        <f t="shared" si="278"/>
        <v/>
      </c>
      <c r="FB187" s="451" t="str">
        <f t="shared" si="278"/>
        <v/>
      </c>
      <c r="FC187" s="452" t="str">
        <f t="shared" si="278"/>
        <v/>
      </c>
      <c r="FD187" s="452" t="str">
        <f t="shared" si="278"/>
        <v/>
      </c>
      <c r="FE187" s="452" t="str">
        <f t="shared" si="278"/>
        <v/>
      </c>
      <c r="FF187" s="453" t="str">
        <f t="shared" si="278"/>
        <v/>
      </c>
      <c r="FG187" s="451" t="str">
        <f t="shared" si="278"/>
        <v/>
      </c>
      <c r="FH187" s="452" t="str">
        <f t="shared" si="278"/>
        <v/>
      </c>
      <c r="FI187" s="452" t="str">
        <f t="shared" si="278"/>
        <v/>
      </c>
      <c r="FJ187" s="452" t="str">
        <f t="shared" si="278"/>
        <v/>
      </c>
      <c r="FK187" s="453" t="str">
        <f t="shared" si="278"/>
        <v/>
      </c>
      <c r="FL187" s="451" t="str">
        <f t="shared" si="278"/>
        <v/>
      </c>
      <c r="FM187" s="452" t="str">
        <f t="shared" si="278"/>
        <v/>
      </c>
      <c r="FN187" s="452" t="str">
        <f t="shared" si="278"/>
        <v/>
      </c>
      <c r="FO187" s="452" t="str">
        <f t="shared" si="278"/>
        <v/>
      </c>
      <c r="FP187" s="453" t="str">
        <f t="shared" si="278"/>
        <v/>
      </c>
      <c r="FQ187" s="451" t="str">
        <f t="shared" si="279"/>
        <v/>
      </c>
      <c r="FR187" s="452" t="str">
        <f t="shared" si="279"/>
        <v/>
      </c>
      <c r="FS187" s="452" t="str">
        <f t="shared" si="279"/>
        <v/>
      </c>
      <c r="FT187" s="452" t="str">
        <f t="shared" si="279"/>
        <v/>
      </c>
      <c r="FU187" s="453" t="str">
        <f t="shared" si="279"/>
        <v/>
      </c>
      <c r="FV187" s="451" t="str">
        <f t="shared" si="279"/>
        <v/>
      </c>
      <c r="FW187" s="452" t="str">
        <f t="shared" si="279"/>
        <v/>
      </c>
      <c r="FX187" s="452" t="str">
        <f t="shared" si="279"/>
        <v/>
      </c>
      <c r="FY187" s="452" t="str">
        <f t="shared" si="279"/>
        <v/>
      </c>
      <c r="FZ187" s="453" t="str">
        <f t="shared" si="279"/>
        <v/>
      </c>
      <c r="GA187" s="451" t="str">
        <f t="shared" si="279"/>
        <v/>
      </c>
      <c r="GB187" s="452" t="str">
        <f t="shared" si="279"/>
        <v/>
      </c>
      <c r="GC187" s="452" t="str">
        <f t="shared" si="279"/>
        <v/>
      </c>
      <c r="GD187" s="452" t="str">
        <f t="shared" si="272"/>
        <v/>
      </c>
      <c r="GE187" s="453" t="str">
        <f t="shared" si="272"/>
        <v/>
      </c>
      <c r="GF187" s="451" t="str">
        <f t="shared" si="272"/>
        <v/>
      </c>
      <c r="GG187" s="452" t="str">
        <f t="shared" si="272"/>
        <v/>
      </c>
      <c r="GH187" s="452" t="str">
        <f t="shared" si="272"/>
        <v/>
      </c>
      <c r="GI187" s="452" t="str">
        <f t="shared" si="272"/>
        <v/>
      </c>
      <c r="GJ187" s="453" t="str">
        <f t="shared" si="272"/>
        <v/>
      </c>
      <c r="GK187" s="451" t="str">
        <f t="shared" si="272"/>
        <v/>
      </c>
      <c r="GL187" s="452" t="str">
        <f t="shared" si="272"/>
        <v/>
      </c>
      <c r="GM187" s="452" t="str">
        <f t="shared" si="272"/>
        <v/>
      </c>
      <c r="GN187" s="452" t="str">
        <f t="shared" si="272"/>
        <v/>
      </c>
      <c r="GO187" s="453" t="str">
        <f t="shared" si="272"/>
        <v/>
      </c>
      <c r="GP187" s="451" t="str">
        <f t="shared" si="272"/>
        <v/>
      </c>
      <c r="GQ187" s="452" t="str">
        <f t="shared" si="272"/>
        <v/>
      </c>
      <c r="GR187" s="452" t="str">
        <f t="shared" si="273"/>
        <v/>
      </c>
      <c r="GS187" s="452" t="str">
        <f t="shared" si="273"/>
        <v/>
      </c>
      <c r="GT187" s="453" t="str">
        <f t="shared" si="273"/>
        <v/>
      </c>
      <c r="GU187" s="451" t="str">
        <f t="shared" si="273"/>
        <v/>
      </c>
      <c r="GV187" s="452" t="str">
        <f t="shared" si="273"/>
        <v/>
      </c>
      <c r="GW187" s="452" t="str">
        <f t="shared" si="273"/>
        <v/>
      </c>
      <c r="GX187" s="452" t="str">
        <f t="shared" si="273"/>
        <v/>
      </c>
      <c r="GY187" s="453" t="str">
        <f t="shared" si="273"/>
        <v/>
      </c>
      <c r="GZ187" s="451" t="str">
        <f t="shared" si="273"/>
        <v/>
      </c>
      <c r="HA187" s="452" t="str">
        <f t="shared" si="273"/>
        <v/>
      </c>
      <c r="HB187" s="452" t="str">
        <f t="shared" si="273"/>
        <v/>
      </c>
      <c r="HC187" s="452" t="str">
        <f t="shared" si="273"/>
        <v/>
      </c>
      <c r="HD187" s="453" t="str">
        <f t="shared" si="273"/>
        <v/>
      </c>
      <c r="HE187" s="451" t="str">
        <f t="shared" si="273"/>
        <v/>
      </c>
      <c r="HF187" s="452" t="str">
        <f t="shared" si="273"/>
        <v/>
      </c>
      <c r="HG187" s="452" t="str">
        <f t="shared" si="273"/>
        <v/>
      </c>
      <c r="HH187" s="452" t="str">
        <f t="shared" si="280"/>
        <v/>
      </c>
      <c r="HI187" s="453" t="str">
        <f t="shared" si="280"/>
        <v/>
      </c>
      <c r="HJ187" s="451" t="str">
        <f t="shared" si="280"/>
        <v/>
      </c>
      <c r="HK187" s="452" t="str">
        <f t="shared" si="280"/>
        <v/>
      </c>
      <c r="HL187" s="452" t="str">
        <f t="shared" si="280"/>
        <v/>
      </c>
      <c r="HM187" s="452" t="str">
        <f t="shared" si="280"/>
        <v/>
      </c>
      <c r="HN187" s="453" t="str">
        <f t="shared" si="280"/>
        <v/>
      </c>
      <c r="HO187" s="451" t="str">
        <f t="shared" si="280"/>
        <v/>
      </c>
      <c r="HP187" s="452" t="str">
        <f t="shared" si="280"/>
        <v/>
      </c>
      <c r="HQ187" s="452" t="str">
        <f t="shared" si="280"/>
        <v/>
      </c>
      <c r="HR187" s="452" t="str">
        <f t="shared" si="280"/>
        <v/>
      </c>
      <c r="HS187" s="453" t="str">
        <f t="shared" si="280"/>
        <v/>
      </c>
      <c r="HT187" s="451" t="str">
        <f t="shared" si="280"/>
        <v/>
      </c>
      <c r="HU187" s="452" t="str">
        <f t="shared" si="280"/>
        <v/>
      </c>
      <c r="HV187" s="452" t="str">
        <f t="shared" si="280"/>
        <v/>
      </c>
      <c r="HW187" s="452" t="str">
        <f t="shared" si="280"/>
        <v/>
      </c>
      <c r="HX187" s="453" t="str">
        <f t="shared" si="281"/>
        <v/>
      </c>
      <c r="HY187" s="451" t="str">
        <f t="shared" si="281"/>
        <v/>
      </c>
      <c r="HZ187" s="452" t="str">
        <f t="shared" si="281"/>
        <v/>
      </c>
      <c r="IA187" s="452" t="str">
        <f t="shared" si="281"/>
        <v/>
      </c>
      <c r="IB187" s="452" t="str">
        <f t="shared" si="281"/>
        <v/>
      </c>
      <c r="IC187" s="453" t="str">
        <f t="shared" si="281"/>
        <v/>
      </c>
      <c r="ID187" s="451" t="str">
        <f t="shared" si="281"/>
        <v/>
      </c>
      <c r="IE187" s="452" t="str">
        <f t="shared" si="281"/>
        <v/>
      </c>
      <c r="IF187" s="452" t="str">
        <f t="shared" si="281"/>
        <v/>
      </c>
      <c r="IG187" s="452" t="str">
        <f t="shared" si="281"/>
        <v/>
      </c>
      <c r="IH187" s="453" t="str">
        <f t="shared" si="281"/>
        <v/>
      </c>
      <c r="II187" s="451" t="str">
        <f t="shared" si="281"/>
        <v/>
      </c>
      <c r="IJ187" s="452" t="str">
        <f t="shared" si="281"/>
        <v/>
      </c>
      <c r="IK187" s="452" t="str">
        <f t="shared" si="281"/>
        <v/>
      </c>
      <c r="IL187" s="452" t="str">
        <f t="shared" si="281"/>
        <v/>
      </c>
      <c r="IM187" s="453" t="str">
        <f t="shared" si="281"/>
        <v/>
      </c>
      <c r="IN187" s="451" t="str">
        <f t="shared" si="281"/>
        <v/>
      </c>
      <c r="IO187" s="452" t="str">
        <f t="shared" si="282"/>
        <v/>
      </c>
      <c r="IP187" s="452" t="str">
        <f t="shared" si="282"/>
        <v/>
      </c>
      <c r="IQ187" s="452" t="str">
        <f t="shared" si="260"/>
        <v/>
      </c>
      <c r="IR187" s="453" t="str">
        <f t="shared" si="260"/>
        <v/>
      </c>
    </row>
    <row r="188" spans="1:252" x14ac:dyDescent="0.2">
      <c r="A188" s="461">
        <v>17.8</v>
      </c>
      <c r="C188" s="447" t="s">
        <v>1358</v>
      </c>
      <c r="D188" s="447"/>
      <c r="E188" s="448"/>
      <c r="F188" s="448"/>
      <c r="G188" s="448"/>
      <c r="H188" s="448"/>
      <c r="I188" s="448"/>
      <c r="J188" s="449" t="str">
        <f t="shared" si="275"/>
        <v/>
      </c>
      <c r="K188" s="449" t="str">
        <f t="shared" si="276"/>
        <v/>
      </c>
      <c r="L188" s="450">
        <f t="shared" si="270"/>
        <v>0</v>
      </c>
      <c r="M188" s="451" t="str">
        <f t="shared" ref="M188:AB203" si="284">IF(AND(M$2&gt;=$J188,M$2&lt;=$K188),1,"")</f>
        <v/>
      </c>
      <c r="N188" s="452" t="str">
        <f t="shared" si="284"/>
        <v/>
      </c>
      <c r="O188" s="452" t="str">
        <f t="shared" si="284"/>
        <v/>
      </c>
      <c r="P188" s="452" t="str">
        <f t="shared" si="284"/>
        <v/>
      </c>
      <c r="Q188" s="453" t="str">
        <f t="shared" si="284"/>
        <v/>
      </c>
      <c r="R188" s="451" t="str">
        <f t="shared" si="284"/>
        <v/>
      </c>
      <c r="S188" s="452" t="str">
        <f t="shared" si="284"/>
        <v/>
      </c>
      <c r="T188" s="452" t="str">
        <f t="shared" si="284"/>
        <v/>
      </c>
      <c r="U188" s="452" t="str">
        <f t="shared" si="284"/>
        <v/>
      </c>
      <c r="V188" s="453" t="str">
        <f t="shared" si="284"/>
        <v/>
      </c>
      <c r="W188" s="451" t="str">
        <f t="shared" si="284"/>
        <v/>
      </c>
      <c r="X188" s="452" t="str">
        <f t="shared" si="284"/>
        <v/>
      </c>
      <c r="Y188" s="452" t="str">
        <f t="shared" si="284"/>
        <v/>
      </c>
      <c r="Z188" s="452" t="str">
        <f t="shared" si="284"/>
        <v/>
      </c>
      <c r="AA188" s="453" t="str">
        <f t="shared" si="284"/>
        <v/>
      </c>
      <c r="AB188" s="451" t="str">
        <f t="shared" si="284"/>
        <v/>
      </c>
      <c r="AC188" s="452" t="str">
        <f t="shared" si="267"/>
        <v/>
      </c>
      <c r="AD188" s="452" t="str">
        <f t="shared" si="267"/>
        <v/>
      </c>
      <c r="AE188" s="452" t="str">
        <f t="shared" si="267"/>
        <v/>
      </c>
      <c r="AF188" s="453" t="str">
        <f t="shared" si="267"/>
        <v/>
      </c>
      <c r="AG188" s="451" t="str">
        <f t="shared" si="267"/>
        <v/>
      </c>
      <c r="AH188" s="452" t="str">
        <f t="shared" si="267"/>
        <v/>
      </c>
      <c r="AI188" s="452" t="str">
        <f t="shared" si="267"/>
        <v/>
      </c>
      <c r="AJ188" s="452" t="str">
        <f t="shared" si="267"/>
        <v/>
      </c>
      <c r="AK188" s="453" t="str">
        <f t="shared" si="267"/>
        <v/>
      </c>
      <c r="AL188" s="451" t="str">
        <f t="shared" si="267"/>
        <v/>
      </c>
      <c r="AM188" s="452" t="str">
        <f t="shared" si="267"/>
        <v/>
      </c>
      <c r="AN188" s="452" t="str">
        <f t="shared" si="267"/>
        <v/>
      </c>
      <c r="AO188" s="452" t="str">
        <f t="shared" si="267"/>
        <v/>
      </c>
      <c r="AP188" s="453" t="str">
        <f t="shared" si="267"/>
        <v/>
      </c>
      <c r="AQ188" s="451" t="str">
        <f t="shared" si="267"/>
        <v/>
      </c>
      <c r="AR188" s="452" t="str">
        <f t="shared" si="267"/>
        <v/>
      </c>
      <c r="AS188" s="452" t="str">
        <f t="shared" si="264"/>
        <v/>
      </c>
      <c r="AT188" s="452" t="str">
        <f t="shared" si="264"/>
        <v/>
      </c>
      <c r="AU188" s="453" t="str">
        <f t="shared" si="264"/>
        <v/>
      </c>
      <c r="AV188" s="451" t="str">
        <f t="shared" si="264"/>
        <v/>
      </c>
      <c r="AW188" s="452" t="str">
        <f t="shared" si="264"/>
        <v/>
      </c>
      <c r="AX188" s="452" t="str">
        <f t="shared" si="264"/>
        <v/>
      </c>
      <c r="AY188" s="452" t="str">
        <f t="shared" si="264"/>
        <v/>
      </c>
      <c r="AZ188" s="453" t="str">
        <f t="shared" si="264"/>
        <v/>
      </c>
      <c r="BA188" s="451" t="str">
        <f t="shared" si="264"/>
        <v/>
      </c>
      <c r="BB188" s="452" t="str">
        <f t="shared" si="264"/>
        <v/>
      </c>
      <c r="BC188" s="452" t="str">
        <f t="shared" si="264"/>
        <v/>
      </c>
      <c r="BD188" s="452" t="str">
        <f t="shared" si="264"/>
        <v/>
      </c>
      <c r="BE188" s="453" t="str">
        <f t="shared" si="264"/>
        <v/>
      </c>
      <c r="BF188" s="451" t="str">
        <f t="shared" si="264"/>
        <v/>
      </c>
      <c r="BG188" s="452" t="str">
        <f t="shared" si="264"/>
        <v/>
      </c>
      <c r="BH188" s="452" t="str">
        <f t="shared" si="261"/>
        <v/>
      </c>
      <c r="BI188" s="452" t="str">
        <f t="shared" si="261"/>
        <v/>
      </c>
      <c r="BJ188" s="453" t="str">
        <f t="shared" si="261"/>
        <v/>
      </c>
      <c r="BK188" s="451" t="str">
        <f t="shared" si="261"/>
        <v/>
      </c>
      <c r="BL188" s="452" t="str">
        <f t="shared" si="261"/>
        <v/>
      </c>
      <c r="BM188" s="452" t="str">
        <f t="shared" si="261"/>
        <v/>
      </c>
      <c r="BN188" s="452" t="str">
        <f t="shared" si="261"/>
        <v/>
      </c>
      <c r="BO188" s="453" t="str">
        <f t="shared" si="261"/>
        <v/>
      </c>
      <c r="BP188" s="451" t="str">
        <f t="shared" si="261"/>
        <v/>
      </c>
      <c r="BQ188" s="452" t="str">
        <f t="shared" si="261"/>
        <v/>
      </c>
      <c r="BR188" s="452" t="str">
        <f t="shared" si="261"/>
        <v/>
      </c>
      <c r="BS188" s="452" t="str">
        <f t="shared" si="261"/>
        <v/>
      </c>
      <c r="BT188" s="453" t="str">
        <f t="shared" si="261"/>
        <v/>
      </c>
      <c r="BU188" s="451" t="str">
        <f t="shared" si="261"/>
        <v/>
      </c>
      <c r="BV188" s="452" t="str">
        <f t="shared" si="261"/>
        <v/>
      </c>
      <c r="BW188" s="452" t="str">
        <f t="shared" si="261"/>
        <v/>
      </c>
      <c r="BX188" s="452" t="str">
        <f t="shared" si="265"/>
        <v/>
      </c>
      <c r="BY188" s="453" t="str">
        <f t="shared" si="265"/>
        <v/>
      </c>
      <c r="BZ188" s="451" t="str">
        <f t="shared" si="265"/>
        <v/>
      </c>
      <c r="CA188" s="452" t="str">
        <f t="shared" si="265"/>
        <v/>
      </c>
      <c r="CB188" s="452" t="str">
        <f t="shared" si="265"/>
        <v/>
      </c>
      <c r="CC188" s="452" t="str">
        <f t="shared" si="265"/>
        <v/>
      </c>
      <c r="CD188" s="453" t="str">
        <f t="shared" si="265"/>
        <v/>
      </c>
      <c r="CE188" s="451" t="str">
        <f t="shared" si="265"/>
        <v/>
      </c>
      <c r="CF188" s="452" t="str">
        <f t="shared" si="265"/>
        <v/>
      </c>
      <c r="CG188" s="452" t="str">
        <f t="shared" si="265"/>
        <v/>
      </c>
      <c r="CH188" s="452" t="str">
        <f t="shared" si="265"/>
        <v/>
      </c>
      <c r="CI188" s="453" t="str">
        <f t="shared" si="265"/>
        <v/>
      </c>
      <c r="CJ188" s="451" t="str">
        <f t="shared" si="265"/>
        <v/>
      </c>
      <c r="CK188" s="452" t="str">
        <f t="shared" si="265"/>
        <v/>
      </c>
      <c r="CL188" s="452" t="str">
        <f t="shared" si="265"/>
        <v/>
      </c>
      <c r="CM188" s="452" t="str">
        <f t="shared" si="265"/>
        <v/>
      </c>
      <c r="CN188" s="453" t="str">
        <f t="shared" si="266"/>
        <v/>
      </c>
      <c r="CO188" s="451" t="str">
        <f t="shared" si="266"/>
        <v/>
      </c>
      <c r="CP188" s="452" t="str">
        <f t="shared" si="266"/>
        <v/>
      </c>
      <c r="CQ188" s="452" t="str">
        <f t="shared" si="266"/>
        <v/>
      </c>
      <c r="CR188" s="452" t="str">
        <f t="shared" si="266"/>
        <v/>
      </c>
      <c r="CS188" s="453" t="str">
        <f t="shared" si="266"/>
        <v/>
      </c>
      <c r="CT188" s="451" t="str">
        <f t="shared" si="266"/>
        <v/>
      </c>
      <c r="CU188" s="452" t="str">
        <f t="shared" si="266"/>
        <v/>
      </c>
      <c r="CV188" s="452" t="str">
        <f t="shared" si="266"/>
        <v/>
      </c>
      <c r="CW188" s="452" t="str">
        <f t="shared" si="266"/>
        <v/>
      </c>
      <c r="CX188" s="453" t="str">
        <f t="shared" si="266"/>
        <v/>
      </c>
      <c r="CY188" s="451" t="str">
        <f t="shared" si="266"/>
        <v/>
      </c>
      <c r="CZ188" s="452" t="str">
        <f t="shared" si="266"/>
        <v/>
      </c>
      <c r="DA188" s="452" t="str">
        <f t="shared" si="266"/>
        <v/>
      </c>
      <c r="DB188" s="452" t="str">
        <f t="shared" si="266"/>
        <v/>
      </c>
      <c r="DC188" s="453" t="str">
        <f t="shared" si="266"/>
        <v/>
      </c>
      <c r="DD188" s="451" t="str">
        <f t="shared" si="262"/>
        <v/>
      </c>
      <c r="DE188" s="452" t="str">
        <f t="shared" si="263"/>
        <v/>
      </c>
      <c r="DF188" s="452" t="str">
        <f t="shared" si="263"/>
        <v/>
      </c>
      <c r="DG188" s="452" t="str">
        <f t="shared" si="263"/>
        <v/>
      </c>
      <c r="DH188" s="453" t="str">
        <f t="shared" si="263"/>
        <v/>
      </c>
      <c r="DI188" s="451" t="str">
        <f t="shared" si="263"/>
        <v/>
      </c>
      <c r="DJ188" s="452" t="str">
        <f t="shared" si="263"/>
        <v/>
      </c>
      <c r="DK188" s="452" t="str">
        <f t="shared" si="263"/>
        <v/>
      </c>
      <c r="DL188" s="452" t="str">
        <f t="shared" si="263"/>
        <v/>
      </c>
      <c r="DM188" s="453" t="str">
        <f t="shared" si="263"/>
        <v/>
      </c>
      <c r="DN188" s="451" t="str">
        <f t="shared" si="263"/>
        <v/>
      </c>
      <c r="DO188" s="452" t="str">
        <f t="shared" si="263"/>
        <v/>
      </c>
      <c r="DP188" s="452" t="str">
        <f t="shared" si="263"/>
        <v/>
      </c>
      <c r="DQ188" s="452" t="str">
        <f t="shared" si="263"/>
        <v/>
      </c>
      <c r="DR188" s="453" t="str">
        <f t="shared" si="263"/>
        <v/>
      </c>
      <c r="DS188" s="451" t="str">
        <f t="shared" si="263"/>
        <v/>
      </c>
      <c r="DT188" s="452" t="str">
        <f t="shared" si="263"/>
        <v/>
      </c>
      <c r="DU188" s="452" t="str">
        <f t="shared" si="268"/>
        <v/>
      </c>
      <c r="DV188" s="452" t="str">
        <f t="shared" si="268"/>
        <v/>
      </c>
      <c r="DW188" s="453" t="str">
        <f t="shared" si="268"/>
        <v/>
      </c>
      <c r="DX188" s="451" t="str">
        <f t="shared" si="268"/>
        <v/>
      </c>
      <c r="DY188" s="452" t="str">
        <f t="shared" si="268"/>
        <v/>
      </c>
      <c r="DZ188" s="452" t="str">
        <f t="shared" si="268"/>
        <v/>
      </c>
      <c r="EA188" s="452" t="str">
        <f t="shared" si="268"/>
        <v/>
      </c>
      <c r="EB188" s="453" t="str">
        <f t="shared" si="268"/>
        <v/>
      </c>
      <c r="EC188" s="451" t="str">
        <f t="shared" si="268"/>
        <v/>
      </c>
      <c r="ED188" s="452" t="str">
        <f t="shared" si="268"/>
        <v/>
      </c>
      <c r="EE188" s="452" t="str">
        <f t="shared" si="268"/>
        <v/>
      </c>
      <c r="EF188" s="452" t="str">
        <f t="shared" si="268"/>
        <v/>
      </c>
      <c r="EG188" s="453" t="str">
        <f t="shared" si="268"/>
        <v/>
      </c>
      <c r="EH188" s="451" t="str">
        <f t="shared" si="268"/>
        <v/>
      </c>
      <c r="EI188" s="452" t="str">
        <f t="shared" si="268"/>
        <v/>
      </c>
      <c r="EJ188" s="452" t="str">
        <f t="shared" si="268"/>
        <v/>
      </c>
      <c r="EK188" s="452" t="str">
        <f t="shared" si="277"/>
        <v/>
      </c>
      <c r="EL188" s="453" t="str">
        <f t="shared" si="277"/>
        <v/>
      </c>
      <c r="EM188" s="451" t="str">
        <f t="shared" si="277"/>
        <v/>
      </c>
      <c r="EN188" s="452" t="str">
        <f t="shared" si="277"/>
        <v/>
      </c>
      <c r="EO188" s="452" t="str">
        <f t="shared" si="277"/>
        <v/>
      </c>
      <c r="EP188" s="452" t="str">
        <f t="shared" si="277"/>
        <v/>
      </c>
      <c r="EQ188" s="453" t="str">
        <f t="shared" si="277"/>
        <v/>
      </c>
      <c r="ER188" s="451" t="str">
        <f t="shared" si="277"/>
        <v/>
      </c>
      <c r="ES188" s="452" t="str">
        <f t="shared" si="277"/>
        <v/>
      </c>
      <c r="ET188" s="452" t="str">
        <f t="shared" si="277"/>
        <v/>
      </c>
      <c r="EU188" s="452" t="str">
        <f t="shared" si="277"/>
        <v/>
      </c>
      <c r="EV188" s="453" t="str">
        <f t="shared" si="277"/>
        <v/>
      </c>
      <c r="EW188" s="451" t="str">
        <f t="shared" si="277"/>
        <v/>
      </c>
      <c r="EX188" s="452" t="str">
        <f t="shared" si="277"/>
        <v/>
      </c>
      <c r="EY188" s="452" t="str">
        <f t="shared" si="277"/>
        <v/>
      </c>
      <c r="EZ188" s="452" t="str">
        <f t="shared" si="277"/>
        <v/>
      </c>
      <c r="FA188" s="453" t="str">
        <f t="shared" si="278"/>
        <v/>
      </c>
      <c r="FB188" s="451" t="str">
        <f t="shared" si="278"/>
        <v/>
      </c>
      <c r="FC188" s="452" t="str">
        <f t="shared" si="278"/>
        <v/>
      </c>
      <c r="FD188" s="452" t="str">
        <f t="shared" si="278"/>
        <v/>
      </c>
      <c r="FE188" s="452" t="str">
        <f t="shared" si="278"/>
        <v/>
      </c>
      <c r="FF188" s="453" t="str">
        <f t="shared" si="278"/>
        <v/>
      </c>
      <c r="FG188" s="451" t="str">
        <f t="shared" si="278"/>
        <v/>
      </c>
      <c r="FH188" s="452" t="str">
        <f t="shared" si="278"/>
        <v/>
      </c>
      <c r="FI188" s="452" t="str">
        <f t="shared" si="278"/>
        <v/>
      </c>
      <c r="FJ188" s="452" t="str">
        <f t="shared" si="278"/>
        <v/>
      </c>
      <c r="FK188" s="453" t="str">
        <f t="shared" si="278"/>
        <v/>
      </c>
      <c r="FL188" s="451" t="str">
        <f t="shared" si="278"/>
        <v/>
      </c>
      <c r="FM188" s="452" t="str">
        <f t="shared" si="278"/>
        <v/>
      </c>
      <c r="FN188" s="452" t="str">
        <f t="shared" si="278"/>
        <v/>
      </c>
      <c r="FO188" s="452" t="str">
        <f t="shared" si="278"/>
        <v/>
      </c>
      <c r="FP188" s="453" t="str">
        <f t="shared" si="278"/>
        <v/>
      </c>
      <c r="FQ188" s="451" t="str">
        <f t="shared" si="279"/>
        <v/>
      </c>
      <c r="FR188" s="452" t="str">
        <f t="shared" si="279"/>
        <v/>
      </c>
      <c r="FS188" s="452" t="str">
        <f t="shared" si="279"/>
        <v/>
      </c>
      <c r="FT188" s="452" t="str">
        <f t="shared" si="279"/>
        <v/>
      </c>
      <c r="FU188" s="453" t="str">
        <f t="shared" si="279"/>
        <v/>
      </c>
      <c r="FV188" s="451" t="str">
        <f t="shared" si="279"/>
        <v/>
      </c>
      <c r="FW188" s="452" t="str">
        <f t="shared" si="279"/>
        <v/>
      </c>
      <c r="FX188" s="452" t="str">
        <f t="shared" si="279"/>
        <v/>
      </c>
      <c r="FY188" s="452" t="str">
        <f t="shared" si="279"/>
        <v/>
      </c>
      <c r="FZ188" s="453" t="str">
        <f t="shared" si="279"/>
        <v/>
      </c>
      <c r="GA188" s="451" t="str">
        <f t="shared" si="279"/>
        <v/>
      </c>
      <c r="GB188" s="452" t="str">
        <f t="shared" si="279"/>
        <v/>
      </c>
      <c r="GC188" s="452" t="str">
        <f t="shared" si="279"/>
        <v/>
      </c>
      <c r="GD188" s="452" t="str">
        <f t="shared" si="272"/>
        <v/>
      </c>
      <c r="GE188" s="453" t="str">
        <f t="shared" si="272"/>
        <v/>
      </c>
      <c r="GF188" s="451" t="str">
        <f t="shared" si="272"/>
        <v/>
      </c>
      <c r="GG188" s="452" t="str">
        <f t="shared" si="272"/>
        <v/>
      </c>
      <c r="GH188" s="452" t="str">
        <f t="shared" si="272"/>
        <v/>
      </c>
      <c r="GI188" s="452" t="str">
        <f t="shared" si="272"/>
        <v/>
      </c>
      <c r="GJ188" s="453" t="str">
        <f t="shared" si="272"/>
        <v/>
      </c>
      <c r="GK188" s="451" t="str">
        <f t="shared" si="272"/>
        <v/>
      </c>
      <c r="GL188" s="452" t="str">
        <f t="shared" si="272"/>
        <v/>
      </c>
      <c r="GM188" s="452" t="str">
        <f t="shared" si="272"/>
        <v/>
      </c>
      <c r="GN188" s="452" t="str">
        <f t="shared" si="272"/>
        <v/>
      </c>
      <c r="GO188" s="453" t="str">
        <f t="shared" si="272"/>
        <v/>
      </c>
      <c r="GP188" s="451" t="str">
        <f t="shared" si="272"/>
        <v/>
      </c>
      <c r="GQ188" s="452" t="str">
        <f t="shared" si="272"/>
        <v/>
      </c>
      <c r="GR188" s="452" t="str">
        <f t="shared" si="273"/>
        <v/>
      </c>
      <c r="GS188" s="452" t="str">
        <f t="shared" si="273"/>
        <v/>
      </c>
      <c r="GT188" s="453" t="str">
        <f t="shared" si="273"/>
        <v/>
      </c>
      <c r="GU188" s="451" t="str">
        <f t="shared" si="273"/>
        <v/>
      </c>
      <c r="GV188" s="452" t="str">
        <f t="shared" si="273"/>
        <v/>
      </c>
      <c r="GW188" s="452" t="str">
        <f t="shared" si="273"/>
        <v/>
      </c>
      <c r="GX188" s="452" t="str">
        <f t="shared" si="273"/>
        <v/>
      </c>
      <c r="GY188" s="453" t="str">
        <f t="shared" si="273"/>
        <v/>
      </c>
      <c r="GZ188" s="451" t="str">
        <f t="shared" si="273"/>
        <v/>
      </c>
      <c r="HA188" s="452" t="str">
        <f t="shared" si="273"/>
        <v/>
      </c>
      <c r="HB188" s="452" t="str">
        <f t="shared" si="273"/>
        <v/>
      </c>
      <c r="HC188" s="452" t="str">
        <f t="shared" si="273"/>
        <v/>
      </c>
      <c r="HD188" s="453" t="str">
        <f t="shared" si="273"/>
        <v/>
      </c>
      <c r="HE188" s="451" t="str">
        <f t="shared" si="273"/>
        <v/>
      </c>
      <c r="HF188" s="452" t="str">
        <f t="shared" si="273"/>
        <v/>
      </c>
      <c r="HG188" s="452" t="str">
        <f t="shared" si="273"/>
        <v/>
      </c>
      <c r="HH188" s="452" t="str">
        <f t="shared" si="280"/>
        <v/>
      </c>
      <c r="HI188" s="453" t="str">
        <f t="shared" si="280"/>
        <v/>
      </c>
      <c r="HJ188" s="451" t="str">
        <f t="shared" si="280"/>
        <v/>
      </c>
      <c r="HK188" s="452" t="str">
        <f t="shared" si="280"/>
        <v/>
      </c>
      <c r="HL188" s="452" t="str">
        <f t="shared" si="280"/>
        <v/>
      </c>
      <c r="HM188" s="452" t="str">
        <f t="shared" si="280"/>
        <v/>
      </c>
      <c r="HN188" s="453" t="str">
        <f t="shared" si="280"/>
        <v/>
      </c>
      <c r="HO188" s="451" t="str">
        <f t="shared" si="280"/>
        <v/>
      </c>
      <c r="HP188" s="452" t="str">
        <f t="shared" si="280"/>
        <v/>
      </c>
      <c r="HQ188" s="452" t="str">
        <f t="shared" si="280"/>
        <v/>
      </c>
      <c r="HR188" s="452" t="str">
        <f t="shared" si="280"/>
        <v/>
      </c>
      <c r="HS188" s="453" t="str">
        <f t="shared" si="280"/>
        <v/>
      </c>
      <c r="HT188" s="451" t="str">
        <f t="shared" si="280"/>
        <v/>
      </c>
      <c r="HU188" s="452" t="str">
        <f t="shared" si="280"/>
        <v/>
      </c>
      <c r="HV188" s="452" t="str">
        <f t="shared" si="280"/>
        <v/>
      </c>
      <c r="HW188" s="452" t="str">
        <f t="shared" si="280"/>
        <v/>
      </c>
      <c r="HX188" s="453" t="str">
        <f t="shared" si="281"/>
        <v/>
      </c>
      <c r="HY188" s="451" t="str">
        <f t="shared" si="281"/>
        <v/>
      </c>
      <c r="HZ188" s="452" t="str">
        <f t="shared" si="281"/>
        <v/>
      </c>
      <c r="IA188" s="452" t="str">
        <f t="shared" si="281"/>
        <v/>
      </c>
      <c r="IB188" s="452" t="str">
        <f t="shared" si="281"/>
        <v/>
      </c>
      <c r="IC188" s="453" t="str">
        <f t="shared" si="281"/>
        <v/>
      </c>
      <c r="ID188" s="451" t="str">
        <f t="shared" si="281"/>
        <v/>
      </c>
      <c r="IE188" s="452" t="str">
        <f t="shared" si="281"/>
        <v/>
      </c>
      <c r="IF188" s="452" t="str">
        <f t="shared" si="281"/>
        <v/>
      </c>
      <c r="IG188" s="452" t="str">
        <f t="shared" si="281"/>
        <v/>
      </c>
      <c r="IH188" s="453" t="str">
        <f t="shared" si="281"/>
        <v/>
      </c>
      <c r="II188" s="451" t="str">
        <f t="shared" si="281"/>
        <v/>
      </c>
      <c r="IJ188" s="452" t="str">
        <f t="shared" si="281"/>
        <v/>
      </c>
      <c r="IK188" s="452" t="str">
        <f t="shared" si="281"/>
        <v/>
      </c>
      <c r="IL188" s="452" t="str">
        <f t="shared" si="281"/>
        <v/>
      </c>
      <c r="IM188" s="453" t="str">
        <f t="shared" si="281"/>
        <v/>
      </c>
      <c r="IN188" s="451" t="str">
        <f t="shared" si="281"/>
        <v/>
      </c>
      <c r="IO188" s="452" t="str">
        <f t="shared" si="282"/>
        <v/>
      </c>
      <c r="IP188" s="452" t="str">
        <f t="shared" si="282"/>
        <v/>
      </c>
      <c r="IQ188" s="452" t="str">
        <f t="shared" si="260"/>
        <v/>
      </c>
      <c r="IR188" s="453" t="str">
        <f t="shared" si="260"/>
        <v/>
      </c>
    </row>
    <row r="189" spans="1:252" x14ac:dyDescent="0.2">
      <c r="A189" s="461">
        <v>17.899999999999999</v>
      </c>
      <c r="C189" s="447" t="s">
        <v>1359</v>
      </c>
      <c r="D189" s="447"/>
      <c r="E189" s="448"/>
      <c r="F189" s="448"/>
      <c r="G189" s="448"/>
      <c r="H189" s="448"/>
      <c r="I189" s="448"/>
      <c r="J189" s="449" t="str">
        <f t="shared" si="275"/>
        <v/>
      </c>
      <c r="K189" s="449" t="str">
        <f t="shared" si="276"/>
        <v/>
      </c>
      <c r="L189" s="450">
        <f t="shared" si="270"/>
        <v>0</v>
      </c>
      <c r="M189" s="451" t="str">
        <f t="shared" si="284"/>
        <v/>
      </c>
      <c r="N189" s="452" t="str">
        <f t="shared" si="284"/>
        <v/>
      </c>
      <c r="O189" s="452" t="str">
        <f t="shared" si="284"/>
        <v/>
      </c>
      <c r="P189" s="452" t="str">
        <f t="shared" si="284"/>
        <v/>
      </c>
      <c r="Q189" s="453" t="str">
        <f t="shared" si="284"/>
        <v/>
      </c>
      <c r="R189" s="451" t="str">
        <f t="shared" si="284"/>
        <v/>
      </c>
      <c r="S189" s="452" t="str">
        <f t="shared" si="284"/>
        <v/>
      </c>
      <c r="T189" s="452" t="str">
        <f t="shared" si="284"/>
        <v/>
      </c>
      <c r="U189" s="452" t="str">
        <f t="shared" si="284"/>
        <v/>
      </c>
      <c r="V189" s="453" t="str">
        <f t="shared" si="284"/>
        <v/>
      </c>
      <c r="W189" s="451" t="str">
        <f t="shared" si="284"/>
        <v/>
      </c>
      <c r="X189" s="452" t="str">
        <f t="shared" si="284"/>
        <v/>
      </c>
      <c r="Y189" s="452" t="str">
        <f t="shared" si="284"/>
        <v/>
      </c>
      <c r="Z189" s="452" t="str">
        <f t="shared" si="284"/>
        <v/>
      </c>
      <c r="AA189" s="453" t="str">
        <f t="shared" si="284"/>
        <v/>
      </c>
      <c r="AB189" s="451" t="str">
        <f t="shared" si="284"/>
        <v/>
      </c>
      <c r="AC189" s="452" t="str">
        <f t="shared" si="267"/>
        <v/>
      </c>
      <c r="AD189" s="452" t="str">
        <f t="shared" si="267"/>
        <v/>
      </c>
      <c r="AE189" s="452" t="str">
        <f t="shared" si="267"/>
        <v/>
      </c>
      <c r="AF189" s="453" t="str">
        <f t="shared" si="267"/>
        <v/>
      </c>
      <c r="AG189" s="451" t="str">
        <f t="shared" si="267"/>
        <v/>
      </c>
      <c r="AH189" s="452" t="str">
        <f t="shared" si="267"/>
        <v/>
      </c>
      <c r="AI189" s="452" t="str">
        <f t="shared" si="267"/>
        <v/>
      </c>
      <c r="AJ189" s="452" t="str">
        <f t="shared" si="267"/>
        <v/>
      </c>
      <c r="AK189" s="453" t="str">
        <f t="shared" si="267"/>
        <v/>
      </c>
      <c r="AL189" s="451" t="str">
        <f t="shared" si="267"/>
        <v/>
      </c>
      <c r="AM189" s="452" t="str">
        <f t="shared" si="267"/>
        <v/>
      </c>
      <c r="AN189" s="452" t="str">
        <f t="shared" si="267"/>
        <v/>
      </c>
      <c r="AO189" s="452" t="str">
        <f t="shared" si="267"/>
        <v/>
      </c>
      <c r="AP189" s="453" t="str">
        <f t="shared" si="267"/>
        <v/>
      </c>
      <c r="AQ189" s="451" t="str">
        <f t="shared" si="267"/>
        <v/>
      </c>
      <c r="AR189" s="452" t="str">
        <f t="shared" si="267"/>
        <v/>
      </c>
      <c r="AS189" s="452" t="str">
        <f t="shared" si="264"/>
        <v/>
      </c>
      <c r="AT189" s="452" t="str">
        <f t="shared" si="264"/>
        <v/>
      </c>
      <c r="AU189" s="453" t="str">
        <f t="shared" si="264"/>
        <v/>
      </c>
      <c r="AV189" s="451" t="str">
        <f t="shared" si="264"/>
        <v/>
      </c>
      <c r="AW189" s="452" t="str">
        <f t="shared" si="264"/>
        <v/>
      </c>
      <c r="AX189" s="452" t="str">
        <f t="shared" si="264"/>
        <v/>
      </c>
      <c r="AY189" s="452" t="str">
        <f t="shared" si="264"/>
        <v/>
      </c>
      <c r="AZ189" s="453" t="str">
        <f t="shared" si="264"/>
        <v/>
      </c>
      <c r="BA189" s="451" t="str">
        <f t="shared" si="264"/>
        <v/>
      </c>
      <c r="BB189" s="452" t="str">
        <f t="shared" si="264"/>
        <v/>
      </c>
      <c r="BC189" s="452" t="str">
        <f t="shared" si="264"/>
        <v/>
      </c>
      <c r="BD189" s="452" t="str">
        <f t="shared" si="264"/>
        <v/>
      </c>
      <c r="BE189" s="453" t="str">
        <f t="shared" si="264"/>
        <v/>
      </c>
      <c r="BF189" s="451" t="str">
        <f t="shared" si="264"/>
        <v/>
      </c>
      <c r="BG189" s="452" t="str">
        <f t="shared" si="264"/>
        <v/>
      </c>
      <c r="BH189" s="452" t="str">
        <f t="shared" si="261"/>
        <v/>
      </c>
      <c r="BI189" s="452" t="str">
        <f t="shared" si="261"/>
        <v/>
      </c>
      <c r="BJ189" s="453" t="str">
        <f t="shared" si="261"/>
        <v/>
      </c>
      <c r="BK189" s="451" t="str">
        <f t="shared" si="261"/>
        <v/>
      </c>
      <c r="BL189" s="452" t="str">
        <f t="shared" si="261"/>
        <v/>
      </c>
      <c r="BM189" s="452" t="str">
        <f t="shared" si="261"/>
        <v/>
      </c>
      <c r="BN189" s="452" t="str">
        <f t="shared" si="261"/>
        <v/>
      </c>
      <c r="BO189" s="453" t="str">
        <f t="shared" si="261"/>
        <v/>
      </c>
      <c r="BP189" s="451" t="str">
        <f t="shared" si="261"/>
        <v/>
      </c>
      <c r="BQ189" s="452" t="str">
        <f t="shared" si="261"/>
        <v/>
      </c>
      <c r="BR189" s="452" t="str">
        <f t="shared" si="261"/>
        <v/>
      </c>
      <c r="BS189" s="452" t="str">
        <f t="shared" si="261"/>
        <v/>
      </c>
      <c r="BT189" s="453" t="str">
        <f t="shared" si="261"/>
        <v/>
      </c>
      <c r="BU189" s="451" t="str">
        <f t="shared" si="261"/>
        <v/>
      </c>
      <c r="BV189" s="452" t="str">
        <f t="shared" si="261"/>
        <v/>
      </c>
      <c r="BW189" s="452" t="str">
        <f t="shared" si="261"/>
        <v/>
      </c>
      <c r="BX189" s="452" t="str">
        <f t="shared" si="265"/>
        <v/>
      </c>
      <c r="BY189" s="453" t="str">
        <f t="shared" si="265"/>
        <v/>
      </c>
      <c r="BZ189" s="451" t="str">
        <f t="shared" si="265"/>
        <v/>
      </c>
      <c r="CA189" s="452" t="str">
        <f t="shared" si="265"/>
        <v/>
      </c>
      <c r="CB189" s="452" t="str">
        <f t="shared" si="265"/>
        <v/>
      </c>
      <c r="CC189" s="452" t="str">
        <f t="shared" si="265"/>
        <v/>
      </c>
      <c r="CD189" s="453" t="str">
        <f t="shared" si="265"/>
        <v/>
      </c>
      <c r="CE189" s="451" t="str">
        <f t="shared" si="265"/>
        <v/>
      </c>
      <c r="CF189" s="452" t="str">
        <f t="shared" si="265"/>
        <v/>
      </c>
      <c r="CG189" s="452" t="str">
        <f t="shared" si="265"/>
        <v/>
      </c>
      <c r="CH189" s="452" t="str">
        <f t="shared" si="265"/>
        <v/>
      </c>
      <c r="CI189" s="453" t="str">
        <f t="shared" si="265"/>
        <v/>
      </c>
      <c r="CJ189" s="451" t="str">
        <f t="shared" si="265"/>
        <v/>
      </c>
      <c r="CK189" s="452" t="str">
        <f t="shared" si="265"/>
        <v/>
      </c>
      <c r="CL189" s="452" t="str">
        <f t="shared" si="265"/>
        <v/>
      </c>
      <c r="CM189" s="452" t="str">
        <f t="shared" si="265"/>
        <v/>
      </c>
      <c r="CN189" s="453" t="str">
        <f t="shared" si="266"/>
        <v/>
      </c>
      <c r="CO189" s="451" t="str">
        <f t="shared" si="266"/>
        <v/>
      </c>
      <c r="CP189" s="452" t="str">
        <f t="shared" si="266"/>
        <v/>
      </c>
      <c r="CQ189" s="452" t="str">
        <f t="shared" si="266"/>
        <v/>
      </c>
      <c r="CR189" s="452" t="str">
        <f t="shared" si="266"/>
        <v/>
      </c>
      <c r="CS189" s="453" t="str">
        <f t="shared" si="266"/>
        <v/>
      </c>
      <c r="CT189" s="451" t="str">
        <f t="shared" si="266"/>
        <v/>
      </c>
      <c r="CU189" s="452" t="str">
        <f t="shared" si="266"/>
        <v/>
      </c>
      <c r="CV189" s="452" t="str">
        <f t="shared" si="266"/>
        <v/>
      </c>
      <c r="CW189" s="452" t="str">
        <f t="shared" si="266"/>
        <v/>
      </c>
      <c r="CX189" s="453" t="str">
        <f t="shared" si="266"/>
        <v/>
      </c>
      <c r="CY189" s="451" t="str">
        <f t="shared" si="266"/>
        <v/>
      </c>
      <c r="CZ189" s="452" t="str">
        <f t="shared" si="266"/>
        <v/>
      </c>
      <c r="DA189" s="452" t="str">
        <f t="shared" si="266"/>
        <v/>
      </c>
      <c r="DB189" s="452" t="str">
        <f t="shared" si="266"/>
        <v/>
      </c>
      <c r="DC189" s="453" t="str">
        <f t="shared" si="266"/>
        <v/>
      </c>
      <c r="DD189" s="451" t="str">
        <f t="shared" si="262"/>
        <v/>
      </c>
      <c r="DE189" s="452" t="str">
        <f t="shared" si="263"/>
        <v/>
      </c>
      <c r="DF189" s="452" t="str">
        <f t="shared" si="263"/>
        <v/>
      </c>
      <c r="DG189" s="452" t="str">
        <f t="shared" si="263"/>
        <v/>
      </c>
      <c r="DH189" s="453" t="str">
        <f t="shared" si="263"/>
        <v/>
      </c>
      <c r="DI189" s="451" t="str">
        <f t="shared" si="263"/>
        <v/>
      </c>
      <c r="DJ189" s="452" t="str">
        <f t="shared" si="263"/>
        <v/>
      </c>
      <c r="DK189" s="452" t="str">
        <f t="shared" si="263"/>
        <v/>
      </c>
      <c r="DL189" s="452" t="str">
        <f t="shared" si="263"/>
        <v/>
      </c>
      <c r="DM189" s="453" t="str">
        <f t="shared" si="263"/>
        <v/>
      </c>
      <c r="DN189" s="451" t="str">
        <f t="shared" si="263"/>
        <v/>
      </c>
      <c r="DO189" s="452" t="str">
        <f t="shared" si="263"/>
        <v/>
      </c>
      <c r="DP189" s="452" t="str">
        <f t="shared" si="263"/>
        <v/>
      </c>
      <c r="DQ189" s="452" t="str">
        <f t="shared" si="263"/>
        <v/>
      </c>
      <c r="DR189" s="453" t="str">
        <f t="shared" si="263"/>
        <v/>
      </c>
      <c r="DS189" s="451" t="str">
        <f t="shared" si="263"/>
        <v/>
      </c>
      <c r="DT189" s="452" t="str">
        <f t="shared" si="263"/>
        <v/>
      </c>
      <c r="DU189" s="452" t="str">
        <f t="shared" si="268"/>
        <v/>
      </c>
      <c r="DV189" s="452" t="str">
        <f t="shared" si="268"/>
        <v/>
      </c>
      <c r="DW189" s="453" t="str">
        <f t="shared" si="268"/>
        <v/>
      </c>
      <c r="DX189" s="451" t="str">
        <f t="shared" si="268"/>
        <v/>
      </c>
      <c r="DY189" s="452" t="str">
        <f t="shared" si="268"/>
        <v/>
      </c>
      <c r="DZ189" s="452" t="str">
        <f t="shared" si="268"/>
        <v/>
      </c>
      <c r="EA189" s="452" t="str">
        <f t="shared" si="268"/>
        <v/>
      </c>
      <c r="EB189" s="453" t="str">
        <f t="shared" si="268"/>
        <v/>
      </c>
      <c r="EC189" s="451" t="str">
        <f t="shared" si="268"/>
        <v/>
      </c>
      <c r="ED189" s="452" t="str">
        <f t="shared" si="268"/>
        <v/>
      </c>
      <c r="EE189" s="452" t="str">
        <f t="shared" si="268"/>
        <v/>
      </c>
      <c r="EF189" s="452" t="str">
        <f t="shared" si="268"/>
        <v/>
      </c>
      <c r="EG189" s="453" t="str">
        <f t="shared" si="268"/>
        <v/>
      </c>
      <c r="EH189" s="451" t="str">
        <f t="shared" si="268"/>
        <v/>
      </c>
      <c r="EI189" s="452" t="str">
        <f t="shared" si="268"/>
        <v/>
      </c>
      <c r="EJ189" s="452" t="str">
        <f t="shared" si="268"/>
        <v/>
      </c>
      <c r="EK189" s="452" t="str">
        <f t="shared" si="277"/>
        <v/>
      </c>
      <c r="EL189" s="453" t="str">
        <f t="shared" si="277"/>
        <v/>
      </c>
      <c r="EM189" s="451" t="str">
        <f t="shared" si="277"/>
        <v/>
      </c>
      <c r="EN189" s="452" t="str">
        <f t="shared" si="277"/>
        <v/>
      </c>
      <c r="EO189" s="452" t="str">
        <f t="shared" si="277"/>
        <v/>
      </c>
      <c r="EP189" s="452" t="str">
        <f t="shared" si="277"/>
        <v/>
      </c>
      <c r="EQ189" s="453" t="str">
        <f t="shared" si="277"/>
        <v/>
      </c>
      <c r="ER189" s="451" t="str">
        <f t="shared" si="277"/>
        <v/>
      </c>
      <c r="ES189" s="452" t="str">
        <f t="shared" si="277"/>
        <v/>
      </c>
      <c r="ET189" s="452" t="str">
        <f t="shared" si="277"/>
        <v/>
      </c>
      <c r="EU189" s="452" t="str">
        <f t="shared" si="277"/>
        <v/>
      </c>
      <c r="EV189" s="453" t="str">
        <f t="shared" si="277"/>
        <v/>
      </c>
      <c r="EW189" s="451" t="str">
        <f t="shared" si="277"/>
        <v/>
      </c>
      <c r="EX189" s="452" t="str">
        <f t="shared" si="277"/>
        <v/>
      </c>
      <c r="EY189" s="452" t="str">
        <f t="shared" si="277"/>
        <v/>
      </c>
      <c r="EZ189" s="452" t="str">
        <f t="shared" si="277"/>
        <v/>
      </c>
      <c r="FA189" s="453" t="str">
        <f t="shared" si="278"/>
        <v/>
      </c>
      <c r="FB189" s="451" t="str">
        <f t="shared" si="278"/>
        <v/>
      </c>
      <c r="FC189" s="452" t="str">
        <f t="shared" si="278"/>
        <v/>
      </c>
      <c r="FD189" s="452" t="str">
        <f t="shared" si="278"/>
        <v/>
      </c>
      <c r="FE189" s="452" t="str">
        <f t="shared" si="278"/>
        <v/>
      </c>
      <c r="FF189" s="453" t="str">
        <f t="shared" si="278"/>
        <v/>
      </c>
      <c r="FG189" s="451" t="str">
        <f t="shared" si="278"/>
        <v/>
      </c>
      <c r="FH189" s="452" t="str">
        <f t="shared" si="278"/>
        <v/>
      </c>
      <c r="FI189" s="452" t="str">
        <f t="shared" si="278"/>
        <v/>
      </c>
      <c r="FJ189" s="452" t="str">
        <f t="shared" si="278"/>
        <v/>
      </c>
      <c r="FK189" s="453" t="str">
        <f t="shared" si="278"/>
        <v/>
      </c>
      <c r="FL189" s="451" t="str">
        <f t="shared" si="278"/>
        <v/>
      </c>
      <c r="FM189" s="452" t="str">
        <f t="shared" si="278"/>
        <v/>
      </c>
      <c r="FN189" s="452" t="str">
        <f t="shared" si="278"/>
        <v/>
      </c>
      <c r="FO189" s="452" t="str">
        <f t="shared" si="278"/>
        <v/>
      </c>
      <c r="FP189" s="453" t="str">
        <f t="shared" si="278"/>
        <v/>
      </c>
      <c r="FQ189" s="451" t="str">
        <f t="shared" si="279"/>
        <v/>
      </c>
      <c r="FR189" s="452" t="str">
        <f t="shared" si="279"/>
        <v/>
      </c>
      <c r="FS189" s="452" t="str">
        <f t="shared" si="279"/>
        <v/>
      </c>
      <c r="FT189" s="452" t="str">
        <f t="shared" si="279"/>
        <v/>
      </c>
      <c r="FU189" s="453" t="str">
        <f t="shared" si="279"/>
        <v/>
      </c>
      <c r="FV189" s="451" t="str">
        <f t="shared" si="279"/>
        <v/>
      </c>
      <c r="FW189" s="452" t="str">
        <f t="shared" si="279"/>
        <v/>
      </c>
      <c r="FX189" s="452" t="str">
        <f t="shared" si="279"/>
        <v/>
      </c>
      <c r="FY189" s="452" t="str">
        <f t="shared" si="279"/>
        <v/>
      </c>
      <c r="FZ189" s="453" t="str">
        <f t="shared" si="279"/>
        <v/>
      </c>
      <c r="GA189" s="451" t="str">
        <f t="shared" si="279"/>
        <v/>
      </c>
      <c r="GB189" s="452" t="str">
        <f t="shared" si="279"/>
        <v/>
      </c>
      <c r="GC189" s="452" t="str">
        <f t="shared" si="279"/>
        <v/>
      </c>
      <c r="GD189" s="452" t="str">
        <f t="shared" si="272"/>
        <v/>
      </c>
      <c r="GE189" s="453" t="str">
        <f t="shared" si="272"/>
        <v/>
      </c>
      <c r="GF189" s="451" t="str">
        <f t="shared" si="272"/>
        <v/>
      </c>
      <c r="GG189" s="452" t="str">
        <f t="shared" si="272"/>
        <v/>
      </c>
      <c r="GH189" s="452" t="str">
        <f t="shared" si="272"/>
        <v/>
      </c>
      <c r="GI189" s="452" t="str">
        <f t="shared" si="272"/>
        <v/>
      </c>
      <c r="GJ189" s="453" t="str">
        <f t="shared" si="272"/>
        <v/>
      </c>
      <c r="GK189" s="451" t="str">
        <f t="shared" si="272"/>
        <v/>
      </c>
      <c r="GL189" s="452" t="str">
        <f t="shared" si="272"/>
        <v/>
      </c>
      <c r="GM189" s="452" t="str">
        <f t="shared" si="272"/>
        <v/>
      </c>
      <c r="GN189" s="452" t="str">
        <f t="shared" si="272"/>
        <v/>
      </c>
      <c r="GO189" s="453" t="str">
        <f t="shared" si="272"/>
        <v/>
      </c>
      <c r="GP189" s="451" t="str">
        <f t="shared" si="272"/>
        <v/>
      </c>
      <c r="GQ189" s="452" t="str">
        <f t="shared" si="272"/>
        <v/>
      </c>
      <c r="GR189" s="452" t="str">
        <f t="shared" si="273"/>
        <v/>
      </c>
      <c r="GS189" s="452" t="str">
        <f t="shared" si="273"/>
        <v/>
      </c>
      <c r="GT189" s="453" t="str">
        <f t="shared" si="273"/>
        <v/>
      </c>
      <c r="GU189" s="451" t="str">
        <f t="shared" si="273"/>
        <v/>
      </c>
      <c r="GV189" s="452" t="str">
        <f t="shared" si="273"/>
        <v/>
      </c>
      <c r="GW189" s="452" t="str">
        <f t="shared" si="273"/>
        <v/>
      </c>
      <c r="GX189" s="452" t="str">
        <f t="shared" si="273"/>
        <v/>
      </c>
      <c r="GY189" s="453" t="str">
        <f t="shared" si="273"/>
        <v/>
      </c>
      <c r="GZ189" s="451" t="str">
        <f t="shared" si="273"/>
        <v/>
      </c>
      <c r="HA189" s="452" t="str">
        <f t="shared" si="273"/>
        <v/>
      </c>
      <c r="HB189" s="452" t="str">
        <f t="shared" si="273"/>
        <v/>
      </c>
      <c r="HC189" s="452" t="str">
        <f t="shared" si="273"/>
        <v/>
      </c>
      <c r="HD189" s="453" t="str">
        <f t="shared" si="273"/>
        <v/>
      </c>
      <c r="HE189" s="451" t="str">
        <f t="shared" si="273"/>
        <v/>
      </c>
      <c r="HF189" s="452" t="str">
        <f t="shared" si="273"/>
        <v/>
      </c>
      <c r="HG189" s="452" t="str">
        <f t="shared" si="273"/>
        <v/>
      </c>
      <c r="HH189" s="452" t="str">
        <f t="shared" si="280"/>
        <v/>
      </c>
      <c r="HI189" s="453" t="str">
        <f t="shared" si="280"/>
        <v/>
      </c>
      <c r="HJ189" s="451" t="str">
        <f t="shared" si="280"/>
        <v/>
      </c>
      <c r="HK189" s="452" t="str">
        <f t="shared" si="280"/>
        <v/>
      </c>
      <c r="HL189" s="452" t="str">
        <f t="shared" si="280"/>
        <v/>
      </c>
      <c r="HM189" s="452" t="str">
        <f t="shared" si="280"/>
        <v/>
      </c>
      <c r="HN189" s="453" t="str">
        <f t="shared" si="280"/>
        <v/>
      </c>
      <c r="HO189" s="451" t="str">
        <f t="shared" si="280"/>
        <v/>
      </c>
      <c r="HP189" s="452" t="str">
        <f t="shared" si="280"/>
        <v/>
      </c>
      <c r="HQ189" s="452" t="str">
        <f t="shared" si="280"/>
        <v/>
      </c>
      <c r="HR189" s="452" t="str">
        <f t="shared" si="280"/>
        <v/>
      </c>
      <c r="HS189" s="453" t="str">
        <f t="shared" si="280"/>
        <v/>
      </c>
      <c r="HT189" s="451" t="str">
        <f t="shared" si="280"/>
        <v/>
      </c>
      <c r="HU189" s="452" t="str">
        <f t="shared" si="280"/>
        <v/>
      </c>
      <c r="HV189" s="452" t="str">
        <f t="shared" si="280"/>
        <v/>
      </c>
      <c r="HW189" s="452" t="str">
        <f t="shared" si="280"/>
        <v/>
      </c>
      <c r="HX189" s="453" t="str">
        <f t="shared" si="281"/>
        <v/>
      </c>
      <c r="HY189" s="451" t="str">
        <f t="shared" si="281"/>
        <v/>
      </c>
      <c r="HZ189" s="452" t="str">
        <f t="shared" si="281"/>
        <v/>
      </c>
      <c r="IA189" s="452" t="str">
        <f t="shared" si="281"/>
        <v/>
      </c>
      <c r="IB189" s="452" t="str">
        <f t="shared" si="281"/>
        <v/>
      </c>
      <c r="IC189" s="453" t="str">
        <f t="shared" si="281"/>
        <v/>
      </c>
      <c r="ID189" s="451" t="str">
        <f t="shared" si="281"/>
        <v/>
      </c>
      <c r="IE189" s="452" t="str">
        <f t="shared" si="281"/>
        <v/>
      </c>
      <c r="IF189" s="452" t="str">
        <f t="shared" si="281"/>
        <v/>
      </c>
      <c r="IG189" s="452" t="str">
        <f t="shared" si="281"/>
        <v/>
      </c>
      <c r="IH189" s="453" t="str">
        <f t="shared" si="281"/>
        <v/>
      </c>
      <c r="II189" s="451" t="str">
        <f t="shared" si="281"/>
        <v/>
      </c>
      <c r="IJ189" s="452" t="str">
        <f t="shared" si="281"/>
        <v/>
      </c>
      <c r="IK189" s="452" t="str">
        <f t="shared" si="281"/>
        <v/>
      </c>
      <c r="IL189" s="452" t="str">
        <f t="shared" si="281"/>
        <v/>
      </c>
      <c r="IM189" s="453" t="str">
        <f t="shared" si="281"/>
        <v/>
      </c>
      <c r="IN189" s="451" t="str">
        <f t="shared" si="281"/>
        <v/>
      </c>
      <c r="IO189" s="452" t="str">
        <f t="shared" si="282"/>
        <v/>
      </c>
      <c r="IP189" s="452" t="str">
        <f t="shared" si="282"/>
        <v/>
      </c>
      <c r="IQ189" s="452" t="str">
        <f t="shared" si="260"/>
        <v/>
      </c>
      <c r="IR189" s="453" t="str">
        <f t="shared" si="260"/>
        <v/>
      </c>
    </row>
    <row r="190" spans="1:252" x14ac:dyDescent="0.2">
      <c r="A190" s="462">
        <v>17.100000000000001</v>
      </c>
      <c r="B190" s="463"/>
      <c r="C190" s="464" t="s">
        <v>1360</v>
      </c>
      <c r="D190" s="464"/>
      <c r="E190" s="465"/>
      <c r="F190" s="465"/>
      <c r="G190" s="465"/>
      <c r="H190" s="465"/>
      <c r="I190" s="466"/>
      <c r="J190" s="467" t="str">
        <f t="shared" si="275"/>
        <v/>
      </c>
      <c r="K190" s="467" t="str">
        <f t="shared" si="276"/>
        <v/>
      </c>
      <c r="L190" s="468">
        <f t="shared" si="270"/>
        <v>0</v>
      </c>
      <c r="M190" s="469" t="str">
        <f t="shared" si="284"/>
        <v/>
      </c>
      <c r="N190" s="470" t="str">
        <f t="shared" si="284"/>
        <v/>
      </c>
      <c r="O190" s="470" t="str">
        <f t="shared" si="284"/>
        <v/>
      </c>
      <c r="P190" s="470" t="str">
        <f t="shared" si="284"/>
        <v/>
      </c>
      <c r="Q190" s="471" t="str">
        <f t="shared" si="284"/>
        <v/>
      </c>
      <c r="R190" s="469" t="str">
        <f t="shared" si="284"/>
        <v/>
      </c>
      <c r="S190" s="470" t="str">
        <f t="shared" si="284"/>
        <v/>
      </c>
      <c r="T190" s="470" t="str">
        <f t="shared" si="284"/>
        <v/>
      </c>
      <c r="U190" s="470" t="str">
        <f t="shared" si="284"/>
        <v/>
      </c>
      <c r="V190" s="471" t="str">
        <f t="shared" si="284"/>
        <v/>
      </c>
      <c r="W190" s="469" t="str">
        <f t="shared" si="284"/>
        <v/>
      </c>
      <c r="X190" s="470" t="str">
        <f t="shared" si="284"/>
        <v/>
      </c>
      <c r="Y190" s="470" t="str">
        <f t="shared" si="284"/>
        <v/>
      </c>
      <c r="Z190" s="470" t="str">
        <f t="shared" si="284"/>
        <v/>
      </c>
      <c r="AA190" s="471" t="str">
        <f t="shared" si="284"/>
        <v/>
      </c>
      <c r="AB190" s="469" t="str">
        <f t="shared" si="284"/>
        <v/>
      </c>
      <c r="AC190" s="470" t="str">
        <f t="shared" si="267"/>
        <v/>
      </c>
      <c r="AD190" s="470" t="str">
        <f t="shared" si="267"/>
        <v/>
      </c>
      <c r="AE190" s="470" t="str">
        <f t="shared" si="267"/>
        <v/>
      </c>
      <c r="AF190" s="471" t="str">
        <f t="shared" si="267"/>
        <v/>
      </c>
      <c r="AG190" s="469" t="str">
        <f t="shared" si="267"/>
        <v/>
      </c>
      <c r="AH190" s="470" t="str">
        <f t="shared" si="267"/>
        <v/>
      </c>
      <c r="AI190" s="470" t="str">
        <f t="shared" si="267"/>
        <v/>
      </c>
      <c r="AJ190" s="470" t="str">
        <f t="shared" si="267"/>
        <v/>
      </c>
      <c r="AK190" s="471" t="str">
        <f t="shared" si="267"/>
        <v/>
      </c>
      <c r="AL190" s="469" t="str">
        <f t="shared" si="267"/>
        <v/>
      </c>
      <c r="AM190" s="470" t="str">
        <f t="shared" si="267"/>
        <v/>
      </c>
      <c r="AN190" s="470" t="str">
        <f t="shared" si="267"/>
        <v/>
      </c>
      <c r="AO190" s="470" t="str">
        <f t="shared" si="267"/>
        <v/>
      </c>
      <c r="AP190" s="471" t="str">
        <f t="shared" si="267"/>
        <v/>
      </c>
      <c r="AQ190" s="469" t="str">
        <f t="shared" si="267"/>
        <v/>
      </c>
      <c r="AR190" s="470" t="str">
        <f t="shared" si="267"/>
        <v/>
      </c>
      <c r="AS190" s="470" t="str">
        <f t="shared" si="264"/>
        <v/>
      </c>
      <c r="AT190" s="470" t="str">
        <f t="shared" si="264"/>
        <v/>
      </c>
      <c r="AU190" s="471" t="str">
        <f t="shared" si="264"/>
        <v/>
      </c>
      <c r="AV190" s="469" t="str">
        <f t="shared" si="264"/>
        <v/>
      </c>
      <c r="AW190" s="470" t="str">
        <f t="shared" si="264"/>
        <v/>
      </c>
      <c r="AX190" s="470" t="str">
        <f t="shared" si="264"/>
        <v/>
      </c>
      <c r="AY190" s="470" t="str">
        <f t="shared" si="264"/>
        <v/>
      </c>
      <c r="AZ190" s="471" t="str">
        <f t="shared" si="264"/>
        <v/>
      </c>
      <c r="BA190" s="469" t="str">
        <f t="shared" si="264"/>
        <v/>
      </c>
      <c r="BB190" s="470" t="str">
        <f t="shared" si="264"/>
        <v/>
      </c>
      <c r="BC190" s="470" t="str">
        <f t="shared" si="264"/>
        <v/>
      </c>
      <c r="BD190" s="470" t="str">
        <f t="shared" si="264"/>
        <v/>
      </c>
      <c r="BE190" s="471" t="str">
        <f t="shared" si="264"/>
        <v/>
      </c>
      <c r="BF190" s="469" t="str">
        <f t="shared" si="264"/>
        <v/>
      </c>
      <c r="BG190" s="470" t="str">
        <f t="shared" si="264"/>
        <v/>
      </c>
      <c r="BH190" s="470" t="str">
        <f t="shared" si="261"/>
        <v/>
      </c>
      <c r="BI190" s="470" t="str">
        <f t="shared" si="261"/>
        <v/>
      </c>
      <c r="BJ190" s="471" t="str">
        <f t="shared" si="261"/>
        <v/>
      </c>
      <c r="BK190" s="469" t="str">
        <f t="shared" si="261"/>
        <v/>
      </c>
      <c r="BL190" s="470" t="str">
        <f t="shared" si="261"/>
        <v/>
      </c>
      <c r="BM190" s="470" t="str">
        <f t="shared" si="261"/>
        <v/>
      </c>
      <c r="BN190" s="470" t="str">
        <f t="shared" si="261"/>
        <v/>
      </c>
      <c r="BO190" s="471" t="str">
        <f t="shared" si="261"/>
        <v/>
      </c>
      <c r="BP190" s="469" t="str">
        <f t="shared" si="261"/>
        <v/>
      </c>
      <c r="BQ190" s="470" t="str">
        <f t="shared" si="261"/>
        <v/>
      </c>
      <c r="BR190" s="470" t="str">
        <f t="shared" si="261"/>
        <v/>
      </c>
      <c r="BS190" s="470" t="str">
        <f t="shared" si="261"/>
        <v/>
      </c>
      <c r="BT190" s="471" t="str">
        <f t="shared" si="261"/>
        <v/>
      </c>
      <c r="BU190" s="469" t="str">
        <f t="shared" si="261"/>
        <v/>
      </c>
      <c r="BV190" s="470" t="str">
        <f t="shared" si="261"/>
        <v/>
      </c>
      <c r="BW190" s="470" t="str">
        <f t="shared" si="261"/>
        <v/>
      </c>
      <c r="BX190" s="470" t="str">
        <f t="shared" si="265"/>
        <v/>
      </c>
      <c r="BY190" s="471" t="str">
        <f t="shared" si="265"/>
        <v/>
      </c>
      <c r="BZ190" s="469" t="str">
        <f t="shared" si="265"/>
        <v/>
      </c>
      <c r="CA190" s="470" t="str">
        <f t="shared" si="265"/>
        <v/>
      </c>
      <c r="CB190" s="470" t="str">
        <f t="shared" si="265"/>
        <v/>
      </c>
      <c r="CC190" s="470" t="str">
        <f t="shared" si="265"/>
        <v/>
      </c>
      <c r="CD190" s="471" t="str">
        <f t="shared" si="265"/>
        <v/>
      </c>
      <c r="CE190" s="469" t="str">
        <f t="shared" si="265"/>
        <v/>
      </c>
      <c r="CF190" s="470" t="str">
        <f t="shared" si="265"/>
        <v/>
      </c>
      <c r="CG190" s="470" t="str">
        <f t="shared" si="265"/>
        <v/>
      </c>
      <c r="CH190" s="470" t="str">
        <f t="shared" si="265"/>
        <v/>
      </c>
      <c r="CI190" s="471" t="str">
        <f t="shared" si="265"/>
        <v/>
      </c>
      <c r="CJ190" s="469" t="str">
        <f t="shared" si="265"/>
        <v/>
      </c>
      <c r="CK190" s="470" t="str">
        <f t="shared" si="265"/>
        <v/>
      </c>
      <c r="CL190" s="470" t="str">
        <f t="shared" si="265"/>
        <v/>
      </c>
      <c r="CM190" s="470" t="str">
        <f t="shared" si="265"/>
        <v/>
      </c>
      <c r="CN190" s="471" t="str">
        <f t="shared" si="266"/>
        <v/>
      </c>
      <c r="CO190" s="469" t="str">
        <f t="shared" si="266"/>
        <v/>
      </c>
      <c r="CP190" s="470" t="str">
        <f t="shared" si="266"/>
        <v/>
      </c>
      <c r="CQ190" s="470" t="str">
        <f t="shared" si="266"/>
        <v/>
      </c>
      <c r="CR190" s="470" t="str">
        <f t="shared" si="266"/>
        <v/>
      </c>
      <c r="CS190" s="471" t="str">
        <f t="shared" si="266"/>
        <v/>
      </c>
      <c r="CT190" s="469" t="str">
        <f t="shared" si="266"/>
        <v/>
      </c>
      <c r="CU190" s="470" t="str">
        <f t="shared" si="266"/>
        <v/>
      </c>
      <c r="CV190" s="470" t="str">
        <f t="shared" si="266"/>
        <v/>
      </c>
      <c r="CW190" s="470" t="str">
        <f t="shared" si="266"/>
        <v/>
      </c>
      <c r="CX190" s="471" t="str">
        <f t="shared" si="266"/>
        <v/>
      </c>
      <c r="CY190" s="469" t="str">
        <f t="shared" si="266"/>
        <v/>
      </c>
      <c r="CZ190" s="470" t="str">
        <f t="shared" si="266"/>
        <v/>
      </c>
      <c r="DA190" s="470" t="str">
        <f t="shared" si="266"/>
        <v/>
      </c>
      <c r="DB190" s="470" t="str">
        <f t="shared" si="266"/>
        <v/>
      </c>
      <c r="DC190" s="471" t="str">
        <f t="shared" si="266"/>
        <v/>
      </c>
      <c r="DD190" s="469" t="str">
        <f t="shared" si="262"/>
        <v/>
      </c>
      <c r="DE190" s="470" t="str">
        <f t="shared" si="263"/>
        <v/>
      </c>
      <c r="DF190" s="470" t="str">
        <f t="shared" si="263"/>
        <v/>
      </c>
      <c r="DG190" s="470" t="str">
        <f t="shared" si="263"/>
        <v/>
      </c>
      <c r="DH190" s="471" t="str">
        <f t="shared" si="263"/>
        <v/>
      </c>
      <c r="DI190" s="469" t="str">
        <f t="shared" si="263"/>
        <v/>
      </c>
      <c r="DJ190" s="470" t="str">
        <f t="shared" si="263"/>
        <v/>
      </c>
      <c r="DK190" s="470" t="str">
        <f t="shared" si="263"/>
        <v/>
      </c>
      <c r="DL190" s="470" t="str">
        <f t="shared" si="263"/>
        <v/>
      </c>
      <c r="DM190" s="471" t="str">
        <f t="shared" si="263"/>
        <v/>
      </c>
      <c r="DN190" s="469" t="str">
        <f t="shared" si="263"/>
        <v/>
      </c>
      <c r="DO190" s="470" t="str">
        <f t="shared" si="263"/>
        <v/>
      </c>
      <c r="DP190" s="470" t="str">
        <f t="shared" si="263"/>
        <v/>
      </c>
      <c r="DQ190" s="470" t="str">
        <f t="shared" si="263"/>
        <v/>
      </c>
      <c r="DR190" s="471" t="str">
        <f t="shared" si="263"/>
        <v/>
      </c>
      <c r="DS190" s="469" t="str">
        <f t="shared" si="263"/>
        <v/>
      </c>
      <c r="DT190" s="470" t="str">
        <f t="shared" si="263"/>
        <v/>
      </c>
      <c r="DU190" s="470" t="str">
        <f t="shared" si="268"/>
        <v/>
      </c>
      <c r="DV190" s="470" t="str">
        <f t="shared" si="268"/>
        <v/>
      </c>
      <c r="DW190" s="471" t="str">
        <f t="shared" si="268"/>
        <v/>
      </c>
      <c r="DX190" s="469" t="str">
        <f t="shared" si="268"/>
        <v/>
      </c>
      <c r="DY190" s="470" t="str">
        <f t="shared" si="268"/>
        <v/>
      </c>
      <c r="DZ190" s="470" t="str">
        <f t="shared" si="268"/>
        <v/>
      </c>
      <c r="EA190" s="470" t="str">
        <f t="shared" si="268"/>
        <v/>
      </c>
      <c r="EB190" s="471" t="str">
        <f t="shared" si="268"/>
        <v/>
      </c>
      <c r="EC190" s="469" t="str">
        <f t="shared" si="268"/>
        <v/>
      </c>
      <c r="ED190" s="470" t="str">
        <f t="shared" si="268"/>
        <v/>
      </c>
      <c r="EE190" s="470" t="str">
        <f t="shared" si="268"/>
        <v/>
      </c>
      <c r="EF190" s="470" t="str">
        <f t="shared" si="268"/>
        <v/>
      </c>
      <c r="EG190" s="471" t="str">
        <f t="shared" si="268"/>
        <v/>
      </c>
      <c r="EH190" s="469" t="str">
        <f t="shared" si="268"/>
        <v/>
      </c>
      <c r="EI190" s="470" t="str">
        <f t="shared" si="268"/>
        <v/>
      </c>
      <c r="EJ190" s="470" t="str">
        <f t="shared" si="268"/>
        <v/>
      </c>
      <c r="EK190" s="470" t="str">
        <f t="shared" si="277"/>
        <v/>
      </c>
      <c r="EL190" s="471" t="str">
        <f t="shared" si="277"/>
        <v/>
      </c>
      <c r="EM190" s="469" t="str">
        <f t="shared" si="277"/>
        <v/>
      </c>
      <c r="EN190" s="470" t="str">
        <f t="shared" si="277"/>
        <v/>
      </c>
      <c r="EO190" s="470" t="str">
        <f t="shared" si="277"/>
        <v/>
      </c>
      <c r="EP190" s="470" t="str">
        <f t="shared" si="277"/>
        <v/>
      </c>
      <c r="EQ190" s="471" t="str">
        <f t="shared" si="277"/>
        <v/>
      </c>
      <c r="ER190" s="469" t="str">
        <f t="shared" si="277"/>
        <v/>
      </c>
      <c r="ES190" s="470" t="str">
        <f t="shared" si="277"/>
        <v/>
      </c>
      <c r="ET190" s="470" t="str">
        <f t="shared" si="277"/>
        <v/>
      </c>
      <c r="EU190" s="470" t="str">
        <f t="shared" si="277"/>
        <v/>
      </c>
      <c r="EV190" s="471" t="str">
        <f t="shared" si="277"/>
        <v/>
      </c>
      <c r="EW190" s="469" t="str">
        <f t="shared" si="277"/>
        <v/>
      </c>
      <c r="EX190" s="470" t="str">
        <f t="shared" si="277"/>
        <v/>
      </c>
      <c r="EY190" s="470" t="str">
        <f t="shared" si="277"/>
        <v/>
      </c>
      <c r="EZ190" s="470" t="str">
        <f t="shared" si="277"/>
        <v/>
      </c>
      <c r="FA190" s="471" t="str">
        <f t="shared" si="278"/>
        <v/>
      </c>
      <c r="FB190" s="469" t="str">
        <f t="shared" si="278"/>
        <v/>
      </c>
      <c r="FC190" s="470" t="str">
        <f t="shared" si="278"/>
        <v/>
      </c>
      <c r="FD190" s="470" t="str">
        <f t="shared" si="278"/>
        <v/>
      </c>
      <c r="FE190" s="470" t="str">
        <f t="shared" si="278"/>
        <v/>
      </c>
      <c r="FF190" s="471" t="str">
        <f t="shared" si="278"/>
        <v/>
      </c>
      <c r="FG190" s="469" t="str">
        <f t="shared" si="278"/>
        <v/>
      </c>
      <c r="FH190" s="470" t="str">
        <f t="shared" si="278"/>
        <v/>
      </c>
      <c r="FI190" s="470" t="str">
        <f t="shared" si="278"/>
        <v/>
      </c>
      <c r="FJ190" s="470" t="str">
        <f t="shared" si="278"/>
        <v/>
      </c>
      <c r="FK190" s="471" t="str">
        <f t="shared" si="278"/>
        <v/>
      </c>
      <c r="FL190" s="469" t="str">
        <f t="shared" si="278"/>
        <v/>
      </c>
      <c r="FM190" s="470" t="str">
        <f t="shared" si="278"/>
        <v/>
      </c>
      <c r="FN190" s="470" t="str">
        <f t="shared" si="278"/>
        <v/>
      </c>
      <c r="FO190" s="470" t="str">
        <f t="shared" si="278"/>
        <v/>
      </c>
      <c r="FP190" s="471" t="str">
        <f t="shared" si="278"/>
        <v/>
      </c>
      <c r="FQ190" s="469" t="str">
        <f t="shared" si="279"/>
        <v/>
      </c>
      <c r="FR190" s="470" t="str">
        <f t="shared" si="279"/>
        <v/>
      </c>
      <c r="FS190" s="470" t="str">
        <f t="shared" si="279"/>
        <v/>
      </c>
      <c r="FT190" s="470" t="str">
        <f t="shared" si="279"/>
        <v/>
      </c>
      <c r="FU190" s="471" t="str">
        <f t="shared" si="279"/>
        <v/>
      </c>
      <c r="FV190" s="469" t="str">
        <f t="shared" si="279"/>
        <v/>
      </c>
      <c r="FW190" s="470" t="str">
        <f t="shared" si="279"/>
        <v/>
      </c>
      <c r="FX190" s="470" t="str">
        <f t="shared" si="279"/>
        <v/>
      </c>
      <c r="FY190" s="470" t="str">
        <f t="shared" si="279"/>
        <v/>
      </c>
      <c r="FZ190" s="471" t="str">
        <f t="shared" si="279"/>
        <v/>
      </c>
      <c r="GA190" s="469" t="str">
        <f t="shared" si="279"/>
        <v/>
      </c>
      <c r="GB190" s="470" t="str">
        <f t="shared" si="279"/>
        <v/>
      </c>
      <c r="GC190" s="470" t="str">
        <f t="shared" si="279"/>
        <v/>
      </c>
      <c r="GD190" s="470" t="str">
        <f t="shared" si="272"/>
        <v/>
      </c>
      <c r="GE190" s="471" t="str">
        <f t="shared" si="272"/>
        <v/>
      </c>
      <c r="GF190" s="469" t="str">
        <f t="shared" si="272"/>
        <v/>
      </c>
      <c r="GG190" s="470" t="str">
        <f t="shared" si="272"/>
        <v/>
      </c>
      <c r="GH190" s="470" t="str">
        <f t="shared" si="272"/>
        <v/>
      </c>
      <c r="GI190" s="470" t="str">
        <f t="shared" si="272"/>
        <v/>
      </c>
      <c r="GJ190" s="471" t="str">
        <f t="shared" si="272"/>
        <v/>
      </c>
      <c r="GK190" s="469" t="str">
        <f t="shared" si="272"/>
        <v/>
      </c>
      <c r="GL190" s="470" t="str">
        <f t="shared" si="272"/>
        <v/>
      </c>
      <c r="GM190" s="470" t="str">
        <f t="shared" si="272"/>
        <v/>
      </c>
      <c r="GN190" s="470" t="str">
        <f t="shared" si="272"/>
        <v/>
      </c>
      <c r="GO190" s="471" t="str">
        <f t="shared" si="272"/>
        <v/>
      </c>
      <c r="GP190" s="469" t="str">
        <f t="shared" si="272"/>
        <v/>
      </c>
      <c r="GQ190" s="470" t="str">
        <f t="shared" si="272"/>
        <v/>
      </c>
      <c r="GR190" s="470" t="str">
        <f t="shared" si="273"/>
        <v/>
      </c>
      <c r="GS190" s="470" t="str">
        <f t="shared" si="273"/>
        <v/>
      </c>
      <c r="GT190" s="471" t="str">
        <f t="shared" si="273"/>
        <v/>
      </c>
      <c r="GU190" s="469" t="str">
        <f t="shared" si="273"/>
        <v/>
      </c>
      <c r="GV190" s="470" t="str">
        <f t="shared" si="273"/>
        <v/>
      </c>
      <c r="GW190" s="470" t="str">
        <f t="shared" si="273"/>
        <v/>
      </c>
      <c r="GX190" s="470" t="str">
        <f t="shared" si="273"/>
        <v/>
      </c>
      <c r="GY190" s="471" t="str">
        <f t="shared" si="273"/>
        <v/>
      </c>
      <c r="GZ190" s="469" t="str">
        <f t="shared" si="273"/>
        <v/>
      </c>
      <c r="HA190" s="470" t="str">
        <f t="shared" si="273"/>
        <v/>
      </c>
      <c r="HB190" s="470" t="str">
        <f t="shared" si="273"/>
        <v/>
      </c>
      <c r="HC190" s="470" t="str">
        <f t="shared" si="273"/>
        <v/>
      </c>
      <c r="HD190" s="471" t="str">
        <f t="shared" si="273"/>
        <v/>
      </c>
      <c r="HE190" s="469" t="str">
        <f t="shared" si="273"/>
        <v/>
      </c>
      <c r="HF190" s="470" t="str">
        <f t="shared" si="273"/>
        <v/>
      </c>
      <c r="HG190" s="470" t="str">
        <f t="shared" si="273"/>
        <v/>
      </c>
      <c r="HH190" s="470" t="str">
        <f t="shared" si="280"/>
        <v/>
      </c>
      <c r="HI190" s="471" t="str">
        <f t="shared" si="280"/>
        <v/>
      </c>
      <c r="HJ190" s="469" t="str">
        <f t="shared" si="280"/>
        <v/>
      </c>
      <c r="HK190" s="470" t="str">
        <f t="shared" si="280"/>
        <v/>
      </c>
      <c r="HL190" s="470" t="str">
        <f t="shared" si="280"/>
        <v/>
      </c>
      <c r="HM190" s="470" t="str">
        <f t="shared" si="280"/>
        <v/>
      </c>
      <c r="HN190" s="471" t="str">
        <f t="shared" si="280"/>
        <v/>
      </c>
      <c r="HO190" s="469" t="str">
        <f t="shared" si="280"/>
        <v/>
      </c>
      <c r="HP190" s="470" t="str">
        <f t="shared" si="280"/>
        <v/>
      </c>
      <c r="HQ190" s="470" t="str">
        <f t="shared" si="280"/>
        <v/>
      </c>
      <c r="HR190" s="470" t="str">
        <f t="shared" si="280"/>
        <v/>
      </c>
      <c r="HS190" s="471" t="str">
        <f t="shared" si="280"/>
        <v/>
      </c>
      <c r="HT190" s="469" t="str">
        <f t="shared" si="280"/>
        <v/>
      </c>
      <c r="HU190" s="470" t="str">
        <f t="shared" si="280"/>
        <v/>
      </c>
      <c r="HV190" s="470" t="str">
        <f t="shared" si="280"/>
        <v/>
      </c>
      <c r="HW190" s="470" t="str">
        <f t="shared" si="280"/>
        <v/>
      </c>
      <c r="HX190" s="471" t="str">
        <f t="shared" si="281"/>
        <v/>
      </c>
      <c r="HY190" s="469" t="str">
        <f t="shared" si="281"/>
        <v/>
      </c>
      <c r="HZ190" s="470" t="str">
        <f t="shared" si="281"/>
        <v/>
      </c>
      <c r="IA190" s="470" t="str">
        <f t="shared" si="281"/>
        <v/>
      </c>
      <c r="IB190" s="470" t="str">
        <f t="shared" si="281"/>
        <v/>
      </c>
      <c r="IC190" s="471" t="str">
        <f t="shared" si="281"/>
        <v/>
      </c>
      <c r="ID190" s="469" t="str">
        <f t="shared" si="281"/>
        <v/>
      </c>
      <c r="IE190" s="470" t="str">
        <f t="shared" si="281"/>
        <v/>
      </c>
      <c r="IF190" s="470" t="str">
        <f t="shared" si="281"/>
        <v/>
      </c>
      <c r="IG190" s="470" t="str">
        <f t="shared" si="281"/>
        <v/>
      </c>
      <c r="IH190" s="471" t="str">
        <f t="shared" si="281"/>
        <v/>
      </c>
      <c r="II190" s="469" t="str">
        <f t="shared" si="281"/>
        <v/>
      </c>
      <c r="IJ190" s="470" t="str">
        <f t="shared" si="281"/>
        <v/>
      </c>
      <c r="IK190" s="470" t="str">
        <f t="shared" si="281"/>
        <v/>
      </c>
      <c r="IL190" s="470" t="str">
        <f t="shared" si="281"/>
        <v/>
      </c>
      <c r="IM190" s="471" t="str">
        <f t="shared" si="281"/>
        <v/>
      </c>
      <c r="IN190" s="469" t="str">
        <f t="shared" si="281"/>
        <v/>
      </c>
      <c r="IO190" s="470" t="str">
        <f t="shared" si="282"/>
        <v/>
      </c>
      <c r="IP190" s="470" t="str">
        <f t="shared" si="282"/>
        <v/>
      </c>
      <c r="IQ190" s="470" t="str">
        <f t="shared" si="282"/>
        <v/>
      </c>
      <c r="IR190" s="471" t="str">
        <f t="shared" si="282"/>
        <v/>
      </c>
    </row>
    <row r="191" spans="1:252" x14ac:dyDescent="0.2">
      <c r="A191" s="455">
        <v>18</v>
      </c>
      <c r="B191" s="456"/>
      <c r="C191" s="456" t="str">
        <f>Breakdown!$A26</f>
        <v/>
      </c>
      <c r="D191" s="457"/>
      <c r="E191" s="437" t="str">
        <f>IF(E192="","",MIN(E192:E201))</f>
        <v/>
      </c>
      <c r="F191" s="437" t="str">
        <f>IF(F192="","",MAX(F192:F201))</f>
        <v/>
      </c>
      <c r="G191" s="437"/>
      <c r="H191" s="437"/>
      <c r="I191" s="458"/>
      <c r="J191" s="459">
        <f>MIN(J192:J201)</f>
        <v>0</v>
      </c>
      <c r="K191" s="459">
        <f>MAX(K192:K201)</f>
        <v>0</v>
      </c>
      <c r="L191" s="460">
        <f t="shared" ref="L191:L201" si="285">SUM(M191:IR191)</f>
        <v>0</v>
      </c>
      <c r="M191" s="451" t="str">
        <f t="shared" si="284"/>
        <v/>
      </c>
      <c r="N191" s="452" t="str">
        <f t="shared" si="284"/>
        <v/>
      </c>
      <c r="O191" s="452" t="str">
        <f t="shared" si="284"/>
        <v/>
      </c>
      <c r="P191" s="452" t="str">
        <f t="shared" si="284"/>
        <v/>
      </c>
      <c r="Q191" s="453" t="str">
        <f t="shared" si="284"/>
        <v/>
      </c>
      <c r="R191" s="451" t="str">
        <f t="shared" si="284"/>
        <v/>
      </c>
      <c r="S191" s="452" t="str">
        <f t="shared" si="284"/>
        <v/>
      </c>
      <c r="T191" s="452" t="str">
        <f t="shared" si="284"/>
        <v/>
      </c>
      <c r="U191" s="452" t="str">
        <f t="shared" si="284"/>
        <v/>
      </c>
      <c r="V191" s="453" t="str">
        <f t="shared" si="284"/>
        <v/>
      </c>
      <c r="W191" s="451" t="str">
        <f t="shared" si="284"/>
        <v/>
      </c>
      <c r="X191" s="452" t="str">
        <f t="shared" si="284"/>
        <v/>
      </c>
      <c r="Y191" s="452" t="str">
        <f t="shared" si="284"/>
        <v/>
      </c>
      <c r="Z191" s="452" t="str">
        <f t="shared" si="284"/>
        <v/>
      </c>
      <c r="AA191" s="453" t="str">
        <f t="shared" si="284"/>
        <v/>
      </c>
      <c r="AB191" s="451" t="str">
        <f t="shared" si="284"/>
        <v/>
      </c>
      <c r="AC191" s="452" t="str">
        <f t="shared" si="267"/>
        <v/>
      </c>
      <c r="AD191" s="452" t="str">
        <f t="shared" si="267"/>
        <v/>
      </c>
      <c r="AE191" s="452" t="str">
        <f t="shared" si="267"/>
        <v/>
      </c>
      <c r="AF191" s="453" t="str">
        <f t="shared" si="267"/>
        <v/>
      </c>
      <c r="AG191" s="451" t="str">
        <f t="shared" si="267"/>
        <v/>
      </c>
      <c r="AH191" s="452" t="str">
        <f t="shared" si="267"/>
        <v/>
      </c>
      <c r="AI191" s="452" t="str">
        <f t="shared" si="267"/>
        <v/>
      </c>
      <c r="AJ191" s="452" t="str">
        <f t="shared" si="267"/>
        <v/>
      </c>
      <c r="AK191" s="453" t="str">
        <f t="shared" si="267"/>
        <v/>
      </c>
      <c r="AL191" s="451" t="str">
        <f t="shared" si="267"/>
        <v/>
      </c>
      <c r="AM191" s="452" t="str">
        <f t="shared" si="267"/>
        <v/>
      </c>
      <c r="AN191" s="452" t="str">
        <f t="shared" si="267"/>
        <v/>
      </c>
      <c r="AO191" s="452" t="str">
        <f t="shared" si="267"/>
        <v/>
      </c>
      <c r="AP191" s="453" t="str">
        <f t="shared" si="267"/>
        <v/>
      </c>
      <c r="AQ191" s="451" t="str">
        <f t="shared" si="267"/>
        <v/>
      </c>
      <c r="AR191" s="452" t="str">
        <f t="shared" si="267"/>
        <v/>
      </c>
      <c r="AS191" s="452" t="str">
        <f t="shared" si="264"/>
        <v/>
      </c>
      <c r="AT191" s="452" t="str">
        <f t="shared" si="264"/>
        <v/>
      </c>
      <c r="AU191" s="453" t="str">
        <f t="shared" si="264"/>
        <v/>
      </c>
      <c r="AV191" s="451" t="str">
        <f t="shared" si="264"/>
        <v/>
      </c>
      <c r="AW191" s="452" t="str">
        <f t="shared" si="264"/>
        <v/>
      </c>
      <c r="AX191" s="452" t="str">
        <f t="shared" si="264"/>
        <v/>
      </c>
      <c r="AY191" s="452" t="str">
        <f t="shared" si="264"/>
        <v/>
      </c>
      <c r="AZ191" s="453" t="str">
        <f t="shared" si="264"/>
        <v/>
      </c>
      <c r="BA191" s="451" t="str">
        <f t="shared" si="264"/>
        <v/>
      </c>
      <c r="BB191" s="452" t="str">
        <f t="shared" si="264"/>
        <v/>
      </c>
      <c r="BC191" s="452" t="str">
        <f t="shared" si="264"/>
        <v/>
      </c>
      <c r="BD191" s="452" t="str">
        <f t="shared" si="264"/>
        <v/>
      </c>
      <c r="BE191" s="453" t="str">
        <f t="shared" si="264"/>
        <v/>
      </c>
      <c r="BF191" s="451" t="str">
        <f t="shared" si="264"/>
        <v/>
      </c>
      <c r="BG191" s="452" t="str">
        <f t="shared" si="264"/>
        <v/>
      </c>
      <c r="BH191" s="452" t="str">
        <f t="shared" si="261"/>
        <v/>
      </c>
      <c r="BI191" s="452" t="str">
        <f t="shared" si="261"/>
        <v/>
      </c>
      <c r="BJ191" s="453" t="str">
        <f t="shared" si="261"/>
        <v/>
      </c>
      <c r="BK191" s="451" t="str">
        <f t="shared" si="261"/>
        <v/>
      </c>
      <c r="BL191" s="452" t="str">
        <f t="shared" si="261"/>
        <v/>
      </c>
      <c r="BM191" s="452" t="str">
        <f t="shared" si="261"/>
        <v/>
      </c>
      <c r="BN191" s="452" t="str">
        <f t="shared" si="261"/>
        <v/>
      </c>
      <c r="BO191" s="453" t="str">
        <f t="shared" si="261"/>
        <v/>
      </c>
      <c r="BP191" s="451" t="str">
        <f t="shared" si="261"/>
        <v/>
      </c>
      <c r="BQ191" s="452" t="str">
        <f t="shared" si="261"/>
        <v/>
      </c>
      <c r="BR191" s="452" t="str">
        <f t="shared" si="261"/>
        <v/>
      </c>
      <c r="BS191" s="452" t="str">
        <f t="shared" si="261"/>
        <v/>
      </c>
      <c r="BT191" s="453" t="str">
        <f t="shared" si="261"/>
        <v/>
      </c>
      <c r="BU191" s="451" t="str">
        <f t="shared" si="261"/>
        <v/>
      </c>
      <c r="BV191" s="452" t="str">
        <f t="shared" ref="BV191:BW202" si="286">IF(AND(BV$2&gt;=$J191,BV$2&lt;=$K191),1,"")</f>
        <v/>
      </c>
      <c r="BW191" s="452" t="str">
        <f t="shared" si="286"/>
        <v/>
      </c>
      <c r="BX191" s="452" t="str">
        <f t="shared" si="265"/>
        <v/>
      </c>
      <c r="BY191" s="453" t="str">
        <f t="shared" si="265"/>
        <v/>
      </c>
      <c r="BZ191" s="451" t="str">
        <f t="shared" si="265"/>
        <v/>
      </c>
      <c r="CA191" s="452" t="str">
        <f t="shared" si="265"/>
        <v/>
      </c>
      <c r="CB191" s="452" t="str">
        <f t="shared" si="265"/>
        <v/>
      </c>
      <c r="CC191" s="452" t="str">
        <f t="shared" si="265"/>
        <v/>
      </c>
      <c r="CD191" s="453" t="str">
        <f t="shared" si="265"/>
        <v/>
      </c>
      <c r="CE191" s="451" t="str">
        <f t="shared" si="265"/>
        <v/>
      </c>
      <c r="CF191" s="452" t="str">
        <f t="shared" si="265"/>
        <v/>
      </c>
      <c r="CG191" s="452" t="str">
        <f t="shared" si="265"/>
        <v/>
      </c>
      <c r="CH191" s="452" t="str">
        <f t="shared" si="265"/>
        <v/>
      </c>
      <c r="CI191" s="453" t="str">
        <f t="shared" si="265"/>
        <v/>
      </c>
      <c r="CJ191" s="451" t="str">
        <f t="shared" si="265"/>
        <v/>
      </c>
      <c r="CK191" s="452" t="str">
        <f t="shared" si="265"/>
        <v/>
      </c>
      <c r="CL191" s="452" t="str">
        <f t="shared" si="265"/>
        <v/>
      </c>
      <c r="CM191" s="452" t="str">
        <f t="shared" ref="CM191:CM202" si="287">IF(AND(CM$2&gt;=$J191,CM$2&lt;=$K191),1,"")</f>
        <v/>
      </c>
      <c r="CN191" s="453" t="str">
        <f t="shared" si="266"/>
        <v/>
      </c>
      <c r="CO191" s="451" t="str">
        <f t="shared" si="266"/>
        <v/>
      </c>
      <c r="CP191" s="452" t="str">
        <f t="shared" si="266"/>
        <v/>
      </c>
      <c r="CQ191" s="452" t="str">
        <f t="shared" si="266"/>
        <v/>
      </c>
      <c r="CR191" s="452" t="str">
        <f t="shared" si="266"/>
        <v/>
      </c>
      <c r="CS191" s="453" t="str">
        <f t="shared" si="266"/>
        <v/>
      </c>
      <c r="CT191" s="451" t="str">
        <f t="shared" si="266"/>
        <v/>
      </c>
      <c r="CU191" s="452" t="str">
        <f t="shared" si="266"/>
        <v/>
      </c>
      <c r="CV191" s="452" t="str">
        <f t="shared" si="266"/>
        <v/>
      </c>
      <c r="CW191" s="452" t="str">
        <f t="shared" si="266"/>
        <v/>
      </c>
      <c r="CX191" s="453" t="str">
        <f t="shared" si="266"/>
        <v/>
      </c>
      <c r="CY191" s="451" t="str">
        <f t="shared" si="266"/>
        <v/>
      </c>
      <c r="CZ191" s="452" t="str">
        <f t="shared" si="266"/>
        <v/>
      </c>
      <c r="DA191" s="452" t="str">
        <f t="shared" si="266"/>
        <v/>
      </c>
      <c r="DB191" s="452" t="str">
        <f t="shared" si="266"/>
        <v/>
      </c>
      <c r="DC191" s="453" t="str">
        <f t="shared" si="266"/>
        <v/>
      </c>
      <c r="DD191" s="451" t="str">
        <f t="shared" si="262"/>
        <v/>
      </c>
      <c r="DE191" s="452" t="str">
        <f t="shared" si="263"/>
        <v/>
      </c>
      <c r="DF191" s="452" t="str">
        <f t="shared" ref="DF191:DT202" si="288">IF(AND(DF$2&gt;=$J191,DF$2&lt;=$K191),1,"")</f>
        <v/>
      </c>
      <c r="DG191" s="452" t="str">
        <f t="shared" si="288"/>
        <v/>
      </c>
      <c r="DH191" s="453" t="str">
        <f t="shared" si="288"/>
        <v/>
      </c>
      <c r="DI191" s="451" t="str">
        <f t="shared" si="288"/>
        <v/>
      </c>
      <c r="DJ191" s="452" t="str">
        <f t="shared" si="288"/>
        <v/>
      </c>
      <c r="DK191" s="452" t="str">
        <f t="shared" si="288"/>
        <v/>
      </c>
      <c r="DL191" s="452" t="str">
        <f t="shared" si="288"/>
        <v/>
      </c>
      <c r="DM191" s="453" t="str">
        <f t="shared" si="288"/>
        <v/>
      </c>
      <c r="DN191" s="451" t="str">
        <f t="shared" si="288"/>
        <v/>
      </c>
      <c r="DO191" s="452" t="str">
        <f t="shared" si="288"/>
        <v/>
      </c>
      <c r="DP191" s="452" t="str">
        <f t="shared" si="288"/>
        <v/>
      </c>
      <c r="DQ191" s="452" t="str">
        <f t="shared" si="288"/>
        <v/>
      </c>
      <c r="DR191" s="453" t="str">
        <f t="shared" si="288"/>
        <v/>
      </c>
      <c r="DS191" s="451" t="str">
        <f t="shared" si="288"/>
        <v/>
      </c>
      <c r="DT191" s="452" t="str">
        <f t="shared" si="288"/>
        <v/>
      </c>
      <c r="DU191" s="452" t="str">
        <f t="shared" si="268"/>
        <v/>
      </c>
      <c r="DV191" s="452" t="str">
        <f t="shared" si="268"/>
        <v/>
      </c>
      <c r="DW191" s="453" t="str">
        <f t="shared" si="268"/>
        <v/>
      </c>
      <c r="DX191" s="451" t="str">
        <f t="shared" si="268"/>
        <v/>
      </c>
      <c r="DY191" s="452" t="str">
        <f t="shared" si="268"/>
        <v/>
      </c>
      <c r="DZ191" s="452" t="str">
        <f t="shared" si="268"/>
        <v/>
      </c>
      <c r="EA191" s="452" t="str">
        <f t="shared" si="268"/>
        <v/>
      </c>
      <c r="EB191" s="453" t="str">
        <f t="shared" si="268"/>
        <v/>
      </c>
      <c r="EC191" s="451" t="str">
        <f t="shared" si="268"/>
        <v/>
      </c>
      <c r="ED191" s="452" t="str">
        <f t="shared" si="268"/>
        <v/>
      </c>
      <c r="EE191" s="452" t="str">
        <f t="shared" si="268"/>
        <v/>
      </c>
      <c r="EF191" s="452" t="str">
        <f t="shared" si="268"/>
        <v/>
      </c>
      <c r="EG191" s="453" t="str">
        <f t="shared" si="268"/>
        <v/>
      </c>
      <c r="EH191" s="451" t="str">
        <f t="shared" si="268"/>
        <v/>
      </c>
      <c r="EI191" s="452" t="str">
        <f t="shared" si="268"/>
        <v/>
      </c>
      <c r="EJ191" s="452" t="str">
        <f t="shared" si="268"/>
        <v/>
      </c>
      <c r="EK191" s="452" t="str">
        <f t="shared" si="277"/>
        <v/>
      </c>
      <c r="EL191" s="453" t="str">
        <f t="shared" si="277"/>
        <v/>
      </c>
      <c r="EM191" s="451" t="str">
        <f t="shared" si="277"/>
        <v/>
      </c>
      <c r="EN191" s="452" t="str">
        <f t="shared" si="277"/>
        <v/>
      </c>
      <c r="EO191" s="452" t="str">
        <f t="shared" si="277"/>
        <v/>
      </c>
      <c r="EP191" s="452" t="str">
        <f t="shared" si="277"/>
        <v/>
      </c>
      <c r="EQ191" s="453" t="str">
        <f t="shared" si="277"/>
        <v/>
      </c>
      <c r="ER191" s="451" t="str">
        <f t="shared" si="277"/>
        <v/>
      </c>
      <c r="ES191" s="452" t="str">
        <f t="shared" si="277"/>
        <v/>
      </c>
      <c r="ET191" s="452" t="str">
        <f t="shared" si="277"/>
        <v/>
      </c>
      <c r="EU191" s="452" t="str">
        <f t="shared" si="277"/>
        <v/>
      </c>
      <c r="EV191" s="453" t="str">
        <f t="shared" si="277"/>
        <v/>
      </c>
      <c r="EW191" s="451" t="str">
        <f t="shared" si="277"/>
        <v/>
      </c>
      <c r="EX191" s="452" t="str">
        <f t="shared" si="277"/>
        <v/>
      </c>
      <c r="EY191" s="452" t="str">
        <f t="shared" si="271"/>
        <v/>
      </c>
      <c r="EZ191" s="452" t="str">
        <f t="shared" si="277"/>
        <v/>
      </c>
      <c r="FA191" s="453" t="str">
        <f t="shared" si="278"/>
        <v/>
      </c>
      <c r="FB191" s="451" t="str">
        <f t="shared" si="278"/>
        <v/>
      </c>
      <c r="FC191" s="452" t="str">
        <f t="shared" si="278"/>
        <v/>
      </c>
      <c r="FD191" s="452" t="str">
        <f t="shared" si="278"/>
        <v/>
      </c>
      <c r="FE191" s="452" t="str">
        <f t="shared" si="278"/>
        <v/>
      </c>
      <c r="FF191" s="453" t="str">
        <f t="shared" si="278"/>
        <v/>
      </c>
      <c r="FG191" s="451" t="str">
        <f t="shared" si="278"/>
        <v/>
      </c>
      <c r="FH191" s="452" t="str">
        <f t="shared" si="278"/>
        <v/>
      </c>
      <c r="FI191" s="452" t="str">
        <f t="shared" si="278"/>
        <v/>
      </c>
      <c r="FJ191" s="452" t="str">
        <f t="shared" si="278"/>
        <v/>
      </c>
      <c r="FK191" s="453" t="str">
        <f t="shared" si="278"/>
        <v/>
      </c>
      <c r="FL191" s="451" t="str">
        <f t="shared" si="278"/>
        <v/>
      </c>
      <c r="FM191" s="452" t="str">
        <f t="shared" si="278"/>
        <v/>
      </c>
      <c r="FN191" s="452" t="str">
        <f t="shared" si="278"/>
        <v/>
      </c>
      <c r="FO191" s="452" t="str">
        <f t="shared" si="278"/>
        <v/>
      </c>
      <c r="FP191" s="453" t="str">
        <f t="shared" si="278"/>
        <v/>
      </c>
      <c r="FQ191" s="451" t="str">
        <f t="shared" si="279"/>
        <v/>
      </c>
      <c r="FR191" s="452" t="str">
        <f t="shared" si="279"/>
        <v/>
      </c>
      <c r="FS191" s="452" t="str">
        <f t="shared" si="279"/>
        <v/>
      </c>
      <c r="FT191" s="452" t="str">
        <f t="shared" si="279"/>
        <v/>
      </c>
      <c r="FU191" s="453" t="str">
        <f t="shared" si="279"/>
        <v/>
      </c>
      <c r="FV191" s="451" t="str">
        <f t="shared" si="279"/>
        <v/>
      </c>
      <c r="FW191" s="452" t="str">
        <f t="shared" si="279"/>
        <v/>
      </c>
      <c r="FX191" s="452" t="str">
        <f t="shared" si="279"/>
        <v/>
      </c>
      <c r="FY191" s="452" t="str">
        <f t="shared" si="279"/>
        <v/>
      </c>
      <c r="FZ191" s="453" t="str">
        <f t="shared" si="279"/>
        <v/>
      </c>
      <c r="GA191" s="451" t="str">
        <f t="shared" si="279"/>
        <v/>
      </c>
      <c r="GB191" s="452" t="str">
        <f t="shared" si="272"/>
        <v/>
      </c>
      <c r="GC191" s="452" t="str">
        <f t="shared" si="272"/>
        <v/>
      </c>
      <c r="GD191" s="452" t="str">
        <f t="shared" si="272"/>
        <v/>
      </c>
      <c r="GE191" s="453" t="str">
        <f t="shared" si="272"/>
        <v/>
      </c>
      <c r="GF191" s="451" t="str">
        <f t="shared" si="272"/>
        <v/>
      </c>
      <c r="GG191" s="452" t="str">
        <f t="shared" si="272"/>
        <v/>
      </c>
      <c r="GH191" s="452" t="str">
        <f t="shared" si="272"/>
        <v/>
      </c>
      <c r="GI191" s="452" t="str">
        <f t="shared" si="272"/>
        <v/>
      </c>
      <c r="GJ191" s="453" t="str">
        <f t="shared" si="272"/>
        <v/>
      </c>
      <c r="GK191" s="451" t="str">
        <f t="shared" si="272"/>
        <v/>
      </c>
      <c r="GL191" s="452" t="str">
        <f t="shared" si="272"/>
        <v/>
      </c>
      <c r="GM191" s="452" t="str">
        <f t="shared" si="272"/>
        <v/>
      </c>
      <c r="GN191" s="452" t="str">
        <f t="shared" si="272"/>
        <v/>
      </c>
      <c r="GO191" s="453" t="str">
        <f t="shared" si="272"/>
        <v/>
      </c>
      <c r="GP191" s="451" t="str">
        <f t="shared" si="272"/>
        <v/>
      </c>
      <c r="GQ191" s="452" t="str">
        <f t="shared" si="272"/>
        <v/>
      </c>
      <c r="GR191" s="452" t="str">
        <f t="shared" si="273"/>
        <v/>
      </c>
      <c r="GS191" s="452" t="str">
        <f t="shared" si="273"/>
        <v/>
      </c>
      <c r="GT191" s="453" t="str">
        <f t="shared" si="273"/>
        <v/>
      </c>
      <c r="GU191" s="451" t="str">
        <f t="shared" si="273"/>
        <v/>
      </c>
      <c r="GV191" s="452" t="str">
        <f t="shared" si="273"/>
        <v/>
      </c>
      <c r="GW191" s="452" t="str">
        <f t="shared" si="273"/>
        <v/>
      </c>
      <c r="GX191" s="452" t="str">
        <f t="shared" si="273"/>
        <v/>
      </c>
      <c r="GY191" s="453" t="str">
        <f t="shared" si="273"/>
        <v/>
      </c>
      <c r="GZ191" s="451" t="str">
        <f t="shared" si="273"/>
        <v/>
      </c>
      <c r="HA191" s="452" t="str">
        <f t="shared" si="273"/>
        <v/>
      </c>
      <c r="HB191" s="452" t="str">
        <f t="shared" si="273"/>
        <v/>
      </c>
      <c r="HC191" s="452" t="str">
        <f t="shared" si="273"/>
        <v/>
      </c>
      <c r="HD191" s="453" t="str">
        <f t="shared" si="273"/>
        <v/>
      </c>
      <c r="HE191" s="451" t="str">
        <f t="shared" si="273"/>
        <v/>
      </c>
      <c r="HF191" s="452" t="str">
        <f t="shared" si="273"/>
        <v/>
      </c>
      <c r="HG191" s="452" t="str">
        <f t="shared" si="273"/>
        <v/>
      </c>
      <c r="HH191" s="452" t="str">
        <f t="shared" si="280"/>
        <v/>
      </c>
      <c r="HI191" s="453" t="str">
        <f t="shared" si="274"/>
        <v/>
      </c>
      <c r="HJ191" s="451" t="str">
        <f t="shared" si="280"/>
        <v/>
      </c>
      <c r="HK191" s="452" t="str">
        <f t="shared" si="280"/>
        <v/>
      </c>
      <c r="HL191" s="452" t="str">
        <f t="shared" si="280"/>
        <v/>
      </c>
      <c r="HM191" s="452" t="str">
        <f t="shared" si="280"/>
        <v/>
      </c>
      <c r="HN191" s="453" t="str">
        <f t="shared" si="280"/>
        <v/>
      </c>
      <c r="HO191" s="451" t="str">
        <f t="shared" si="280"/>
        <v/>
      </c>
      <c r="HP191" s="452" t="str">
        <f t="shared" si="280"/>
        <v/>
      </c>
      <c r="HQ191" s="452" t="str">
        <f t="shared" si="280"/>
        <v/>
      </c>
      <c r="HR191" s="452" t="str">
        <f t="shared" si="280"/>
        <v/>
      </c>
      <c r="HS191" s="453" t="str">
        <f t="shared" si="280"/>
        <v/>
      </c>
      <c r="HT191" s="451" t="str">
        <f t="shared" si="280"/>
        <v/>
      </c>
      <c r="HU191" s="452" t="str">
        <f t="shared" si="280"/>
        <v/>
      </c>
      <c r="HV191" s="452" t="str">
        <f t="shared" si="280"/>
        <v/>
      </c>
      <c r="HW191" s="452" t="str">
        <f t="shared" si="280"/>
        <v/>
      </c>
      <c r="HX191" s="453" t="str">
        <f t="shared" si="281"/>
        <v/>
      </c>
      <c r="HY191" s="451" t="str">
        <f t="shared" si="281"/>
        <v/>
      </c>
      <c r="HZ191" s="452" t="str">
        <f t="shared" si="281"/>
        <v/>
      </c>
      <c r="IA191" s="452" t="str">
        <f t="shared" si="281"/>
        <v/>
      </c>
      <c r="IB191" s="452" t="str">
        <f t="shared" si="281"/>
        <v/>
      </c>
      <c r="IC191" s="453" t="str">
        <f t="shared" si="281"/>
        <v/>
      </c>
      <c r="ID191" s="451" t="str">
        <f t="shared" si="281"/>
        <v/>
      </c>
      <c r="IE191" s="452" t="str">
        <f t="shared" si="281"/>
        <v/>
      </c>
      <c r="IF191" s="452" t="str">
        <f t="shared" si="281"/>
        <v/>
      </c>
      <c r="IG191" s="452" t="str">
        <f t="shared" si="281"/>
        <v/>
      </c>
      <c r="IH191" s="453" t="str">
        <f t="shared" si="281"/>
        <v/>
      </c>
      <c r="II191" s="451" t="str">
        <f t="shared" si="281"/>
        <v/>
      </c>
      <c r="IJ191" s="452" t="str">
        <f t="shared" si="281"/>
        <v/>
      </c>
      <c r="IK191" s="452" t="str">
        <f t="shared" si="281"/>
        <v/>
      </c>
      <c r="IL191" s="452" t="str">
        <f t="shared" si="281"/>
        <v/>
      </c>
      <c r="IM191" s="453" t="str">
        <f t="shared" si="281"/>
        <v/>
      </c>
      <c r="IN191" s="451" t="str">
        <f t="shared" si="281"/>
        <v/>
      </c>
      <c r="IO191" s="452" t="str">
        <f t="shared" si="282"/>
        <v/>
      </c>
      <c r="IP191" s="452" t="str">
        <f t="shared" si="282"/>
        <v/>
      </c>
      <c r="IQ191" s="452" t="str">
        <f t="shared" si="260"/>
        <v/>
      </c>
      <c r="IR191" s="453" t="str">
        <f t="shared" si="260"/>
        <v/>
      </c>
    </row>
    <row r="192" spans="1:252" x14ac:dyDescent="0.2">
      <c r="A192" s="461">
        <v>18.100000000000001</v>
      </c>
      <c r="C192" s="447" t="s">
        <v>1351</v>
      </c>
      <c r="D192" s="447"/>
      <c r="E192" s="448"/>
      <c r="F192" s="448"/>
      <c r="G192" s="448"/>
      <c r="H192" s="448"/>
      <c r="I192" s="448"/>
      <c r="J192" s="449" t="str">
        <f t="shared" ref="J192:J201" si="289">IF(E192="","",E192-$M$3+1)</f>
        <v/>
      </c>
      <c r="K192" s="449" t="str">
        <f t="shared" ref="K192:K201" si="290">IF(F192="","",F192-$M$3+1)</f>
        <v/>
      </c>
      <c r="L192" s="450">
        <f t="shared" si="285"/>
        <v>0</v>
      </c>
      <c r="M192" s="451" t="str">
        <f t="shared" si="284"/>
        <v/>
      </c>
      <c r="N192" s="452" t="str">
        <f t="shared" si="284"/>
        <v/>
      </c>
      <c r="O192" s="452" t="str">
        <f t="shared" si="284"/>
        <v/>
      </c>
      <c r="P192" s="452" t="str">
        <f t="shared" si="284"/>
        <v/>
      </c>
      <c r="Q192" s="453" t="str">
        <f t="shared" si="284"/>
        <v/>
      </c>
      <c r="R192" s="451" t="str">
        <f t="shared" si="284"/>
        <v/>
      </c>
      <c r="S192" s="452" t="str">
        <f t="shared" si="284"/>
        <v/>
      </c>
      <c r="T192" s="452" t="str">
        <f t="shared" si="284"/>
        <v/>
      </c>
      <c r="U192" s="452" t="str">
        <f t="shared" si="284"/>
        <v/>
      </c>
      <c r="V192" s="453" t="str">
        <f t="shared" si="284"/>
        <v/>
      </c>
      <c r="W192" s="451" t="str">
        <f t="shared" si="284"/>
        <v/>
      </c>
      <c r="X192" s="452" t="str">
        <f t="shared" si="284"/>
        <v/>
      </c>
      <c r="Y192" s="452" t="str">
        <f t="shared" si="284"/>
        <v/>
      </c>
      <c r="Z192" s="452" t="str">
        <f t="shared" si="284"/>
        <v/>
      </c>
      <c r="AA192" s="453" t="str">
        <f t="shared" si="284"/>
        <v/>
      </c>
      <c r="AB192" s="451" t="str">
        <f t="shared" si="284"/>
        <v/>
      </c>
      <c r="AC192" s="452" t="str">
        <f t="shared" si="267"/>
        <v/>
      </c>
      <c r="AD192" s="452" t="str">
        <f t="shared" si="267"/>
        <v/>
      </c>
      <c r="AE192" s="452" t="str">
        <f t="shared" si="267"/>
        <v/>
      </c>
      <c r="AF192" s="453" t="str">
        <f t="shared" si="267"/>
        <v/>
      </c>
      <c r="AG192" s="451" t="str">
        <f t="shared" si="267"/>
        <v/>
      </c>
      <c r="AH192" s="452" t="str">
        <f t="shared" si="267"/>
        <v/>
      </c>
      <c r="AI192" s="452" t="str">
        <f t="shared" si="267"/>
        <v/>
      </c>
      <c r="AJ192" s="452" t="str">
        <f t="shared" si="267"/>
        <v/>
      </c>
      <c r="AK192" s="453" t="str">
        <f t="shared" si="267"/>
        <v/>
      </c>
      <c r="AL192" s="451" t="str">
        <f t="shared" si="267"/>
        <v/>
      </c>
      <c r="AM192" s="452" t="str">
        <f t="shared" si="267"/>
        <v/>
      </c>
      <c r="AN192" s="452" t="str">
        <f t="shared" si="267"/>
        <v/>
      </c>
      <c r="AO192" s="452" t="str">
        <f t="shared" si="267"/>
        <v/>
      </c>
      <c r="AP192" s="453" t="str">
        <f t="shared" si="267"/>
        <v/>
      </c>
      <c r="AQ192" s="451" t="str">
        <f t="shared" si="267"/>
        <v/>
      </c>
      <c r="AR192" s="452" t="str">
        <f t="shared" si="267"/>
        <v/>
      </c>
      <c r="AS192" s="452" t="str">
        <f t="shared" ref="AS192:BH207" si="291">IF(AND(AS$2&gt;=$J192,AS$2&lt;=$K192),1,"")</f>
        <v/>
      </c>
      <c r="AT192" s="452" t="str">
        <f t="shared" si="291"/>
        <v/>
      </c>
      <c r="AU192" s="453" t="str">
        <f t="shared" si="291"/>
        <v/>
      </c>
      <c r="AV192" s="451" t="str">
        <f t="shared" si="291"/>
        <v/>
      </c>
      <c r="AW192" s="452" t="str">
        <f t="shared" si="291"/>
        <v/>
      </c>
      <c r="AX192" s="452" t="str">
        <f t="shared" si="291"/>
        <v/>
      </c>
      <c r="AY192" s="452" t="str">
        <f t="shared" si="291"/>
        <v/>
      </c>
      <c r="AZ192" s="453" t="str">
        <f t="shared" si="291"/>
        <v/>
      </c>
      <c r="BA192" s="451" t="str">
        <f t="shared" si="291"/>
        <v/>
      </c>
      <c r="BB192" s="452" t="str">
        <f t="shared" si="291"/>
        <v/>
      </c>
      <c r="BC192" s="452" t="str">
        <f t="shared" si="291"/>
        <v/>
      </c>
      <c r="BD192" s="452" t="str">
        <f t="shared" si="291"/>
        <v/>
      </c>
      <c r="BE192" s="453" t="str">
        <f t="shared" si="291"/>
        <v/>
      </c>
      <c r="BF192" s="451" t="str">
        <f t="shared" si="291"/>
        <v/>
      </c>
      <c r="BG192" s="452" t="str">
        <f t="shared" si="291"/>
        <v/>
      </c>
      <c r="BH192" s="452" t="str">
        <f t="shared" si="291"/>
        <v/>
      </c>
      <c r="BI192" s="452" t="str">
        <f t="shared" ref="BI192:BX207" si="292">IF(AND(BI$2&gt;=$J192,BI$2&lt;=$K192),1,"")</f>
        <v/>
      </c>
      <c r="BJ192" s="453" t="str">
        <f t="shared" si="292"/>
        <v/>
      </c>
      <c r="BK192" s="451" t="str">
        <f t="shared" si="292"/>
        <v/>
      </c>
      <c r="BL192" s="452" t="str">
        <f t="shared" si="292"/>
        <v/>
      </c>
      <c r="BM192" s="452" t="str">
        <f t="shared" si="292"/>
        <v/>
      </c>
      <c r="BN192" s="452" t="str">
        <f t="shared" si="292"/>
        <v/>
      </c>
      <c r="BO192" s="453" t="str">
        <f t="shared" si="292"/>
        <v/>
      </c>
      <c r="BP192" s="451" t="str">
        <f t="shared" si="292"/>
        <v/>
      </c>
      <c r="BQ192" s="452" t="str">
        <f t="shared" si="292"/>
        <v/>
      </c>
      <c r="BR192" s="452" t="str">
        <f t="shared" si="292"/>
        <v/>
      </c>
      <c r="BS192" s="452" t="str">
        <f t="shared" si="292"/>
        <v/>
      </c>
      <c r="BT192" s="453" t="str">
        <f t="shared" si="292"/>
        <v/>
      </c>
      <c r="BU192" s="451" t="str">
        <f t="shared" si="292"/>
        <v/>
      </c>
      <c r="BV192" s="452" t="str">
        <f t="shared" si="292"/>
        <v/>
      </c>
      <c r="BW192" s="452" t="str">
        <f t="shared" si="292"/>
        <v/>
      </c>
      <c r="BX192" s="452" t="str">
        <f t="shared" si="292"/>
        <v/>
      </c>
      <c r="BY192" s="453" t="str">
        <f t="shared" ref="BY192:CN207" si="293">IF(AND(BY$2&gt;=$J192,BY$2&lt;=$K192),1,"")</f>
        <v/>
      </c>
      <c r="BZ192" s="451" t="str">
        <f t="shared" si="293"/>
        <v/>
      </c>
      <c r="CA192" s="452" t="str">
        <f t="shared" si="293"/>
        <v/>
      </c>
      <c r="CB192" s="452" t="str">
        <f t="shared" si="293"/>
        <v/>
      </c>
      <c r="CC192" s="452" t="str">
        <f t="shared" si="293"/>
        <v/>
      </c>
      <c r="CD192" s="453" t="str">
        <f t="shared" si="293"/>
        <v/>
      </c>
      <c r="CE192" s="451" t="str">
        <f t="shared" si="293"/>
        <v/>
      </c>
      <c r="CF192" s="452" t="str">
        <f t="shared" si="293"/>
        <v/>
      </c>
      <c r="CG192" s="452" t="str">
        <f t="shared" si="293"/>
        <v/>
      </c>
      <c r="CH192" s="452" t="str">
        <f t="shared" si="293"/>
        <v/>
      </c>
      <c r="CI192" s="453" t="str">
        <f t="shared" si="293"/>
        <v/>
      </c>
      <c r="CJ192" s="451" t="str">
        <f t="shared" si="293"/>
        <v/>
      </c>
      <c r="CK192" s="452" t="str">
        <f t="shared" si="293"/>
        <v/>
      </c>
      <c r="CL192" s="452" t="str">
        <f t="shared" si="293"/>
        <v/>
      </c>
      <c r="CM192" s="452" t="str">
        <f t="shared" si="293"/>
        <v/>
      </c>
      <c r="CN192" s="453" t="str">
        <f t="shared" si="293"/>
        <v/>
      </c>
      <c r="CO192" s="451" t="str">
        <f t="shared" ref="CO192:DD207" si="294">IF(AND(CO$2&gt;=$J192,CO$2&lt;=$K192),1,"")</f>
        <v/>
      </c>
      <c r="CP192" s="452" t="str">
        <f t="shared" si="294"/>
        <v/>
      </c>
      <c r="CQ192" s="452" t="str">
        <f t="shared" si="294"/>
        <v/>
      </c>
      <c r="CR192" s="452" t="str">
        <f t="shared" si="294"/>
        <v/>
      </c>
      <c r="CS192" s="453" t="str">
        <f t="shared" si="294"/>
        <v/>
      </c>
      <c r="CT192" s="451" t="str">
        <f t="shared" si="294"/>
        <v/>
      </c>
      <c r="CU192" s="452" t="str">
        <f t="shared" si="294"/>
        <v/>
      </c>
      <c r="CV192" s="452" t="str">
        <f t="shared" si="294"/>
        <v/>
      </c>
      <c r="CW192" s="452" t="str">
        <f t="shared" si="294"/>
        <v/>
      </c>
      <c r="CX192" s="453" t="str">
        <f t="shared" si="294"/>
        <v/>
      </c>
      <c r="CY192" s="451" t="str">
        <f t="shared" si="294"/>
        <v/>
      </c>
      <c r="CZ192" s="452" t="str">
        <f t="shared" si="294"/>
        <v/>
      </c>
      <c r="DA192" s="452" t="str">
        <f t="shared" si="294"/>
        <v/>
      </c>
      <c r="DB192" s="452" t="str">
        <f t="shared" si="294"/>
        <v/>
      </c>
      <c r="DC192" s="453" t="str">
        <f t="shared" si="294"/>
        <v/>
      </c>
      <c r="DD192" s="451" t="str">
        <f t="shared" si="294"/>
        <v/>
      </c>
      <c r="DE192" s="452" t="str">
        <f t="shared" ref="DE192:DT207" si="295">IF(AND(DE$2&gt;=$J192,DE$2&lt;=$K192),1,"")</f>
        <v/>
      </c>
      <c r="DF192" s="452" t="str">
        <f t="shared" si="295"/>
        <v/>
      </c>
      <c r="DG192" s="452" t="str">
        <f t="shared" si="295"/>
        <v/>
      </c>
      <c r="DH192" s="453" t="str">
        <f t="shared" si="295"/>
        <v/>
      </c>
      <c r="DI192" s="451" t="str">
        <f t="shared" si="295"/>
        <v/>
      </c>
      <c r="DJ192" s="452" t="str">
        <f t="shared" si="295"/>
        <v/>
      </c>
      <c r="DK192" s="452" t="str">
        <f t="shared" si="295"/>
        <v/>
      </c>
      <c r="DL192" s="452" t="str">
        <f t="shared" si="295"/>
        <v/>
      </c>
      <c r="DM192" s="453" t="str">
        <f t="shared" si="295"/>
        <v/>
      </c>
      <c r="DN192" s="451" t="str">
        <f t="shared" si="295"/>
        <v/>
      </c>
      <c r="DO192" s="452" t="str">
        <f t="shared" si="295"/>
        <v/>
      </c>
      <c r="DP192" s="452" t="str">
        <f t="shared" si="295"/>
        <v/>
      </c>
      <c r="DQ192" s="452" t="str">
        <f t="shared" si="295"/>
        <v/>
      </c>
      <c r="DR192" s="453" t="str">
        <f t="shared" si="295"/>
        <v/>
      </c>
      <c r="DS192" s="451" t="str">
        <f t="shared" si="295"/>
        <v/>
      </c>
      <c r="DT192" s="452" t="str">
        <f t="shared" si="295"/>
        <v/>
      </c>
      <c r="DU192" s="452" t="str">
        <f t="shared" si="268"/>
        <v/>
      </c>
      <c r="DV192" s="452" t="str">
        <f t="shared" si="268"/>
        <v/>
      </c>
      <c r="DW192" s="453" t="str">
        <f t="shared" si="268"/>
        <v/>
      </c>
      <c r="DX192" s="451" t="str">
        <f t="shared" si="268"/>
        <v/>
      </c>
      <c r="DY192" s="452" t="str">
        <f t="shared" si="268"/>
        <v/>
      </c>
      <c r="DZ192" s="452" t="str">
        <f t="shared" si="268"/>
        <v/>
      </c>
      <c r="EA192" s="452" t="str">
        <f t="shared" si="268"/>
        <v/>
      </c>
      <c r="EB192" s="453" t="str">
        <f t="shared" si="268"/>
        <v/>
      </c>
      <c r="EC192" s="451" t="str">
        <f t="shared" si="268"/>
        <v/>
      </c>
      <c r="ED192" s="452" t="str">
        <f t="shared" si="268"/>
        <v/>
      </c>
      <c r="EE192" s="452" t="str">
        <f t="shared" si="268"/>
        <v/>
      </c>
      <c r="EF192" s="452" t="str">
        <f t="shared" si="268"/>
        <v/>
      </c>
      <c r="EG192" s="453" t="str">
        <f t="shared" si="268"/>
        <v/>
      </c>
      <c r="EH192" s="451" t="str">
        <f t="shared" si="268"/>
        <v/>
      </c>
      <c r="EI192" s="452" t="str">
        <f t="shared" si="268"/>
        <v/>
      </c>
      <c r="EJ192" s="452" t="str">
        <f t="shared" si="268"/>
        <v/>
      </c>
      <c r="EK192" s="452" t="str">
        <f t="shared" si="277"/>
        <v/>
      </c>
      <c r="EL192" s="453" t="str">
        <f t="shared" si="277"/>
        <v/>
      </c>
      <c r="EM192" s="451" t="str">
        <f t="shared" si="277"/>
        <v/>
      </c>
      <c r="EN192" s="452" t="str">
        <f t="shared" si="277"/>
        <v/>
      </c>
      <c r="EO192" s="452" t="str">
        <f t="shared" si="277"/>
        <v/>
      </c>
      <c r="EP192" s="452" t="str">
        <f t="shared" si="277"/>
        <v/>
      </c>
      <c r="EQ192" s="453" t="str">
        <f t="shared" si="277"/>
        <v/>
      </c>
      <c r="ER192" s="451" t="str">
        <f t="shared" si="277"/>
        <v/>
      </c>
      <c r="ES192" s="452" t="str">
        <f t="shared" si="277"/>
        <v/>
      </c>
      <c r="ET192" s="452" t="str">
        <f t="shared" si="277"/>
        <v/>
      </c>
      <c r="EU192" s="452" t="str">
        <f t="shared" si="277"/>
        <v/>
      </c>
      <c r="EV192" s="453" t="str">
        <f t="shared" si="277"/>
        <v/>
      </c>
      <c r="EW192" s="451" t="str">
        <f t="shared" si="277"/>
        <v/>
      </c>
      <c r="EX192" s="452" t="str">
        <f t="shared" si="277"/>
        <v/>
      </c>
      <c r="EY192" s="452" t="str">
        <f t="shared" si="277"/>
        <v/>
      </c>
      <c r="EZ192" s="452" t="str">
        <f t="shared" si="277"/>
        <v/>
      </c>
      <c r="FA192" s="453" t="str">
        <f t="shared" si="278"/>
        <v/>
      </c>
      <c r="FB192" s="451" t="str">
        <f t="shared" si="278"/>
        <v/>
      </c>
      <c r="FC192" s="452" t="str">
        <f t="shared" si="278"/>
        <v/>
      </c>
      <c r="FD192" s="452" t="str">
        <f t="shared" si="278"/>
        <v/>
      </c>
      <c r="FE192" s="452" t="str">
        <f t="shared" si="278"/>
        <v/>
      </c>
      <c r="FF192" s="453" t="str">
        <f t="shared" si="278"/>
        <v/>
      </c>
      <c r="FG192" s="451" t="str">
        <f t="shared" si="278"/>
        <v/>
      </c>
      <c r="FH192" s="452" t="str">
        <f t="shared" si="278"/>
        <v/>
      </c>
      <c r="FI192" s="452" t="str">
        <f t="shared" si="278"/>
        <v/>
      </c>
      <c r="FJ192" s="452" t="str">
        <f t="shared" si="278"/>
        <v/>
      </c>
      <c r="FK192" s="453" t="str">
        <f t="shared" si="278"/>
        <v/>
      </c>
      <c r="FL192" s="451" t="str">
        <f t="shared" si="278"/>
        <v/>
      </c>
      <c r="FM192" s="452" t="str">
        <f t="shared" si="278"/>
        <v/>
      </c>
      <c r="FN192" s="452" t="str">
        <f t="shared" si="278"/>
        <v/>
      </c>
      <c r="FO192" s="452" t="str">
        <f t="shared" si="278"/>
        <v/>
      </c>
      <c r="FP192" s="453" t="str">
        <f t="shared" si="278"/>
        <v/>
      </c>
      <c r="FQ192" s="451" t="str">
        <f t="shared" si="279"/>
        <v/>
      </c>
      <c r="FR192" s="452" t="str">
        <f t="shared" si="279"/>
        <v/>
      </c>
      <c r="FS192" s="452" t="str">
        <f t="shared" si="279"/>
        <v/>
      </c>
      <c r="FT192" s="452" t="str">
        <f t="shared" si="279"/>
        <v/>
      </c>
      <c r="FU192" s="453" t="str">
        <f t="shared" si="279"/>
        <v/>
      </c>
      <c r="FV192" s="451" t="str">
        <f t="shared" si="279"/>
        <v/>
      </c>
      <c r="FW192" s="452" t="str">
        <f t="shared" si="279"/>
        <v/>
      </c>
      <c r="FX192" s="452" t="str">
        <f t="shared" si="279"/>
        <v/>
      </c>
      <c r="FY192" s="452" t="str">
        <f t="shared" si="279"/>
        <v/>
      </c>
      <c r="FZ192" s="453" t="str">
        <f t="shared" si="279"/>
        <v/>
      </c>
      <c r="GA192" s="451" t="str">
        <f t="shared" si="279"/>
        <v/>
      </c>
      <c r="GB192" s="452" t="str">
        <f t="shared" si="279"/>
        <v/>
      </c>
      <c r="GC192" s="452" t="str">
        <f t="shared" si="279"/>
        <v/>
      </c>
      <c r="GD192" s="452" t="str">
        <f t="shared" si="272"/>
        <v/>
      </c>
      <c r="GE192" s="453" t="str">
        <f t="shared" si="272"/>
        <v/>
      </c>
      <c r="GF192" s="451" t="str">
        <f t="shared" si="272"/>
        <v/>
      </c>
      <c r="GG192" s="452" t="str">
        <f t="shared" si="272"/>
        <v/>
      </c>
      <c r="GH192" s="452" t="str">
        <f t="shared" si="272"/>
        <v/>
      </c>
      <c r="GI192" s="452" t="str">
        <f t="shared" si="272"/>
        <v/>
      </c>
      <c r="GJ192" s="453" t="str">
        <f t="shared" si="272"/>
        <v/>
      </c>
      <c r="GK192" s="451" t="str">
        <f t="shared" si="272"/>
        <v/>
      </c>
      <c r="GL192" s="452" t="str">
        <f t="shared" si="272"/>
        <v/>
      </c>
      <c r="GM192" s="452" t="str">
        <f t="shared" si="272"/>
        <v/>
      </c>
      <c r="GN192" s="452" t="str">
        <f t="shared" si="272"/>
        <v/>
      </c>
      <c r="GO192" s="453" t="str">
        <f t="shared" si="272"/>
        <v/>
      </c>
      <c r="GP192" s="451" t="str">
        <f t="shared" si="272"/>
        <v/>
      </c>
      <c r="GQ192" s="452" t="str">
        <f t="shared" si="272"/>
        <v/>
      </c>
      <c r="GR192" s="452" t="str">
        <f t="shared" si="273"/>
        <v/>
      </c>
      <c r="GS192" s="452" t="str">
        <f t="shared" si="273"/>
        <v/>
      </c>
      <c r="GT192" s="453" t="str">
        <f t="shared" si="273"/>
        <v/>
      </c>
      <c r="GU192" s="451" t="str">
        <f t="shared" si="273"/>
        <v/>
      </c>
      <c r="GV192" s="452" t="str">
        <f t="shared" si="273"/>
        <v/>
      </c>
      <c r="GW192" s="452" t="str">
        <f t="shared" si="273"/>
        <v/>
      </c>
      <c r="GX192" s="452" t="str">
        <f t="shared" si="273"/>
        <v/>
      </c>
      <c r="GY192" s="453" t="str">
        <f t="shared" si="273"/>
        <v/>
      </c>
      <c r="GZ192" s="451" t="str">
        <f t="shared" si="273"/>
        <v/>
      </c>
      <c r="HA192" s="452" t="str">
        <f t="shared" si="273"/>
        <v/>
      </c>
      <c r="HB192" s="452" t="str">
        <f t="shared" si="273"/>
        <v/>
      </c>
      <c r="HC192" s="452" t="str">
        <f t="shared" si="273"/>
        <v/>
      </c>
      <c r="HD192" s="453" t="str">
        <f t="shared" si="273"/>
        <v/>
      </c>
      <c r="HE192" s="451" t="str">
        <f t="shared" si="273"/>
        <v/>
      </c>
      <c r="HF192" s="452" t="str">
        <f t="shared" si="273"/>
        <v/>
      </c>
      <c r="HG192" s="452" t="str">
        <f t="shared" si="273"/>
        <v/>
      </c>
      <c r="HH192" s="452" t="str">
        <f t="shared" si="280"/>
        <v/>
      </c>
      <c r="HI192" s="453" t="str">
        <f t="shared" si="280"/>
        <v/>
      </c>
      <c r="HJ192" s="451" t="str">
        <f t="shared" si="280"/>
        <v/>
      </c>
      <c r="HK192" s="452" t="str">
        <f t="shared" si="280"/>
        <v/>
      </c>
      <c r="HL192" s="452" t="str">
        <f t="shared" si="280"/>
        <v/>
      </c>
      <c r="HM192" s="452" t="str">
        <f t="shared" si="280"/>
        <v/>
      </c>
      <c r="HN192" s="453" t="str">
        <f t="shared" si="280"/>
        <v/>
      </c>
      <c r="HO192" s="451" t="str">
        <f t="shared" si="280"/>
        <v/>
      </c>
      <c r="HP192" s="452" t="str">
        <f t="shared" si="280"/>
        <v/>
      </c>
      <c r="HQ192" s="452" t="str">
        <f t="shared" si="280"/>
        <v/>
      </c>
      <c r="HR192" s="452" t="str">
        <f t="shared" si="280"/>
        <v/>
      </c>
      <c r="HS192" s="453" t="str">
        <f t="shared" si="280"/>
        <v/>
      </c>
      <c r="HT192" s="451" t="str">
        <f t="shared" si="280"/>
        <v/>
      </c>
      <c r="HU192" s="452" t="str">
        <f t="shared" si="280"/>
        <v/>
      </c>
      <c r="HV192" s="452" t="str">
        <f t="shared" si="280"/>
        <v/>
      </c>
      <c r="HW192" s="452" t="str">
        <f t="shared" si="280"/>
        <v/>
      </c>
      <c r="HX192" s="453" t="str">
        <f t="shared" si="281"/>
        <v/>
      </c>
      <c r="HY192" s="451" t="str">
        <f t="shared" si="281"/>
        <v/>
      </c>
      <c r="HZ192" s="452" t="str">
        <f t="shared" si="281"/>
        <v/>
      </c>
      <c r="IA192" s="452" t="str">
        <f t="shared" si="281"/>
        <v/>
      </c>
      <c r="IB192" s="452" t="str">
        <f t="shared" si="281"/>
        <v/>
      </c>
      <c r="IC192" s="453" t="str">
        <f t="shared" si="281"/>
        <v/>
      </c>
      <c r="ID192" s="451" t="str">
        <f t="shared" si="281"/>
        <v/>
      </c>
      <c r="IE192" s="452" t="str">
        <f t="shared" si="281"/>
        <v/>
      </c>
      <c r="IF192" s="452" t="str">
        <f t="shared" si="281"/>
        <v/>
      </c>
      <c r="IG192" s="452" t="str">
        <f t="shared" si="281"/>
        <v/>
      </c>
      <c r="IH192" s="453" t="str">
        <f t="shared" si="281"/>
        <v/>
      </c>
      <c r="II192" s="451" t="str">
        <f t="shared" si="281"/>
        <v/>
      </c>
      <c r="IJ192" s="452" t="str">
        <f t="shared" si="281"/>
        <v/>
      </c>
      <c r="IK192" s="452" t="str">
        <f t="shared" si="281"/>
        <v/>
      </c>
      <c r="IL192" s="452" t="str">
        <f t="shared" si="281"/>
        <v/>
      </c>
      <c r="IM192" s="453" t="str">
        <f t="shared" si="281"/>
        <v/>
      </c>
      <c r="IN192" s="451" t="str">
        <f t="shared" si="281"/>
        <v/>
      </c>
      <c r="IO192" s="452" t="str">
        <f t="shared" si="282"/>
        <v/>
      </c>
      <c r="IP192" s="452" t="str">
        <f t="shared" si="282"/>
        <v/>
      </c>
      <c r="IQ192" s="452" t="str">
        <f t="shared" si="282"/>
        <v/>
      </c>
      <c r="IR192" s="453" t="str">
        <f t="shared" si="282"/>
        <v/>
      </c>
    </row>
    <row r="193" spans="1:252" x14ac:dyDescent="0.2">
      <c r="A193" s="461">
        <v>18.2</v>
      </c>
      <c r="C193" s="447" t="s">
        <v>1352</v>
      </c>
      <c r="D193" s="447"/>
      <c r="E193" s="448"/>
      <c r="F193" s="448"/>
      <c r="G193" s="448"/>
      <c r="H193" s="448"/>
      <c r="I193" s="448"/>
      <c r="J193" s="449" t="str">
        <f t="shared" si="289"/>
        <v/>
      </c>
      <c r="K193" s="449" t="str">
        <f t="shared" si="290"/>
        <v/>
      </c>
      <c r="L193" s="450">
        <f t="shared" si="285"/>
        <v>0</v>
      </c>
      <c r="M193" s="451" t="str">
        <f t="shared" si="284"/>
        <v/>
      </c>
      <c r="N193" s="452" t="str">
        <f t="shared" si="284"/>
        <v/>
      </c>
      <c r="O193" s="452" t="str">
        <f t="shared" si="284"/>
        <v/>
      </c>
      <c r="P193" s="452" t="str">
        <f t="shared" si="284"/>
        <v/>
      </c>
      <c r="Q193" s="453" t="str">
        <f t="shared" si="284"/>
        <v/>
      </c>
      <c r="R193" s="451" t="str">
        <f t="shared" si="284"/>
        <v/>
      </c>
      <c r="S193" s="452" t="str">
        <f t="shared" si="284"/>
        <v/>
      </c>
      <c r="T193" s="452" t="str">
        <f t="shared" si="284"/>
        <v/>
      </c>
      <c r="U193" s="452" t="str">
        <f t="shared" si="284"/>
        <v/>
      </c>
      <c r="V193" s="453" t="str">
        <f t="shared" si="284"/>
        <v/>
      </c>
      <c r="W193" s="451" t="str">
        <f t="shared" si="284"/>
        <v/>
      </c>
      <c r="X193" s="452" t="str">
        <f t="shared" si="284"/>
        <v/>
      </c>
      <c r="Y193" s="452" t="str">
        <f t="shared" si="284"/>
        <v/>
      </c>
      <c r="Z193" s="452" t="str">
        <f t="shared" si="284"/>
        <v/>
      </c>
      <c r="AA193" s="453" t="str">
        <f t="shared" si="284"/>
        <v/>
      </c>
      <c r="AB193" s="451" t="str">
        <f t="shared" si="284"/>
        <v/>
      </c>
      <c r="AC193" s="452" t="str">
        <f t="shared" ref="AC193:AR208" si="296">IF(AND(AC$2&gt;=$J193,AC$2&lt;=$K193),1,"")</f>
        <v/>
      </c>
      <c r="AD193" s="452" t="str">
        <f t="shared" si="296"/>
        <v/>
      </c>
      <c r="AE193" s="452" t="str">
        <f t="shared" si="296"/>
        <v/>
      </c>
      <c r="AF193" s="453" t="str">
        <f t="shared" si="296"/>
        <v/>
      </c>
      <c r="AG193" s="451" t="str">
        <f t="shared" si="296"/>
        <v/>
      </c>
      <c r="AH193" s="452" t="str">
        <f t="shared" si="296"/>
        <v/>
      </c>
      <c r="AI193" s="452" t="str">
        <f t="shared" si="296"/>
        <v/>
      </c>
      <c r="AJ193" s="452" t="str">
        <f t="shared" si="296"/>
        <v/>
      </c>
      <c r="AK193" s="453" t="str">
        <f t="shared" si="296"/>
        <v/>
      </c>
      <c r="AL193" s="451" t="str">
        <f t="shared" si="296"/>
        <v/>
      </c>
      <c r="AM193" s="452" t="str">
        <f t="shared" si="296"/>
        <v/>
      </c>
      <c r="AN193" s="452" t="str">
        <f t="shared" si="296"/>
        <v/>
      </c>
      <c r="AO193" s="452" t="str">
        <f t="shared" si="296"/>
        <v/>
      </c>
      <c r="AP193" s="453" t="str">
        <f t="shared" si="296"/>
        <v/>
      </c>
      <c r="AQ193" s="451" t="str">
        <f t="shared" si="296"/>
        <v/>
      </c>
      <c r="AR193" s="452" t="str">
        <f t="shared" si="296"/>
        <v/>
      </c>
      <c r="AS193" s="452" t="str">
        <f t="shared" si="291"/>
        <v/>
      </c>
      <c r="AT193" s="452" t="str">
        <f t="shared" si="291"/>
        <v/>
      </c>
      <c r="AU193" s="453" t="str">
        <f t="shared" si="291"/>
        <v/>
      </c>
      <c r="AV193" s="451" t="str">
        <f t="shared" si="291"/>
        <v/>
      </c>
      <c r="AW193" s="452" t="str">
        <f t="shared" si="291"/>
        <v/>
      </c>
      <c r="AX193" s="452" t="str">
        <f t="shared" si="291"/>
        <v/>
      </c>
      <c r="AY193" s="452" t="str">
        <f t="shared" si="291"/>
        <v/>
      </c>
      <c r="AZ193" s="453" t="str">
        <f t="shared" si="291"/>
        <v/>
      </c>
      <c r="BA193" s="451" t="str">
        <f t="shared" si="291"/>
        <v/>
      </c>
      <c r="BB193" s="452" t="str">
        <f t="shared" si="291"/>
        <v/>
      </c>
      <c r="BC193" s="452" t="str">
        <f t="shared" si="291"/>
        <v/>
      </c>
      <c r="BD193" s="452" t="str">
        <f t="shared" si="291"/>
        <v/>
      </c>
      <c r="BE193" s="453" t="str">
        <f t="shared" si="291"/>
        <v/>
      </c>
      <c r="BF193" s="451" t="str">
        <f t="shared" si="291"/>
        <v/>
      </c>
      <c r="BG193" s="452" t="str">
        <f t="shared" si="291"/>
        <v/>
      </c>
      <c r="BH193" s="452" t="str">
        <f t="shared" si="291"/>
        <v/>
      </c>
      <c r="BI193" s="452" t="str">
        <f t="shared" si="292"/>
        <v/>
      </c>
      <c r="BJ193" s="453" t="str">
        <f t="shared" si="292"/>
        <v/>
      </c>
      <c r="BK193" s="451" t="str">
        <f t="shared" si="292"/>
        <v/>
      </c>
      <c r="BL193" s="452" t="str">
        <f t="shared" si="292"/>
        <v/>
      </c>
      <c r="BM193" s="452" t="str">
        <f t="shared" si="292"/>
        <v/>
      </c>
      <c r="BN193" s="452" t="str">
        <f t="shared" si="292"/>
        <v/>
      </c>
      <c r="BO193" s="453" t="str">
        <f t="shared" si="292"/>
        <v/>
      </c>
      <c r="BP193" s="451" t="str">
        <f t="shared" si="292"/>
        <v/>
      </c>
      <c r="BQ193" s="452" t="str">
        <f t="shared" si="292"/>
        <v/>
      </c>
      <c r="BR193" s="452" t="str">
        <f t="shared" si="292"/>
        <v/>
      </c>
      <c r="BS193" s="452" t="str">
        <f t="shared" si="292"/>
        <v/>
      </c>
      <c r="BT193" s="453" t="str">
        <f t="shared" si="292"/>
        <v/>
      </c>
      <c r="BU193" s="451" t="str">
        <f t="shared" si="292"/>
        <v/>
      </c>
      <c r="BV193" s="452" t="str">
        <f t="shared" si="292"/>
        <v/>
      </c>
      <c r="BW193" s="452" t="str">
        <f t="shared" si="292"/>
        <v/>
      </c>
      <c r="BX193" s="452" t="str">
        <f t="shared" si="292"/>
        <v/>
      </c>
      <c r="BY193" s="453" t="str">
        <f t="shared" si="293"/>
        <v/>
      </c>
      <c r="BZ193" s="451" t="str">
        <f t="shared" si="293"/>
        <v/>
      </c>
      <c r="CA193" s="452" t="str">
        <f t="shared" si="293"/>
        <v/>
      </c>
      <c r="CB193" s="452" t="str">
        <f t="shared" si="293"/>
        <v/>
      </c>
      <c r="CC193" s="452" t="str">
        <f t="shared" si="293"/>
        <v/>
      </c>
      <c r="CD193" s="453" t="str">
        <f t="shared" si="293"/>
        <v/>
      </c>
      <c r="CE193" s="451" t="str">
        <f t="shared" si="293"/>
        <v/>
      </c>
      <c r="CF193" s="452" t="str">
        <f t="shared" si="293"/>
        <v/>
      </c>
      <c r="CG193" s="452" t="str">
        <f t="shared" si="293"/>
        <v/>
      </c>
      <c r="CH193" s="452" t="str">
        <f t="shared" si="293"/>
        <v/>
      </c>
      <c r="CI193" s="453" t="str">
        <f t="shared" si="293"/>
        <v/>
      </c>
      <c r="CJ193" s="451" t="str">
        <f t="shared" si="293"/>
        <v/>
      </c>
      <c r="CK193" s="452" t="str">
        <f t="shared" si="293"/>
        <v/>
      </c>
      <c r="CL193" s="452" t="str">
        <f t="shared" si="293"/>
        <v/>
      </c>
      <c r="CM193" s="452" t="str">
        <f t="shared" si="293"/>
        <v/>
      </c>
      <c r="CN193" s="453" t="str">
        <f t="shared" si="293"/>
        <v/>
      </c>
      <c r="CO193" s="451" t="str">
        <f t="shared" si="294"/>
        <v/>
      </c>
      <c r="CP193" s="452" t="str">
        <f t="shared" si="294"/>
        <v/>
      </c>
      <c r="CQ193" s="452" t="str">
        <f t="shared" si="294"/>
        <v/>
      </c>
      <c r="CR193" s="452" t="str">
        <f t="shared" si="294"/>
        <v/>
      </c>
      <c r="CS193" s="453" t="str">
        <f t="shared" si="294"/>
        <v/>
      </c>
      <c r="CT193" s="451" t="str">
        <f t="shared" si="294"/>
        <v/>
      </c>
      <c r="CU193" s="452" t="str">
        <f t="shared" si="294"/>
        <v/>
      </c>
      <c r="CV193" s="452" t="str">
        <f t="shared" si="294"/>
        <v/>
      </c>
      <c r="CW193" s="452" t="str">
        <f t="shared" si="294"/>
        <v/>
      </c>
      <c r="CX193" s="453" t="str">
        <f t="shared" si="294"/>
        <v/>
      </c>
      <c r="CY193" s="451" t="str">
        <f t="shared" si="294"/>
        <v/>
      </c>
      <c r="CZ193" s="452" t="str">
        <f t="shared" si="294"/>
        <v/>
      </c>
      <c r="DA193" s="452" t="str">
        <f t="shared" si="294"/>
        <v/>
      </c>
      <c r="DB193" s="452" t="str">
        <f t="shared" si="294"/>
        <v/>
      </c>
      <c r="DC193" s="453" t="str">
        <f t="shared" si="294"/>
        <v/>
      </c>
      <c r="DD193" s="451" t="str">
        <f t="shared" si="294"/>
        <v/>
      </c>
      <c r="DE193" s="452" t="str">
        <f t="shared" si="295"/>
        <v/>
      </c>
      <c r="DF193" s="452" t="str">
        <f t="shared" si="295"/>
        <v/>
      </c>
      <c r="DG193" s="452" t="str">
        <f t="shared" si="295"/>
        <v/>
      </c>
      <c r="DH193" s="453" t="str">
        <f t="shared" si="295"/>
        <v/>
      </c>
      <c r="DI193" s="451" t="str">
        <f t="shared" si="295"/>
        <v/>
      </c>
      <c r="DJ193" s="452" t="str">
        <f t="shared" si="295"/>
        <v/>
      </c>
      <c r="DK193" s="452" t="str">
        <f t="shared" si="295"/>
        <v/>
      </c>
      <c r="DL193" s="452" t="str">
        <f t="shared" si="295"/>
        <v/>
      </c>
      <c r="DM193" s="453" t="str">
        <f t="shared" si="295"/>
        <v/>
      </c>
      <c r="DN193" s="451" t="str">
        <f t="shared" si="295"/>
        <v/>
      </c>
      <c r="DO193" s="452" t="str">
        <f t="shared" si="295"/>
        <v/>
      </c>
      <c r="DP193" s="452" t="str">
        <f t="shared" si="295"/>
        <v/>
      </c>
      <c r="DQ193" s="452" t="str">
        <f t="shared" si="295"/>
        <v/>
      </c>
      <c r="DR193" s="453" t="str">
        <f t="shared" si="295"/>
        <v/>
      </c>
      <c r="DS193" s="451" t="str">
        <f t="shared" si="295"/>
        <v/>
      </c>
      <c r="DT193" s="452" t="str">
        <f t="shared" si="295"/>
        <v/>
      </c>
      <c r="DU193" s="452" t="str">
        <f t="shared" ref="DU193:EJ208" si="297">IF(AND(DU$2&gt;=$J193,DU$2&lt;=$K193),1,"")</f>
        <v/>
      </c>
      <c r="DV193" s="452" t="str">
        <f t="shared" si="297"/>
        <v/>
      </c>
      <c r="DW193" s="453" t="str">
        <f t="shared" si="297"/>
        <v/>
      </c>
      <c r="DX193" s="451" t="str">
        <f t="shared" si="297"/>
        <v/>
      </c>
      <c r="DY193" s="452" t="str">
        <f t="shared" si="297"/>
        <v/>
      </c>
      <c r="DZ193" s="452" t="str">
        <f t="shared" si="297"/>
        <v/>
      </c>
      <c r="EA193" s="452" t="str">
        <f t="shared" si="297"/>
        <v/>
      </c>
      <c r="EB193" s="453" t="str">
        <f t="shared" si="297"/>
        <v/>
      </c>
      <c r="EC193" s="451" t="str">
        <f t="shared" si="297"/>
        <v/>
      </c>
      <c r="ED193" s="452" t="str">
        <f t="shared" si="297"/>
        <v/>
      </c>
      <c r="EE193" s="452" t="str">
        <f t="shared" si="297"/>
        <v/>
      </c>
      <c r="EF193" s="452" t="str">
        <f t="shared" si="297"/>
        <v/>
      </c>
      <c r="EG193" s="453" t="str">
        <f t="shared" si="297"/>
        <v/>
      </c>
      <c r="EH193" s="451" t="str">
        <f t="shared" si="297"/>
        <v/>
      </c>
      <c r="EI193" s="452" t="str">
        <f t="shared" si="297"/>
        <v/>
      </c>
      <c r="EJ193" s="452" t="str">
        <f t="shared" si="297"/>
        <v/>
      </c>
      <c r="EK193" s="452" t="str">
        <f t="shared" si="277"/>
        <v/>
      </c>
      <c r="EL193" s="453" t="str">
        <f t="shared" si="277"/>
        <v/>
      </c>
      <c r="EM193" s="451" t="str">
        <f t="shared" si="277"/>
        <v/>
      </c>
      <c r="EN193" s="452" t="str">
        <f t="shared" si="277"/>
        <v/>
      </c>
      <c r="EO193" s="452" t="str">
        <f t="shared" si="277"/>
        <v/>
      </c>
      <c r="EP193" s="452" t="str">
        <f t="shared" si="277"/>
        <v/>
      </c>
      <c r="EQ193" s="453" t="str">
        <f t="shared" si="277"/>
        <v/>
      </c>
      <c r="ER193" s="451" t="str">
        <f t="shared" si="277"/>
        <v/>
      </c>
      <c r="ES193" s="452" t="str">
        <f t="shared" si="277"/>
        <v/>
      </c>
      <c r="ET193" s="452" t="str">
        <f t="shared" si="277"/>
        <v/>
      </c>
      <c r="EU193" s="452" t="str">
        <f t="shared" si="277"/>
        <v/>
      </c>
      <c r="EV193" s="453" t="str">
        <f t="shared" si="277"/>
        <v/>
      </c>
      <c r="EW193" s="451" t="str">
        <f t="shared" si="277"/>
        <v/>
      </c>
      <c r="EX193" s="452" t="str">
        <f t="shared" si="277"/>
        <v/>
      </c>
      <c r="EY193" s="452" t="str">
        <f t="shared" si="277"/>
        <v/>
      </c>
      <c r="EZ193" s="452" t="str">
        <f t="shared" si="277"/>
        <v/>
      </c>
      <c r="FA193" s="453" t="str">
        <f t="shared" si="278"/>
        <v/>
      </c>
      <c r="FB193" s="451" t="str">
        <f t="shared" si="278"/>
        <v/>
      </c>
      <c r="FC193" s="452" t="str">
        <f t="shared" si="278"/>
        <v/>
      </c>
      <c r="FD193" s="452" t="str">
        <f t="shared" si="278"/>
        <v/>
      </c>
      <c r="FE193" s="452" t="str">
        <f t="shared" si="278"/>
        <v/>
      </c>
      <c r="FF193" s="453" t="str">
        <f t="shared" si="278"/>
        <v/>
      </c>
      <c r="FG193" s="451" t="str">
        <f t="shared" si="278"/>
        <v/>
      </c>
      <c r="FH193" s="452" t="str">
        <f t="shared" si="278"/>
        <v/>
      </c>
      <c r="FI193" s="452" t="str">
        <f t="shared" si="278"/>
        <v/>
      </c>
      <c r="FJ193" s="452" t="str">
        <f t="shared" si="278"/>
        <v/>
      </c>
      <c r="FK193" s="453" t="str">
        <f t="shared" si="278"/>
        <v/>
      </c>
      <c r="FL193" s="451" t="str">
        <f t="shared" si="278"/>
        <v/>
      </c>
      <c r="FM193" s="452" t="str">
        <f t="shared" si="278"/>
        <v/>
      </c>
      <c r="FN193" s="452" t="str">
        <f t="shared" si="278"/>
        <v/>
      </c>
      <c r="FO193" s="452" t="str">
        <f t="shared" si="278"/>
        <v/>
      </c>
      <c r="FP193" s="453" t="str">
        <f t="shared" si="278"/>
        <v/>
      </c>
      <c r="FQ193" s="451" t="str">
        <f t="shared" si="279"/>
        <v/>
      </c>
      <c r="FR193" s="452" t="str">
        <f t="shared" si="279"/>
        <v/>
      </c>
      <c r="FS193" s="452" t="str">
        <f t="shared" si="279"/>
        <v/>
      </c>
      <c r="FT193" s="452" t="str">
        <f t="shared" si="279"/>
        <v/>
      </c>
      <c r="FU193" s="453" t="str">
        <f t="shared" si="279"/>
        <v/>
      </c>
      <c r="FV193" s="451" t="str">
        <f t="shared" si="279"/>
        <v/>
      </c>
      <c r="FW193" s="452" t="str">
        <f t="shared" si="279"/>
        <v/>
      </c>
      <c r="FX193" s="452" t="str">
        <f t="shared" si="279"/>
        <v/>
      </c>
      <c r="FY193" s="452" t="str">
        <f t="shared" si="279"/>
        <v/>
      </c>
      <c r="FZ193" s="453" t="str">
        <f t="shared" si="279"/>
        <v/>
      </c>
      <c r="GA193" s="451" t="str">
        <f t="shared" si="279"/>
        <v/>
      </c>
      <c r="GB193" s="452" t="str">
        <f t="shared" si="279"/>
        <v/>
      </c>
      <c r="GC193" s="452" t="str">
        <f t="shared" si="279"/>
        <v/>
      </c>
      <c r="GD193" s="452" t="str">
        <f t="shared" si="272"/>
        <v/>
      </c>
      <c r="GE193" s="453" t="str">
        <f t="shared" si="272"/>
        <v/>
      </c>
      <c r="GF193" s="451" t="str">
        <f t="shared" si="272"/>
        <v/>
      </c>
      <c r="GG193" s="452" t="str">
        <f t="shared" si="272"/>
        <v/>
      </c>
      <c r="GH193" s="452" t="str">
        <f t="shared" si="272"/>
        <v/>
      </c>
      <c r="GI193" s="452" t="str">
        <f t="shared" si="272"/>
        <v/>
      </c>
      <c r="GJ193" s="453" t="str">
        <f t="shared" si="272"/>
        <v/>
      </c>
      <c r="GK193" s="451" t="str">
        <f t="shared" si="272"/>
        <v/>
      </c>
      <c r="GL193" s="452" t="str">
        <f t="shared" si="272"/>
        <v/>
      </c>
      <c r="GM193" s="452" t="str">
        <f t="shared" si="272"/>
        <v/>
      </c>
      <c r="GN193" s="452" t="str">
        <f t="shared" si="272"/>
        <v/>
      </c>
      <c r="GO193" s="453" t="str">
        <f t="shared" si="272"/>
        <v/>
      </c>
      <c r="GP193" s="451" t="str">
        <f t="shared" si="272"/>
        <v/>
      </c>
      <c r="GQ193" s="452" t="str">
        <f t="shared" si="272"/>
        <v/>
      </c>
      <c r="GR193" s="452" t="str">
        <f t="shared" si="273"/>
        <v/>
      </c>
      <c r="GS193" s="452" t="str">
        <f t="shared" si="273"/>
        <v/>
      </c>
      <c r="GT193" s="453" t="str">
        <f t="shared" si="273"/>
        <v/>
      </c>
      <c r="GU193" s="451" t="str">
        <f t="shared" si="273"/>
        <v/>
      </c>
      <c r="GV193" s="452" t="str">
        <f t="shared" si="273"/>
        <v/>
      </c>
      <c r="GW193" s="452" t="str">
        <f t="shared" si="273"/>
        <v/>
      </c>
      <c r="GX193" s="452" t="str">
        <f t="shared" si="273"/>
        <v/>
      </c>
      <c r="GY193" s="453" t="str">
        <f t="shared" si="273"/>
        <v/>
      </c>
      <c r="GZ193" s="451" t="str">
        <f t="shared" si="273"/>
        <v/>
      </c>
      <c r="HA193" s="452" t="str">
        <f t="shared" si="273"/>
        <v/>
      </c>
      <c r="HB193" s="452" t="str">
        <f t="shared" si="273"/>
        <v/>
      </c>
      <c r="HC193" s="452" t="str">
        <f t="shared" si="273"/>
        <v/>
      </c>
      <c r="HD193" s="453" t="str">
        <f t="shared" si="273"/>
        <v/>
      </c>
      <c r="HE193" s="451" t="str">
        <f t="shared" si="273"/>
        <v/>
      </c>
      <c r="HF193" s="452" t="str">
        <f t="shared" si="273"/>
        <v/>
      </c>
      <c r="HG193" s="452" t="str">
        <f t="shared" si="273"/>
        <v/>
      </c>
      <c r="HH193" s="452" t="str">
        <f t="shared" si="280"/>
        <v/>
      </c>
      <c r="HI193" s="453" t="str">
        <f t="shared" si="280"/>
        <v/>
      </c>
      <c r="HJ193" s="451" t="str">
        <f t="shared" si="280"/>
        <v/>
      </c>
      <c r="HK193" s="452" t="str">
        <f t="shared" si="280"/>
        <v/>
      </c>
      <c r="HL193" s="452" t="str">
        <f t="shared" si="280"/>
        <v/>
      </c>
      <c r="HM193" s="452" t="str">
        <f t="shared" si="280"/>
        <v/>
      </c>
      <c r="HN193" s="453" t="str">
        <f t="shared" si="280"/>
        <v/>
      </c>
      <c r="HO193" s="451" t="str">
        <f t="shared" si="280"/>
        <v/>
      </c>
      <c r="HP193" s="452" t="str">
        <f t="shared" si="280"/>
        <v/>
      </c>
      <c r="HQ193" s="452" t="str">
        <f t="shared" si="280"/>
        <v/>
      </c>
      <c r="HR193" s="452" t="str">
        <f t="shared" si="280"/>
        <v/>
      </c>
      <c r="HS193" s="453" t="str">
        <f t="shared" si="280"/>
        <v/>
      </c>
      <c r="HT193" s="451" t="str">
        <f t="shared" si="280"/>
        <v/>
      </c>
      <c r="HU193" s="452" t="str">
        <f t="shared" si="280"/>
        <v/>
      </c>
      <c r="HV193" s="452" t="str">
        <f t="shared" si="280"/>
        <v/>
      </c>
      <c r="HW193" s="452" t="str">
        <f t="shared" si="280"/>
        <v/>
      </c>
      <c r="HX193" s="453" t="str">
        <f t="shared" si="281"/>
        <v/>
      </c>
      <c r="HY193" s="451" t="str">
        <f t="shared" si="281"/>
        <v/>
      </c>
      <c r="HZ193" s="452" t="str">
        <f t="shared" si="281"/>
        <v/>
      </c>
      <c r="IA193" s="452" t="str">
        <f t="shared" si="281"/>
        <v/>
      </c>
      <c r="IB193" s="452" t="str">
        <f t="shared" si="281"/>
        <v/>
      </c>
      <c r="IC193" s="453" t="str">
        <f t="shared" si="281"/>
        <v/>
      </c>
      <c r="ID193" s="451" t="str">
        <f t="shared" si="281"/>
        <v/>
      </c>
      <c r="IE193" s="452" t="str">
        <f t="shared" si="281"/>
        <v/>
      </c>
      <c r="IF193" s="452" t="str">
        <f t="shared" si="281"/>
        <v/>
      </c>
      <c r="IG193" s="452" t="str">
        <f t="shared" si="281"/>
        <v/>
      </c>
      <c r="IH193" s="453" t="str">
        <f t="shared" si="281"/>
        <v/>
      </c>
      <c r="II193" s="451" t="str">
        <f t="shared" si="281"/>
        <v/>
      </c>
      <c r="IJ193" s="452" t="str">
        <f t="shared" si="281"/>
        <v/>
      </c>
      <c r="IK193" s="452" t="str">
        <f t="shared" si="281"/>
        <v/>
      </c>
      <c r="IL193" s="452" t="str">
        <f t="shared" si="281"/>
        <v/>
      </c>
      <c r="IM193" s="453" t="str">
        <f t="shared" si="281"/>
        <v/>
      </c>
      <c r="IN193" s="451" t="str">
        <f t="shared" si="281"/>
        <v/>
      </c>
      <c r="IO193" s="452" t="str">
        <f t="shared" si="282"/>
        <v/>
      </c>
      <c r="IP193" s="452" t="str">
        <f t="shared" si="282"/>
        <v/>
      </c>
      <c r="IQ193" s="452" t="str">
        <f t="shared" si="282"/>
        <v/>
      </c>
      <c r="IR193" s="453" t="str">
        <f t="shared" si="282"/>
        <v/>
      </c>
    </row>
    <row r="194" spans="1:252" x14ac:dyDescent="0.2">
      <c r="A194" s="461">
        <v>18.3</v>
      </c>
      <c r="C194" s="447" t="s">
        <v>1353</v>
      </c>
      <c r="D194" s="447"/>
      <c r="E194" s="448"/>
      <c r="F194" s="448"/>
      <c r="G194" s="448"/>
      <c r="H194" s="448"/>
      <c r="I194" s="448"/>
      <c r="J194" s="449" t="str">
        <f t="shared" si="289"/>
        <v/>
      </c>
      <c r="K194" s="449" t="str">
        <f t="shared" si="290"/>
        <v/>
      </c>
      <c r="L194" s="450">
        <f t="shared" si="285"/>
        <v>0</v>
      </c>
      <c r="M194" s="451" t="str">
        <f t="shared" si="284"/>
        <v/>
      </c>
      <c r="N194" s="452" t="str">
        <f t="shared" si="284"/>
        <v/>
      </c>
      <c r="O194" s="452" t="str">
        <f t="shared" si="284"/>
        <v/>
      </c>
      <c r="P194" s="452" t="str">
        <f t="shared" si="284"/>
        <v/>
      </c>
      <c r="Q194" s="453" t="str">
        <f t="shared" si="284"/>
        <v/>
      </c>
      <c r="R194" s="451" t="str">
        <f t="shared" si="284"/>
        <v/>
      </c>
      <c r="S194" s="452" t="str">
        <f t="shared" si="284"/>
        <v/>
      </c>
      <c r="T194" s="452" t="str">
        <f t="shared" si="284"/>
        <v/>
      </c>
      <c r="U194" s="452" t="str">
        <f t="shared" si="284"/>
        <v/>
      </c>
      <c r="V194" s="453" t="str">
        <f t="shared" si="284"/>
        <v/>
      </c>
      <c r="W194" s="451" t="str">
        <f t="shared" si="284"/>
        <v/>
      </c>
      <c r="X194" s="452" t="str">
        <f t="shared" si="284"/>
        <v/>
      </c>
      <c r="Y194" s="452" t="str">
        <f t="shared" si="284"/>
        <v/>
      </c>
      <c r="Z194" s="452" t="str">
        <f t="shared" si="284"/>
        <v/>
      </c>
      <c r="AA194" s="453" t="str">
        <f t="shared" si="284"/>
        <v/>
      </c>
      <c r="AB194" s="451" t="str">
        <f t="shared" si="284"/>
        <v/>
      </c>
      <c r="AC194" s="452" t="str">
        <f t="shared" si="296"/>
        <v/>
      </c>
      <c r="AD194" s="452" t="str">
        <f t="shared" si="296"/>
        <v/>
      </c>
      <c r="AE194" s="452" t="str">
        <f t="shared" si="296"/>
        <v/>
      </c>
      <c r="AF194" s="453" t="str">
        <f t="shared" si="296"/>
        <v/>
      </c>
      <c r="AG194" s="451" t="str">
        <f t="shared" si="296"/>
        <v/>
      </c>
      <c r="AH194" s="452" t="str">
        <f t="shared" si="296"/>
        <v/>
      </c>
      <c r="AI194" s="452" t="str">
        <f t="shared" si="296"/>
        <v/>
      </c>
      <c r="AJ194" s="452" t="str">
        <f t="shared" si="296"/>
        <v/>
      </c>
      <c r="AK194" s="453" t="str">
        <f t="shared" si="296"/>
        <v/>
      </c>
      <c r="AL194" s="451" t="str">
        <f t="shared" si="296"/>
        <v/>
      </c>
      <c r="AM194" s="452" t="str">
        <f t="shared" si="296"/>
        <v/>
      </c>
      <c r="AN194" s="452" t="str">
        <f t="shared" si="296"/>
        <v/>
      </c>
      <c r="AO194" s="452" t="str">
        <f t="shared" si="296"/>
        <v/>
      </c>
      <c r="AP194" s="453" t="str">
        <f t="shared" si="296"/>
        <v/>
      </c>
      <c r="AQ194" s="451" t="str">
        <f t="shared" si="296"/>
        <v/>
      </c>
      <c r="AR194" s="452" t="str">
        <f t="shared" si="296"/>
        <v/>
      </c>
      <c r="AS194" s="452" t="str">
        <f t="shared" si="291"/>
        <v/>
      </c>
      <c r="AT194" s="452" t="str">
        <f t="shared" si="291"/>
        <v/>
      </c>
      <c r="AU194" s="453" t="str">
        <f t="shared" si="291"/>
        <v/>
      </c>
      <c r="AV194" s="451" t="str">
        <f t="shared" si="291"/>
        <v/>
      </c>
      <c r="AW194" s="452" t="str">
        <f t="shared" si="291"/>
        <v/>
      </c>
      <c r="AX194" s="452" t="str">
        <f t="shared" si="291"/>
        <v/>
      </c>
      <c r="AY194" s="452" t="str">
        <f t="shared" si="291"/>
        <v/>
      </c>
      <c r="AZ194" s="453" t="str">
        <f t="shared" si="291"/>
        <v/>
      </c>
      <c r="BA194" s="451" t="str">
        <f t="shared" si="291"/>
        <v/>
      </c>
      <c r="BB194" s="452" t="str">
        <f t="shared" si="291"/>
        <v/>
      </c>
      <c r="BC194" s="452" t="str">
        <f t="shared" si="291"/>
        <v/>
      </c>
      <c r="BD194" s="452" t="str">
        <f t="shared" si="291"/>
        <v/>
      </c>
      <c r="BE194" s="453" t="str">
        <f t="shared" si="291"/>
        <v/>
      </c>
      <c r="BF194" s="451" t="str">
        <f t="shared" si="291"/>
        <v/>
      </c>
      <c r="BG194" s="452" t="str">
        <f t="shared" si="291"/>
        <v/>
      </c>
      <c r="BH194" s="452" t="str">
        <f t="shared" si="291"/>
        <v/>
      </c>
      <c r="BI194" s="452" t="str">
        <f t="shared" si="292"/>
        <v/>
      </c>
      <c r="BJ194" s="453" t="str">
        <f t="shared" si="292"/>
        <v/>
      </c>
      <c r="BK194" s="451" t="str">
        <f t="shared" si="292"/>
        <v/>
      </c>
      <c r="BL194" s="452" t="str">
        <f t="shared" si="292"/>
        <v/>
      </c>
      <c r="BM194" s="452" t="str">
        <f t="shared" si="292"/>
        <v/>
      </c>
      <c r="BN194" s="452" t="str">
        <f t="shared" si="292"/>
        <v/>
      </c>
      <c r="BO194" s="453" t="str">
        <f t="shared" si="292"/>
        <v/>
      </c>
      <c r="BP194" s="451" t="str">
        <f t="shared" si="292"/>
        <v/>
      </c>
      <c r="BQ194" s="452" t="str">
        <f t="shared" si="292"/>
        <v/>
      </c>
      <c r="BR194" s="452" t="str">
        <f t="shared" si="292"/>
        <v/>
      </c>
      <c r="BS194" s="452" t="str">
        <f t="shared" si="292"/>
        <v/>
      </c>
      <c r="BT194" s="453" t="str">
        <f t="shared" si="292"/>
        <v/>
      </c>
      <c r="BU194" s="451" t="str">
        <f t="shared" si="292"/>
        <v/>
      </c>
      <c r="BV194" s="452" t="str">
        <f t="shared" si="292"/>
        <v/>
      </c>
      <c r="BW194" s="452" t="str">
        <f t="shared" si="292"/>
        <v/>
      </c>
      <c r="BX194" s="452" t="str">
        <f t="shared" si="292"/>
        <v/>
      </c>
      <c r="BY194" s="453" t="str">
        <f t="shared" si="293"/>
        <v/>
      </c>
      <c r="BZ194" s="451" t="str">
        <f t="shared" si="293"/>
        <v/>
      </c>
      <c r="CA194" s="452" t="str">
        <f t="shared" si="293"/>
        <v/>
      </c>
      <c r="CB194" s="452" t="str">
        <f t="shared" si="293"/>
        <v/>
      </c>
      <c r="CC194" s="452" t="str">
        <f t="shared" si="293"/>
        <v/>
      </c>
      <c r="CD194" s="453" t="str">
        <f t="shared" si="293"/>
        <v/>
      </c>
      <c r="CE194" s="451" t="str">
        <f t="shared" si="293"/>
        <v/>
      </c>
      <c r="CF194" s="452" t="str">
        <f t="shared" si="293"/>
        <v/>
      </c>
      <c r="CG194" s="452" t="str">
        <f t="shared" si="293"/>
        <v/>
      </c>
      <c r="CH194" s="452" t="str">
        <f t="shared" si="293"/>
        <v/>
      </c>
      <c r="CI194" s="453" t="str">
        <f t="shared" si="293"/>
        <v/>
      </c>
      <c r="CJ194" s="451" t="str">
        <f t="shared" si="293"/>
        <v/>
      </c>
      <c r="CK194" s="452" t="str">
        <f t="shared" si="293"/>
        <v/>
      </c>
      <c r="CL194" s="452" t="str">
        <f t="shared" si="293"/>
        <v/>
      </c>
      <c r="CM194" s="452" t="str">
        <f t="shared" si="293"/>
        <v/>
      </c>
      <c r="CN194" s="453" t="str">
        <f t="shared" si="293"/>
        <v/>
      </c>
      <c r="CO194" s="451" t="str">
        <f t="shared" si="294"/>
        <v/>
      </c>
      <c r="CP194" s="452" t="str">
        <f t="shared" si="294"/>
        <v/>
      </c>
      <c r="CQ194" s="452" t="str">
        <f t="shared" si="294"/>
        <v/>
      </c>
      <c r="CR194" s="452" t="str">
        <f t="shared" si="294"/>
        <v/>
      </c>
      <c r="CS194" s="453" t="str">
        <f t="shared" si="294"/>
        <v/>
      </c>
      <c r="CT194" s="451" t="str">
        <f t="shared" si="294"/>
        <v/>
      </c>
      <c r="CU194" s="452" t="str">
        <f t="shared" si="294"/>
        <v/>
      </c>
      <c r="CV194" s="452" t="str">
        <f t="shared" si="294"/>
        <v/>
      </c>
      <c r="CW194" s="452" t="str">
        <f t="shared" si="294"/>
        <v/>
      </c>
      <c r="CX194" s="453" t="str">
        <f t="shared" si="294"/>
        <v/>
      </c>
      <c r="CY194" s="451" t="str">
        <f t="shared" si="294"/>
        <v/>
      </c>
      <c r="CZ194" s="452" t="str">
        <f t="shared" si="294"/>
        <v/>
      </c>
      <c r="DA194" s="452" t="str">
        <f t="shared" si="294"/>
        <v/>
      </c>
      <c r="DB194" s="452" t="str">
        <f t="shared" si="294"/>
        <v/>
      </c>
      <c r="DC194" s="453" t="str">
        <f t="shared" si="294"/>
        <v/>
      </c>
      <c r="DD194" s="451" t="str">
        <f t="shared" si="294"/>
        <v/>
      </c>
      <c r="DE194" s="452" t="str">
        <f t="shared" si="295"/>
        <v/>
      </c>
      <c r="DF194" s="452" t="str">
        <f t="shared" si="295"/>
        <v/>
      </c>
      <c r="DG194" s="452" t="str">
        <f t="shared" si="295"/>
        <v/>
      </c>
      <c r="DH194" s="453" t="str">
        <f t="shared" si="295"/>
        <v/>
      </c>
      <c r="DI194" s="451" t="str">
        <f t="shared" si="295"/>
        <v/>
      </c>
      <c r="DJ194" s="452" t="str">
        <f t="shared" si="295"/>
        <v/>
      </c>
      <c r="DK194" s="452" t="str">
        <f t="shared" si="295"/>
        <v/>
      </c>
      <c r="DL194" s="452" t="str">
        <f t="shared" si="295"/>
        <v/>
      </c>
      <c r="DM194" s="453" t="str">
        <f t="shared" si="295"/>
        <v/>
      </c>
      <c r="DN194" s="451" t="str">
        <f t="shared" si="295"/>
        <v/>
      </c>
      <c r="DO194" s="452" t="str">
        <f t="shared" si="295"/>
        <v/>
      </c>
      <c r="DP194" s="452" t="str">
        <f t="shared" si="295"/>
        <v/>
      </c>
      <c r="DQ194" s="452" t="str">
        <f t="shared" si="295"/>
        <v/>
      </c>
      <c r="DR194" s="453" t="str">
        <f t="shared" si="295"/>
        <v/>
      </c>
      <c r="DS194" s="451" t="str">
        <f t="shared" si="295"/>
        <v/>
      </c>
      <c r="DT194" s="452" t="str">
        <f t="shared" si="295"/>
        <v/>
      </c>
      <c r="DU194" s="452" t="str">
        <f t="shared" si="297"/>
        <v/>
      </c>
      <c r="DV194" s="452" t="str">
        <f t="shared" si="297"/>
        <v/>
      </c>
      <c r="DW194" s="453" t="str">
        <f t="shared" si="297"/>
        <v/>
      </c>
      <c r="DX194" s="451" t="str">
        <f t="shared" si="297"/>
        <v/>
      </c>
      <c r="DY194" s="452" t="str">
        <f t="shared" si="297"/>
        <v/>
      </c>
      <c r="DZ194" s="452" t="str">
        <f t="shared" si="297"/>
        <v/>
      </c>
      <c r="EA194" s="452" t="str">
        <f t="shared" si="297"/>
        <v/>
      </c>
      <c r="EB194" s="453" t="str">
        <f t="shared" si="297"/>
        <v/>
      </c>
      <c r="EC194" s="451" t="str">
        <f t="shared" si="297"/>
        <v/>
      </c>
      <c r="ED194" s="452" t="str">
        <f t="shared" si="297"/>
        <v/>
      </c>
      <c r="EE194" s="452" t="str">
        <f t="shared" si="297"/>
        <v/>
      </c>
      <c r="EF194" s="452" t="str">
        <f t="shared" si="297"/>
        <v/>
      </c>
      <c r="EG194" s="453" t="str">
        <f t="shared" si="297"/>
        <v/>
      </c>
      <c r="EH194" s="451" t="str">
        <f t="shared" si="297"/>
        <v/>
      </c>
      <c r="EI194" s="452" t="str">
        <f t="shared" si="297"/>
        <v/>
      </c>
      <c r="EJ194" s="452" t="str">
        <f t="shared" si="297"/>
        <v/>
      </c>
      <c r="EK194" s="452" t="str">
        <f t="shared" si="277"/>
        <v/>
      </c>
      <c r="EL194" s="453" t="str">
        <f t="shared" si="277"/>
        <v/>
      </c>
      <c r="EM194" s="451" t="str">
        <f t="shared" si="277"/>
        <v/>
      </c>
      <c r="EN194" s="452" t="str">
        <f t="shared" si="277"/>
        <v/>
      </c>
      <c r="EO194" s="452" t="str">
        <f t="shared" si="277"/>
        <v/>
      </c>
      <c r="EP194" s="452" t="str">
        <f t="shared" si="277"/>
        <v/>
      </c>
      <c r="EQ194" s="453" t="str">
        <f t="shared" si="277"/>
        <v/>
      </c>
      <c r="ER194" s="451" t="str">
        <f t="shared" si="277"/>
        <v/>
      </c>
      <c r="ES194" s="452" t="str">
        <f t="shared" si="277"/>
        <v/>
      </c>
      <c r="ET194" s="452" t="str">
        <f t="shared" si="277"/>
        <v/>
      </c>
      <c r="EU194" s="452" t="str">
        <f t="shared" si="277"/>
        <v/>
      </c>
      <c r="EV194" s="453" t="str">
        <f t="shared" si="277"/>
        <v/>
      </c>
      <c r="EW194" s="451" t="str">
        <f t="shared" si="277"/>
        <v/>
      </c>
      <c r="EX194" s="452" t="str">
        <f t="shared" si="277"/>
        <v/>
      </c>
      <c r="EY194" s="452" t="str">
        <f t="shared" si="277"/>
        <v/>
      </c>
      <c r="EZ194" s="452" t="str">
        <f t="shared" si="277"/>
        <v/>
      </c>
      <c r="FA194" s="453" t="str">
        <f t="shared" si="278"/>
        <v/>
      </c>
      <c r="FB194" s="451" t="str">
        <f t="shared" si="278"/>
        <v/>
      </c>
      <c r="FC194" s="452" t="str">
        <f t="shared" si="278"/>
        <v/>
      </c>
      <c r="FD194" s="452" t="str">
        <f t="shared" si="278"/>
        <v/>
      </c>
      <c r="FE194" s="452" t="str">
        <f t="shared" si="278"/>
        <v/>
      </c>
      <c r="FF194" s="453" t="str">
        <f t="shared" si="278"/>
        <v/>
      </c>
      <c r="FG194" s="451" t="str">
        <f t="shared" si="278"/>
        <v/>
      </c>
      <c r="FH194" s="452" t="str">
        <f t="shared" si="278"/>
        <v/>
      </c>
      <c r="FI194" s="452" t="str">
        <f t="shared" si="278"/>
        <v/>
      </c>
      <c r="FJ194" s="452" t="str">
        <f t="shared" si="278"/>
        <v/>
      </c>
      <c r="FK194" s="453" t="str">
        <f t="shared" si="278"/>
        <v/>
      </c>
      <c r="FL194" s="451" t="str">
        <f t="shared" si="278"/>
        <v/>
      </c>
      <c r="FM194" s="452" t="str">
        <f t="shared" si="278"/>
        <v/>
      </c>
      <c r="FN194" s="452" t="str">
        <f t="shared" si="278"/>
        <v/>
      </c>
      <c r="FO194" s="452" t="str">
        <f t="shared" si="278"/>
        <v/>
      </c>
      <c r="FP194" s="453" t="str">
        <f t="shared" si="278"/>
        <v/>
      </c>
      <c r="FQ194" s="451" t="str">
        <f t="shared" si="279"/>
        <v/>
      </c>
      <c r="FR194" s="452" t="str">
        <f t="shared" si="279"/>
        <v/>
      </c>
      <c r="FS194" s="452" t="str">
        <f t="shared" si="279"/>
        <v/>
      </c>
      <c r="FT194" s="452" t="str">
        <f t="shared" si="279"/>
        <v/>
      </c>
      <c r="FU194" s="453" t="str">
        <f t="shared" si="279"/>
        <v/>
      </c>
      <c r="FV194" s="451" t="str">
        <f t="shared" si="279"/>
        <v/>
      </c>
      <c r="FW194" s="452" t="str">
        <f t="shared" si="279"/>
        <v/>
      </c>
      <c r="FX194" s="452" t="str">
        <f t="shared" si="279"/>
        <v/>
      </c>
      <c r="FY194" s="452" t="str">
        <f t="shared" si="279"/>
        <v/>
      </c>
      <c r="FZ194" s="453" t="str">
        <f t="shared" si="279"/>
        <v/>
      </c>
      <c r="GA194" s="451" t="str">
        <f t="shared" si="279"/>
        <v/>
      </c>
      <c r="GB194" s="452" t="str">
        <f t="shared" si="279"/>
        <v/>
      </c>
      <c r="GC194" s="452" t="str">
        <f t="shared" si="279"/>
        <v/>
      </c>
      <c r="GD194" s="452" t="str">
        <f t="shared" si="272"/>
        <v/>
      </c>
      <c r="GE194" s="453" t="str">
        <f t="shared" si="272"/>
        <v/>
      </c>
      <c r="GF194" s="451" t="str">
        <f t="shared" si="272"/>
        <v/>
      </c>
      <c r="GG194" s="452" t="str">
        <f t="shared" si="272"/>
        <v/>
      </c>
      <c r="GH194" s="452" t="str">
        <f t="shared" si="272"/>
        <v/>
      </c>
      <c r="GI194" s="452" t="str">
        <f t="shared" si="272"/>
        <v/>
      </c>
      <c r="GJ194" s="453" t="str">
        <f t="shared" si="272"/>
        <v/>
      </c>
      <c r="GK194" s="451" t="str">
        <f t="shared" si="272"/>
        <v/>
      </c>
      <c r="GL194" s="452" t="str">
        <f t="shared" si="272"/>
        <v/>
      </c>
      <c r="GM194" s="452" t="str">
        <f t="shared" si="272"/>
        <v/>
      </c>
      <c r="GN194" s="452" t="str">
        <f t="shared" si="272"/>
        <v/>
      </c>
      <c r="GO194" s="453" t="str">
        <f t="shared" si="272"/>
        <v/>
      </c>
      <c r="GP194" s="451" t="str">
        <f t="shared" si="272"/>
        <v/>
      </c>
      <c r="GQ194" s="452" t="str">
        <f t="shared" si="272"/>
        <v/>
      </c>
      <c r="GR194" s="452" t="str">
        <f t="shared" si="273"/>
        <v/>
      </c>
      <c r="GS194" s="452" t="str">
        <f t="shared" si="273"/>
        <v/>
      </c>
      <c r="GT194" s="453" t="str">
        <f t="shared" si="273"/>
        <v/>
      </c>
      <c r="GU194" s="451" t="str">
        <f t="shared" si="273"/>
        <v/>
      </c>
      <c r="GV194" s="452" t="str">
        <f t="shared" si="273"/>
        <v/>
      </c>
      <c r="GW194" s="452" t="str">
        <f t="shared" si="273"/>
        <v/>
      </c>
      <c r="GX194" s="452" t="str">
        <f t="shared" si="273"/>
        <v/>
      </c>
      <c r="GY194" s="453" t="str">
        <f t="shared" si="273"/>
        <v/>
      </c>
      <c r="GZ194" s="451" t="str">
        <f t="shared" si="273"/>
        <v/>
      </c>
      <c r="HA194" s="452" t="str">
        <f t="shared" si="273"/>
        <v/>
      </c>
      <c r="HB194" s="452" t="str">
        <f t="shared" si="273"/>
        <v/>
      </c>
      <c r="HC194" s="452" t="str">
        <f t="shared" si="273"/>
        <v/>
      </c>
      <c r="HD194" s="453" t="str">
        <f t="shared" si="273"/>
        <v/>
      </c>
      <c r="HE194" s="451" t="str">
        <f t="shared" si="273"/>
        <v/>
      </c>
      <c r="HF194" s="452" t="str">
        <f t="shared" si="273"/>
        <v/>
      </c>
      <c r="HG194" s="452" t="str">
        <f t="shared" si="273"/>
        <v/>
      </c>
      <c r="HH194" s="452" t="str">
        <f t="shared" si="280"/>
        <v/>
      </c>
      <c r="HI194" s="453" t="str">
        <f t="shared" si="280"/>
        <v/>
      </c>
      <c r="HJ194" s="451" t="str">
        <f t="shared" si="280"/>
        <v/>
      </c>
      <c r="HK194" s="452" t="str">
        <f t="shared" si="280"/>
        <v/>
      </c>
      <c r="HL194" s="452" t="str">
        <f t="shared" si="280"/>
        <v/>
      </c>
      <c r="HM194" s="452" t="str">
        <f t="shared" si="280"/>
        <v/>
      </c>
      <c r="HN194" s="453" t="str">
        <f t="shared" si="280"/>
        <v/>
      </c>
      <c r="HO194" s="451" t="str">
        <f t="shared" si="280"/>
        <v/>
      </c>
      <c r="HP194" s="452" t="str">
        <f t="shared" si="280"/>
        <v/>
      </c>
      <c r="HQ194" s="452" t="str">
        <f t="shared" si="280"/>
        <v/>
      </c>
      <c r="HR194" s="452" t="str">
        <f t="shared" si="280"/>
        <v/>
      </c>
      <c r="HS194" s="453" t="str">
        <f t="shared" si="280"/>
        <v/>
      </c>
      <c r="HT194" s="451" t="str">
        <f t="shared" si="280"/>
        <v/>
      </c>
      <c r="HU194" s="452" t="str">
        <f t="shared" si="280"/>
        <v/>
      </c>
      <c r="HV194" s="452" t="str">
        <f t="shared" si="280"/>
        <v/>
      </c>
      <c r="HW194" s="452" t="str">
        <f t="shared" si="280"/>
        <v/>
      </c>
      <c r="HX194" s="453" t="str">
        <f t="shared" si="281"/>
        <v/>
      </c>
      <c r="HY194" s="451" t="str">
        <f t="shared" si="281"/>
        <v/>
      </c>
      <c r="HZ194" s="452" t="str">
        <f t="shared" si="281"/>
        <v/>
      </c>
      <c r="IA194" s="452" t="str">
        <f t="shared" si="281"/>
        <v/>
      </c>
      <c r="IB194" s="452" t="str">
        <f t="shared" si="281"/>
        <v/>
      </c>
      <c r="IC194" s="453" t="str">
        <f t="shared" si="281"/>
        <v/>
      </c>
      <c r="ID194" s="451" t="str">
        <f t="shared" si="281"/>
        <v/>
      </c>
      <c r="IE194" s="452" t="str">
        <f t="shared" si="281"/>
        <v/>
      </c>
      <c r="IF194" s="452" t="str">
        <f t="shared" si="281"/>
        <v/>
      </c>
      <c r="IG194" s="452" t="str">
        <f t="shared" si="281"/>
        <v/>
      </c>
      <c r="IH194" s="453" t="str">
        <f t="shared" si="281"/>
        <v/>
      </c>
      <c r="II194" s="451" t="str">
        <f t="shared" si="281"/>
        <v/>
      </c>
      <c r="IJ194" s="452" t="str">
        <f t="shared" si="281"/>
        <v/>
      </c>
      <c r="IK194" s="452" t="str">
        <f t="shared" si="281"/>
        <v/>
      </c>
      <c r="IL194" s="452" t="str">
        <f t="shared" si="281"/>
        <v/>
      </c>
      <c r="IM194" s="453" t="str">
        <f t="shared" si="281"/>
        <v/>
      </c>
      <c r="IN194" s="451" t="str">
        <f t="shared" si="281"/>
        <v/>
      </c>
      <c r="IO194" s="452" t="str">
        <f t="shared" si="282"/>
        <v/>
      </c>
      <c r="IP194" s="452" t="str">
        <f t="shared" si="282"/>
        <v/>
      </c>
      <c r="IQ194" s="452" t="str">
        <f t="shared" si="282"/>
        <v/>
      </c>
      <c r="IR194" s="453" t="str">
        <f t="shared" si="282"/>
        <v/>
      </c>
    </row>
    <row r="195" spans="1:252" x14ac:dyDescent="0.2">
      <c r="A195" s="461">
        <v>18.399999999999999</v>
      </c>
      <c r="C195" s="447" t="s">
        <v>1354</v>
      </c>
      <c r="D195" s="447"/>
      <c r="E195" s="448"/>
      <c r="F195" s="448"/>
      <c r="G195" s="448"/>
      <c r="H195" s="448"/>
      <c r="I195" s="448"/>
      <c r="J195" s="449" t="str">
        <f t="shared" si="289"/>
        <v/>
      </c>
      <c r="K195" s="449" t="str">
        <f t="shared" si="290"/>
        <v/>
      </c>
      <c r="L195" s="450">
        <f t="shared" si="285"/>
        <v>0</v>
      </c>
      <c r="M195" s="451" t="str">
        <f t="shared" si="284"/>
        <v/>
      </c>
      <c r="N195" s="452" t="str">
        <f t="shared" si="284"/>
        <v/>
      </c>
      <c r="O195" s="452" t="str">
        <f t="shared" si="284"/>
        <v/>
      </c>
      <c r="P195" s="452" t="str">
        <f t="shared" si="284"/>
        <v/>
      </c>
      <c r="Q195" s="453" t="str">
        <f t="shared" si="284"/>
        <v/>
      </c>
      <c r="R195" s="451" t="str">
        <f t="shared" si="284"/>
        <v/>
      </c>
      <c r="S195" s="452" t="str">
        <f t="shared" si="284"/>
        <v/>
      </c>
      <c r="T195" s="452" t="str">
        <f t="shared" si="284"/>
        <v/>
      </c>
      <c r="U195" s="452" t="str">
        <f t="shared" si="284"/>
        <v/>
      </c>
      <c r="V195" s="453" t="str">
        <f t="shared" si="284"/>
        <v/>
      </c>
      <c r="W195" s="451" t="str">
        <f t="shared" si="284"/>
        <v/>
      </c>
      <c r="X195" s="452" t="str">
        <f t="shared" si="284"/>
        <v/>
      </c>
      <c r="Y195" s="452" t="str">
        <f t="shared" si="284"/>
        <v/>
      </c>
      <c r="Z195" s="452" t="str">
        <f t="shared" si="284"/>
        <v/>
      </c>
      <c r="AA195" s="453" t="str">
        <f t="shared" si="284"/>
        <v/>
      </c>
      <c r="AB195" s="451" t="str">
        <f t="shared" si="284"/>
        <v/>
      </c>
      <c r="AC195" s="452" t="str">
        <f t="shared" si="296"/>
        <v/>
      </c>
      <c r="AD195" s="452" t="str">
        <f t="shared" si="296"/>
        <v/>
      </c>
      <c r="AE195" s="452" t="str">
        <f t="shared" si="296"/>
        <v/>
      </c>
      <c r="AF195" s="453" t="str">
        <f t="shared" si="296"/>
        <v/>
      </c>
      <c r="AG195" s="451" t="str">
        <f t="shared" si="296"/>
        <v/>
      </c>
      <c r="AH195" s="452" t="str">
        <f t="shared" si="296"/>
        <v/>
      </c>
      <c r="AI195" s="452" t="str">
        <f t="shared" si="296"/>
        <v/>
      </c>
      <c r="AJ195" s="452" t="str">
        <f t="shared" si="296"/>
        <v/>
      </c>
      <c r="AK195" s="453" t="str">
        <f t="shared" si="296"/>
        <v/>
      </c>
      <c r="AL195" s="451" t="str">
        <f t="shared" si="296"/>
        <v/>
      </c>
      <c r="AM195" s="452" t="str">
        <f t="shared" si="296"/>
        <v/>
      </c>
      <c r="AN195" s="452" t="str">
        <f t="shared" si="296"/>
        <v/>
      </c>
      <c r="AO195" s="452" t="str">
        <f t="shared" si="296"/>
        <v/>
      </c>
      <c r="AP195" s="453" t="str">
        <f t="shared" si="296"/>
        <v/>
      </c>
      <c r="AQ195" s="451" t="str">
        <f t="shared" si="296"/>
        <v/>
      </c>
      <c r="AR195" s="452" t="str">
        <f t="shared" si="296"/>
        <v/>
      </c>
      <c r="AS195" s="452" t="str">
        <f t="shared" si="291"/>
        <v/>
      </c>
      <c r="AT195" s="452" t="str">
        <f t="shared" si="291"/>
        <v/>
      </c>
      <c r="AU195" s="453" t="str">
        <f t="shared" si="291"/>
        <v/>
      </c>
      <c r="AV195" s="451" t="str">
        <f t="shared" si="291"/>
        <v/>
      </c>
      <c r="AW195" s="452" t="str">
        <f t="shared" si="291"/>
        <v/>
      </c>
      <c r="AX195" s="452" t="str">
        <f t="shared" si="291"/>
        <v/>
      </c>
      <c r="AY195" s="452" t="str">
        <f t="shared" si="291"/>
        <v/>
      </c>
      <c r="AZ195" s="453" t="str">
        <f t="shared" si="291"/>
        <v/>
      </c>
      <c r="BA195" s="451" t="str">
        <f t="shared" si="291"/>
        <v/>
      </c>
      <c r="BB195" s="452" t="str">
        <f t="shared" si="291"/>
        <v/>
      </c>
      <c r="BC195" s="452" t="str">
        <f t="shared" si="291"/>
        <v/>
      </c>
      <c r="BD195" s="452" t="str">
        <f t="shared" si="291"/>
        <v/>
      </c>
      <c r="BE195" s="453" t="str">
        <f t="shared" si="291"/>
        <v/>
      </c>
      <c r="BF195" s="451" t="str">
        <f t="shared" si="291"/>
        <v/>
      </c>
      <c r="BG195" s="452" t="str">
        <f t="shared" si="291"/>
        <v/>
      </c>
      <c r="BH195" s="452" t="str">
        <f t="shared" si="291"/>
        <v/>
      </c>
      <c r="BI195" s="452" t="str">
        <f t="shared" si="292"/>
        <v/>
      </c>
      <c r="BJ195" s="453" t="str">
        <f t="shared" si="292"/>
        <v/>
      </c>
      <c r="BK195" s="451" t="str">
        <f t="shared" si="292"/>
        <v/>
      </c>
      <c r="BL195" s="452" t="str">
        <f t="shared" si="292"/>
        <v/>
      </c>
      <c r="BM195" s="452" t="str">
        <f t="shared" si="292"/>
        <v/>
      </c>
      <c r="BN195" s="452" t="str">
        <f t="shared" si="292"/>
        <v/>
      </c>
      <c r="BO195" s="453" t="str">
        <f t="shared" si="292"/>
        <v/>
      </c>
      <c r="BP195" s="451" t="str">
        <f t="shared" si="292"/>
        <v/>
      </c>
      <c r="BQ195" s="452" t="str">
        <f t="shared" si="292"/>
        <v/>
      </c>
      <c r="BR195" s="452" t="str">
        <f t="shared" si="292"/>
        <v/>
      </c>
      <c r="BS195" s="452" t="str">
        <f t="shared" si="292"/>
        <v/>
      </c>
      <c r="BT195" s="453" t="str">
        <f t="shared" si="292"/>
        <v/>
      </c>
      <c r="BU195" s="451" t="str">
        <f t="shared" si="292"/>
        <v/>
      </c>
      <c r="BV195" s="452" t="str">
        <f t="shared" si="292"/>
        <v/>
      </c>
      <c r="BW195" s="452" t="str">
        <f t="shared" si="292"/>
        <v/>
      </c>
      <c r="BX195" s="452" t="str">
        <f t="shared" si="292"/>
        <v/>
      </c>
      <c r="BY195" s="453" t="str">
        <f t="shared" si="293"/>
        <v/>
      </c>
      <c r="BZ195" s="451" t="str">
        <f t="shared" si="293"/>
        <v/>
      </c>
      <c r="CA195" s="452" t="str">
        <f t="shared" si="293"/>
        <v/>
      </c>
      <c r="CB195" s="452" t="str">
        <f t="shared" si="293"/>
        <v/>
      </c>
      <c r="CC195" s="452" t="str">
        <f t="shared" si="293"/>
        <v/>
      </c>
      <c r="CD195" s="453" t="str">
        <f t="shared" si="293"/>
        <v/>
      </c>
      <c r="CE195" s="451" t="str">
        <f t="shared" si="293"/>
        <v/>
      </c>
      <c r="CF195" s="452" t="str">
        <f t="shared" si="293"/>
        <v/>
      </c>
      <c r="CG195" s="452" t="str">
        <f t="shared" si="293"/>
        <v/>
      </c>
      <c r="CH195" s="452" t="str">
        <f t="shared" si="293"/>
        <v/>
      </c>
      <c r="CI195" s="453" t="str">
        <f t="shared" si="293"/>
        <v/>
      </c>
      <c r="CJ195" s="451" t="str">
        <f t="shared" si="293"/>
        <v/>
      </c>
      <c r="CK195" s="452" t="str">
        <f t="shared" si="293"/>
        <v/>
      </c>
      <c r="CL195" s="452" t="str">
        <f t="shared" si="293"/>
        <v/>
      </c>
      <c r="CM195" s="452" t="str">
        <f t="shared" si="293"/>
        <v/>
      </c>
      <c r="CN195" s="453" t="str">
        <f t="shared" si="293"/>
        <v/>
      </c>
      <c r="CO195" s="451" t="str">
        <f t="shared" si="294"/>
        <v/>
      </c>
      <c r="CP195" s="452" t="str">
        <f t="shared" si="294"/>
        <v/>
      </c>
      <c r="CQ195" s="452" t="str">
        <f t="shared" si="294"/>
        <v/>
      </c>
      <c r="CR195" s="452" t="str">
        <f t="shared" si="294"/>
        <v/>
      </c>
      <c r="CS195" s="453" t="str">
        <f t="shared" si="294"/>
        <v/>
      </c>
      <c r="CT195" s="451" t="str">
        <f t="shared" si="294"/>
        <v/>
      </c>
      <c r="CU195" s="452" t="str">
        <f t="shared" si="294"/>
        <v/>
      </c>
      <c r="CV195" s="452" t="str">
        <f t="shared" si="294"/>
        <v/>
      </c>
      <c r="CW195" s="452" t="str">
        <f t="shared" si="294"/>
        <v/>
      </c>
      <c r="CX195" s="453" t="str">
        <f t="shared" si="294"/>
        <v/>
      </c>
      <c r="CY195" s="451" t="str">
        <f t="shared" si="294"/>
        <v/>
      </c>
      <c r="CZ195" s="452" t="str">
        <f t="shared" si="294"/>
        <v/>
      </c>
      <c r="DA195" s="452" t="str">
        <f t="shared" si="294"/>
        <v/>
      </c>
      <c r="DB195" s="452" t="str">
        <f t="shared" si="294"/>
        <v/>
      </c>
      <c r="DC195" s="453" t="str">
        <f t="shared" si="294"/>
        <v/>
      </c>
      <c r="DD195" s="451" t="str">
        <f t="shared" si="294"/>
        <v/>
      </c>
      <c r="DE195" s="452" t="str">
        <f t="shared" si="295"/>
        <v/>
      </c>
      <c r="DF195" s="452" t="str">
        <f t="shared" si="295"/>
        <v/>
      </c>
      <c r="DG195" s="452" t="str">
        <f t="shared" si="295"/>
        <v/>
      </c>
      <c r="DH195" s="453" t="str">
        <f t="shared" si="295"/>
        <v/>
      </c>
      <c r="DI195" s="451" t="str">
        <f t="shared" si="295"/>
        <v/>
      </c>
      <c r="DJ195" s="452" t="str">
        <f t="shared" si="295"/>
        <v/>
      </c>
      <c r="DK195" s="452" t="str">
        <f t="shared" si="295"/>
        <v/>
      </c>
      <c r="DL195" s="452" t="str">
        <f t="shared" si="295"/>
        <v/>
      </c>
      <c r="DM195" s="453" t="str">
        <f t="shared" si="295"/>
        <v/>
      </c>
      <c r="DN195" s="451" t="str">
        <f t="shared" si="295"/>
        <v/>
      </c>
      <c r="DO195" s="452" t="str">
        <f t="shared" si="295"/>
        <v/>
      </c>
      <c r="DP195" s="452" t="str">
        <f t="shared" si="295"/>
        <v/>
      </c>
      <c r="DQ195" s="452" t="str">
        <f t="shared" si="295"/>
        <v/>
      </c>
      <c r="DR195" s="453" t="str">
        <f t="shared" si="295"/>
        <v/>
      </c>
      <c r="DS195" s="451" t="str">
        <f t="shared" si="295"/>
        <v/>
      </c>
      <c r="DT195" s="452" t="str">
        <f t="shared" si="295"/>
        <v/>
      </c>
      <c r="DU195" s="452" t="str">
        <f t="shared" si="297"/>
        <v/>
      </c>
      <c r="DV195" s="452" t="str">
        <f t="shared" si="297"/>
        <v/>
      </c>
      <c r="DW195" s="453" t="str">
        <f t="shared" si="297"/>
        <v/>
      </c>
      <c r="DX195" s="451" t="str">
        <f t="shared" si="297"/>
        <v/>
      </c>
      <c r="DY195" s="452" t="str">
        <f t="shared" si="297"/>
        <v/>
      </c>
      <c r="DZ195" s="452" t="str">
        <f t="shared" si="297"/>
        <v/>
      </c>
      <c r="EA195" s="452" t="str">
        <f t="shared" si="297"/>
        <v/>
      </c>
      <c r="EB195" s="453" t="str">
        <f t="shared" si="297"/>
        <v/>
      </c>
      <c r="EC195" s="451" t="str">
        <f t="shared" si="297"/>
        <v/>
      </c>
      <c r="ED195" s="452" t="str">
        <f t="shared" si="297"/>
        <v/>
      </c>
      <c r="EE195" s="452" t="str">
        <f t="shared" si="297"/>
        <v/>
      </c>
      <c r="EF195" s="452" t="str">
        <f t="shared" si="297"/>
        <v/>
      </c>
      <c r="EG195" s="453" t="str">
        <f t="shared" si="297"/>
        <v/>
      </c>
      <c r="EH195" s="451" t="str">
        <f t="shared" si="297"/>
        <v/>
      </c>
      <c r="EI195" s="452" t="str">
        <f t="shared" si="297"/>
        <v/>
      </c>
      <c r="EJ195" s="452" t="str">
        <f t="shared" si="297"/>
        <v/>
      </c>
      <c r="EK195" s="452" t="str">
        <f t="shared" si="277"/>
        <v/>
      </c>
      <c r="EL195" s="453" t="str">
        <f t="shared" si="277"/>
        <v/>
      </c>
      <c r="EM195" s="451" t="str">
        <f t="shared" si="277"/>
        <v/>
      </c>
      <c r="EN195" s="452" t="str">
        <f t="shared" si="277"/>
        <v/>
      </c>
      <c r="EO195" s="452" t="str">
        <f t="shared" si="277"/>
        <v/>
      </c>
      <c r="EP195" s="452" t="str">
        <f t="shared" si="277"/>
        <v/>
      </c>
      <c r="EQ195" s="453" t="str">
        <f t="shared" si="277"/>
        <v/>
      </c>
      <c r="ER195" s="451" t="str">
        <f t="shared" si="277"/>
        <v/>
      </c>
      <c r="ES195" s="452" t="str">
        <f t="shared" si="277"/>
        <v/>
      </c>
      <c r="ET195" s="452" t="str">
        <f t="shared" si="277"/>
        <v/>
      </c>
      <c r="EU195" s="452" t="str">
        <f t="shared" si="277"/>
        <v/>
      </c>
      <c r="EV195" s="453" t="str">
        <f t="shared" si="277"/>
        <v/>
      </c>
      <c r="EW195" s="451" t="str">
        <f t="shared" si="277"/>
        <v/>
      </c>
      <c r="EX195" s="452" t="str">
        <f t="shared" si="277"/>
        <v/>
      </c>
      <c r="EY195" s="452" t="str">
        <f t="shared" si="277"/>
        <v/>
      </c>
      <c r="EZ195" s="452" t="str">
        <f t="shared" si="277"/>
        <v/>
      </c>
      <c r="FA195" s="453" t="str">
        <f t="shared" si="278"/>
        <v/>
      </c>
      <c r="FB195" s="451" t="str">
        <f t="shared" si="278"/>
        <v/>
      </c>
      <c r="FC195" s="452" t="str">
        <f t="shared" si="278"/>
        <v/>
      </c>
      <c r="FD195" s="452" t="str">
        <f t="shared" si="278"/>
        <v/>
      </c>
      <c r="FE195" s="452" t="str">
        <f t="shared" si="278"/>
        <v/>
      </c>
      <c r="FF195" s="453" t="str">
        <f t="shared" si="278"/>
        <v/>
      </c>
      <c r="FG195" s="451" t="str">
        <f t="shared" si="278"/>
        <v/>
      </c>
      <c r="FH195" s="452" t="str">
        <f t="shared" si="278"/>
        <v/>
      </c>
      <c r="FI195" s="452" t="str">
        <f t="shared" si="278"/>
        <v/>
      </c>
      <c r="FJ195" s="452" t="str">
        <f t="shared" si="278"/>
        <v/>
      </c>
      <c r="FK195" s="453" t="str">
        <f t="shared" si="278"/>
        <v/>
      </c>
      <c r="FL195" s="451" t="str">
        <f t="shared" si="278"/>
        <v/>
      </c>
      <c r="FM195" s="452" t="str">
        <f t="shared" si="278"/>
        <v/>
      </c>
      <c r="FN195" s="452" t="str">
        <f t="shared" si="278"/>
        <v/>
      </c>
      <c r="FO195" s="452" t="str">
        <f t="shared" si="278"/>
        <v/>
      </c>
      <c r="FP195" s="453" t="str">
        <f t="shared" si="278"/>
        <v/>
      </c>
      <c r="FQ195" s="451" t="str">
        <f t="shared" si="279"/>
        <v/>
      </c>
      <c r="FR195" s="452" t="str">
        <f t="shared" si="279"/>
        <v/>
      </c>
      <c r="FS195" s="452" t="str">
        <f t="shared" si="279"/>
        <v/>
      </c>
      <c r="FT195" s="452" t="str">
        <f t="shared" si="279"/>
        <v/>
      </c>
      <c r="FU195" s="453" t="str">
        <f t="shared" si="279"/>
        <v/>
      </c>
      <c r="FV195" s="451" t="str">
        <f t="shared" si="279"/>
        <v/>
      </c>
      <c r="FW195" s="452" t="str">
        <f t="shared" si="279"/>
        <v/>
      </c>
      <c r="FX195" s="452" t="str">
        <f t="shared" si="279"/>
        <v/>
      </c>
      <c r="FY195" s="452" t="str">
        <f t="shared" si="279"/>
        <v/>
      </c>
      <c r="FZ195" s="453" t="str">
        <f t="shared" si="279"/>
        <v/>
      </c>
      <c r="GA195" s="451" t="str">
        <f t="shared" si="279"/>
        <v/>
      </c>
      <c r="GB195" s="452" t="str">
        <f t="shared" si="279"/>
        <v/>
      </c>
      <c r="GC195" s="452" t="str">
        <f t="shared" si="279"/>
        <v/>
      </c>
      <c r="GD195" s="452" t="str">
        <f t="shared" si="272"/>
        <v/>
      </c>
      <c r="GE195" s="453" t="str">
        <f t="shared" si="272"/>
        <v/>
      </c>
      <c r="GF195" s="451" t="str">
        <f t="shared" si="272"/>
        <v/>
      </c>
      <c r="GG195" s="452" t="str">
        <f t="shared" si="272"/>
        <v/>
      </c>
      <c r="GH195" s="452" t="str">
        <f t="shared" si="272"/>
        <v/>
      </c>
      <c r="GI195" s="452" t="str">
        <f t="shared" si="272"/>
        <v/>
      </c>
      <c r="GJ195" s="453" t="str">
        <f t="shared" si="272"/>
        <v/>
      </c>
      <c r="GK195" s="451" t="str">
        <f t="shared" si="272"/>
        <v/>
      </c>
      <c r="GL195" s="452" t="str">
        <f t="shared" si="272"/>
        <v/>
      </c>
      <c r="GM195" s="452" t="str">
        <f t="shared" si="272"/>
        <v/>
      </c>
      <c r="GN195" s="452" t="str">
        <f t="shared" si="272"/>
        <v/>
      </c>
      <c r="GO195" s="453" t="str">
        <f t="shared" si="272"/>
        <v/>
      </c>
      <c r="GP195" s="451" t="str">
        <f t="shared" si="272"/>
        <v/>
      </c>
      <c r="GQ195" s="452" t="str">
        <f t="shared" si="272"/>
        <v/>
      </c>
      <c r="GR195" s="452" t="str">
        <f t="shared" si="273"/>
        <v/>
      </c>
      <c r="GS195" s="452" t="str">
        <f t="shared" si="273"/>
        <v/>
      </c>
      <c r="GT195" s="453" t="str">
        <f t="shared" si="273"/>
        <v/>
      </c>
      <c r="GU195" s="451" t="str">
        <f t="shared" si="273"/>
        <v/>
      </c>
      <c r="GV195" s="452" t="str">
        <f t="shared" si="273"/>
        <v/>
      </c>
      <c r="GW195" s="452" t="str">
        <f t="shared" si="273"/>
        <v/>
      </c>
      <c r="GX195" s="452" t="str">
        <f t="shared" si="273"/>
        <v/>
      </c>
      <c r="GY195" s="453" t="str">
        <f t="shared" si="273"/>
        <v/>
      </c>
      <c r="GZ195" s="451" t="str">
        <f t="shared" si="273"/>
        <v/>
      </c>
      <c r="HA195" s="452" t="str">
        <f t="shared" si="273"/>
        <v/>
      </c>
      <c r="HB195" s="452" t="str">
        <f t="shared" si="273"/>
        <v/>
      </c>
      <c r="HC195" s="452" t="str">
        <f t="shared" si="273"/>
        <v/>
      </c>
      <c r="HD195" s="453" t="str">
        <f t="shared" si="273"/>
        <v/>
      </c>
      <c r="HE195" s="451" t="str">
        <f t="shared" si="273"/>
        <v/>
      </c>
      <c r="HF195" s="452" t="str">
        <f t="shared" si="273"/>
        <v/>
      </c>
      <c r="HG195" s="452" t="str">
        <f t="shared" si="273"/>
        <v/>
      </c>
      <c r="HH195" s="452" t="str">
        <f t="shared" si="280"/>
        <v/>
      </c>
      <c r="HI195" s="453" t="str">
        <f t="shared" si="280"/>
        <v/>
      </c>
      <c r="HJ195" s="451" t="str">
        <f t="shared" si="280"/>
        <v/>
      </c>
      <c r="HK195" s="452" t="str">
        <f t="shared" si="280"/>
        <v/>
      </c>
      <c r="HL195" s="452" t="str">
        <f t="shared" si="280"/>
        <v/>
      </c>
      <c r="HM195" s="452" t="str">
        <f t="shared" si="280"/>
        <v/>
      </c>
      <c r="HN195" s="453" t="str">
        <f t="shared" si="280"/>
        <v/>
      </c>
      <c r="HO195" s="451" t="str">
        <f t="shared" si="280"/>
        <v/>
      </c>
      <c r="HP195" s="452" t="str">
        <f t="shared" si="280"/>
        <v/>
      </c>
      <c r="HQ195" s="452" t="str">
        <f t="shared" si="280"/>
        <v/>
      </c>
      <c r="HR195" s="452" t="str">
        <f t="shared" si="280"/>
        <v/>
      </c>
      <c r="HS195" s="453" t="str">
        <f t="shared" si="280"/>
        <v/>
      </c>
      <c r="HT195" s="451" t="str">
        <f t="shared" si="280"/>
        <v/>
      </c>
      <c r="HU195" s="452" t="str">
        <f t="shared" si="280"/>
        <v/>
      </c>
      <c r="HV195" s="452" t="str">
        <f t="shared" si="280"/>
        <v/>
      </c>
      <c r="HW195" s="452" t="str">
        <f t="shared" si="280"/>
        <v/>
      </c>
      <c r="HX195" s="453" t="str">
        <f t="shared" si="281"/>
        <v/>
      </c>
      <c r="HY195" s="451" t="str">
        <f t="shared" si="281"/>
        <v/>
      </c>
      <c r="HZ195" s="452" t="str">
        <f t="shared" si="281"/>
        <v/>
      </c>
      <c r="IA195" s="452" t="str">
        <f t="shared" si="281"/>
        <v/>
      </c>
      <c r="IB195" s="452" t="str">
        <f t="shared" si="281"/>
        <v/>
      </c>
      <c r="IC195" s="453" t="str">
        <f t="shared" si="281"/>
        <v/>
      </c>
      <c r="ID195" s="451" t="str">
        <f t="shared" si="281"/>
        <v/>
      </c>
      <c r="IE195" s="452" t="str">
        <f t="shared" si="281"/>
        <v/>
      </c>
      <c r="IF195" s="452" t="str">
        <f t="shared" si="281"/>
        <v/>
      </c>
      <c r="IG195" s="452" t="str">
        <f t="shared" si="281"/>
        <v/>
      </c>
      <c r="IH195" s="453" t="str">
        <f t="shared" si="281"/>
        <v/>
      </c>
      <c r="II195" s="451" t="str">
        <f t="shared" si="281"/>
        <v/>
      </c>
      <c r="IJ195" s="452" t="str">
        <f t="shared" si="281"/>
        <v/>
      </c>
      <c r="IK195" s="452" t="str">
        <f t="shared" si="281"/>
        <v/>
      </c>
      <c r="IL195" s="452" t="str">
        <f t="shared" si="281"/>
        <v/>
      </c>
      <c r="IM195" s="453" t="str">
        <f t="shared" si="281"/>
        <v/>
      </c>
      <c r="IN195" s="451" t="str">
        <f t="shared" si="281"/>
        <v/>
      </c>
      <c r="IO195" s="452" t="str">
        <f t="shared" si="282"/>
        <v/>
      </c>
      <c r="IP195" s="452" t="str">
        <f t="shared" si="282"/>
        <v/>
      </c>
      <c r="IQ195" s="452" t="str">
        <f t="shared" si="282"/>
        <v/>
      </c>
      <c r="IR195" s="453" t="str">
        <f t="shared" si="282"/>
        <v/>
      </c>
    </row>
    <row r="196" spans="1:252" x14ac:dyDescent="0.2">
      <c r="A196" s="461">
        <v>18.5</v>
      </c>
      <c r="C196" s="447" t="s">
        <v>1355</v>
      </c>
      <c r="D196" s="447"/>
      <c r="E196" s="448"/>
      <c r="F196" s="448"/>
      <c r="G196" s="448"/>
      <c r="H196" s="448"/>
      <c r="I196" s="448"/>
      <c r="J196" s="449" t="str">
        <f t="shared" si="289"/>
        <v/>
      </c>
      <c r="K196" s="449" t="str">
        <f t="shared" si="290"/>
        <v/>
      </c>
      <c r="L196" s="450">
        <f t="shared" si="285"/>
        <v>0</v>
      </c>
      <c r="M196" s="451" t="str">
        <f t="shared" si="284"/>
        <v/>
      </c>
      <c r="N196" s="452" t="str">
        <f t="shared" si="284"/>
        <v/>
      </c>
      <c r="O196" s="452" t="str">
        <f t="shared" si="284"/>
        <v/>
      </c>
      <c r="P196" s="452" t="str">
        <f t="shared" si="284"/>
        <v/>
      </c>
      <c r="Q196" s="453" t="str">
        <f t="shared" si="284"/>
        <v/>
      </c>
      <c r="R196" s="451" t="str">
        <f t="shared" si="284"/>
        <v/>
      </c>
      <c r="S196" s="452" t="str">
        <f t="shared" si="284"/>
        <v/>
      </c>
      <c r="T196" s="452" t="str">
        <f t="shared" si="284"/>
        <v/>
      </c>
      <c r="U196" s="452" t="str">
        <f t="shared" si="284"/>
        <v/>
      </c>
      <c r="V196" s="453" t="str">
        <f t="shared" si="284"/>
        <v/>
      </c>
      <c r="W196" s="451" t="str">
        <f t="shared" si="284"/>
        <v/>
      </c>
      <c r="X196" s="452" t="str">
        <f t="shared" si="284"/>
        <v/>
      </c>
      <c r="Y196" s="452" t="str">
        <f t="shared" si="284"/>
        <v/>
      </c>
      <c r="Z196" s="452" t="str">
        <f t="shared" si="284"/>
        <v/>
      </c>
      <c r="AA196" s="453" t="str">
        <f t="shared" si="284"/>
        <v/>
      </c>
      <c r="AB196" s="451" t="str">
        <f t="shared" si="284"/>
        <v/>
      </c>
      <c r="AC196" s="452" t="str">
        <f t="shared" si="296"/>
        <v/>
      </c>
      <c r="AD196" s="452" t="str">
        <f t="shared" si="296"/>
        <v/>
      </c>
      <c r="AE196" s="452" t="str">
        <f t="shared" si="296"/>
        <v/>
      </c>
      <c r="AF196" s="453" t="str">
        <f t="shared" si="296"/>
        <v/>
      </c>
      <c r="AG196" s="451" t="str">
        <f t="shared" si="296"/>
        <v/>
      </c>
      <c r="AH196" s="452" t="str">
        <f t="shared" si="296"/>
        <v/>
      </c>
      <c r="AI196" s="452" t="str">
        <f t="shared" si="296"/>
        <v/>
      </c>
      <c r="AJ196" s="452" t="str">
        <f t="shared" si="296"/>
        <v/>
      </c>
      <c r="AK196" s="453" t="str">
        <f t="shared" si="296"/>
        <v/>
      </c>
      <c r="AL196" s="451" t="str">
        <f t="shared" si="296"/>
        <v/>
      </c>
      <c r="AM196" s="452" t="str">
        <f t="shared" si="296"/>
        <v/>
      </c>
      <c r="AN196" s="452" t="str">
        <f t="shared" si="296"/>
        <v/>
      </c>
      <c r="AO196" s="452" t="str">
        <f t="shared" si="296"/>
        <v/>
      </c>
      <c r="AP196" s="453" t="str">
        <f t="shared" si="296"/>
        <v/>
      </c>
      <c r="AQ196" s="451" t="str">
        <f t="shared" si="296"/>
        <v/>
      </c>
      <c r="AR196" s="452" t="str">
        <f t="shared" si="296"/>
        <v/>
      </c>
      <c r="AS196" s="452" t="str">
        <f t="shared" si="291"/>
        <v/>
      </c>
      <c r="AT196" s="452" t="str">
        <f t="shared" si="291"/>
        <v/>
      </c>
      <c r="AU196" s="453" t="str">
        <f t="shared" si="291"/>
        <v/>
      </c>
      <c r="AV196" s="451" t="str">
        <f t="shared" si="291"/>
        <v/>
      </c>
      <c r="AW196" s="452" t="str">
        <f t="shared" si="291"/>
        <v/>
      </c>
      <c r="AX196" s="452" t="str">
        <f t="shared" si="291"/>
        <v/>
      </c>
      <c r="AY196" s="452" t="str">
        <f t="shared" si="291"/>
        <v/>
      </c>
      <c r="AZ196" s="453" t="str">
        <f t="shared" si="291"/>
        <v/>
      </c>
      <c r="BA196" s="451" t="str">
        <f t="shared" si="291"/>
        <v/>
      </c>
      <c r="BB196" s="452" t="str">
        <f t="shared" si="291"/>
        <v/>
      </c>
      <c r="BC196" s="452" t="str">
        <f t="shared" si="291"/>
        <v/>
      </c>
      <c r="BD196" s="452" t="str">
        <f t="shared" si="291"/>
        <v/>
      </c>
      <c r="BE196" s="453" t="str">
        <f t="shared" si="291"/>
        <v/>
      </c>
      <c r="BF196" s="451" t="str">
        <f t="shared" si="291"/>
        <v/>
      </c>
      <c r="BG196" s="452" t="str">
        <f t="shared" si="291"/>
        <v/>
      </c>
      <c r="BH196" s="452" t="str">
        <f t="shared" si="291"/>
        <v/>
      </c>
      <c r="BI196" s="452" t="str">
        <f t="shared" si="292"/>
        <v/>
      </c>
      <c r="BJ196" s="453" t="str">
        <f t="shared" si="292"/>
        <v/>
      </c>
      <c r="BK196" s="451" t="str">
        <f t="shared" si="292"/>
        <v/>
      </c>
      <c r="BL196" s="452" t="str">
        <f t="shared" si="292"/>
        <v/>
      </c>
      <c r="BM196" s="452" t="str">
        <f t="shared" si="292"/>
        <v/>
      </c>
      <c r="BN196" s="452" t="str">
        <f t="shared" si="292"/>
        <v/>
      </c>
      <c r="BO196" s="453" t="str">
        <f t="shared" si="292"/>
        <v/>
      </c>
      <c r="BP196" s="451" t="str">
        <f t="shared" si="292"/>
        <v/>
      </c>
      <c r="BQ196" s="452" t="str">
        <f t="shared" si="292"/>
        <v/>
      </c>
      <c r="BR196" s="452" t="str">
        <f t="shared" si="292"/>
        <v/>
      </c>
      <c r="BS196" s="452" t="str">
        <f t="shared" si="292"/>
        <v/>
      </c>
      <c r="BT196" s="453" t="str">
        <f t="shared" si="292"/>
        <v/>
      </c>
      <c r="BU196" s="451" t="str">
        <f t="shared" si="292"/>
        <v/>
      </c>
      <c r="BV196" s="452" t="str">
        <f t="shared" si="292"/>
        <v/>
      </c>
      <c r="BW196" s="452" t="str">
        <f t="shared" si="292"/>
        <v/>
      </c>
      <c r="BX196" s="452" t="str">
        <f t="shared" si="292"/>
        <v/>
      </c>
      <c r="BY196" s="453" t="str">
        <f t="shared" si="293"/>
        <v/>
      </c>
      <c r="BZ196" s="451" t="str">
        <f t="shared" si="293"/>
        <v/>
      </c>
      <c r="CA196" s="452" t="str">
        <f t="shared" si="293"/>
        <v/>
      </c>
      <c r="CB196" s="452" t="str">
        <f t="shared" si="293"/>
        <v/>
      </c>
      <c r="CC196" s="452" t="str">
        <f t="shared" si="293"/>
        <v/>
      </c>
      <c r="CD196" s="453" t="str">
        <f t="shared" si="293"/>
        <v/>
      </c>
      <c r="CE196" s="451" t="str">
        <f t="shared" si="293"/>
        <v/>
      </c>
      <c r="CF196" s="452" t="str">
        <f t="shared" si="293"/>
        <v/>
      </c>
      <c r="CG196" s="452" t="str">
        <f t="shared" si="293"/>
        <v/>
      </c>
      <c r="CH196" s="452" t="str">
        <f t="shared" si="293"/>
        <v/>
      </c>
      <c r="CI196" s="453" t="str">
        <f t="shared" si="293"/>
        <v/>
      </c>
      <c r="CJ196" s="451" t="str">
        <f t="shared" si="293"/>
        <v/>
      </c>
      <c r="CK196" s="452" t="str">
        <f t="shared" si="293"/>
        <v/>
      </c>
      <c r="CL196" s="452" t="str">
        <f t="shared" si="293"/>
        <v/>
      </c>
      <c r="CM196" s="452" t="str">
        <f t="shared" si="293"/>
        <v/>
      </c>
      <c r="CN196" s="453" t="str">
        <f t="shared" si="293"/>
        <v/>
      </c>
      <c r="CO196" s="451" t="str">
        <f t="shared" si="294"/>
        <v/>
      </c>
      <c r="CP196" s="452" t="str">
        <f t="shared" si="294"/>
        <v/>
      </c>
      <c r="CQ196" s="452" t="str">
        <f t="shared" si="294"/>
        <v/>
      </c>
      <c r="CR196" s="452" t="str">
        <f t="shared" si="294"/>
        <v/>
      </c>
      <c r="CS196" s="453" t="str">
        <f t="shared" si="294"/>
        <v/>
      </c>
      <c r="CT196" s="451" t="str">
        <f t="shared" si="294"/>
        <v/>
      </c>
      <c r="CU196" s="452" t="str">
        <f t="shared" si="294"/>
        <v/>
      </c>
      <c r="CV196" s="452" t="str">
        <f t="shared" si="294"/>
        <v/>
      </c>
      <c r="CW196" s="452" t="str">
        <f t="shared" si="294"/>
        <v/>
      </c>
      <c r="CX196" s="453" t="str">
        <f t="shared" si="294"/>
        <v/>
      </c>
      <c r="CY196" s="451" t="str">
        <f t="shared" si="294"/>
        <v/>
      </c>
      <c r="CZ196" s="452" t="str">
        <f t="shared" si="294"/>
        <v/>
      </c>
      <c r="DA196" s="452" t="str">
        <f t="shared" si="294"/>
        <v/>
      </c>
      <c r="DB196" s="452" t="str">
        <f t="shared" si="294"/>
        <v/>
      </c>
      <c r="DC196" s="453" t="str">
        <f t="shared" si="294"/>
        <v/>
      </c>
      <c r="DD196" s="451" t="str">
        <f t="shared" si="294"/>
        <v/>
      </c>
      <c r="DE196" s="452" t="str">
        <f t="shared" si="295"/>
        <v/>
      </c>
      <c r="DF196" s="452" t="str">
        <f t="shared" si="295"/>
        <v/>
      </c>
      <c r="DG196" s="452" t="str">
        <f t="shared" si="295"/>
        <v/>
      </c>
      <c r="DH196" s="453" t="str">
        <f t="shared" si="295"/>
        <v/>
      </c>
      <c r="DI196" s="451" t="str">
        <f t="shared" si="295"/>
        <v/>
      </c>
      <c r="DJ196" s="452" t="str">
        <f t="shared" si="295"/>
        <v/>
      </c>
      <c r="DK196" s="452" t="str">
        <f t="shared" si="295"/>
        <v/>
      </c>
      <c r="DL196" s="452" t="str">
        <f t="shared" si="295"/>
        <v/>
      </c>
      <c r="DM196" s="453" t="str">
        <f t="shared" si="295"/>
        <v/>
      </c>
      <c r="DN196" s="451" t="str">
        <f t="shared" si="295"/>
        <v/>
      </c>
      <c r="DO196" s="452" t="str">
        <f t="shared" si="295"/>
        <v/>
      </c>
      <c r="DP196" s="452" t="str">
        <f t="shared" si="295"/>
        <v/>
      </c>
      <c r="DQ196" s="452" t="str">
        <f t="shared" si="295"/>
        <v/>
      </c>
      <c r="DR196" s="453" t="str">
        <f t="shared" si="295"/>
        <v/>
      </c>
      <c r="DS196" s="451" t="str">
        <f t="shared" si="295"/>
        <v/>
      </c>
      <c r="DT196" s="452" t="str">
        <f t="shared" si="295"/>
        <v/>
      </c>
      <c r="DU196" s="452" t="str">
        <f t="shared" si="297"/>
        <v/>
      </c>
      <c r="DV196" s="452" t="str">
        <f t="shared" si="297"/>
        <v/>
      </c>
      <c r="DW196" s="453" t="str">
        <f t="shared" si="297"/>
        <v/>
      </c>
      <c r="DX196" s="451" t="str">
        <f t="shared" si="297"/>
        <v/>
      </c>
      <c r="DY196" s="452" t="str">
        <f t="shared" si="297"/>
        <v/>
      </c>
      <c r="DZ196" s="452" t="str">
        <f t="shared" si="297"/>
        <v/>
      </c>
      <c r="EA196" s="452" t="str">
        <f t="shared" si="297"/>
        <v/>
      </c>
      <c r="EB196" s="453" t="str">
        <f t="shared" si="297"/>
        <v/>
      </c>
      <c r="EC196" s="451" t="str">
        <f t="shared" si="297"/>
        <v/>
      </c>
      <c r="ED196" s="452" t="str">
        <f t="shared" si="297"/>
        <v/>
      </c>
      <c r="EE196" s="452" t="str">
        <f t="shared" si="297"/>
        <v/>
      </c>
      <c r="EF196" s="452" t="str">
        <f t="shared" si="297"/>
        <v/>
      </c>
      <c r="EG196" s="453" t="str">
        <f t="shared" si="297"/>
        <v/>
      </c>
      <c r="EH196" s="451" t="str">
        <f t="shared" si="297"/>
        <v/>
      </c>
      <c r="EI196" s="452" t="str">
        <f t="shared" si="297"/>
        <v/>
      </c>
      <c r="EJ196" s="452" t="str">
        <f t="shared" si="297"/>
        <v/>
      </c>
      <c r="EK196" s="452" t="str">
        <f t="shared" si="277"/>
        <v/>
      </c>
      <c r="EL196" s="453" t="str">
        <f t="shared" si="277"/>
        <v/>
      </c>
      <c r="EM196" s="451" t="str">
        <f t="shared" si="277"/>
        <v/>
      </c>
      <c r="EN196" s="452" t="str">
        <f t="shared" si="277"/>
        <v/>
      </c>
      <c r="EO196" s="452" t="str">
        <f t="shared" si="277"/>
        <v/>
      </c>
      <c r="EP196" s="452" t="str">
        <f t="shared" si="277"/>
        <v/>
      </c>
      <c r="EQ196" s="453" t="str">
        <f t="shared" si="277"/>
        <v/>
      </c>
      <c r="ER196" s="451" t="str">
        <f t="shared" si="277"/>
        <v/>
      </c>
      <c r="ES196" s="452" t="str">
        <f t="shared" si="277"/>
        <v/>
      </c>
      <c r="ET196" s="452" t="str">
        <f t="shared" si="277"/>
        <v/>
      </c>
      <c r="EU196" s="452" t="str">
        <f t="shared" si="277"/>
        <v/>
      </c>
      <c r="EV196" s="453" t="str">
        <f t="shared" si="277"/>
        <v/>
      </c>
      <c r="EW196" s="451" t="str">
        <f t="shared" si="277"/>
        <v/>
      </c>
      <c r="EX196" s="452" t="str">
        <f t="shared" si="277"/>
        <v/>
      </c>
      <c r="EY196" s="452" t="str">
        <f t="shared" si="277"/>
        <v/>
      </c>
      <c r="EZ196" s="452" t="str">
        <f t="shared" si="277"/>
        <v/>
      </c>
      <c r="FA196" s="453" t="str">
        <f t="shared" si="278"/>
        <v/>
      </c>
      <c r="FB196" s="451" t="str">
        <f t="shared" si="278"/>
        <v/>
      </c>
      <c r="FC196" s="452" t="str">
        <f t="shared" si="278"/>
        <v/>
      </c>
      <c r="FD196" s="452" t="str">
        <f t="shared" si="278"/>
        <v/>
      </c>
      <c r="FE196" s="452" t="str">
        <f t="shared" si="278"/>
        <v/>
      </c>
      <c r="FF196" s="453" t="str">
        <f t="shared" si="278"/>
        <v/>
      </c>
      <c r="FG196" s="451" t="str">
        <f t="shared" si="278"/>
        <v/>
      </c>
      <c r="FH196" s="452" t="str">
        <f t="shared" si="278"/>
        <v/>
      </c>
      <c r="FI196" s="452" t="str">
        <f t="shared" si="278"/>
        <v/>
      </c>
      <c r="FJ196" s="452" t="str">
        <f t="shared" si="278"/>
        <v/>
      </c>
      <c r="FK196" s="453" t="str">
        <f t="shared" si="278"/>
        <v/>
      </c>
      <c r="FL196" s="451" t="str">
        <f t="shared" si="278"/>
        <v/>
      </c>
      <c r="FM196" s="452" t="str">
        <f t="shared" si="278"/>
        <v/>
      </c>
      <c r="FN196" s="452" t="str">
        <f t="shared" si="278"/>
        <v/>
      </c>
      <c r="FO196" s="452" t="str">
        <f t="shared" si="278"/>
        <v/>
      </c>
      <c r="FP196" s="453" t="str">
        <f t="shared" ref="FP196" si="298">IF(AND(FP$2&gt;=$J196,FP$2&lt;=$K196),1,"")</f>
        <v/>
      </c>
      <c r="FQ196" s="451" t="str">
        <f t="shared" si="279"/>
        <v/>
      </c>
      <c r="FR196" s="452" t="str">
        <f t="shared" si="279"/>
        <v/>
      </c>
      <c r="FS196" s="452" t="str">
        <f t="shared" si="279"/>
        <v/>
      </c>
      <c r="FT196" s="452" t="str">
        <f t="shared" si="279"/>
        <v/>
      </c>
      <c r="FU196" s="453" t="str">
        <f t="shared" si="279"/>
        <v/>
      </c>
      <c r="FV196" s="451" t="str">
        <f t="shared" si="279"/>
        <v/>
      </c>
      <c r="FW196" s="452" t="str">
        <f t="shared" si="279"/>
        <v/>
      </c>
      <c r="FX196" s="452" t="str">
        <f t="shared" si="279"/>
        <v/>
      </c>
      <c r="FY196" s="452" t="str">
        <f t="shared" si="279"/>
        <v/>
      </c>
      <c r="FZ196" s="453" t="str">
        <f t="shared" si="279"/>
        <v/>
      </c>
      <c r="GA196" s="451" t="str">
        <f t="shared" si="279"/>
        <v/>
      </c>
      <c r="GB196" s="452" t="str">
        <f t="shared" si="279"/>
        <v/>
      </c>
      <c r="GC196" s="452" t="str">
        <f t="shared" si="279"/>
        <v/>
      </c>
      <c r="GD196" s="452" t="str">
        <f t="shared" si="279"/>
        <v/>
      </c>
      <c r="GE196" s="453" t="str">
        <f t="shared" si="279"/>
        <v/>
      </c>
      <c r="GF196" s="451" t="str">
        <f t="shared" si="279"/>
        <v/>
      </c>
      <c r="GG196" s="452" t="str">
        <f t="shared" ref="GG196:GV211" si="299">IF(AND(GG$2&gt;=$J196,GG$2&lt;=$K196),1,"")</f>
        <v/>
      </c>
      <c r="GH196" s="452" t="str">
        <f t="shared" si="299"/>
        <v/>
      </c>
      <c r="GI196" s="452" t="str">
        <f t="shared" si="299"/>
        <v/>
      </c>
      <c r="GJ196" s="453" t="str">
        <f t="shared" si="299"/>
        <v/>
      </c>
      <c r="GK196" s="451" t="str">
        <f t="shared" si="299"/>
        <v/>
      </c>
      <c r="GL196" s="452" t="str">
        <f t="shared" si="299"/>
        <v/>
      </c>
      <c r="GM196" s="452" t="str">
        <f t="shared" si="299"/>
        <v/>
      </c>
      <c r="GN196" s="452" t="str">
        <f t="shared" si="299"/>
        <v/>
      </c>
      <c r="GO196" s="453" t="str">
        <f t="shared" si="299"/>
        <v/>
      </c>
      <c r="GP196" s="451" t="str">
        <f t="shared" si="299"/>
        <v/>
      </c>
      <c r="GQ196" s="452" t="str">
        <f t="shared" si="299"/>
        <v/>
      </c>
      <c r="GR196" s="452" t="str">
        <f t="shared" si="299"/>
        <v/>
      </c>
      <c r="GS196" s="452" t="str">
        <f t="shared" si="299"/>
        <v/>
      </c>
      <c r="GT196" s="453" t="str">
        <f t="shared" si="299"/>
        <v/>
      </c>
      <c r="GU196" s="451" t="str">
        <f t="shared" si="299"/>
        <v/>
      </c>
      <c r="GV196" s="452" t="str">
        <f t="shared" si="299"/>
        <v/>
      </c>
      <c r="GW196" s="452" t="str">
        <f t="shared" ref="GW196:HL211" si="300">IF(AND(GW$2&gt;=$J196,GW$2&lt;=$K196),1,"")</f>
        <v/>
      </c>
      <c r="GX196" s="452" t="str">
        <f t="shared" si="300"/>
        <v/>
      </c>
      <c r="GY196" s="453" t="str">
        <f t="shared" si="300"/>
        <v/>
      </c>
      <c r="GZ196" s="451" t="str">
        <f t="shared" si="300"/>
        <v/>
      </c>
      <c r="HA196" s="452" t="str">
        <f t="shared" si="300"/>
        <v/>
      </c>
      <c r="HB196" s="452" t="str">
        <f t="shared" si="300"/>
        <v/>
      </c>
      <c r="HC196" s="452" t="str">
        <f t="shared" si="300"/>
        <v/>
      </c>
      <c r="HD196" s="453" t="str">
        <f t="shared" si="300"/>
        <v/>
      </c>
      <c r="HE196" s="451" t="str">
        <f t="shared" si="300"/>
        <v/>
      </c>
      <c r="HF196" s="452" t="str">
        <f t="shared" si="300"/>
        <v/>
      </c>
      <c r="HG196" s="452" t="str">
        <f t="shared" si="300"/>
        <v/>
      </c>
      <c r="HH196" s="452" t="str">
        <f t="shared" si="280"/>
        <v/>
      </c>
      <c r="HI196" s="453" t="str">
        <f t="shared" si="280"/>
        <v/>
      </c>
      <c r="HJ196" s="451" t="str">
        <f t="shared" si="280"/>
        <v/>
      </c>
      <c r="HK196" s="452" t="str">
        <f t="shared" si="280"/>
        <v/>
      </c>
      <c r="HL196" s="452" t="str">
        <f t="shared" si="280"/>
        <v/>
      </c>
      <c r="HM196" s="452" t="str">
        <f t="shared" si="280"/>
        <v/>
      </c>
      <c r="HN196" s="453" t="str">
        <f t="shared" si="280"/>
        <v/>
      </c>
      <c r="HO196" s="451" t="str">
        <f t="shared" si="280"/>
        <v/>
      </c>
      <c r="HP196" s="452" t="str">
        <f t="shared" si="280"/>
        <v/>
      </c>
      <c r="HQ196" s="452" t="str">
        <f t="shared" si="280"/>
        <v/>
      </c>
      <c r="HR196" s="452" t="str">
        <f t="shared" si="280"/>
        <v/>
      </c>
      <c r="HS196" s="453" t="str">
        <f t="shared" si="280"/>
        <v/>
      </c>
      <c r="HT196" s="451" t="str">
        <f t="shared" si="280"/>
        <v/>
      </c>
      <c r="HU196" s="452" t="str">
        <f t="shared" si="280"/>
        <v/>
      </c>
      <c r="HV196" s="452" t="str">
        <f t="shared" si="280"/>
        <v/>
      </c>
      <c r="HW196" s="452" t="str">
        <f t="shared" si="280"/>
        <v/>
      </c>
      <c r="HX196" s="453" t="str">
        <f t="shared" si="281"/>
        <v/>
      </c>
      <c r="HY196" s="451" t="str">
        <f t="shared" si="281"/>
        <v/>
      </c>
      <c r="HZ196" s="452" t="str">
        <f t="shared" si="281"/>
        <v/>
      </c>
      <c r="IA196" s="452" t="str">
        <f t="shared" si="281"/>
        <v/>
      </c>
      <c r="IB196" s="452" t="str">
        <f t="shared" si="281"/>
        <v/>
      </c>
      <c r="IC196" s="453" t="str">
        <f t="shared" si="281"/>
        <v/>
      </c>
      <c r="ID196" s="451" t="str">
        <f t="shared" si="281"/>
        <v/>
      </c>
      <c r="IE196" s="452" t="str">
        <f t="shared" si="281"/>
        <v/>
      </c>
      <c r="IF196" s="452" t="str">
        <f t="shared" si="281"/>
        <v/>
      </c>
      <c r="IG196" s="452" t="str">
        <f t="shared" si="281"/>
        <v/>
      </c>
      <c r="IH196" s="453" t="str">
        <f t="shared" si="281"/>
        <v/>
      </c>
      <c r="II196" s="451" t="str">
        <f t="shared" si="281"/>
        <v/>
      </c>
      <c r="IJ196" s="452" t="str">
        <f t="shared" si="281"/>
        <v/>
      </c>
      <c r="IK196" s="452" t="str">
        <f t="shared" si="281"/>
        <v/>
      </c>
      <c r="IL196" s="452" t="str">
        <f t="shared" si="281"/>
        <v/>
      </c>
      <c r="IM196" s="453" t="str">
        <f t="shared" si="281"/>
        <v/>
      </c>
      <c r="IN196" s="451" t="str">
        <f t="shared" si="281"/>
        <v/>
      </c>
      <c r="IO196" s="452" t="str">
        <f t="shared" si="282"/>
        <v/>
      </c>
      <c r="IP196" s="452" t="str">
        <f t="shared" si="282"/>
        <v/>
      </c>
      <c r="IQ196" s="452" t="str">
        <f t="shared" si="282"/>
        <v/>
      </c>
      <c r="IR196" s="453" t="str">
        <f t="shared" si="282"/>
        <v/>
      </c>
    </row>
    <row r="197" spans="1:252" x14ac:dyDescent="0.2">
      <c r="A197" s="461">
        <v>18.600000000000001</v>
      </c>
      <c r="C197" s="447" t="s">
        <v>1356</v>
      </c>
      <c r="D197" s="447"/>
      <c r="E197" s="448"/>
      <c r="F197" s="448"/>
      <c r="G197" s="448"/>
      <c r="H197" s="448"/>
      <c r="I197" s="448"/>
      <c r="J197" s="449" t="str">
        <f t="shared" si="289"/>
        <v/>
      </c>
      <c r="K197" s="449" t="str">
        <f t="shared" si="290"/>
        <v/>
      </c>
      <c r="L197" s="450">
        <f t="shared" si="285"/>
        <v>0</v>
      </c>
      <c r="M197" s="451" t="str">
        <f t="shared" si="284"/>
        <v/>
      </c>
      <c r="N197" s="452" t="str">
        <f t="shared" si="284"/>
        <v/>
      </c>
      <c r="O197" s="452" t="str">
        <f t="shared" si="284"/>
        <v/>
      </c>
      <c r="P197" s="452" t="str">
        <f t="shared" si="284"/>
        <v/>
      </c>
      <c r="Q197" s="453" t="str">
        <f t="shared" si="284"/>
        <v/>
      </c>
      <c r="R197" s="451" t="str">
        <f t="shared" si="284"/>
        <v/>
      </c>
      <c r="S197" s="452" t="str">
        <f t="shared" si="284"/>
        <v/>
      </c>
      <c r="T197" s="452" t="str">
        <f t="shared" si="284"/>
        <v/>
      </c>
      <c r="U197" s="452" t="str">
        <f t="shared" si="284"/>
        <v/>
      </c>
      <c r="V197" s="453" t="str">
        <f t="shared" si="284"/>
        <v/>
      </c>
      <c r="W197" s="451" t="str">
        <f t="shared" si="284"/>
        <v/>
      </c>
      <c r="X197" s="452" t="str">
        <f t="shared" si="284"/>
        <v/>
      </c>
      <c r="Y197" s="452" t="str">
        <f t="shared" si="284"/>
        <v/>
      </c>
      <c r="Z197" s="452" t="str">
        <f t="shared" si="284"/>
        <v/>
      </c>
      <c r="AA197" s="453" t="str">
        <f t="shared" si="284"/>
        <v/>
      </c>
      <c r="AB197" s="451" t="str">
        <f t="shared" si="284"/>
        <v/>
      </c>
      <c r="AC197" s="452" t="str">
        <f t="shared" si="296"/>
        <v/>
      </c>
      <c r="AD197" s="452" t="str">
        <f t="shared" si="296"/>
        <v/>
      </c>
      <c r="AE197" s="452" t="str">
        <f t="shared" si="296"/>
        <v/>
      </c>
      <c r="AF197" s="453" t="str">
        <f t="shared" si="296"/>
        <v/>
      </c>
      <c r="AG197" s="451" t="str">
        <f t="shared" si="296"/>
        <v/>
      </c>
      <c r="AH197" s="452" t="str">
        <f t="shared" si="296"/>
        <v/>
      </c>
      <c r="AI197" s="452" t="str">
        <f t="shared" si="296"/>
        <v/>
      </c>
      <c r="AJ197" s="452" t="str">
        <f t="shared" si="296"/>
        <v/>
      </c>
      <c r="AK197" s="453" t="str">
        <f t="shared" si="296"/>
        <v/>
      </c>
      <c r="AL197" s="451" t="str">
        <f t="shared" si="296"/>
        <v/>
      </c>
      <c r="AM197" s="452" t="str">
        <f t="shared" si="296"/>
        <v/>
      </c>
      <c r="AN197" s="452" t="str">
        <f t="shared" si="296"/>
        <v/>
      </c>
      <c r="AO197" s="452" t="str">
        <f t="shared" si="296"/>
        <v/>
      </c>
      <c r="AP197" s="453" t="str">
        <f t="shared" si="296"/>
        <v/>
      </c>
      <c r="AQ197" s="451" t="str">
        <f t="shared" si="296"/>
        <v/>
      </c>
      <c r="AR197" s="452" t="str">
        <f t="shared" si="296"/>
        <v/>
      </c>
      <c r="AS197" s="452" t="str">
        <f t="shared" si="291"/>
        <v/>
      </c>
      <c r="AT197" s="452" t="str">
        <f t="shared" si="291"/>
        <v/>
      </c>
      <c r="AU197" s="453" t="str">
        <f t="shared" si="291"/>
        <v/>
      </c>
      <c r="AV197" s="451" t="str">
        <f t="shared" si="291"/>
        <v/>
      </c>
      <c r="AW197" s="452" t="str">
        <f t="shared" si="291"/>
        <v/>
      </c>
      <c r="AX197" s="452" t="str">
        <f t="shared" si="291"/>
        <v/>
      </c>
      <c r="AY197" s="452" t="str">
        <f t="shared" si="291"/>
        <v/>
      </c>
      <c r="AZ197" s="453" t="str">
        <f t="shared" si="291"/>
        <v/>
      </c>
      <c r="BA197" s="451" t="str">
        <f t="shared" si="291"/>
        <v/>
      </c>
      <c r="BB197" s="452" t="str">
        <f t="shared" si="291"/>
        <v/>
      </c>
      <c r="BC197" s="452" t="str">
        <f t="shared" si="291"/>
        <v/>
      </c>
      <c r="BD197" s="452" t="str">
        <f t="shared" si="291"/>
        <v/>
      </c>
      <c r="BE197" s="453" t="str">
        <f t="shared" si="291"/>
        <v/>
      </c>
      <c r="BF197" s="451" t="str">
        <f t="shared" si="291"/>
        <v/>
      </c>
      <c r="BG197" s="452" t="str">
        <f t="shared" si="291"/>
        <v/>
      </c>
      <c r="BH197" s="452" t="str">
        <f t="shared" si="291"/>
        <v/>
      </c>
      <c r="BI197" s="452" t="str">
        <f t="shared" si="292"/>
        <v/>
      </c>
      <c r="BJ197" s="453" t="str">
        <f t="shared" si="292"/>
        <v/>
      </c>
      <c r="BK197" s="451" t="str">
        <f t="shared" si="292"/>
        <v/>
      </c>
      <c r="BL197" s="452" t="str">
        <f t="shared" si="292"/>
        <v/>
      </c>
      <c r="BM197" s="452" t="str">
        <f t="shared" si="292"/>
        <v/>
      </c>
      <c r="BN197" s="452" t="str">
        <f t="shared" si="292"/>
        <v/>
      </c>
      <c r="BO197" s="453" t="str">
        <f t="shared" si="292"/>
        <v/>
      </c>
      <c r="BP197" s="451" t="str">
        <f t="shared" si="292"/>
        <v/>
      </c>
      <c r="BQ197" s="452" t="str">
        <f t="shared" si="292"/>
        <v/>
      </c>
      <c r="BR197" s="452" t="str">
        <f t="shared" si="292"/>
        <v/>
      </c>
      <c r="BS197" s="452" t="str">
        <f t="shared" si="292"/>
        <v/>
      </c>
      <c r="BT197" s="453" t="str">
        <f t="shared" si="292"/>
        <v/>
      </c>
      <c r="BU197" s="451" t="str">
        <f t="shared" si="292"/>
        <v/>
      </c>
      <c r="BV197" s="452" t="str">
        <f t="shared" si="292"/>
        <v/>
      </c>
      <c r="BW197" s="452" t="str">
        <f t="shared" si="292"/>
        <v/>
      </c>
      <c r="BX197" s="452" t="str">
        <f t="shared" si="292"/>
        <v/>
      </c>
      <c r="BY197" s="453" t="str">
        <f t="shared" si="293"/>
        <v/>
      </c>
      <c r="BZ197" s="451" t="str">
        <f t="shared" si="293"/>
        <v/>
      </c>
      <c r="CA197" s="452" t="str">
        <f t="shared" si="293"/>
        <v/>
      </c>
      <c r="CB197" s="452" t="str">
        <f t="shared" si="293"/>
        <v/>
      </c>
      <c r="CC197" s="452" t="str">
        <f t="shared" si="293"/>
        <v/>
      </c>
      <c r="CD197" s="453" t="str">
        <f t="shared" si="293"/>
        <v/>
      </c>
      <c r="CE197" s="451" t="str">
        <f t="shared" si="293"/>
        <v/>
      </c>
      <c r="CF197" s="452" t="str">
        <f t="shared" si="293"/>
        <v/>
      </c>
      <c r="CG197" s="452" t="str">
        <f t="shared" si="293"/>
        <v/>
      </c>
      <c r="CH197" s="452" t="str">
        <f t="shared" si="293"/>
        <v/>
      </c>
      <c r="CI197" s="453" t="str">
        <f t="shared" si="293"/>
        <v/>
      </c>
      <c r="CJ197" s="451" t="str">
        <f t="shared" si="293"/>
        <v/>
      </c>
      <c r="CK197" s="452" t="str">
        <f t="shared" si="293"/>
        <v/>
      </c>
      <c r="CL197" s="452" t="str">
        <f t="shared" si="293"/>
        <v/>
      </c>
      <c r="CM197" s="452" t="str">
        <f t="shared" si="293"/>
        <v/>
      </c>
      <c r="CN197" s="453" t="str">
        <f t="shared" si="293"/>
        <v/>
      </c>
      <c r="CO197" s="451" t="str">
        <f t="shared" si="294"/>
        <v/>
      </c>
      <c r="CP197" s="452" t="str">
        <f t="shared" si="294"/>
        <v/>
      </c>
      <c r="CQ197" s="452" t="str">
        <f t="shared" si="294"/>
        <v/>
      </c>
      <c r="CR197" s="452" t="str">
        <f t="shared" si="294"/>
        <v/>
      </c>
      <c r="CS197" s="453" t="str">
        <f t="shared" si="294"/>
        <v/>
      </c>
      <c r="CT197" s="451" t="str">
        <f t="shared" si="294"/>
        <v/>
      </c>
      <c r="CU197" s="452" t="str">
        <f t="shared" si="294"/>
        <v/>
      </c>
      <c r="CV197" s="452" t="str">
        <f t="shared" si="294"/>
        <v/>
      </c>
      <c r="CW197" s="452" t="str">
        <f t="shared" si="294"/>
        <v/>
      </c>
      <c r="CX197" s="453" t="str">
        <f t="shared" si="294"/>
        <v/>
      </c>
      <c r="CY197" s="451" t="str">
        <f t="shared" si="294"/>
        <v/>
      </c>
      <c r="CZ197" s="452" t="str">
        <f t="shared" si="294"/>
        <v/>
      </c>
      <c r="DA197" s="452" t="str">
        <f t="shared" si="294"/>
        <v/>
      </c>
      <c r="DB197" s="452" t="str">
        <f t="shared" si="294"/>
        <v/>
      </c>
      <c r="DC197" s="453" t="str">
        <f t="shared" si="294"/>
        <v/>
      </c>
      <c r="DD197" s="451" t="str">
        <f t="shared" si="294"/>
        <v/>
      </c>
      <c r="DE197" s="452" t="str">
        <f t="shared" si="295"/>
        <v/>
      </c>
      <c r="DF197" s="452" t="str">
        <f t="shared" si="295"/>
        <v/>
      </c>
      <c r="DG197" s="452" t="str">
        <f t="shared" si="295"/>
        <v/>
      </c>
      <c r="DH197" s="453" t="str">
        <f t="shared" si="295"/>
        <v/>
      </c>
      <c r="DI197" s="451" t="str">
        <f t="shared" si="295"/>
        <v/>
      </c>
      <c r="DJ197" s="452" t="str">
        <f t="shared" si="295"/>
        <v/>
      </c>
      <c r="DK197" s="452" t="str">
        <f t="shared" si="295"/>
        <v/>
      </c>
      <c r="DL197" s="452" t="str">
        <f t="shared" si="295"/>
        <v/>
      </c>
      <c r="DM197" s="453" t="str">
        <f t="shared" si="295"/>
        <v/>
      </c>
      <c r="DN197" s="451" t="str">
        <f t="shared" si="295"/>
        <v/>
      </c>
      <c r="DO197" s="452" t="str">
        <f t="shared" si="295"/>
        <v/>
      </c>
      <c r="DP197" s="452" t="str">
        <f t="shared" si="295"/>
        <v/>
      </c>
      <c r="DQ197" s="452" t="str">
        <f t="shared" si="295"/>
        <v/>
      </c>
      <c r="DR197" s="453" t="str">
        <f t="shared" si="295"/>
        <v/>
      </c>
      <c r="DS197" s="451" t="str">
        <f t="shared" si="295"/>
        <v/>
      </c>
      <c r="DT197" s="452" t="str">
        <f t="shared" si="295"/>
        <v/>
      </c>
      <c r="DU197" s="452" t="str">
        <f t="shared" si="297"/>
        <v/>
      </c>
      <c r="DV197" s="452" t="str">
        <f t="shared" si="297"/>
        <v/>
      </c>
      <c r="DW197" s="453" t="str">
        <f t="shared" si="297"/>
        <v/>
      </c>
      <c r="DX197" s="451" t="str">
        <f t="shared" si="297"/>
        <v/>
      </c>
      <c r="DY197" s="452" t="str">
        <f t="shared" si="297"/>
        <v/>
      </c>
      <c r="DZ197" s="452" t="str">
        <f t="shared" si="297"/>
        <v/>
      </c>
      <c r="EA197" s="452" t="str">
        <f t="shared" si="297"/>
        <v/>
      </c>
      <c r="EB197" s="453" t="str">
        <f t="shared" si="297"/>
        <v/>
      </c>
      <c r="EC197" s="451" t="str">
        <f t="shared" si="297"/>
        <v/>
      </c>
      <c r="ED197" s="452" t="str">
        <f t="shared" si="297"/>
        <v/>
      </c>
      <c r="EE197" s="452" t="str">
        <f t="shared" si="297"/>
        <v/>
      </c>
      <c r="EF197" s="452" t="str">
        <f t="shared" si="297"/>
        <v/>
      </c>
      <c r="EG197" s="453" t="str">
        <f t="shared" si="297"/>
        <v/>
      </c>
      <c r="EH197" s="451" t="str">
        <f t="shared" si="297"/>
        <v/>
      </c>
      <c r="EI197" s="452" t="str">
        <f t="shared" si="297"/>
        <v/>
      </c>
      <c r="EJ197" s="452" t="str">
        <f t="shared" si="297"/>
        <v/>
      </c>
      <c r="EK197" s="452" t="str">
        <f t="shared" ref="EK197:EZ212" si="301">IF(AND(EK$2&gt;=$J197,EK$2&lt;=$K197),1,"")</f>
        <v/>
      </c>
      <c r="EL197" s="453" t="str">
        <f t="shared" si="301"/>
        <v/>
      </c>
      <c r="EM197" s="451" t="str">
        <f t="shared" si="301"/>
        <v/>
      </c>
      <c r="EN197" s="452" t="str">
        <f t="shared" si="301"/>
        <v/>
      </c>
      <c r="EO197" s="452" t="str">
        <f t="shared" si="301"/>
        <v/>
      </c>
      <c r="EP197" s="452" t="str">
        <f t="shared" si="301"/>
        <v/>
      </c>
      <c r="EQ197" s="453" t="str">
        <f t="shared" si="301"/>
        <v/>
      </c>
      <c r="ER197" s="451" t="str">
        <f t="shared" si="301"/>
        <v/>
      </c>
      <c r="ES197" s="452" t="str">
        <f t="shared" si="301"/>
        <v/>
      </c>
      <c r="ET197" s="452" t="str">
        <f t="shared" si="301"/>
        <v/>
      </c>
      <c r="EU197" s="452" t="str">
        <f t="shared" si="301"/>
        <v/>
      </c>
      <c r="EV197" s="453" t="str">
        <f t="shared" si="301"/>
        <v/>
      </c>
      <c r="EW197" s="451" t="str">
        <f t="shared" si="301"/>
        <v/>
      </c>
      <c r="EX197" s="452" t="str">
        <f t="shared" si="301"/>
        <v/>
      </c>
      <c r="EY197" s="452" t="str">
        <f t="shared" si="301"/>
        <v/>
      </c>
      <c r="EZ197" s="452" t="str">
        <f t="shared" si="301"/>
        <v/>
      </c>
      <c r="FA197" s="453" t="str">
        <f t="shared" ref="FA197:FP212" si="302">IF(AND(FA$2&gt;=$J197,FA$2&lt;=$K197),1,"")</f>
        <v/>
      </c>
      <c r="FB197" s="451" t="str">
        <f t="shared" si="302"/>
        <v/>
      </c>
      <c r="FC197" s="452" t="str">
        <f t="shared" si="302"/>
        <v/>
      </c>
      <c r="FD197" s="452" t="str">
        <f t="shared" si="302"/>
        <v/>
      </c>
      <c r="FE197" s="452" t="str">
        <f t="shared" si="302"/>
        <v/>
      </c>
      <c r="FF197" s="453" t="str">
        <f t="shared" si="302"/>
        <v/>
      </c>
      <c r="FG197" s="451" t="str">
        <f t="shared" si="302"/>
        <v/>
      </c>
      <c r="FH197" s="452" t="str">
        <f t="shared" si="302"/>
        <v/>
      </c>
      <c r="FI197" s="452" t="str">
        <f t="shared" si="302"/>
        <v/>
      </c>
      <c r="FJ197" s="452" t="str">
        <f t="shared" si="302"/>
        <v/>
      </c>
      <c r="FK197" s="453" t="str">
        <f t="shared" si="302"/>
        <v/>
      </c>
      <c r="FL197" s="451" t="str">
        <f t="shared" si="302"/>
        <v/>
      </c>
      <c r="FM197" s="452" t="str">
        <f t="shared" si="302"/>
        <v/>
      </c>
      <c r="FN197" s="452" t="str">
        <f t="shared" si="302"/>
        <v/>
      </c>
      <c r="FO197" s="452" t="str">
        <f t="shared" si="302"/>
        <v/>
      </c>
      <c r="FP197" s="453" t="str">
        <f t="shared" si="302"/>
        <v/>
      </c>
      <c r="FQ197" s="451" t="str">
        <f t="shared" ref="FQ197:GF212" si="303">IF(AND(FQ$2&gt;=$J197,FQ$2&lt;=$K197),1,"")</f>
        <v/>
      </c>
      <c r="FR197" s="452" t="str">
        <f t="shared" si="303"/>
        <v/>
      </c>
      <c r="FS197" s="452" t="str">
        <f t="shared" si="303"/>
        <v/>
      </c>
      <c r="FT197" s="452" t="str">
        <f t="shared" si="303"/>
        <v/>
      </c>
      <c r="FU197" s="453" t="str">
        <f t="shared" si="303"/>
        <v/>
      </c>
      <c r="FV197" s="451" t="str">
        <f t="shared" si="303"/>
        <v/>
      </c>
      <c r="FW197" s="452" t="str">
        <f t="shared" si="303"/>
        <v/>
      </c>
      <c r="FX197" s="452" t="str">
        <f t="shared" si="303"/>
        <v/>
      </c>
      <c r="FY197" s="452" t="str">
        <f t="shared" si="303"/>
        <v/>
      </c>
      <c r="FZ197" s="453" t="str">
        <f t="shared" si="303"/>
        <v/>
      </c>
      <c r="GA197" s="451" t="str">
        <f t="shared" si="303"/>
        <v/>
      </c>
      <c r="GB197" s="452" t="str">
        <f t="shared" si="303"/>
        <v/>
      </c>
      <c r="GC197" s="452" t="str">
        <f t="shared" si="303"/>
        <v/>
      </c>
      <c r="GD197" s="452" t="str">
        <f t="shared" si="303"/>
        <v/>
      </c>
      <c r="GE197" s="453" t="str">
        <f t="shared" si="303"/>
        <v/>
      </c>
      <c r="GF197" s="451" t="str">
        <f t="shared" si="303"/>
        <v/>
      </c>
      <c r="GG197" s="452" t="str">
        <f t="shared" si="299"/>
        <v/>
      </c>
      <c r="GH197" s="452" t="str">
        <f t="shared" si="299"/>
        <v/>
      </c>
      <c r="GI197" s="452" t="str">
        <f t="shared" si="299"/>
        <v/>
      </c>
      <c r="GJ197" s="453" t="str">
        <f t="shared" si="299"/>
        <v/>
      </c>
      <c r="GK197" s="451" t="str">
        <f t="shared" si="299"/>
        <v/>
      </c>
      <c r="GL197" s="452" t="str">
        <f t="shared" si="299"/>
        <v/>
      </c>
      <c r="GM197" s="452" t="str">
        <f t="shared" si="299"/>
        <v/>
      </c>
      <c r="GN197" s="452" t="str">
        <f t="shared" si="299"/>
        <v/>
      </c>
      <c r="GO197" s="453" t="str">
        <f t="shared" si="299"/>
        <v/>
      </c>
      <c r="GP197" s="451" t="str">
        <f t="shared" si="299"/>
        <v/>
      </c>
      <c r="GQ197" s="452" t="str">
        <f t="shared" si="299"/>
        <v/>
      </c>
      <c r="GR197" s="452" t="str">
        <f t="shared" si="299"/>
        <v/>
      </c>
      <c r="GS197" s="452" t="str">
        <f t="shared" si="299"/>
        <v/>
      </c>
      <c r="GT197" s="453" t="str">
        <f t="shared" si="299"/>
        <v/>
      </c>
      <c r="GU197" s="451" t="str">
        <f t="shared" si="299"/>
        <v/>
      </c>
      <c r="GV197" s="452" t="str">
        <f t="shared" si="299"/>
        <v/>
      </c>
      <c r="GW197" s="452" t="str">
        <f t="shared" si="300"/>
        <v/>
      </c>
      <c r="GX197" s="452" t="str">
        <f t="shared" si="300"/>
        <v/>
      </c>
      <c r="GY197" s="453" t="str">
        <f t="shared" si="300"/>
        <v/>
      </c>
      <c r="GZ197" s="451" t="str">
        <f t="shared" si="300"/>
        <v/>
      </c>
      <c r="HA197" s="452" t="str">
        <f t="shared" si="300"/>
        <v/>
      </c>
      <c r="HB197" s="452" t="str">
        <f t="shared" si="300"/>
        <v/>
      </c>
      <c r="HC197" s="452" t="str">
        <f t="shared" si="300"/>
        <v/>
      </c>
      <c r="HD197" s="453" t="str">
        <f t="shared" si="300"/>
        <v/>
      </c>
      <c r="HE197" s="451" t="str">
        <f t="shared" si="300"/>
        <v/>
      </c>
      <c r="HF197" s="452" t="str">
        <f t="shared" si="300"/>
        <v/>
      </c>
      <c r="HG197" s="452" t="str">
        <f t="shared" si="300"/>
        <v/>
      </c>
      <c r="HH197" s="452" t="str">
        <f t="shared" si="300"/>
        <v/>
      </c>
      <c r="HI197" s="453" t="str">
        <f t="shared" si="300"/>
        <v/>
      </c>
      <c r="HJ197" s="451" t="str">
        <f t="shared" si="300"/>
        <v/>
      </c>
      <c r="HK197" s="452" t="str">
        <f t="shared" si="300"/>
        <v/>
      </c>
      <c r="HL197" s="452" t="str">
        <f t="shared" si="300"/>
        <v/>
      </c>
      <c r="HM197" s="452" t="str">
        <f t="shared" ref="HM197:IB212" si="304">IF(AND(HM$2&gt;=$J197,HM$2&lt;=$K197),1,"")</f>
        <v/>
      </c>
      <c r="HN197" s="453" t="str">
        <f t="shared" si="304"/>
        <v/>
      </c>
      <c r="HO197" s="451" t="str">
        <f t="shared" si="304"/>
        <v/>
      </c>
      <c r="HP197" s="452" t="str">
        <f t="shared" si="304"/>
        <v/>
      </c>
      <c r="HQ197" s="452" t="str">
        <f t="shared" si="304"/>
        <v/>
      </c>
      <c r="HR197" s="452" t="str">
        <f t="shared" si="304"/>
        <v/>
      </c>
      <c r="HS197" s="453" t="str">
        <f t="shared" si="304"/>
        <v/>
      </c>
      <c r="HT197" s="451" t="str">
        <f t="shared" si="304"/>
        <v/>
      </c>
      <c r="HU197" s="452" t="str">
        <f t="shared" si="304"/>
        <v/>
      </c>
      <c r="HV197" s="452" t="str">
        <f t="shared" si="304"/>
        <v/>
      </c>
      <c r="HW197" s="452" t="str">
        <f t="shared" si="304"/>
        <v/>
      </c>
      <c r="HX197" s="453" t="str">
        <f t="shared" si="304"/>
        <v/>
      </c>
      <c r="HY197" s="451" t="str">
        <f t="shared" si="304"/>
        <v/>
      </c>
      <c r="HZ197" s="452" t="str">
        <f t="shared" si="304"/>
        <v/>
      </c>
      <c r="IA197" s="452" t="str">
        <f t="shared" si="304"/>
        <v/>
      </c>
      <c r="IB197" s="452" t="str">
        <f t="shared" si="304"/>
        <v/>
      </c>
      <c r="IC197" s="453" t="str">
        <f t="shared" ref="IC197:IR212" si="305">IF(AND(IC$2&gt;=$J197,IC$2&lt;=$K197),1,"")</f>
        <v/>
      </c>
      <c r="ID197" s="451" t="str">
        <f t="shared" si="305"/>
        <v/>
      </c>
      <c r="IE197" s="452" t="str">
        <f t="shared" si="305"/>
        <v/>
      </c>
      <c r="IF197" s="452" t="str">
        <f t="shared" si="305"/>
        <v/>
      </c>
      <c r="IG197" s="452" t="str">
        <f t="shared" si="305"/>
        <v/>
      </c>
      <c r="IH197" s="453" t="str">
        <f t="shared" si="305"/>
        <v/>
      </c>
      <c r="II197" s="451" t="str">
        <f t="shared" si="305"/>
        <v/>
      </c>
      <c r="IJ197" s="452" t="str">
        <f t="shared" si="305"/>
        <v/>
      </c>
      <c r="IK197" s="452" t="str">
        <f t="shared" si="305"/>
        <v/>
      </c>
      <c r="IL197" s="452" t="str">
        <f t="shared" si="305"/>
        <v/>
      </c>
      <c r="IM197" s="453" t="str">
        <f t="shared" si="305"/>
        <v/>
      </c>
      <c r="IN197" s="451" t="str">
        <f t="shared" si="305"/>
        <v/>
      </c>
      <c r="IO197" s="452" t="str">
        <f t="shared" si="282"/>
        <v/>
      </c>
      <c r="IP197" s="452" t="str">
        <f t="shared" si="282"/>
        <v/>
      </c>
      <c r="IQ197" s="452" t="str">
        <f t="shared" si="282"/>
        <v/>
      </c>
      <c r="IR197" s="453" t="str">
        <f t="shared" si="282"/>
        <v/>
      </c>
    </row>
    <row r="198" spans="1:252" x14ac:dyDescent="0.2">
      <c r="A198" s="461">
        <v>18.7</v>
      </c>
      <c r="C198" s="447" t="s">
        <v>1357</v>
      </c>
      <c r="D198" s="447"/>
      <c r="E198" s="448"/>
      <c r="F198" s="448"/>
      <c r="G198" s="448"/>
      <c r="H198" s="448"/>
      <c r="I198" s="448"/>
      <c r="J198" s="449" t="str">
        <f t="shared" si="289"/>
        <v/>
      </c>
      <c r="K198" s="449" t="str">
        <f t="shared" si="290"/>
        <v/>
      </c>
      <c r="L198" s="450">
        <f t="shared" si="285"/>
        <v>0</v>
      </c>
      <c r="M198" s="451" t="str">
        <f t="shared" si="284"/>
        <v/>
      </c>
      <c r="N198" s="452" t="str">
        <f t="shared" si="284"/>
        <v/>
      </c>
      <c r="O198" s="452" t="str">
        <f t="shared" si="284"/>
        <v/>
      </c>
      <c r="P198" s="452" t="str">
        <f t="shared" si="284"/>
        <v/>
      </c>
      <c r="Q198" s="453" t="str">
        <f t="shared" si="284"/>
        <v/>
      </c>
      <c r="R198" s="451" t="str">
        <f t="shared" si="284"/>
        <v/>
      </c>
      <c r="S198" s="452" t="str">
        <f t="shared" si="284"/>
        <v/>
      </c>
      <c r="T198" s="452" t="str">
        <f t="shared" si="284"/>
        <v/>
      </c>
      <c r="U198" s="452" t="str">
        <f t="shared" si="284"/>
        <v/>
      </c>
      <c r="V198" s="453" t="str">
        <f t="shared" si="284"/>
        <v/>
      </c>
      <c r="W198" s="451" t="str">
        <f t="shared" si="284"/>
        <v/>
      </c>
      <c r="X198" s="452" t="str">
        <f t="shared" si="284"/>
        <v/>
      </c>
      <c r="Y198" s="452" t="str">
        <f t="shared" si="284"/>
        <v/>
      </c>
      <c r="Z198" s="452" t="str">
        <f t="shared" si="284"/>
        <v/>
      </c>
      <c r="AA198" s="453" t="str">
        <f t="shared" si="284"/>
        <v/>
      </c>
      <c r="AB198" s="451" t="str">
        <f t="shared" si="284"/>
        <v/>
      </c>
      <c r="AC198" s="452" t="str">
        <f t="shared" si="296"/>
        <v/>
      </c>
      <c r="AD198" s="452" t="str">
        <f t="shared" si="296"/>
        <v/>
      </c>
      <c r="AE198" s="452" t="str">
        <f t="shared" si="296"/>
        <v/>
      </c>
      <c r="AF198" s="453" t="str">
        <f t="shared" si="296"/>
        <v/>
      </c>
      <c r="AG198" s="451" t="str">
        <f t="shared" si="296"/>
        <v/>
      </c>
      <c r="AH198" s="452" t="str">
        <f t="shared" si="296"/>
        <v/>
      </c>
      <c r="AI198" s="452" t="str">
        <f t="shared" si="296"/>
        <v/>
      </c>
      <c r="AJ198" s="452" t="str">
        <f t="shared" si="296"/>
        <v/>
      </c>
      <c r="AK198" s="453" t="str">
        <f t="shared" si="296"/>
        <v/>
      </c>
      <c r="AL198" s="451" t="str">
        <f t="shared" si="296"/>
        <v/>
      </c>
      <c r="AM198" s="452" t="str">
        <f t="shared" si="296"/>
        <v/>
      </c>
      <c r="AN198" s="452" t="str">
        <f t="shared" si="296"/>
        <v/>
      </c>
      <c r="AO198" s="452" t="str">
        <f t="shared" si="296"/>
        <v/>
      </c>
      <c r="AP198" s="453" t="str">
        <f t="shared" si="296"/>
        <v/>
      </c>
      <c r="AQ198" s="451" t="str">
        <f t="shared" si="296"/>
        <v/>
      </c>
      <c r="AR198" s="452" t="str">
        <f t="shared" si="296"/>
        <v/>
      </c>
      <c r="AS198" s="452" t="str">
        <f t="shared" si="291"/>
        <v/>
      </c>
      <c r="AT198" s="452" t="str">
        <f t="shared" si="291"/>
        <v/>
      </c>
      <c r="AU198" s="453" t="str">
        <f t="shared" si="291"/>
        <v/>
      </c>
      <c r="AV198" s="451" t="str">
        <f t="shared" si="291"/>
        <v/>
      </c>
      <c r="AW198" s="452" t="str">
        <f t="shared" si="291"/>
        <v/>
      </c>
      <c r="AX198" s="452" t="str">
        <f t="shared" si="291"/>
        <v/>
      </c>
      <c r="AY198" s="452" t="str">
        <f t="shared" si="291"/>
        <v/>
      </c>
      <c r="AZ198" s="453" t="str">
        <f t="shared" si="291"/>
        <v/>
      </c>
      <c r="BA198" s="451" t="str">
        <f t="shared" si="291"/>
        <v/>
      </c>
      <c r="BB198" s="452" t="str">
        <f t="shared" si="291"/>
        <v/>
      </c>
      <c r="BC198" s="452" t="str">
        <f t="shared" si="291"/>
        <v/>
      </c>
      <c r="BD198" s="452" t="str">
        <f t="shared" si="291"/>
        <v/>
      </c>
      <c r="BE198" s="453" t="str">
        <f t="shared" si="291"/>
        <v/>
      </c>
      <c r="BF198" s="451" t="str">
        <f t="shared" si="291"/>
        <v/>
      </c>
      <c r="BG198" s="452" t="str">
        <f t="shared" si="291"/>
        <v/>
      </c>
      <c r="BH198" s="452" t="str">
        <f t="shared" si="291"/>
        <v/>
      </c>
      <c r="BI198" s="452" t="str">
        <f t="shared" si="292"/>
        <v/>
      </c>
      <c r="BJ198" s="453" t="str">
        <f t="shared" si="292"/>
        <v/>
      </c>
      <c r="BK198" s="451" t="str">
        <f t="shared" si="292"/>
        <v/>
      </c>
      <c r="BL198" s="452" t="str">
        <f t="shared" si="292"/>
        <v/>
      </c>
      <c r="BM198" s="452" t="str">
        <f t="shared" si="292"/>
        <v/>
      </c>
      <c r="BN198" s="452" t="str">
        <f t="shared" si="292"/>
        <v/>
      </c>
      <c r="BO198" s="453" t="str">
        <f t="shared" si="292"/>
        <v/>
      </c>
      <c r="BP198" s="451" t="str">
        <f t="shared" si="292"/>
        <v/>
      </c>
      <c r="BQ198" s="452" t="str">
        <f t="shared" si="292"/>
        <v/>
      </c>
      <c r="BR198" s="452" t="str">
        <f t="shared" si="292"/>
        <v/>
      </c>
      <c r="BS198" s="452" t="str">
        <f t="shared" si="292"/>
        <v/>
      </c>
      <c r="BT198" s="453" t="str">
        <f t="shared" si="292"/>
        <v/>
      </c>
      <c r="BU198" s="451" t="str">
        <f t="shared" si="292"/>
        <v/>
      </c>
      <c r="BV198" s="452" t="str">
        <f t="shared" si="292"/>
        <v/>
      </c>
      <c r="BW198" s="452" t="str">
        <f t="shared" si="292"/>
        <v/>
      </c>
      <c r="BX198" s="452" t="str">
        <f t="shared" si="292"/>
        <v/>
      </c>
      <c r="BY198" s="453" t="str">
        <f t="shared" si="293"/>
        <v/>
      </c>
      <c r="BZ198" s="451" t="str">
        <f t="shared" si="293"/>
        <v/>
      </c>
      <c r="CA198" s="452" t="str">
        <f t="shared" si="293"/>
        <v/>
      </c>
      <c r="CB198" s="452" t="str">
        <f t="shared" si="293"/>
        <v/>
      </c>
      <c r="CC198" s="452" t="str">
        <f t="shared" si="293"/>
        <v/>
      </c>
      <c r="CD198" s="453" t="str">
        <f t="shared" si="293"/>
        <v/>
      </c>
      <c r="CE198" s="451" t="str">
        <f t="shared" si="293"/>
        <v/>
      </c>
      <c r="CF198" s="452" t="str">
        <f t="shared" si="293"/>
        <v/>
      </c>
      <c r="CG198" s="452" t="str">
        <f t="shared" si="293"/>
        <v/>
      </c>
      <c r="CH198" s="452" t="str">
        <f t="shared" si="293"/>
        <v/>
      </c>
      <c r="CI198" s="453" t="str">
        <f t="shared" si="293"/>
        <v/>
      </c>
      <c r="CJ198" s="451" t="str">
        <f t="shared" si="293"/>
        <v/>
      </c>
      <c r="CK198" s="452" t="str">
        <f t="shared" si="293"/>
        <v/>
      </c>
      <c r="CL198" s="452" t="str">
        <f t="shared" si="293"/>
        <v/>
      </c>
      <c r="CM198" s="452" t="str">
        <f t="shared" si="293"/>
        <v/>
      </c>
      <c r="CN198" s="453" t="str">
        <f t="shared" si="293"/>
        <v/>
      </c>
      <c r="CO198" s="451" t="str">
        <f t="shared" si="294"/>
        <v/>
      </c>
      <c r="CP198" s="452" t="str">
        <f t="shared" si="294"/>
        <v/>
      </c>
      <c r="CQ198" s="452" t="str">
        <f t="shared" si="294"/>
        <v/>
      </c>
      <c r="CR198" s="452" t="str">
        <f t="shared" si="294"/>
        <v/>
      </c>
      <c r="CS198" s="453" t="str">
        <f t="shared" si="294"/>
        <v/>
      </c>
      <c r="CT198" s="451" t="str">
        <f t="shared" si="294"/>
        <v/>
      </c>
      <c r="CU198" s="452" t="str">
        <f t="shared" si="294"/>
        <v/>
      </c>
      <c r="CV198" s="452" t="str">
        <f t="shared" si="294"/>
        <v/>
      </c>
      <c r="CW198" s="452" t="str">
        <f t="shared" si="294"/>
        <v/>
      </c>
      <c r="CX198" s="453" t="str">
        <f t="shared" si="294"/>
        <v/>
      </c>
      <c r="CY198" s="451" t="str">
        <f t="shared" si="294"/>
        <v/>
      </c>
      <c r="CZ198" s="452" t="str">
        <f t="shared" si="294"/>
        <v/>
      </c>
      <c r="DA198" s="452" t="str">
        <f t="shared" si="294"/>
        <v/>
      </c>
      <c r="DB198" s="452" t="str">
        <f t="shared" si="294"/>
        <v/>
      </c>
      <c r="DC198" s="453" t="str">
        <f t="shared" si="294"/>
        <v/>
      </c>
      <c r="DD198" s="451" t="str">
        <f t="shared" si="294"/>
        <v/>
      </c>
      <c r="DE198" s="452" t="str">
        <f t="shared" si="295"/>
        <v/>
      </c>
      <c r="DF198" s="452" t="str">
        <f t="shared" si="295"/>
        <v/>
      </c>
      <c r="DG198" s="452" t="str">
        <f t="shared" si="295"/>
        <v/>
      </c>
      <c r="DH198" s="453" t="str">
        <f t="shared" si="295"/>
        <v/>
      </c>
      <c r="DI198" s="451" t="str">
        <f t="shared" si="295"/>
        <v/>
      </c>
      <c r="DJ198" s="452" t="str">
        <f t="shared" si="295"/>
        <v/>
      </c>
      <c r="DK198" s="452" t="str">
        <f t="shared" si="295"/>
        <v/>
      </c>
      <c r="DL198" s="452" t="str">
        <f t="shared" si="295"/>
        <v/>
      </c>
      <c r="DM198" s="453" t="str">
        <f t="shared" si="295"/>
        <v/>
      </c>
      <c r="DN198" s="451" t="str">
        <f t="shared" si="295"/>
        <v/>
      </c>
      <c r="DO198" s="452" t="str">
        <f t="shared" si="295"/>
        <v/>
      </c>
      <c r="DP198" s="452" t="str">
        <f t="shared" si="295"/>
        <v/>
      </c>
      <c r="DQ198" s="452" t="str">
        <f t="shared" si="295"/>
        <v/>
      </c>
      <c r="DR198" s="453" t="str">
        <f t="shared" si="295"/>
        <v/>
      </c>
      <c r="DS198" s="451" t="str">
        <f t="shared" si="295"/>
        <v/>
      </c>
      <c r="DT198" s="452" t="str">
        <f t="shared" si="295"/>
        <v/>
      </c>
      <c r="DU198" s="452" t="str">
        <f t="shared" si="297"/>
        <v/>
      </c>
      <c r="DV198" s="452" t="str">
        <f t="shared" si="297"/>
        <v/>
      </c>
      <c r="DW198" s="453" t="str">
        <f t="shared" si="297"/>
        <v/>
      </c>
      <c r="DX198" s="451" t="str">
        <f t="shared" si="297"/>
        <v/>
      </c>
      <c r="DY198" s="452" t="str">
        <f t="shared" si="297"/>
        <v/>
      </c>
      <c r="DZ198" s="452" t="str">
        <f t="shared" si="297"/>
        <v/>
      </c>
      <c r="EA198" s="452" t="str">
        <f t="shared" si="297"/>
        <v/>
      </c>
      <c r="EB198" s="453" t="str">
        <f t="shared" si="297"/>
        <v/>
      </c>
      <c r="EC198" s="451" t="str">
        <f t="shared" si="297"/>
        <v/>
      </c>
      <c r="ED198" s="452" t="str">
        <f t="shared" si="297"/>
        <v/>
      </c>
      <c r="EE198" s="452" t="str">
        <f t="shared" si="297"/>
        <v/>
      </c>
      <c r="EF198" s="452" t="str">
        <f t="shared" si="297"/>
        <v/>
      </c>
      <c r="EG198" s="453" t="str">
        <f t="shared" si="297"/>
        <v/>
      </c>
      <c r="EH198" s="451" t="str">
        <f t="shared" si="297"/>
        <v/>
      </c>
      <c r="EI198" s="452" t="str">
        <f t="shared" si="297"/>
        <v/>
      </c>
      <c r="EJ198" s="452" t="str">
        <f t="shared" si="297"/>
        <v/>
      </c>
      <c r="EK198" s="452" t="str">
        <f t="shared" si="301"/>
        <v/>
      </c>
      <c r="EL198" s="453" t="str">
        <f t="shared" si="301"/>
        <v/>
      </c>
      <c r="EM198" s="451" t="str">
        <f t="shared" si="301"/>
        <v/>
      </c>
      <c r="EN198" s="452" t="str">
        <f t="shared" si="301"/>
        <v/>
      </c>
      <c r="EO198" s="452" t="str">
        <f t="shared" si="301"/>
        <v/>
      </c>
      <c r="EP198" s="452" t="str">
        <f t="shared" si="301"/>
        <v/>
      </c>
      <c r="EQ198" s="453" t="str">
        <f t="shared" si="301"/>
        <v/>
      </c>
      <c r="ER198" s="451" t="str">
        <f t="shared" si="301"/>
        <v/>
      </c>
      <c r="ES198" s="452" t="str">
        <f t="shared" si="301"/>
        <v/>
      </c>
      <c r="ET198" s="452" t="str">
        <f t="shared" si="301"/>
        <v/>
      </c>
      <c r="EU198" s="452" t="str">
        <f t="shared" si="301"/>
        <v/>
      </c>
      <c r="EV198" s="453" t="str">
        <f t="shared" si="301"/>
        <v/>
      </c>
      <c r="EW198" s="451" t="str">
        <f t="shared" si="301"/>
        <v/>
      </c>
      <c r="EX198" s="452" t="str">
        <f t="shared" si="301"/>
        <v/>
      </c>
      <c r="EY198" s="452" t="str">
        <f t="shared" si="301"/>
        <v/>
      </c>
      <c r="EZ198" s="452" t="str">
        <f t="shared" si="301"/>
        <v/>
      </c>
      <c r="FA198" s="453" t="str">
        <f t="shared" si="302"/>
        <v/>
      </c>
      <c r="FB198" s="451" t="str">
        <f t="shared" si="302"/>
        <v/>
      </c>
      <c r="FC198" s="452" t="str">
        <f t="shared" si="302"/>
        <v/>
      </c>
      <c r="FD198" s="452" t="str">
        <f t="shared" si="302"/>
        <v/>
      </c>
      <c r="FE198" s="452" t="str">
        <f t="shared" si="302"/>
        <v/>
      </c>
      <c r="FF198" s="453" t="str">
        <f t="shared" si="302"/>
        <v/>
      </c>
      <c r="FG198" s="451" t="str">
        <f t="shared" si="302"/>
        <v/>
      </c>
      <c r="FH198" s="452" t="str">
        <f t="shared" si="302"/>
        <v/>
      </c>
      <c r="FI198" s="452" t="str">
        <f t="shared" si="302"/>
        <v/>
      </c>
      <c r="FJ198" s="452" t="str">
        <f t="shared" si="302"/>
        <v/>
      </c>
      <c r="FK198" s="453" t="str">
        <f t="shared" si="302"/>
        <v/>
      </c>
      <c r="FL198" s="451" t="str">
        <f t="shared" si="302"/>
        <v/>
      </c>
      <c r="FM198" s="452" t="str">
        <f t="shared" si="302"/>
        <v/>
      </c>
      <c r="FN198" s="452" t="str">
        <f t="shared" si="302"/>
        <v/>
      </c>
      <c r="FO198" s="452" t="str">
        <f t="shared" si="302"/>
        <v/>
      </c>
      <c r="FP198" s="453" t="str">
        <f t="shared" si="302"/>
        <v/>
      </c>
      <c r="FQ198" s="451" t="str">
        <f t="shared" si="303"/>
        <v/>
      </c>
      <c r="FR198" s="452" t="str">
        <f t="shared" si="303"/>
        <v/>
      </c>
      <c r="FS198" s="452" t="str">
        <f t="shared" si="303"/>
        <v/>
      </c>
      <c r="FT198" s="452" t="str">
        <f t="shared" si="303"/>
        <v/>
      </c>
      <c r="FU198" s="453" t="str">
        <f t="shared" si="303"/>
        <v/>
      </c>
      <c r="FV198" s="451" t="str">
        <f t="shared" si="303"/>
        <v/>
      </c>
      <c r="FW198" s="452" t="str">
        <f t="shared" si="303"/>
        <v/>
      </c>
      <c r="FX198" s="452" t="str">
        <f t="shared" si="303"/>
        <v/>
      </c>
      <c r="FY198" s="452" t="str">
        <f t="shared" si="303"/>
        <v/>
      </c>
      <c r="FZ198" s="453" t="str">
        <f t="shared" si="303"/>
        <v/>
      </c>
      <c r="GA198" s="451" t="str">
        <f t="shared" si="303"/>
        <v/>
      </c>
      <c r="GB198" s="452" t="str">
        <f t="shared" si="303"/>
        <v/>
      </c>
      <c r="GC198" s="452" t="str">
        <f t="shared" si="303"/>
        <v/>
      </c>
      <c r="GD198" s="452" t="str">
        <f t="shared" si="303"/>
        <v/>
      </c>
      <c r="GE198" s="453" t="str">
        <f t="shared" si="303"/>
        <v/>
      </c>
      <c r="GF198" s="451" t="str">
        <f t="shared" si="303"/>
        <v/>
      </c>
      <c r="GG198" s="452" t="str">
        <f t="shared" si="299"/>
        <v/>
      </c>
      <c r="GH198" s="452" t="str">
        <f t="shared" si="299"/>
        <v/>
      </c>
      <c r="GI198" s="452" t="str">
        <f t="shared" si="299"/>
        <v/>
      </c>
      <c r="GJ198" s="453" t="str">
        <f t="shared" si="299"/>
        <v/>
      </c>
      <c r="GK198" s="451" t="str">
        <f t="shared" si="299"/>
        <v/>
      </c>
      <c r="GL198" s="452" t="str">
        <f t="shared" si="299"/>
        <v/>
      </c>
      <c r="GM198" s="452" t="str">
        <f t="shared" si="299"/>
        <v/>
      </c>
      <c r="GN198" s="452" t="str">
        <f t="shared" si="299"/>
        <v/>
      </c>
      <c r="GO198" s="453" t="str">
        <f t="shared" si="299"/>
        <v/>
      </c>
      <c r="GP198" s="451" t="str">
        <f t="shared" si="299"/>
        <v/>
      </c>
      <c r="GQ198" s="452" t="str">
        <f t="shared" si="299"/>
        <v/>
      </c>
      <c r="GR198" s="452" t="str">
        <f t="shared" si="299"/>
        <v/>
      </c>
      <c r="GS198" s="452" t="str">
        <f t="shared" si="299"/>
        <v/>
      </c>
      <c r="GT198" s="453" t="str">
        <f t="shared" si="299"/>
        <v/>
      </c>
      <c r="GU198" s="451" t="str">
        <f t="shared" si="299"/>
        <v/>
      </c>
      <c r="GV198" s="452" t="str">
        <f t="shared" si="299"/>
        <v/>
      </c>
      <c r="GW198" s="452" t="str">
        <f t="shared" si="300"/>
        <v/>
      </c>
      <c r="GX198" s="452" t="str">
        <f t="shared" si="300"/>
        <v/>
      </c>
      <c r="GY198" s="453" t="str">
        <f t="shared" si="300"/>
        <v/>
      </c>
      <c r="GZ198" s="451" t="str">
        <f t="shared" si="300"/>
        <v/>
      </c>
      <c r="HA198" s="452" t="str">
        <f t="shared" si="300"/>
        <v/>
      </c>
      <c r="HB198" s="452" t="str">
        <f t="shared" si="300"/>
        <v/>
      </c>
      <c r="HC198" s="452" t="str">
        <f t="shared" si="300"/>
        <v/>
      </c>
      <c r="HD198" s="453" t="str">
        <f t="shared" si="300"/>
        <v/>
      </c>
      <c r="HE198" s="451" t="str">
        <f t="shared" si="300"/>
        <v/>
      </c>
      <c r="HF198" s="452" t="str">
        <f t="shared" si="300"/>
        <v/>
      </c>
      <c r="HG198" s="452" t="str">
        <f t="shared" si="300"/>
        <v/>
      </c>
      <c r="HH198" s="452" t="str">
        <f t="shared" si="300"/>
        <v/>
      </c>
      <c r="HI198" s="453" t="str">
        <f t="shared" si="300"/>
        <v/>
      </c>
      <c r="HJ198" s="451" t="str">
        <f t="shared" si="300"/>
        <v/>
      </c>
      <c r="HK198" s="452" t="str">
        <f t="shared" si="300"/>
        <v/>
      </c>
      <c r="HL198" s="452" t="str">
        <f t="shared" si="300"/>
        <v/>
      </c>
      <c r="HM198" s="452" t="str">
        <f t="shared" si="304"/>
        <v/>
      </c>
      <c r="HN198" s="453" t="str">
        <f t="shared" si="304"/>
        <v/>
      </c>
      <c r="HO198" s="451" t="str">
        <f t="shared" si="304"/>
        <v/>
      </c>
      <c r="HP198" s="452" t="str">
        <f t="shared" si="304"/>
        <v/>
      </c>
      <c r="HQ198" s="452" t="str">
        <f t="shared" si="304"/>
        <v/>
      </c>
      <c r="HR198" s="452" t="str">
        <f t="shared" si="304"/>
        <v/>
      </c>
      <c r="HS198" s="453" t="str">
        <f t="shared" si="304"/>
        <v/>
      </c>
      <c r="HT198" s="451" t="str">
        <f t="shared" si="304"/>
        <v/>
      </c>
      <c r="HU198" s="452" t="str">
        <f t="shared" si="304"/>
        <v/>
      </c>
      <c r="HV198" s="452" t="str">
        <f t="shared" si="304"/>
        <v/>
      </c>
      <c r="HW198" s="452" t="str">
        <f t="shared" si="304"/>
        <v/>
      </c>
      <c r="HX198" s="453" t="str">
        <f t="shared" si="304"/>
        <v/>
      </c>
      <c r="HY198" s="451" t="str">
        <f t="shared" si="304"/>
        <v/>
      </c>
      <c r="HZ198" s="452" t="str">
        <f t="shared" si="304"/>
        <v/>
      </c>
      <c r="IA198" s="452" t="str">
        <f t="shared" si="304"/>
        <v/>
      </c>
      <c r="IB198" s="452" t="str">
        <f t="shared" si="304"/>
        <v/>
      </c>
      <c r="IC198" s="453" t="str">
        <f t="shared" si="305"/>
        <v/>
      </c>
      <c r="ID198" s="451" t="str">
        <f t="shared" si="305"/>
        <v/>
      </c>
      <c r="IE198" s="452" t="str">
        <f t="shared" si="305"/>
        <v/>
      </c>
      <c r="IF198" s="452" t="str">
        <f t="shared" si="305"/>
        <v/>
      </c>
      <c r="IG198" s="452" t="str">
        <f t="shared" si="305"/>
        <v/>
      </c>
      <c r="IH198" s="453" t="str">
        <f t="shared" si="305"/>
        <v/>
      </c>
      <c r="II198" s="451" t="str">
        <f t="shared" si="305"/>
        <v/>
      </c>
      <c r="IJ198" s="452" t="str">
        <f t="shared" si="305"/>
        <v/>
      </c>
      <c r="IK198" s="452" t="str">
        <f t="shared" si="305"/>
        <v/>
      </c>
      <c r="IL198" s="452" t="str">
        <f t="shared" si="305"/>
        <v/>
      </c>
      <c r="IM198" s="453" t="str">
        <f t="shared" si="305"/>
        <v/>
      </c>
      <c r="IN198" s="451" t="str">
        <f t="shared" si="305"/>
        <v/>
      </c>
      <c r="IO198" s="452" t="str">
        <f t="shared" si="282"/>
        <v/>
      </c>
      <c r="IP198" s="452" t="str">
        <f t="shared" si="282"/>
        <v/>
      </c>
      <c r="IQ198" s="452" t="str">
        <f t="shared" si="282"/>
        <v/>
      </c>
      <c r="IR198" s="453" t="str">
        <f t="shared" si="282"/>
        <v/>
      </c>
    </row>
    <row r="199" spans="1:252" x14ac:dyDescent="0.2">
      <c r="A199" s="461">
        <v>18.8</v>
      </c>
      <c r="C199" s="447" t="s">
        <v>1358</v>
      </c>
      <c r="D199" s="447"/>
      <c r="E199" s="448"/>
      <c r="F199" s="448"/>
      <c r="G199" s="448"/>
      <c r="H199" s="448"/>
      <c r="I199" s="448"/>
      <c r="J199" s="449" t="str">
        <f t="shared" si="289"/>
        <v/>
      </c>
      <c r="K199" s="449" t="str">
        <f t="shared" si="290"/>
        <v/>
      </c>
      <c r="L199" s="450">
        <f t="shared" si="285"/>
        <v>0</v>
      </c>
      <c r="M199" s="451" t="str">
        <f t="shared" si="284"/>
        <v/>
      </c>
      <c r="N199" s="452" t="str">
        <f t="shared" si="284"/>
        <v/>
      </c>
      <c r="O199" s="452" t="str">
        <f t="shared" si="284"/>
        <v/>
      </c>
      <c r="P199" s="452" t="str">
        <f t="shared" si="284"/>
        <v/>
      </c>
      <c r="Q199" s="453" t="str">
        <f t="shared" si="284"/>
        <v/>
      </c>
      <c r="R199" s="451" t="str">
        <f t="shared" si="284"/>
        <v/>
      </c>
      <c r="S199" s="452" t="str">
        <f t="shared" si="284"/>
        <v/>
      </c>
      <c r="T199" s="452" t="str">
        <f t="shared" si="284"/>
        <v/>
      </c>
      <c r="U199" s="452" t="str">
        <f t="shared" si="284"/>
        <v/>
      </c>
      <c r="V199" s="453" t="str">
        <f t="shared" si="284"/>
        <v/>
      </c>
      <c r="W199" s="451" t="str">
        <f t="shared" si="284"/>
        <v/>
      </c>
      <c r="X199" s="452" t="str">
        <f t="shared" si="284"/>
        <v/>
      </c>
      <c r="Y199" s="452" t="str">
        <f t="shared" si="284"/>
        <v/>
      </c>
      <c r="Z199" s="452" t="str">
        <f t="shared" si="284"/>
        <v/>
      </c>
      <c r="AA199" s="453" t="str">
        <f t="shared" si="284"/>
        <v/>
      </c>
      <c r="AB199" s="451" t="str">
        <f t="shared" si="284"/>
        <v/>
      </c>
      <c r="AC199" s="452" t="str">
        <f t="shared" si="296"/>
        <v/>
      </c>
      <c r="AD199" s="452" t="str">
        <f t="shared" si="296"/>
        <v/>
      </c>
      <c r="AE199" s="452" t="str">
        <f t="shared" si="296"/>
        <v/>
      </c>
      <c r="AF199" s="453" t="str">
        <f t="shared" si="296"/>
        <v/>
      </c>
      <c r="AG199" s="451" t="str">
        <f t="shared" si="296"/>
        <v/>
      </c>
      <c r="AH199" s="452" t="str">
        <f t="shared" si="296"/>
        <v/>
      </c>
      <c r="AI199" s="452" t="str">
        <f t="shared" si="296"/>
        <v/>
      </c>
      <c r="AJ199" s="452" t="str">
        <f t="shared" si="296"/>
        <v/>
      </c>
      <c r="AK199" s="453" t="str">
        <f t="shared" si="296"/>
        <v/>
      </c>
      <c r="AL199" s="451" t="str">
        <f t="shared" si="296"/>
        <v/>
      </c>
      <c r="AM199" s="452" t="str">
        <f t="shared" si="296"/>
        <v/>
      </c>
      <c r="AN199" s="452" t="str">
        <f t="shared" si="296"/>
        <v/>
      </c>
      <c r="AO199" s="452" t="str">
        <f t="shared" si="296"/>
        <v/>
      </c>
      <c r="AP199" s="453" t="str">
        <f t="shared" si="296"/>
        <v/>
      </c>
      <c r="AQ199" s="451" t="str">
        <f t="shared" si="296"/>
        <v/>
      </c>
      <c r="AR199" s="452" t="str">
        <f t="shared" si="296"/>
        <v/>
      </c>
      <c r="AS199" s="452" t="str">
        <f t="shared" si="291"/>
        <v/>
      </c>
      <c r="AT199" s="452" t="str">
        <f t="shared" si="291"/>
        <v/>
      </c>
      <c r="AU199" s="453" t="str">
        <f t="shared" si="291"/>
        <v/>
      </c>
      <c r="AV199" s="451" t="str">
        <f t="shared" si="291"/>
        <v/>
      </c>
      <c r="AW199" s="452" t="str">
        <f t="shared" si="291"/>
        <v/>
      </c>
      <c r="AX199" s="452" t="str">
        <f t="shared" si="291"/>
        <v/>
      </c>
      <c r="AY199" s="452" t="str">
        <f t="shared" si="291"/>
        <v/>
      </c>
      <c r="AZ199" s="453" t="str">
        <f t="shared" si="291"/>
        <v/>
      </c>
      <c r="BA199" s="451" t="str">
        <f t="shared" si="291"/>
        <v/>
      </c>
      <c r="BB199" s="452" t="str">
        <f t="shared" si="291"/>
        <v/>
      </c>
      <c r="BC199" s="452" t="str">
        <f t="shared" si="291"/>
        <v/>
      </c>
      <c r="BD199" s="452" t="str">
        <f t="shared" si="291"/>
        <v/>
      </c>
      <c r="BE199" s="453" t="str">
        <f t="shared" si="291"/>
        <v/>
      </c>
      <c r="BF199" s="451" t="str">
        <f t="shared" si="291"/>
        <v/>
      </c>
      <c r="BG199" s="452" t="str">
        <f t="shared" si="291"/>
        <v/>
      </c>
      <c r="BH199" s="452" t="str">
        <f t="shared" si="291"/>
        <v/>
      </c>
      <c r="BI199" s="452" t="str">
        <f t="shared" si="292"/>
        <v/>
      </c>
      <c r="BJ199" s="453" t="str">
        <f t="shared" si="292"/>
        <v/>
      </c>
      <c r="BK199" s="451" t="str">
        <f t="shared" si="292"/>
        <v/>
      </c>
      <c r="BL199" s="452" t="str">
        <f t="shared" si="292"/>
        <v/>
      </c>
      <c r="BM199" s="452" t="str">
        <f t="shared" si="292"/>
        <v/>
      </c>
      <c r="BN199" s="452" t="str">
        <f t="shared" si="292"/>
        <v/>
      </c>
      <c r="BO199" s="453" t="str">
        <f t="shared" si="292"/>
        <v/>
      </c>
      <c r="BP199" s="451" t="str">
        <f t="shared" si="292"/>
        <v/>
      </c>
      <c r="BQ199" s="452" t="str">
        <f t="shared" si="292"/>
        <v/>
      </c>
      <c r="BR199" s="452" t="str">
        <f t="shared" si="292"/>
        <v/>
      </c>
      <c r="BS199" s="452" t="str">
        <f t="shared" si="292"/>
        <v/>
      </c>
      <c r="BT199" s="453" t="str">
        <f t="shared" si="292"/>
        <v/>
      </c>
      <c r="BU199" s="451" t="str">
        <f t="shared" si="292"/>
        <v/>
      </c>
      <c r="BV199" s="452" t="str">
        <f t="shared" si="292"/>
        <v/>
      </c>
      <c r="BW199" s="452" t="str">
        <f t="shared" si="292"/>
        <v/>
      </c>
      <c r="BX199" s="452" t="str">
        <f t="shared" si="292"/>
        <v/>
      </c>
      <c r="BY199" s="453" t="str">
        <f t="shared" si="293"/>
        <v/>
      </c>
      <c r="BZ199" s="451" t="str">
        <f t="shared" si="293"/>
        <v/>
      </c>
      <c r="CA199" s="452" t="str">
        <f t="shared" si="293"/>
        <v/>
      </c>
      <c r="CB199" s="452" t="str">
        <f t="shared" si="293"/>
        <v/>
      </c>
      <c r="CC199" s="452" t="str">
        <f t="shared" si="293"/>
        <v/>
      </c>
      <c r="CD199" s="453" t="str">
        <f t="shared" si="293"/>
        <v/>
      </c>
      <c r="CE199" s="451" t="str">
        <f t="shared" si="293"/>
        <v/>
      </c>
      <c r="CF199" s="452" t="str">
        <f t="shared" si="293"/>
        <v/>
      </c>
      <c r="CG199" s="452" t="str">
        <f t="shared" si="293"/>
        <v/>
      </c>
      <c r="CH199" s="452" t="str">
        <f t="shared" si="293"/>
        <v/>
      </c>
      <c r="CI199" s="453" t="str">
        <f t="shared" si="293"/>
        <v/>
      </c>
      <c r="CJ199" s="451" t="str">
        <f t="shared" si="293"/>
        <v/>
      </c>
      <c r="CK199" s="452" t="str">
        <f t="shared" si="293"/>
        <v/>
      </c>
      <c r="CL199" s="452" t="str">
        <f t="shared" si="293"/>
        <v/>
      </c>
      <c r="CM199" s="452" t="str">
        <f t="shared" si="293"/>
        <v/>
      </c>
      <c r="CN199" s="453" t="str">
        <f t="shared" si="293"/>
        <v/>
      </c>
      <c r="CO199" s="451" t="str">
        <f t="shared" si="294"/>
        <v/>
      </c>
      <c r="CP199" s="452" t="str">
        <f t="shared" si="294"/>
        <v/>
      </c>
      <c r="CQ199" s="452" t="str">
        <f t="shared" si="294"/>
        <v/>
      </c>
      <c r="CR199" s="452" t="str">
        <f t="shared" si="294"/>
        <v/>
      </c>
      <c r="CS199" s="453" t="str">
        <f t="shared" si="294"/>
        <v/>
      </c>
      <c r="CT199" s="451" t="str">
        <f t="shared" si="294"/>
        <v/>
      </c>
      <c r="CU199" s="452" t="str">
        <f t="shared" si="294"/>
        <v/>
      </c>
      <c r="CV199" s="452" t="str">
        <f t="shared" si="294"/>
        <v/>
      </c>
      <c r="CW199" s="452" t="str">
        <f t="shared" si="294"/>
        <v/>
      </c>
      <c r="CX199" s="453" t="str">
        <f t="shared" si="294"/>
        <v/>
      </c>
      <c r="CY199" s="451" t="str">
        <f t="shared" si="294"/>
        <v/>
      </c>
      <c r="CZ199" s="452" t="str">
        <f t="shared" si="294"/>
        <v/>
      </c>
      <c r="DA199" s="452" t="str">
        <f t="shared" si="294"/>
        <v/>
      </c>
      <c r="DB199" s="452" t="str">
        <f t="shared" si="294"/>
        <v/>
      </c>
      <c r="DC199" s="453" t="str">
        <f t="shared" si="294"/>
        <v/>
      </c>
      <c r="DD199" s="451" t="str">
        <f t="shared" si="294"/>
        <v/>
      </c>
      <c r="DE199" s="452" t="str">
        <f t="shared" si="295"/>
        <v/>
      </c>
      <c r="DF199" s="452" t="str">
        <f t="shared" si="295"/>
        <v/>
      </c>
      <c r="DG199" s="452" t="str">
        <f t="shared" si="295"/>
        <v/>
      </c>
      <c r="DH199" s="453" t="str">
        <f t="shared" si="295"/>
        <v/>
      </c>
      <c r="DI199" s="451" t="str">
        <f t="shared" si="295"/>
        <v/>
      </c>
      <c r="DJ199" s="452" t="str">
        <f t="shared" si="295"/>
        <v/>
      </c>
      <c r="DK199" s="452" t="str">
        <f t="shared" si="295"/>
        <v/>
      </c>
      <c r="DL199" s="452" t="str">
        <f t="shared" si="295"/>
        <v/>
      </c>
      <c r="DM199" s="453" t="str">
        <f t="shared" si="295"/>
        <v/>
      </c>
      <c r="DN199" s="451" t="str">
        <f t="shared" si="295"/>
        <v/>
      </c>
      <c r="DO199" s="452" t="str">
        <f t="shared" si="295"/>
        <v/>
      </c>
      <c r="DP199" s="452" t="str">
        <f t="shared" si="295"/>
        <v/>
      </c>
      <c r="DQ199" s="452" t="str">
        <f t="shared" si="295"/>
        <v/>
      </c>
      <c r="DR199" s="453" t="str">
        <f t="shared" si="295"/>
        <v/>
      </c>
      <c r="DS199" s="451" t="str">
        <f t="shared" si="295"/>
        <v/>
      </c>
      <c r="DT199" s="452" t="str">
        <f t="shared" si="295"/>
        <v/>
      </c>
      <c r="DU199" s="452" t="str">
        <f t="shared" si="297"/>
        <v/>
      </c>
      <c r="DV199" s="452" t="str">
        <f t="shared" si="297"/>
        <v/>
      </c>
      <c r="DW199" s="453" t="str">
        <f t="shared" si="297"/>
        <v/>
      </c>
      <c r="DX199" s="451" t="str">
        <f t="shared" si="297"/>
        <v/>
      </c>
      <c r="DY199" s="452" t="str">
        <f t="shared" si="297"/>
        <v/>
      </c>
      <c r="DZ199" s="452" t="str">
        <f t="shared" si="297"/>
        <v/>
      </c>
      <c r="EA199" s="452" t="str">
        <f t="shared" si="297"/>
        <v/>
      </c>
      <c r="EB199" s="453" t="str">
        <f t="shared" si="297"/>
        <v/>
      </c>
      <c r="EC199" s="451" t="str">
        <f t="shared" si="297"/>
        <v/>
      </c>
      <c r="ED199" s="452" t="str">
        <f t="shared" si="297"/>
        <v/>
      </c>
      <c r="EE199" s="452" t="str">
        <f t="shared" si="297"/>
        <v/>
      </c>
      <c r="EF199" s="452" t="str">
        <f t="shared" si="297"/>
        <v/>
      </c>
      <c r="EG199" s="453" t="str">
        <f t="shared" si="297"/>
        <v/>
      </c>
      <c r="EH199" s="451" t="str">
        <f t="shared" si="297"/>
        <v/>
      </c>
      <c r="EI199" s="452" t="str">
        <f t="shared" si="297"/>
        <v/>
      </c>
      <c r="EJ199" s="452" t="str">
        <f t="shared" si="297"/>
        <v/>
      </c>
      <c r="EK199" s="452" t="str">
        <f t="shared" si="301"/>
        <v/>
      </c>
      <c r="EL199" s="453" t="str">
        <f t="shared" si="301"/>
        <v/>
      </c>
      <c r="EM199" s="451" t="str">
        <f t="shared" si="301"/>
        <v/>
      </c>
      <c r="EN199" s="452" t="str">
        <f t="shared" si="301"/>
        <v/>
      </c>
      <c r="EO199" s="452" t="str">
        <f t="shared" si="301"/>
        <v/>
      </c>
      <c r="EP199" s="452" t="str">
        <f t="shared" si="301"/>
        <v/>
      </c>
      <c r="EQ199" s="453" t="str">
        <f t="shared" si="301"/>
        <v/>
      </c>
      <c r="ER199" s="451" t="str">
        <f t="shared" si="301"/>
        <v/>
      </c>
      <c r="ES199" s="452" t="str">
        <f t="shared" si="301"/>
        <v/>
      </c>
      <c r="ET199" s="452" t="str">
        <f t="shared" si="301"/>
        <v/>
      </c>
      <c r="EU199" s="452" t="str">
        <f t="shared" si="301"/>
        <v/>
      </c>
      <c r="EV199" s="453" t="str">
        <f t="shared" si="301"/>
        <v/>
      </c>
      <c r="EW199" s="451" t="str">
        <f t="shared" si="301"/>
        <v/>
      </c>
      <c r="EX199" s="452" t="str">
        <f t="shared" si="301"/>
        <v/>
      </c>
      <c r="EY199" s="452" t="str">
        <f t="shared" si="301"/>
        <v/>
      </c>
      <c r="EZ199" s="452" t="str">
        <f t="shared" si="301"/>
        <v/>
      </c>
      <c r="FA199" s="453" t="str">
        <f t="shared" si="302"/>
        <v/>
      </c>
      <c r="FB199" s="451" t="str">
        <f t="shared" si="302"/>
        <v/>
      </c>
      <c r="FC199" s="452" t="str">
        <f t="shared" si="302"/>
        <v/>
      </c>
      <c r="FD199" s="452" t="str">
        <f t="shared" si="302"/>
        <v/>
      </c>
      <c r="FE199" s="452" t="str">
        <f t="shared" si="302"/>
        <v/>
      </c>
      <c r="FF199" s="453" t="str">
        <f t="shared" si="302"/>
        <v/>
      </c>
      <c r="FG199" s="451" t="str">
        <f t="shared" si="302"/>
        <v/>
      </c>
      <c r="FH199" s="452" t="str">
        <f t="shared" si="302"/>
        <v/>
      </c>
      <c r="FI199" s="452" t="str">
        <f t="shared" si="302"/>
        <v/>
      </c>
      <c r="FJ199" s="452" t="str">
        <f t="shared" si="302"/>
        <v/>
      </c>
      <c r="FK199" s="453" t="str">
        <f t="shared" si="302"/>
        <v/>
      </c>
      <c r="FL199" s="451" t="str">
        <f t="shared" si="302"/>
        <v/>
      </c>
      <c r="FM199" s="452" t="str">
        <f t="shared" si="302"/>
        <v/>
      </c>
      <c r="FN199" s="452" t="str">
        <f t="shared" si="302"/>
        <v/>
      </c>
      <c r="FO199" s="452" t="str">
        <f t="shared" si="302"/>
        <v/>
      </c>
      <c r="FP199" s="453" t="str">
        <f t="shared" si="302"/>
        <v/>
      </c>
      <c r="FQ199" s="451" t="str">
        <f t="shared" si="303"/>
        <v/>
      </c>
      <c r="FR199" s="452" t="str">
        <f t="shared" si="303"/>
        <v/>
      </c>
      <c r="FS199" s="452" t="str">
        <f t="shared" si="303"/>
        <v/>
      </c>
      <c r="FT199" s="452" t="str">
        <f t="shared" si="303"/>
        <v/>
      </c>
      <c r="FU199" s="453" t="str">
        <f t="shared" si="303"/>
        <v/>
      </c>
      <c r="FV199" s="451" t="str">
        <f t="shared" si="303"/>
        <v/>
      </c>
      <c r="FW199" s="452" t="str">
        <f t="shared" si="303"/>
        <v/>
      </c>
      <c r="FX199" s="452" t="str">
        <f t="shared" si="303"/>
        <v/>
      </c>
      <c r="FY199" s="452" t="str">
        <f t="shared" si="303"/>
        <v/>
      </c>
      <c r="FZ199" s="453" t="str">
        <f t="shared" si="303"/>
        <v/>
      </c>
      <c r="GA199" s="451" t="str">
        <f t="shared" si="303"/>
        <v/>
      </c>
      <c r="GB199" s="452" t="str">
        <f t="shared" si="303"/>
        <v/>
      </c>
      <c r="GC199" s="452" t="str">
        <f t="shared" si="303"/>
        <v/>
      </c>
      <c r="GD199" s="452" t="str">
        <f t="shared" si="303"/>
        <v/>
      </c>
      <c r="GE199" s="453" t="str">
        <f t="shared" si="303"/>
        <v/>
      </c>
      <c r="GF199" s="451" t="str">
        <f t="shared" si="303"/>
        <v/>
      </c>
      <c r="GG199" s="452" t="str">
        <f t="shared" si="299"/>
        <v/>
      </c>
      <c r="GH199" s="452" t="str">
        <f t="shared" si="299"/>
        <v/>
      </c>
      <c r="GI199" s="452" t="str">
        <f t="shared" si="299"/>
        <v/>
      </c>
      <c r="GJ199" s="453" t="str">
        <f t="shared" si="299"/>
        <v/>
      </c>
      <c r="GK199" s="451" t="str">
        <f t="shared" si="299"/>
        <v/>
      </c>
      <c r="GL199" s="452" t="str">
        <f t="shared" si="299"/>
        <v/>
      </c>
      <c r="GM199" s="452" t="str">
        <f t="shared" si="299"/>
        <v/>
      </c>
      <c r="GN199" s="452" t="str">
        <f t="shared" si="299"/>
        <v/>
      </c>
      <c r="GO199" s="453" t="str">
        <f t="shared" si="299"/>
        <v/>
      </c>
      <c r="GP199" s="451" t="str">
        <f t="shared" si="299"/>
        <v/>
      </c>
      <c r="GQ199" s="452" t="str">
        <f t="shared" si="299"/>
        <v/>
      </c>
      <c r="GR199" s="452" t="str">
        <f t="shared" si="299"/>
        <v/>
      </c>
      <c r="GS199" s="452" t="str">
        <f t="shared" si="299"/>
        <v/>
      </c>
      <c r="GT199" s="453" t="str">
        <f t="shared" si="299"/>
        <v/>
      </c>
      <c r="GU199" s="451" t="str">
        <f t="shared" si="299"/>
        <v/>
      </c>
      <c r="GV199" s="452" t="str">
        <f t="shared" si="299"/>
        <v/>
      </c>
      <c r="GW199" s="452" t="str">
        <f t="shared" si="300"/>
        <v/>
      </c>
      <c r="GX199" s="452" t="str">
        <f t="shared" si="300"/>
        <v/>
      </c>
      <c r="GY199" s="453" t="str">
        <f t="shared" si="300"/>
        <v/>
      </c>
      <c r="GZ199" s="451" t="str">
        <f t="shared" si="300"/>
        <v/>
      </c>
      <c r="HA199" s="452" t="str">
        <f t="shared" si="300"/>
        <v/>
      </c>
      <c r="HB199" s="452" t="str">
        <f t="shared" si="300"/>
        <v/>
      </c>
      <c r="HC199" s="452" t="str">
        <f t="shared" si="300"/>
        <v/>
      </c>
      <c r="HD199" s="453" t="str">
        <f t="shared" si="300"/>
        <v/>
      </c>
      <c r="HE199" s="451" t="str">
        <f t="shared" si="300"/>
        <v/>
      </c>
      <c r="HF199" s="452" t="str">
        <f t="shared" si="300"/>
        <v/>
      </c>
      <c r="HG199" s="452" t="str">
        <f t="shared" si="300"/>
        <v/>
      </c>
      <c r="HH199" s="452" t="str">
        <f t="shared" si="300"/>
        <v/>
      </c>
      <c r="HI199" s="453" t="str">
        <f t="shared" si="300"/>
        <v/>
      </c>
      <c r="HJ199" s="451" t="str">
        <f t="shared" si="300"/>
        <v/>
      </c>
      <c r="HK199" s="452" t="str">
        <f t="shared" si="300"/>
        <v/>
      </c>
      <c r="HL199" s="452" t="str">
        <f t="shared" si="300"/>
        <v/>
      </c>
      <c r="HM199" s="452" t="str">
        <f t="shared" si="304"/>
        <v/>
      </c>
      <c r="HN199" s="453" t="str">
        <f t="shared" si="304"/>
        <v/>
      </c>
      <c r="HO199" s="451" t="str">
        <f t="shared" si="304"/>
        <v/>
      </c>
      <c r="HP199" s="452" t="str">
        <f t="shared" si="304"/>
        <v/>
      </c>
      <c r="HQ199" s="452" t="str">
        <f t="shared" si="304"/>
        <v/>
      </c>
      <c r="HR199" s="452" t="str">
        <f t="shared" si="304"/>
        <v/>
      </c>
      <c r="HS199" s="453" t="str">
        <f t="shared" si="304"/>
        <v/>
      </c>
      <c r="HT199" s="451" t="str">
        <f t="shared" si="304"/>
        <v/>
      </c>
      <c r="HU199" s="452" t="str">
        <f t="shared" si="304"/>
        <v/>
      </c>
      <c r="HV199" s="452" t="str">
        <f t="shared" si="304"/>
        <v/>
      </c>
      <c r="HW199" s="452" t="str">
        <f t="shared" si="304"/>
        <v/>
      </c>
      <c r="HX199" s="453" t="str">
        <f t="shared" si="304"/>
        <v/>
      </c>
      <c r="HY199" s="451" t="str">
        <f t="shared" si="304"/>
        <v/>
      </c>
      <c r="HZ199" s="452" t="str">
        <f t="shared" si="304"/>
        <v/>
      </c>
      <c r="IA199" s="452" t="str">
        <f t="shared" si="304"/>
        <v/>
      </c>
      <c r="IB199" s="452" t="str">
        <f t="shared" si="304"/>
        <v/>
      </c>
      <c r="IC199" s="453" t="str">
        <f t="shared" si="305"/>
        <v/>
      </c>
      <c r="ID199" s="451" t="str">
        <f t="shared" si="305"/>
        <v/>
      </c>
      <c r="IE199" s="452" t="str">
        <f t="shared" si="305"/>
        <v/>
      </c>
      <c r="IF199" s="452" t="str">
        <f t="shared" si="305"/>
        <v/>
      </c>
      <c r="IG199" s="452" t="str">
        <f t="shared" si="305"/>
        <v/>
      </c>
      <c r="IH199" s="453" t="str">
        <f t="shared" si="305"/>
        <v/>
      </c>
      <c r="II199" s="451" t="str">
        <f t="shared" si="305"/>
        <v/>
      </c>
      <c r="IJ199" s="452" t="str">
        <f t="shared" si="305"/>
        <v/>
      </c>
      <c r="IK199" s="452" t="str">
        <f t="shared" si="305"/>
        <v/>
      </c>
      <c r="IL199" s="452" t="str">
        <f t="shared" si="305"/>
        <v/>
      </c>
      <c r="IM199" s="453" t="str">
        <f t="shared" si="305"/>
        <v/>
      </c>
      <c r="IN199" s="451" t="str">
        <f t="shared" si="305"/>
        <v/>
      </c>
      <c r="IO199" s="452" t="str">
        <f t="shared" si="282"/>
        <v/>
      </c>
      <c r="IP199" s="452" t="str">
        <f t="shared" si="282"/>
        <v/>
      </c>
      <c r="IQ199" s="452" t="str">
        <f t="shared" si="282"/>
        <v/>
      </c>
      <c r="IR199" s="453" t="str">
        <f t="shared" si="282"/>
        <v/>
      </c>
    </row>
    <row r="200" spans="1:252" x14ac:dyDescent="0.2">
      <c r="A200" s="461">
        <v>18.899999999999999</v>
      </c>
      <c r="C200" s="447" t="s">
        <v>1359</v>
      </c>
      <c r="D200" s="447"/>
      <c r="E200" s="448"/>
      <c r="F200" s="448"/>
      <c r="G200" s="448"/>
      <c r="H200" s="448"/>
      <c r="I200" s="448"/>
      <c r="J200" s="449" t="str">
        <f t="shared" si="289"/>
        <v/>
      </c>
      <c r="K200" s="449" t="str">
        <f t="shared" si="290"/>
        <v/>
      </c>
      <c r="L200" s="450">
        <f t="shared" si="285"/>
        <v>0</v>
      </c>
      <c r="M200" s="451" t="str">
        <f t="shared" si="284"/>
        <v/>
      </c>
      <c r="N200" s="452" t="str">
        <f t="shared" si="284"/>
        <v/>
      </c>
      <c r="O200" s="452" t="str">
        <f t="shared" si="284"/>
        <v/>
      </c>
      <c r="P200" s="452" t="str">
        <f t="shared" si="284"/>
        <v/>
      </c>
      <c r="Q200" s="453" t="str">
        <f t="shared" si="284"/>
        <v/>
      </c>
      <c r="R200" s="451" t="str">
        <f t="shared" si="284"/>
        <v/>
      </c>
      <c r="S200" s="452" t="str">
        <f t="shared" si="284"/>
        <v/>
      </c>
      <c r="T200" s="452" t="str">
        <f t="shared" si="284"/>
        <v/>
      </c>
      <c r="U200" s="452" t="str">
        <f t="shared" si="284"/>
        <v/>
      </c>
      <c r="V200" s="453" t="str">
        <f t="shared" si="284"/>
        <v/>
      </c>
      <c r="W200" s="451" t="str">
        <f t="shared" si="284"/>
        <v/>
      </c>
      <c r="X200" s="452" t="str">
        <f t="shared" si="284"/>
        <v/>
      </c>
      <c r="Y200" s="452" t="str">
        <f t="shared" si="284"/>
        <v/>
      </c>
      <c r="Z200" s="452" t="str">
        <f t="shared" si="284"/>
        <v/>
      </c>
      <c r="AA200" s="453" t="str">
        <f t="shared" si="284"/>
        <v/>
      </c>
      <c r="AB200" s="451" t="str">
        <f t="shared" si="284"/>
        <v/>
      </c>
      <c r="AC200" s="452" t="str">
        <f t="shared" si="296"/>
        <v/>
      </c>
      <c r="AD200" s="452" t="str">
        <f t="shared" si="296"/>
        <v/>
      </c>
      <c r="AE200" s="452" t="str">
        <f t="shared" si="296"/>
        <v/>
      </c>
      <c r="AF200" s="453" t="str">
        <f t="shared" si="296"/>
        <v/>
      </c>
      <c r="AG200" s="451" t="str">
        <f t="shared" si="296"/>
        <v/>
      </c>
      <c r="AH200" s="452" t="str">
        <f t="shared" si="296"/>
        <v/>
      </c>
      <c r="AI200" s="452" t="str">
        <f t="shared" si="296"/>
        <v/>
      </c>
      <c r="AJ200" s="452" t="str">
        <f t="shared" si="296"/>
        <v/>
      </c>
      <c r="AK200" s="453" t="str">
        <f t="shared" si="296"/>
        <v/>
      </c>
      <c r="AL200" s="451" t="str">
        <f t="shared" si="296"/>
        <v/>
      </c>
      <c r="AM200" s="452" t="str">
        <f t="shared" si="296"/>
        <v/>
      </c>
      <c r="AN200" s="452" t="str">
        <f t="shared" si="296"/>
        <v/>
      </c>
      <c r="AO200" s="452" t="str">
        <f t="shared" si="296"/>
        <v/>
      </c>
      <c r="AP200" s="453" t="str">
        <f t="shared" si="296"/>
        <v/>
      </c>
      <c r="AQ200" s="451" t="str">
        <f t="shared" si="296"/>
        <v/>
      </c>
      <c r="AR200" s="452" t="str">
        <f t="shared" si="296"/>
        <v/>
      </c>
      <c r="AS200" s="452" t="str">
        <f t="shared" si="291"/>
        <v/>
      </c>
      <c r="AT200" s="452" t="str">
        <f t="shared" si="291"/>
        <v/>
      </c>
      <c r="AU200" s="453" t="str">
        <f t="shared" si="291"/>
        <v/>
      </c>
      <c r="AV200" s="451" t="str">
        <f t="shared" si="291"/>
        <v/>
      </c>
      <c r="AW200" s="452" t="str">
        <f t="shared" si="291"/>
        <v/>
      </c>
      <c r="AX200" s="452" t="str">
        <f t="shared" si="291"/>
        <v/>
      </c>
      <c r="AY200" s="452" t="str">
        <f t="shared" si="291"/>
        <v/>
      </c>
      <c r="AZ200" s="453" t="str">
        <f t="shared" si="291"/>
        <v/>
      </c>
      <c r="BA200" s="451" t="str">
        <f t="shared" si="291"/>
        <v/>
      </c>
      <c r="BB200" s="452" t="str">
        <f t="shared" si="291"/>
        <v/>
      </c>
      <c r="BC200" s="452" t="str">
        <f t="shared" si="291"/>
        <v/>
      </c>
      <c r="BD200" s="452" t="str">
        <f t="shared" si="291"/>
        <v/>
      </c>
      <c r="BE200" s="453" t="str">
        <f t="shared" si="291"/>
        <v/>
      </c>
      <c r="BF200" s="451" t="str">
        <f t="shared" si="291"/>
        <v/>
      </c>
      <c r="BG200" s="452" t="str">
        <f t="shared" si="291"/>
        <v/>
      </c>
      <c r="BH200" s="452" t="str">
        <f t="shared" si="291"/>
        <v/>
      </c>
      <c r="BI200" s="452" t="str">
        <f t="shared" si="292"/>
        <v/>
      </c>
      <c r="BJ200" s="453" t="str">
        <f t="shared" si="292"/>
        <v/>
      </c>
      <c r="BK200" s="451" t="str">
        <f t="shared" si="292"/>
        <v/>
      </c>
      <c r="BL200" s="452" t="str">
        <f t="shared" si="292"/>
        <v/>
      </c>
      <c r="BM200" s="452" t="str">
        <f t="shared" si="292"/>
        <v/>
      </c>
      <c r="BN200" s="452" t="str">
        <f t="shared" si="292"/>
        <v/>
      </c>
      <c r="BO200" s="453" t="str">
        <f t="shared" si="292"/>
        <v/>
      </c>
      <c r="BP200" s="451" t="str">
        <f t="shared" si="292"/>
        <v/>
      </c>
      <c r="BQ200" s="452" t="str">
        <f t="shared" si="292"/>
        <v/>
      </c>
      <c r="BR200" s="452" t="str">
        <f t="shared" si="292"/>
        <v/>
      </c>
      <c r="BS200" s="452" t="str">
        <f t="shared" si="292"/>
        <v/>
      </c>
      <c r="BT200" s="453" t="str">
        <f t="shared" si="292"/>
        <v/>
      </c>
      <c r="BU200" s="451" t="str">
        <f t="shared" si="292"/>
        <v/>
      </c>
      <c r="BV200" s="452" t="str">
        <f t="shared" si="292"/>
        <v/>
      </c>
      <c r="BW200" s="452" t="str">
        <f t="shared" si="292"/>
        <v/>
      </c>
      <c r="BX200" s="452" t="str">
        <f t="shared" si="292"/>
        <v/>
      </c>
      <c r="BY200" s="453" t="str">
        <f t="shared" si="293"/>
        <v/>
      </c>
      <c r="BZ200" s="451" t="str">
        <f t="shared" si="293"/>
        <v/>
      </c>
      <c r="CA200" s="452" t="str">
        <f t="shared" si="293"/>
        <v/>
      </c>
      <c r="CB200" s="452" t="str">
        <f t="shared" si="293"/>
        <v/>
      </c>
      <c r="CC200" s="452" t="str">
        <f t="shared" si="293"/>
        <v/>
      </c>
      <c r="CD200" s="453" t="str">
        <f t="shared" si="293"/>
        <v/>
      </c>
      <c r="CE200" s="451" t="str">
        <f t="shared" si="293"/>
        <v/>
      </c>
      <c r="CF200" s="452" t="str">
        <f t="shared" si="293"/>
        <v/>
      </c>
      <c r="CG200" s="452" t="str">
        <f t="shared" si="293"/>
        <v/>
      </c>
      <c r="CH200" s="452" t="str">
        <f t="shared" si="293"/>
        <v/>
      </c>
      <c r="CI200" s="453" t="str">
        <f t="shared" si="293"/>
        <v/>
      </c>
      <c r="CJ200" s="451" t="str">
        <f t="shared" si="293"/>
        <v/>
      </c>
      <c r="CK200" s="452" t="str">
        <f t="shared" si="293"/>
        <v/>
      </c>
      <c r="CL200" s="452" t="str">
        <f t="shared" si="293"/>
        <v/>
      </c>
      <c r="CM200" s="452" t="str">
        <f t="shared" si="293"/>
        <v/>
      </c>
      <c r="CN200" s="453" t="str">
        <f t="shared" si="293"/>
        <v/>
      </c>
      <c r="CO200" s="451" t="str">
        <f t="shared" si="294"/>
        <v/>
      </c>
      <c r="CP200" s="452" t="str">
        <f t="shared" si="294"/>
        <v/>
      </c>
      <c r="CQ200" s="452" t="str">
        <f t="shared" si="294"/>
        <v/>
      </c>
      <c r="CR200" s="452" t="str">
        <f t="shared" si="294"/>
        <v/>
      </c>
      <c r="CS200" s="453" t="str">
        <f t="shared" si="294"/>
        <v/>
      </c>
      <c r="CT200" s="451" t="str">
        <f t="shared" si="294"/>
        <v/>
      </c>
      <c r="CU200" s="452" t="str">
        <f t="shared" si="294"/>
        <v/>
      </c>
      <c r="CV200" s="452" t="str">
        <f t="shared" si="294"/>
        <v/>
      </c>
      <c r="CW200" s="452" t="str">
        <f t="shared" si="294"/>
        <v/>
      </c>
      <c r="CX200" s="453" t="str">
        <f t="shared" si="294"/>
        <v/>
      </c>
      <c r="CY200" s="451" t="str">
        <f t="shared" si="294"/>
        <v/>
      </c>
      <c r="CZ200" s="452" t="str">
        <f t="shared" si="294"/>
        <v/>
      </c>
      <c r="DA200" s="452" t="str">
        <f t="shared" si="294"/>
        <v/>
      </c>
      <c r="DB200" s="452" t="str">
        <f t="shared" si="294"/>
        <v/>
      </c>
      <c r="DC200" s="453" t="str">
        <f t="shared" si="294"/>
        <v/>
      </c>
      <c r="DD200" s="451" t="str">
        <f t="shared" si="294"/>
        <v/>
      </c>
      <c r="DE200" s="452" t="str">
        <f t="shared" si="295"/>
        <v/>
      </c>
      <c r="DF200" s="452" t="str">
        <f t="shared" si="295"/>
        <v/>
      </c>
      <c r="DG200" s="452" t="str">
        <f t="shared" si="295"/>
        <v/>
      </c>
      <c r="DH200" s="453" t="str">
        <f t="shared" si="295"/>
        <v/>
      </c>
      <c r="DI200" s="451" t="str">
        <f t="shared" si="295"/>
        <v/>
      </c>
      <c r="DJ200" s="452" t="str">
        <f t="shared" si="295"/>
        <v/>
      </c>
      <c r="DK200" s="452" t="str">
        <f t="shared" si="295"/>
        <v/>
      </c>
      <c r="DL200" s="452" t="str">
        <f t="shared" si="295"/>
        <v/>
      </c>
      <c r="DM200" s="453" t="str">
        <f t="shared" si="295"/>
        <v/>
      </c>
      <c r="DN200" s="451" t="str">
        <f t="shared" si="295"/>
        <v/>
      </c>
      <c r="DO200" s="452" t="str">
        <f t="shared" si="295"/>
        <v/>
      </c>
      <c r="DP200" s="452" t="str">
        <f t="shared" si="295"/>
        <v/>
      </c>
      <c r="DQ200" s="452" t="str">
        <f t="shared" si="295"/>
        <v/>
      </c>
      <c r="DR200" s="453" t="str">
        <f t="shared" si="295"/>
        <v/>
      </c>
      <c r="DS200" s="451" t="str">
        <f t="shared" si="295"/>
        <v/>
      </c>
      <c r="DT200" s="452" t="str">
        <f t="shared" si="295"/>
        <v/>
      </c>
      <c r="DU200" s="452" t="str">
        <f t="shared" si="297"/>
        <v/>
      </c>
      <c r="DV200" s="452" t="str">
        <f t="shared" si="297"/>
        <v/>
      </c>
      <c r="DW200" s="453" t="str">
        <f t="shared" si="297"/>
        <v/>
      </c>
      <c r="DX200" s="451" t="str">
        <f t="shared" si="297"/>
        <v/>
      </c>
      <c r="DY200" s="452" t="str">
        <f t="shared" si="297"/>
        <v/>
      </c>
      <c r="DZ200" s="452" t="str">
        <f t="shared" si="297"/>
        <v/>
      </c>
      <c r="EA200" s="452" t="str">
        <f t="shared" si="297"/>
        <v/>
      </c>
      <c r="EB200" s="453" t="str">
        <f t="shared" si="297"/>
        <v/>
      </c>
      <c r="EC200" s="451" t="str">
        <f t="shared" si="297"/>
        <v/>
      </c>
      <c r="ED200" s="452" t="str">
        <f t="shared" si="297"/>
        <v/>
      </c>
      <c r="EE200" s="452" t="str">
        <f t="shared" si="297"/>
        <v/>
      </c>
      <c r="EF200" s="452" t="str">
        <f t="shared" si="297"/>
        <v/>
      </c>
      <c r="EG200" s="453" t="str">
        <f t="shared" si="297"/>
        <v/>
      </c>
      <c r="EH200" s="451" t="str">
        <f t="shared" si="297"/>
        <v/>
      </c>
      <c r="EI200" s="452" t="str">
        <f t="shared" si="297"/>
        <v/>
      </c>
      <c r="EJ200" s="452" t="str">
        <f t="shared" si="297"/>
        <v/>
      </c>
      <c r="EK200" s="452" t="str">
        <f t="shared" si="301"/>
        <v/>
      </c>
      <c r="EL200" s="453" t="str">
        <f t="shared" si="301"/>
        <v/>
      </c>
      <c r="EM200" s="451" t="str">
        <f t="shared" si="301"/>
        <v/>
      </c>
      <c r="EN200" s="452" t="str">
        <f t="shared" si="301"/>
        <v/>
      </c>
      <c r="EO200" s="452" t="str">
        <f t="shared" si="301"/>
        <v/>
      </c>
      <c r="EP200" s="452" t="str">
        <f t="shared" si="301"/>
        <v/>
      </c>
      <c r="EQ200" s="453" t="str">
        <f t="shared" si="301"/>
        <v/>
      </c>
      <c r="ER200" s="451" t="str">
        <f t="shared" si="301"/>
        <v/>
      </c>
      <c r="ES200" s="452" t="str">
        <f t="shared" si="301"/>
        <v/>
      </c>
      <c r="ET200" s="452" t="str">
        <f t="shared" si="301"/>
        <v/>
      </c>
      <c r="EU200" s="452" t="str">
        <f t="shared" si="301"/>
        <v/>
      </c>
      <c r="EV200" s="453" t="str">
        <f t="shared" si="301"/>
        <v/>
      </c>
      <c r="EW200" s="451" t="str">
        <f t="shared" si="301"/>
        <v/>
      </c>
      <c r="EX200" s="452" t="str">
        <f t="shared" si="301"/>
        <v/>
      </c>
      <c r="EY200" s="452" t="str">
        <f t="shared" si="301"/>
        <v/>
      </c>
      <c r="EZ200" s="452" t="str">
        <f t="shared" si="301"/>
        <v/>
      </c>
      <c r="FA200" s="453" t="str">
        <f t="shared" si="302"/>
        <v/>
      </c>
      <c r="FB200" s="451" t="str">
        <f t="shared" si="302"/>
        <v/>
      </c>
      <c r="FC200" s="452" t="str">
        <f t="shared" si="302"/>
        <v/>
      </c>
      <c r="FD200" s="452" t="str">
        <f t="shared" si="302"/>
        <v/>
      </c>
      <c r="FE200" s="452" t="str">
        <f t="shared" si="302"/>
        <v/>
      </c>
      <c r="FF200" s="453" t="str">
        <f t="shared" si="302"/>
        <v/>
      </c>
      <c r="FG200" s="451" t="str">
        <f t="shared" si="302"/>
        <v/>
      </c>
      <c r="FH200" s="452" t="str">
        <f t="shared" si="302"/>
        <v/>
      </c>
      <c r="FI200" s="452" t="str">
        <f t="shared" si="302"/>
        <v/>
      </c>
      <c r="FJ200" s="452" t="str">
        <f t="shared" si="302"/>
        <v/>
      </c>
      <c r="FK200" s="453" t="str">
        <f t="shared" si="302"/>
        <v/>
      </c>
      <c r="FL200" s="451" t="str">
        <f t="shared" si="302"/>
        <v/>
      </c>
      <c r="FM200" s="452" t="str">
        <f t="shared" si="302"/>
        <v/>
      </c>
      <c r="FN200" s="452" t="str">
        <f t="shared" si="302"/>
        <v/>
      </c>
      <c r="FO200" s="452" t="str">
        <f t="shared" si="302"/>
        <v/>
      </c>
      <c r="FP200" s="453" t="str">
        <f t="shared" si="302"/>
        <v/>
      </c>
      <c r="FQ200" s="451" t="str">
        <f t="shared" si="303"/>
        <v/>
      </c>
      <c r="FR200" s="452" t="str">
        <f t="shared" si="303"/>
        <v/>
      </c>
      <c r="FS200" s="452" t="str">
        <f t="shared" si="303"/>
        <v/>
      </c>
      <c r="FT200" s="452" t="str">
        <f t="shared" si="303"/>
        <v/>
      </c>
      <c r="FU200" s="453" t="str">
        <f t="shared" si="303"/>
        <v/>
      </c>
      <c r="FV200" s="451" t="str">
        <f t="shared" si="303"/>
        <v/>
      </c>
      <c r="FW200" s="452" t="str">
        <f t="shared" si="303"/>
        <v/>
      </c>
      <c r="FX200" s="452" t="str">
        <f t="shared" si="303"/>
        <v/>
      </c>
      <c r="FY200" s="452" t="str">
        <f t="shared" si="303"/>
        <v/>
      </c>
      <c r="FZ200" s="453" t="str">
        <f t="shared" si="303"/>
        <v/>
      </c>
      <c r="GA200" s="451" t="str">
        <f t="shared" si="303"/>
        <v/>
      </c>
      <c r="GB200" s="452" t="str">
        <f t="shared" si="303"/>
        <v/>
      </c>
      <c r="GC200" s="452" t="str">
        <f t="shared" si="303"/>
        <v/>
      </c>
      <c r="GD200" s="452" t="str">
        <f t="shared" si="303"/>
        <v/>
      </c>
      <c r="GE200" s="453" t="str">
        <f t="shared" si="303"/>
        <v/>
      </c>
      <c r="GF200" s="451" t="str">
        <f t="shared" si="303"/>
        <v/>
      </c>
      <c r="GG200" s="452" t="str">
        <f t="shared" si="299"/>
        <v/>
      </c>
      <c r="GH200" s="452" t="str">
        <f t="shared" si="299"/>
        <v/>
      </c>
      <c r="GI200" s="452" t="str">
        <f t="shared" si="299"/>
        <v/>
      </c>
      <c r="GJ200" s="453" t="str">
        <f t="shared" si="299"/>
        <v/>
      </c>
      <c r="GK200" s="451" t="str">
        <f t="shared" si="299"/>
        <v/>
      </c>
      <c r="GL200" s="452" t="str">
        <f t="shared" si="299"/>
        <v/>
      </c>
      <c r="GM200" s="452" t="str">
        <f t="shared" si="299"/>
        <v/>
      </c>
      <c r="GN200" s="452" t="str">
        <f t="shared" si="299"/>
        <v/>
      </c>
      <c r="GO200" s="453" t="str">
        <f t="shared" si="299"/>
        <v/>
      </c>
      <c r="GP200" s="451" t="str">
        <f t="shared" si="299"/>
        <v/>
      </c>
      <c r="GQ200" s="452" t="str">
        <f t="shared" si="299"/>
        <v/>
      </c>
      <c r="GR200" s="452" t="str">
        <f t="shared" si="299"/>
        <v/>
      </c>
      <c r="GS200" s="452" t="str">
        <f t="shared" si="299"/>
        <v/>
      </c>
      <c r="GT200" s="453" t="str">
        <f t="shared" si="299"/>
        <v/>
      </c>
      <c r="GU200" s="451" t="str">
        <f t="shared" si="299"/>
        <v/>
      </c>
      <c r="GV200" s="452" t="str">
        <f t="shared" si="299"/>
        <v/>
      </c>
      <c r="GW200" s="452" t="str">
        <f t="shared" si="300"/>
        <v/>
      </c>
      <c r="GX200" s="452" t="str">
        <f t="shared" si="300"/>
        <v/>
      </c>
      <c r="GY200" s="453" t="str">
        <f t="shared" si="300"/>
        <v/>
      </c>
      <c r="GZ200" s="451" t="str">
        <f t="shared" si="300"/>
        <v/>
      </c>
      <c r="HA200" s="452" t="str">
        <f t="shared" si="300"/>
        <v/>
      </c>
      <c r="HB200" s="452" t="str">
        <f t="shared" si="300"/>
        <v/>
      </c>
      <c r="HC200" s="452" t="str">
        <f t="shared" si="300"/>
        <v/>
      </c>
      <c r="HD200" s="453" t="str">
        <f t="shared" si="300"/>
        <v/>
      </c>
      <c r="HE200" s="451" t="str">
        <f t="shared" si="300"/>
        <v/>
      </c>
      <c r="HF200" s="452" t="str">
        <f t="shared" si="300"/>
        <v/>
      </c>
      <c r="HG200" s="452" t="str">
        <f t="shared" si="300"/>
        <v/>
      </c>
      <c r="HH200" s="452" t="str">
        <f t="shared" si="300"/>
        <v/>
      </c>
      <c r="HI200" s="453" t="str">
        <f t="shared" si="300"/>
        <v/>
      </c>
      <c r="HJ200" s="451" t="str">
        <f t="shared" si="300"/>
        <v/>
      </c>
      <c r="HK200" s="452" t="str">
        <f t="shared" si="300"/>
        <v/>
      </c>
      <c r="HL200" s="452" t="str">
        <f t="shared" si="300"/>
        <v/>
      </c>
      <c r="HM200" s="452" t="str">
        <f t="shared" si="304"/>
        <v/>
      </c>
      <c r="HN200" s="453" t="str">
        <f t="shared" si="304"/>
        <v/>
      </c>
      <c r="HO200" s="451" t="str">
        <f t="shared" si="304"/>
        <v/>
      </c>
      <c r="HP200" s="452" t="str">
        <f t="shared" si="304"/>
        <v/>
      </c>
      <c r="HQ200" s="452" t="str">
        <f t="shared" si="304"/>
        <v/>
      </c>
      <c r="HR200" s="452" t="str">
        <f t="shared" si="304"/>
        <v/>
      </c>
      <c r="HS200" s="453" t="str">
        <f t="shared" si="304"/>
        <v/>
      </c>
      <c r="HT200" s="451" t="str">
        <f t="shared" si="304"/>
        <v/>
      </c>
      <c r="HU200" s="452" t="str">
        <f t="shared" si="304"/>
        <v/>
      </c>
      <c r="HV200" s="452" t="str">
        <f t="shared" si="304"/>
        <v/>
      </c>
      <c r="HW200" s="452" t="str">
        <f t="shared" si="304"/>
        <v/>
      </c>
      <c r="HX200" s="453" t="str">
        <f t="shared" si="304"/>
        <v/>
      </c>
      <c r="HY200" s="451" t="str">
        <f t="shared" si="304"/>
        <v/>
      </c>
      <c r="HZ200" s="452" t="str">
        <f t="shared" si="304"/>
        <v/>
      </c>
      <c r="IA200" s="452" t="str">
        <f t="shared" si="304"/>
        <v/>
      </c>
      <c r="IB200" s="452" t="str">
        <f t="shared" si="304"/>
        <v/>
      </c>
      <c r="IC200" s="453" t="str">
        <f t="shared" si="305"/>
        <v/>
      </c>
      <c r="ID200" s="451" t="str">
        <f t="shared" si="305"/>
        <v/>
      </c>
      <c r="IE200" s="452" t="str">
        <f t="shared" si="305"/>
        <v/>
      </c>
      <c r="IF200" s="452" t="str">
        <f t="shared" si="305"/>
        <v/>
      </c>
      <c r="IG200" s="452" t="str">
        <f t="shared" si="305"/>
        <v/>
      </c>
      <c r="IH200" s="453" t="str">
        <f t="shared" si="305"/>
        <v/>
      </c>
      <c r="II200" s="451" t="str">
        <f t="shared" si="305"/>
        <v/>
      </c>
      <c r="IJ200" s="452" t="str">
        <f t="shared" si="305"/>
        <v/>
      </c>
      <c r="IK200" s="452" t="str">
        <f t="shared" si="305"/>
        <v/>
      </c>
      <c r="IL200" s="452" t="str">
        <f t="shared" si="305"/>
        <v/>
      </c>
      <c r="IM200" s="453" t="str">
        <f t="shared" si="305"/>
        <v/>
      </c>
      <c r="IN200" s="451" t="str">
        <f t="shared" si="305"/>
        <v/>
      </c>
      <c r="IO200" s="452" t="str">
        <f t="shared" si="305"/>
        <v/>
      </c>
      <c r="IP200" s="452" t="str">
        <f t="shared" si="305"/>
        <v/>
      </c>
      <c r="IQ200" s="452" t="str">
        <f t="shared" si="305"/>
        <v/>
      </c>
      <c r="IR200" s="453" t="str">
        <f t="shared" si="305"/>
        <v/>
      </c>
    </row>
    <row r="201" spans="1:252" x14ac:dyDescent="0.2">
      <c r="A201" s="462">
        <v>18.100000000000001</v>
      </c>
      <c r="B201" s="463"/>
      <c r="C201" s="464" t="s">
        <v>1360</v>
      </c>
      <c r="D201" s="464"/>
      <c r="E201" s="465"/>
      <c r="F201" s="465"/>
      <c r="G201" s="465"/>
      <c r="H201" s="465"/>
      <c r="I201" s="466"/>
      <c r="J201" s="467" t="str">
        <f t="shared" si="289"/>
        <v/>
      </c>
      <c r="K201" s="467" t="str">
        <f t="shared" si="290"/>
        <v/>
      </c>
      <c r="L201" s="468">
        <f t="shared" si="285"/>
        <v>0</v>
      </c>
      <c r="M201" s="469" t="str">
        <f t="shared" si="284"/>
        <v/>
      </c>
      <c r="N201" s="470" t="str">
        <f t="shared" si="284"/>
        <v/>
      </c>
      <c r="O201" s="470" t="str">
        <f t="shared" si="284"/>
        <v/>
      </c>
      <c r="P201" s="470" t="str">
        <f t="shared" si="284"/>
        <v/>
      </c>
      <c r="Q201" s="471" t="str">
        <f t="shared" si="284"/>
        <v/>
      </c>
      <c r="R201" s="469" t="str">
        <f t="shared" si="284"/>
        <v/>
      </c>
      <c r="S201" s="470" t="str">
        <f t="shared" si="284"/>
        <v/>
      </c>
      <c r="T201" s="470" t="str">
        <f t="shared" si="284"/>
        <v/>
      </c>
      <c r="U201" s="470" t="str">
        <f t="shared" si="284"/>
        <v/>
      </c>
      <c r="V201" s="471" t="str">
        <f t="shared" si="284"/>
        <v/>
      </c>
      <c r="W201" s="469" t="str">
        <f t="shared" si="284"/>
        <v/>
      </c>
      <c r="X201" s="470" t="str">
        <f t="shared" si="284"/>
        <v/>
      </c>
      <c r="Y201" s="470" t="str">
        <f t="shared" si="284"/>
        <v/>
      </c>
      <c r="Z201" s="470" t="str">
        <f t="shared" si="284"/>
        <v/>
      </c>
      <c r="AA201" s="471" t="str">
        <f t="shared" si="284"/>
        <v/>
      </c>
      <c r="AB201" s="469" t="str">
        <f t="shared" si="284"/>
        <v/>
      </c>
      <c r="AC201" s="470" t="str">
        <f t="shared" si="296"/>
        <v/>
      </c>
      <c r="AD201" s="470" t="str">
        <f t="shared" si="296"/>
        <v/>
      </c>
      <c r="AE201" s="470" t="str">
        <f t="shared" si="296"/>
        <v/>
      </c>
      <c r="AF201" s="471" t="str">
        <f t="shared" si="296"/>
        <v/>
      </c>
      <c r="AG201" s="469" t="str">
        <f t="shared" si="296"/>
        <v/>
      </c>
      <c r="AH201" s="470" t="str">
        <f t="shared" si="296"/>
        <v/>
      </c>
      <c r="AI201" s="470" t="str">
        <f t="shared" si="296"/>
        <v/>
      </c>
      <c r="AJ201" s="470" t="str">
        <f t="shared" si="296"/>
        <v/>
      </c>
      <c r="AK201" s="471" t="str">
        <f t="shared" si="296"/>
        <v/>
      </c>
      <c r="AL201" s="469" t="str">
        <f t="shared" si="296"/>
        <v/>
      </c>
      <c r="AM201" s="470" t="str">
        <f t="shared" si="296"/>
        <v/>
      </c>
      <c r="AN201" s="470" t="str">
        <f t="shared" si="296"/>
        <v/>
      </c>
      <c r="AO201" s="470" t="str">
        <f t="shared" si="296"/>
        <v/>
      </c>
      <c r="AP201" s="471" t="str">
        <f t="shared" si="296"/>
        <v/>
      </c>
      <c r="AQ201" s="469" t="str">
        <f t="shared" si="296"/>
        <v/>
      </c>
      <c r="AR201" s="470" t="str">
        <f t="shared" si="296"/>
        <v/>
      </c>
      <c r="AS201" s="470" t="str">
        <f t="shared" si="291"/>
        <v/>
      </c>
      <c r="AT201" s="470" t="str">
        <f t="shared" si="291"/>
        <v/>
      </c>
      <c r="AU201" s="471" t="str">
        <f t="shared" si="291"/>
        <v/>
      </c>
      <c r="AV201" s="469" t="str">
        <f t="shared" si="291"/>
        <v/>
      </c>
      <c r="AW201" s="470" t="str">
        <f t="shared" si="291"/>
        <v/>
      </c>
      <c r="AX201" s="470" t="str">
        <f t="shared" si="291"/>
        <v/>
      </c>
      <c r="AY201" s="470" t="str">
        <f t="shared" si="291"/>
        <v/>
      </c>
      <c r="AZ201" s="471" t="str">
        <f t="shared" si="291"/>
        <v/>
      </c>
      <c r="BA201" s="469" t="str">
        <f t="shared" si="291"/>
        <v/>
      </c>
      <c r="BB201" s="470" t="str">
        <f t="shared" si="291"/>
        <v/>
      </c>
      <c r="BC201" s="470" t="str">
        <f t="shared" si="291"/>
        <v/>
      </c>
      <c r="BD201" s="470" t="str">
        <f t="shared" si="291"/>
        <v/>
      </c>
      <c r="BE201" s="471" t="str">
        <f t="shared" si="291"/>
        <v/>
      </c>
      <c r="BF201" s="469" t="str">
        <f t="shared" si="291"/>
        <v/>
      </c>
      <c r="BG201" s="470" t="str">
        <f t="shared" si="291"/>
        <v/>
      </c>
      <c r="BH201" s="470" t="str">
        <f t="shared" si="291"/>
        <v/>
      </c>
      <c r="BI201" s="470" t="str">
        <f t="shared" si="292"/>
        <v/>
      </c>
      <c r="BJ201" s="471" t="str">
        <f t="shared" si="292"/>
        <v/>
      </c>
      <c r="BK201" s="469" t="str">
        <f t="shared" si="292"/>
        <v/>
      </c>
      <c r="BL201" s="470" t="str">
        <f t="shared" si="292"/>
        <v/>
      </c>
      <c r="BM201" s="470" t="str">
        <f t="shared" si="292"/>
        <v/>
      </c>
      <c r="BN201" s="470" t="str">
        <f t="shared" si="292"/>
        <v/>
      </c>
      <c r="BO201" s="471" t="str">
        <f t="shared" si="292"/>
        <v/>
      </c>
      <c r="BP201" s="469" t="str">
        <f t="shared" si="292"/>
        <v/>
      </c>
      <c r="BQ201" s="470" t="str">
        <f t="shared" si="292"/>
        <v/>
      </c>
      <c r="BR201" s="470" t="str">
        <f t="shared" si="292"/>
        <v/>
      </c>
      <c r="BS201" s="470" t="str">
        <f t="shared" si="292"/>
        <v/>
      </c>
      <c r="BT201" s="471" t="str">
        <f t="shared" si="292"/>
        <v/>
      </c>
      <c r="BU201" s="469" t="str">
        <f t="shared" si="292"/>
        <v/>
      </c>
      <c r="BV201" s="470" t="str">
        <f t="shared" si="292"/>
        <v/>
      </c>
      <c r="BW201" s="470" t="str">
        <f t="shared" si="292"/>
        <v/>
      </c>
      <c r="BX201" s="470" t="str">
        <f t="shared" si="292"/>
        <v/>
      </c>
      <c r="BY201" s="471" t="str">
        <f t="shared" si="293"/>
        <v/>
      </c>
      <c r="BZ201" s="469" t="str">
        <f t="shared" si="293"/>
        <v/>
      </c>
      <c r="CA201" s="470" t="str">
        <f t="shared" si="293"/>
        <v/>
      </c>
      <c r="CB201" s="470" t="str">
        <f t="shared" si="293"/>
        <v/>
      </c>
      <c r="CC201" s="470" t="str">
        <f t="shared" si="293"/>
        <v/>
      </c>
      <c r="CD201" s="471" t="str">
        <f t="shared" si="293"/>
        <v/>
      </c>
      <c r="CE201" s="469" t="str">
        <f t="shared" si="293"/>
        <v/>
      </c>
      <c r="CF201" s="470" t="str">
        <f t="shared" si="293"/>
        <v/>
      </c>
      <c r="CG201" s="470" t="str">
        <f t="shared" si="293"/>
        <v/>
      </c>
      <c r="CH201" s="470" t="str">
        <f t="shared" si="293"/>
        <v/>
      </c>
      <c r="CI201" s="471" t="str">
        <f t="shared" si="293"/>
        <v/>
      </c>
      <c r="CJ201" s="469" t="str">
        <f t="shared" si="293"/>
        <v/>
      </c>
      <c r="CK201" s="470" t="str">
        <f t="shared" si="293"/>
        <v/>
      </c>
      <c r="CL201" s="470" t="str">
        <f t="shared" si="293"/>
        <v/>
      </c>
      <c r="CM201" s="470" t="str">
        <f t="shared" si="293"/>
        <v/>
      </c>
      <c r="CN201" s="471" t="str">
        <f t="shared" si="293"/>
        <v/>
      </c>
      <c r="CO201" s="469" t="str">
        <f t="shared" si="294"/>
        <v/>
      </c>
      <c r="CP201" s="470" t="str">
        <f t="shared" si="294"/>
        <v/>
      </c>
      <c r="CQ201" s="470" t="str">
        <f t="shared" si="294"/>
        <v/>
      </c>
      <c r="CR201" s="470" t="str">
        <f t="shared" si="294"/>
        <v/>
      </c>
      <c r="CS201" s="471" t="str">
        <f t="shared" si="294"/>
        <v/>
      </c>
      <c r="CT201" s="469" t="str">
        <f t="shared" si="294"/>
        <v/>
      </c>
      <c r="CU201" s="470" t="str">
        <f t="shared" si="294"/>
        <v/>
      </c>
      <c r="CV201" s="470" t="str">
        <f t="shared" si="294"/>
        <v/>
      </c>
      <c r="CW201" s="470" t="str">
        <f t="shared" si="294"/>
        <v/>
      </c>
      <c r="CX201" s="471" t="str">
        <f t="shared" si="294"/>
        <v/>
      </c>
      <c r="CY201" s="469" t="str">
        <f t="shared" si="294"/>
        <v/>
      </c>
      <c r="CZ201" s="470" t="str">
        <f t="shared" si="294"/>
        <v/>
      </c>
      <c r="DA201" s="470" t="str">
        <f t="shared" si="294"/>
        <v/>
      </c>
      <c r="DB201" s="470" t="str">
        <f t="shared" si="294"/>
        <v/>
      </c>
      <c r="DC201" s="471" t="str">
        <f t="shared" si="294"/>
        <v/>
      </c>
      <c r="DD201" s="469" t="str">
        <f t="shared" si="294"/>
        <v/>
      </c>
      <c r="DE201" s="470" t="str">
        <f t="shared" si="295"/>
        <v/>
      </c>
      <c r="DF201" s="470" t="str">
        <f t="shared" si="295"/>
        <v/>
      </c>
      <c r="DG201" s="470" t="str">
        <f t="shared" si="295"/>
        <v/>
      </c>
      <c r="DH201" s="471" t="str">
        <f t="shared" si="295"/>
        <v/>
      </c>
      <c r="DI201" s="469" t="str">
        <f t="shared" si="295"/>
        <v/>
      </c>
      <c r="DJ201" s="470" t="str">
        <f t="shared" si="295"/>
        <v/>
      </c>
      <c r="DK201" s="470" t="str">
        <f t="shared" si="295"/>
        <v/>
      </c>
      <c r="DL201" s="470" t="str">
        <f t="shared" si="295"/>
        <v/>
      </c>
      <c r="DM201" s="471" t="str">
        <f t="shared" si="295"/>
        <v/>
      </c>
      <c r="DN201" s="469" t="str">
        <f t="shared" si="295"/>
        <v/>
      </c>
      <c r="DO201" s="470" t="str">
        <f t="shared" si="295"/>
        <v/>
      </c>
      <c r="DP201" s="470" t="str">
        <f t="shared" si="295"/>
        <v/>
      </c>
      <c r="DQ201" s="470" t="str">
        <f t="shared" si="295"/>
        <v/>
      </c>
      <c r="DR201" s="471" t="str">
        <f t="shared" si="295"/>
        <v/>
      </c>
      <c r="DS201" s="469" t="str">
        <f t="shared" si="295"/>
        <v/>
      </c>
      <c r="DT201" s="470" t="str">
        <f t="shared" si="295"/>
        <v/>
      </c>
      <c r="DU201" s="470" t="str">
        <f t="shared" si="297"/>
        <v/>
      </c>
      <c r="DV201" s="470" t="str">
        <f t="shared" si="297"/>
        <v/>
      </c>
      <c r="DW201" s="471" t="str">
        <f t="shared" si="297"/>
        <v/>
      </c>
      <c r="DX201" s="469" t="str">
        <f t="shared" si="297"/>
        <v/>
      </c>
      <c r="DY201" s="470" t="str">
        <f t="shared" si="297"/>
        <v/>
      </c>
      <c r="DZ201" s="470" t="str">
        <f t="shared" si="297"/>
        <v/>
      </c>
      <c r="EA201" s="470" t="str">
        <f t="shared" si="297"/>
        <v/>
      </c>
      <c r="EB201" s="471" t="str">
        <f t="shared" si="297"/>
        <v/>
      </c>
      <c r="EC201" s="469" t="str">
        <f t="shared" si="297"/>
        <v/>
      </c>
      <c r="ED201" s="470" t="str">
        <f t="shared" si="297"/>
        <v/>
      </c>
      <c r="EE201" s="470" t="str">
        <f t="shared" si="297"/>
        <v/>
      </c>
      <c r="EF201" s="470" t="str">
        <f t="shared" si="297"/>
        <v/>
      </c>
      <c r="EG201" s="471" t="str">
        <f t="shared" si="297"/>
        <v/>
      </c>
      <c r="EH201" s="469" t="str">
        <f t="shared" si="297"/>
        <v/>
      </c>
      <c r="EI201" s="470" t="str">
        <f t="shared" si="297"/>
        <v/>
      </c>
      <c r="EJ201" s="470" t="str">
        <f t="shared" si="297"/>
        <v/>
      </c>
      <c r="EK201" s="470" t="str">
        <f t="shared" si="301"/>
        <v/>
      </c>
      <c r="EL201" s="471" t="str">
        <f t="shared" si="301"/>
        <v/>
      </c>
      <c r="EM201" s="469" t="str">
        <f t="shared" si="301"/>
        <v/>
      </c>
      <c r="EN201" s="470" t="str">
        <f t="shared" si="301"/>
        <v/>
      </c>
      <c r="EO201" s="470" t="str">
        <f t="shared" si="301"/>
        <v/>
      </c>
      <c r="EP201" s="470" t="str">
        <f t="shared" si="301"/>
        <v/>
      </c>
      <c r="EQ201" s="471" t="str">
        <f t="shared" si="301"/>
        <v/>
      </c>
      <c r="ER201" s="469" t="str">
        <f t="shared" si="301"/>
        <v/>
      </c>
      <c r="ES201" s="470" t="str">
        <f t="shared" si="301"/>
        <v/>
      </c>
      <c r="ET201" s="470" t="str">
        <f t="shared" si="301"/>
        <v/>
      </c>
      <c r="EU201" s="470" t="str">
        <f t="shared" si="301"/>
        <v/>
      </c>
      <c r="EV201" s="471" t="str">
        <f t="shared" si="301"/>
        <v/>
      </c>
      <c r="EW201" s="469" t="str">
        <f t="shared" si="301"/>
        <v/>
      </c>
      <c r="EX201" s="470" t="str">
        <f t="shared" si="301"/>
        <v/>
      </c>
      <c r="EY201" s="470" t="str">
        <f t="shared" si="301"/>
        <v/>
      </c>
      <c r="EZ201" s="470" t="str">
        <f t="shared" si="301"/>
        <v/>
      </c>
      <c r="FA201" s="471" t="str">
        <f t="shared" si="302"/>
        <v/>
      </c>
      <c r="FB201" s="469" t="str">
        <f t="shared" si="302"/>
        <v/>
      </c>
      <c r="FC201" s="470" t="str">
        <f t="shared" si="302"/>
        <v/>
      </c>
      <c r="FD201" s="470" t="str">
        <f t="shared" si="302"/>
        <v/>
      </c>
      <c r="FE201" s="470" t="str">
        <f t="shared" si="302"/>
        <v/>
      </c>
      <c r="FF201" s="471" t="str">
        <f t="shared" si="302"/>
        <v/>
      </c>
      <c r="FG201" s="469" t="str">
        <f t="shared" si="302"/>
        <v/>
      </c>
      <c r="FH201" s="470" t="str">
        <f t="shared" si="302"/>
        <v/>
      </c>
      <c r="FI201" s="470" t="str">
        <f t="shared" si="302"/>
        <v/>
      </c>
      <c r="FJ201" s="470" t="str">
        <f t="shared" si="302"/>
        <v/>
      </c>
      <c r="FK201" s="471" t="str">
        <f t="shared" si="302"/>
        <v/>
      </c>
      <c r="FL201" s="469" t="str">
        <f t="shared" si="302"/>
        <v/>
      </c>
      <c r="FM201" s="470" t="str">
        <f t="shared" si="302"/>
        <v/>
      </c>
      <c r="FN201" s="470" t="str">
        <f t="shared" si="302"/>
        <v/>
      </c>
      <c r="FO201" s="470" t="str">
        <f t="shared" si="302"/>
        <v/>
      </c>
      <c r="FP201" s="471" t="str">
        <f t="shared" si="302"/>
        <v/>
      </c>
      <c r="FQ201" s="469" t="str">
        <f t="shared" si="303"/>
        <v/>
      </c>
      <c r="FR201" s="470" t="str">
        <f t="shared" si="303"/>
        <v/>
      </c>
      <c r="FS201" s="470" t="str">
        <f t="shared" si="303"/>
        <v/>
      </c>
      <c r="FT201" s="470" t="str">
        <f t="shared" si="303"/>
        <v/>
      </c>
      <c r="FU201" s="471" t="str">
        <f t="shared" si="303"/>
        <v/>
      </c>
      <c r="FV201" s="469" t="str">
        <f t="shared" si="303"/>
        <v/>
      </c>
      <c r="FW201" s="470" t="str">
        <f t="shared" si="303"/>
        <v/>
      </c>
      <c r="FX201" s="470" t="str">
        <f t="shared" si="303"/>
        <v/>
      </c>
      <c r="FY201" s="470" t="str">
        <f t="shared" si="303"/>
        <v/>
      </c>
      <c r="FZ201" s="471" t="str">
        <f t="shared" si="303"/>
        <v/>
      </c>
      <c r="GA201" s="469" t="str">
        <f t="shared" si="303"/>
        <v/>
      </c>
      <c r="GB201" s="470" t="str">
        <f t="shared" si="303"/>
        <v/>
      </c>
      <c r="GC201" s="470" t="str">
        <f t="shared" si="303"/>
        <v/>
      </c>
      <c r="GD201" s="470" t="str">
        <f t="shared" si="303"/>
        <v/>
      </c>
      <c r="GE201" s="471" t="str">
        <f t="shared" si="303"/>
        <v/>
      </c>
      <c r="GF201" s="469" t="str">
        <f t="shared" si="303"/>
        <v/>
      </c>
      <c r="GG201" s="470" t="str">
        <f t="shared" si="299"/>
        <v/>
      </c>
      <c r="GH201" s="470" t="str">
        <f t="shared" si="299"/>
        <v/>
      </c>
      <c r="GI201" s="470" t="str">
        <f t="shared" si="299"/>
        <v/>
      </c>
      <c r="GJ201" s="471" t="str">
        <f t="shared" si="299"/>
        <v/>
      </c>
      <c r="GK201" s="469" t="str">
        <f t="shared" si="299"/>
        <v/>
      </c>
      <c r="GL201" s="470" t="str">
        <f t="shared" si="299"/>
        <v/>
      </c>
      <c r="GM201" s="470" t="str">
        <f t="shared" si="299"/>
        <v/>
      </c>
      <c r="GN201" s="470" t="str">
        <f t="shared" si="299"/>
        <v/>
      </c>
      <c r="GO201" s="471" t="str">
        <f t="shared" si="299"/>
        <v/>
      </c>
      <c r="GP201" s="469" t="str">
        <f t="shared" si="299"/>
        <v/>
      </c>
      <c r="GQ201" s="470" t="str">
        <f t="shared" si="299"/>
        <v/>
      </c>
      <c r="GR201" s="470" t="str">
        <f t="shared" si="299"/>
        <v/>
      </c>
      <c r="GS201" s="470" t="str">
        <f t="shared" si="299"/>
        <v/>
      </c>
      <c r="GT201" s="471" t="str">
        <f t="shared" si="299"/>
        <v/>
      </c>
      <c r="GU201" s="469" t="str">
        <f t="shared" si="299"/>
        <v/>
      </c>
      <c r="GV201" s="470" t="str">
        <f t="shared" si="299"/>
        <v/>
      </c>
      <c r="GW201" s="470" t="str">
        <f t="shared" si="300"/>
        <v/>
      </c>
      <c r="GX201" s="470" t="str">
        <f t="shared" si="300"/>
        <v/>
      </c>
      <c r="GY201" s="471" t="str">
        <f t="shared" si="300"/>
        <v/>
      </c>
      <c r="GZ201" s="469" t="str">
        <f t="shared" si="300"/>
        <v/>
      </c>
      <c r="HA201" s="470" t="str">
        <f t="shared" si="300"/>
        <v/>
      </c>
      <c r="HB201" s="470" t="str">
        <f t="shared" si="300"/>
        <v/>
      </c>
      <c r="HC201" s="470" t="str">
        <f t="shared" si="300"/>
        <v/>
      </c>
      <c r="HD201" s="471" t="str">
        <f t="shared" si="300"/>
        <v/>
      </c>
      <c r="HE201" s="469" t="str">
        <f t="shared" si="300"/>
        <v/>
      </c>
      <c r="HF201" s="470" t="str">
        <f t="shared" si="300"/>
        <v/>
      </c>
      <c r="HG201" s="470" t="str">
        <f t="shared" si="300"/>
        <v/>
      </c>
      <c r="HH201" s="470" t="str">
        <f t="shared" si="300"/>
        <v/>
      </c>
      <c r="HI201" s="471" t="str">
        <f t="shared" si="300"/>
        <v/>
      </c>
      <c r="HJ201" s="469" t="str">
        <f t="shared" si="300"/>
        <v/>
      </c>
      <c r="HK201" s="470" t="str">
        <f t="shared" si="300"/>
        <v/>
      </c>
      <c r="HL201" s="470" t="str">
        <f t="shared" si="300"/>
        <v/>
      </c>
      <c r="HM201" s="470" t="str">
        <f t="shared" si="304"/>
        <v/>
      </c>
      <c r="HN201" s="471" t="str">
        <f t="shared" si="304"/>
        <v/>
      </c>
      <c r="HO201" s="469" t="str">
        <f t="shared" si="304"/>
        <v/>
      </c>
      <c r="HP201" s="470" t="str">
        <f t="shared" si="304"/>
        <v/>
      </c>
      <c r="HQ201" s="470" t="str">
        <f t="shared" si="304"/>
        <v/>
      </c>
      <c r="HR201" s="470" t="str">
        <f t="shared" si="304"/>
        <v/>
      </c>
      <c r="HS201" s="471" t="str">
        <f t="shared" si="304"/>
        <v/>
      </c>
      <c r="HT201" s="469" t="str">
        <f t="shared" si="304"/>
        <v/>
      </c>
      <c r="HU201" s="470" t="str">
        <f t="shared" si="304"/>
        <v/>
      </c>
      <c r="HV201" s="470" t="str">
        <f t="shared" si="304"/>
        <v/>
      </c>
      <c r="HW201" s="470" t="str">
        <f t="shared" si="304"/>
        <v/>
      </c>
      <c r="HX201" s="471" t="str">
        <f t="shared" si="304"/>
        <v/>
      </c>
      <c r="HY201" s="469" t="str">
        <f t="shared" si="304"/>
        <v/>
      </c>
      <c r="HZ201" s="470" t="str">
        <f t="shared" si="304"/>
        <v/>
      </c>
      <c r="IA201" s="470" t="str">
        <f t="shared" si="304"/>
        <v/>
      </c>
      <c r="IB201" s="470" t="str">
        <f t="shared" si="304"/>
        <v/>
      </c>
      <c r="IC201" s="471" t="str">
        <f t="shared" si="305"/>
        <v/>
      </c>
      <c r="ID201" s="469" t="str">
        <f t="shared" si="305"/>
        <v/>
      </c>
      <c r="IE201" s="470" t="str">
        <f t="shared" si="305"/>
        <v/>
      </c>
      <c r="IF201" s="470" t="str">
        <f t="shared" si="305"/>
        <v/>
      </c>
      <c r="IG201" s="470" t="str">
        <f t="shared" si="305"/>
        <v/>
      </c>
      <c r="IH201" s="471" t="str">
        <f t="shared" si="305"/>
        <v/>
      </c>
      <c r="II201" s="469" t="str">
        <f t="shared" si="305"/>
        <v/>
      </c>
      <c r="IJ201" s="470" t="str">
        <f t="shared" si="305"/>
        <v/>
      </c>
      <c r="IK201" s="470" t="str">
        <f t="shared" si="305"/>
        <v/>
      </c>
      <c r="IL201" s="470" t="str">
        <f t="shared" si="305"/>
        <v/>
      </c>
      <c r="IM201" s="471" t="str">
        <f t="shared" si="305"/>
        <v/>
      </c>
      <c r="IN201" s="469" t="str">
        <f t="shared" si="305"/>
        <v/>
      </c>
      <c r="IO201" s="470" t="str">
        <f t="shared" si="305"/>
        <v/>
      </c>
      <c r="IP201" s="470" t="str">
        <f t="shared" si="305"/>
        <v/>
      </c>
      <c r="IQ201" s="470" t="str">
        <f t="shared" si="305"/>
        <v/>
      </c>
      <c r="IR201" s="471" t="str">
        <f t="shared" si="305"/>
        <v/>
      </c>
    </row>
    <row r="202" spans="1:252" x14ac:dyDescent="0.2">
      <c r="A202" s="455">
        <v>19</v>
      </c>
      <c r="B202" s="456"/>
      <c r="C202" s="456" t="str">
        <f>Breakdown!$A27</f>
        <v/>
      </c>
      <c r="D202" s="457"/>
      <c r="E202" s="437" t="str">
        <f>IF(E203="","",MIN(E203:E212))</f>
        <v/>
      </c>
      <c r="F202" s="437" t="str">
        <f>IF(F203="","",MAX(F203:F212))</f>
        <v/>
      </c>
      <c r="G202" s="437"/>
      <c r="H202" s="437"/>
      <c r="I202" s="458"/>
      <c r="J202" s="459">
        <f>MIN(J203:J212)</f>
        <v>0</v>
      </c>
      <c r="K202" s="459">
        <f>MAX(K203:K212)</f>
        <v>0</v>
      </c>
      <c r="L202" s="460">
        <f t="shared" ref="L202:L212" si="306">SUM(M202:IR202)</f>
        <v>0</v>
      </c>
      <c r="M202" s="451" t="str">
        <f t="shared" si="284"/>
        <v/>
      </c>
      <c r="N202" s="452" t="str">
        <f t="shared" si="284"/>
        <v/>
      </c>
      <c r="O202" s="452" t="str">
        <f t="shared" si="284"/>
        <v/>
      </c>
      <c r="P202" s="452" t="str">
        <f t="shared" si="284"/>
        <v/>
      </c>
      <c r="Q202" s="453" t="str">
        <f t="shared" si="284"/>
        <v/>
      </c>
      <c r="R202" s="451" t="str">
        <f t="shared" si="284"/>
        <v/>
      </c>
      <c r="S202" s="452" t="str">
        <f t="shared" si="284"/>
        <v/>
      </c>
      <c r="T202" s="452" t="str">
        <f t="shared" si="284"/>
        <v/>
      </c>
      <c r="U202" s="452" t="str">
        <f t="shared" si="284"/>
        <v/>
      </c>
      <c r="V202" s="453" t="str">
        <f t="shared" si="284"/>
        <v/>
      </c>
      <c r="W202" s="451" t="str">
        <f t="shared" si="284"/>
        <v/>
      </c>
      <c r="X202" s="452" t="str">
        <f t="shared" si="284"/>
        <v/>
      </c>
      <c r="Y202" s="452" t="str">
        <f t="shared" si="284"/>
        <v/>
      </c>
      <c r="Z202" s="452" t="str">
        <f t="shared" si="284"/>
        <v/>
      </c>
      <c r="AA202" s="453" t="str">
        <f t="shared" si="284"/>
        <v/>
      </c>
      <c r="AB202" s="451" t="str">
        <f t="shared" si="284"/>
        <v/>
      </c>
      <c r="AC202" s="452" t="str">
        <f t="shared" si="296"/>
        <v/>
      </c>
      <c r="AD202" s="452" t="str">
        <f t="shared" si="296"/>
        <v/>
      </c>
      <c r="AE202" s="452" t="str">
        <f t="shared" si="296"/>
        <v/>
      </c>
      <c r="AF202" s="453" t="str">
        <f t="shared" si="296"/>
        <v/>
      </c>
      <c r="AG202" s="451" t="str">
        <f t="shared" si="296"/>
        <v/>
      </c>
      <c r="AH202" s="452" t="str">
        <f t="shared" si="296"/>
        <v/>
      </c>
      <c r="AI202" s="452" t="str">
        <f t="shared" si="296"/>
        <v/>
      </c>
      <c r="AJ202" s="452" t="str">
        <f t="shared" si="296"/>
        <v/>
      </c>
      <c r="AK202" s="453" t="str">
        <f t="shared" si="296"/>
        <v/>
      </c>
      <c r="AL202" s="451" t="str">
        <f t="shared" si="296"/>
        <v/>
      </c>
      <c r="AM202" s="452" t="str">
        <f t="shared" si="296"/>
        <v/>
      </c>
      <c r="AN202" s="452" t="str">
        <f t="shared" si="296"/>
        <v/>
      </c>
      <c r="AO202" s="452" t="str">
        <f t="shared" si="296"/>
        <v/>
      </c>
      <c r="AP202" s="453" t="str">
        <f t="shared" si="296"/>
        <v/>
      </c>
      <c r="AQ202" s="451" t="str">
        <f t="shared" si="296"/>
        <v/>
      </c>
      <c r="AR202" s="452" t="str">
        <f t="shared" si="296"/>
        <v/>
      </c>
      <c r="AS202" s="452" t="str">
        <f t="shared" si="291"/>
        <v/>
      </c>
      <c r="AT202" s="452" t="str">
        <f t="shared" si="291"/>
        <v/>
      </c>
      <c r="AU202" s="453" t="str">
        <f t="shared" si="291"/>
        <v/>
      </c>
      <c r="AV202" s="451" t="str">
        <f t="shared" si="291"/>
        <v/>
      </c>
      <c r="AW202" s="452" t="str">
        <f t="shared" si="291"/>
        <v/>
      </c>
      <c r="AX202" s="452" t="str">
        <f t="shared" si="291"/>
        <v/>
      </c>
      <c r="AY202" s="452" t="str">
        <f t="shared" si="291"/>
        <v/>
      </c>
      <c r="AZ202" s="453" t="str">
        <f t="shared" si="291"/>
        <v/>
      </c>
      <c r="BA202" s="451" t="str">
        <f t="shared" si="291"/>
        <v/>
      </c>
      <c r="BB202" s="452" t="str">
        <f t="shared" si="291"/>
        <v/>
      </c>
      <c r="BC202" s="452" t="str">
        <f t="shared" si="291"/>
        <v/>
      </c>
      <c r="BD202" s="452" t="str">
        <f t="shared" si="291"/>
        <v/>
      </c>
      <c r="BE202" s="453" t="str">
        <f t="shared" si="291"/>
        <v/>
      </c>
      <c r="BF202" s="451" t="str">
        <f t="shared" si="291"/>
        <v/>
      </c>
      <c r="BG202" s="452" t="str">
        <f t="shared" si="291"/>
        <v/>
      </c>
      <c r="BH202" s="452" t="str">
        <f t="shared" si="291"/>
        <v/>
      </c>
      <c r="BI202" s="452" t="str">
        <f t="shared" si="292"/>
        <v/>
      </c>
      <c r="BJ202" s="453" t="str">
        <f t="shared" si="292"/>
        <v/>
      </c>
      <c r="BK202" s="451" t="str">
        <f t="shared" si="292"/>
        <v/>
      </c>
      <c r="BL202" s="452" t="str">
        <f t="shared" si="292"/>
        <v/>
      </c>
      <c r="BM202" s="452" t="str">
        <f t="shared" si="292"/>
        <v/>
      </c>
      <c r="BN202" s="452" t="str">
        <f t="shared" si="292"/>
        <v/>
      </c>
      <c r="BO202" s="453" t="str">
        <f t="shared" si="292"/>
        <v/>
      </c>
      <c r="BP202" s="451" t="str">
        <f t="shared" si="292"/>
        <v/>
      </c>
      <c r="BQ202" s="452" t="str">
        <f t="shared" si="292"/>
        <v/>
      </c>
      <c r="BR202" s="452" t="str">
        <f t="shared" si="292"/>
        <v/>
      </c>
      <c r="BS202" s="452" t="str">
        <f t="shared" si="292"/>
        <v/>
      </c>
      <c r="BT202" s="453" t="str">
        <f t="shared" si="292"/>
        <v/>
      </c>
      <c r="BU202" s="451" t="str">
        <f t="shared" si="292"/>
        <v/>
      </c>
      <c r="BV202" s="452" t="str">
        <f t="shared" si="286"/>
        <v/>
      </c>
      <c r="BW202" s="452" t="str">
        <f t="shared" si="286"/>
        <v/>
      </c>
      <c r="BX202" s="452" t="str">
        <f t="shared" si="292"/>
        <v/>
      </c>
      <c r="BY202" s="453" t="str">
        <f t="shared" si="293"/>
        <v/>
      </c>
      <c r="BZ202" s="451" t="str">
        <f t="shared" si="293"/>
        <v/>
      </c>
      <c r="CA202" s="452" t="str">
        <f t="shared" si="293"/>
        <v/>
      </c>
      <c r="CB202" s="452" t="str">
        <f t="shared" si="293"/>
        <v/>
      </c>
      <c r="CC202" s="452" t="str">
        <f t="shared" si="293"/>
        <v/>
      </c>
      <c r="CD202" s="453" t="str">
        <f t="shared" si="293"/>
        <v/>
      </c>
      <c r="CE202" s="451" t="str">
        <f t="shared" si="293"/>
        <v/>
      </c>
      <c r="CF202" s="452" t="str">
        <f t="shared" si="293"/>
        <v/>
      </c>
      <c r="CG202" s="452" t="str">
        <f t="shared" si="293"/>
        <v/>
      </c>
      <c r="CH202" s="452" t="str">
        <f t="shared" si="293"/>
        <v/>
      </c>
      <c r="CI202" s="453" t="str">
        <f t="shared" si="293"/>
        <v/>
      </c>
      <c r="CJ202" s="451" t="str">
        <f t="shared" si="293"/>
        <v/>
      </c>
      <c r="CK202" s="452" t="str">
        <f t="shared" si="293"/>
        <v/>
      </c>
      <c r="CL202" s="452" t="str">
        <f t="shared" si="293"/>
        <v/>
      </c>
      <c r="CM202" s="452" t="str">
        <f t="shared" si="287"/>
        <v/>
      </c>
      <c r="CN202" s="453" t="str">
        <f t="shared" si="293"/>
        <v/>
      </c>
      <c r="CO202" s="451" t="str">
        <f t="shared" si="294"/>
        <v/>
      </c>
      <c r="CP202" s="452" t="str">
        <f t="shared" si="294"/>
        <v/>
      </c>
      <c r="CQ202" s="452" t="str">
        <f t="shared" si="294"/>
        <v/>
      </c>
      <c r="CR202" s="452" t="str">
        <f t="shared" si="294"/>
        <v/>
      </c>
      <c r="CS202" s="453" t="str">
        <f t="shared" si="294"/>
        <v/>
      </c>
      <c r="CT202" s="451" t="str">
        <f t="shared" si="294"/>
        <v/>
      </c>
      <c r="CU202" s="452" t="str">
        <f t="shared" si="294"/>
        <v/>
      </c>
      <c r="CV202" s="452" t="str">
        <f t="shared" si="294"/>
        <v/>
      </c>
      <c r="CW202" s="452" t="str">
        <f t="shared" si="294"/>
        <v/>
      </c>
      <c r="CX202" s="453" t="str">
        <f t="shared" si="294"/>
        <v/>
      </c>
      <c r="CY202" s="451" t="str">
        <f t="shared" si="294"/>
        <v/>
      </c>
      <c r="CZ202" s="452" t="str">
        <f t="shared" si="294"/>
        <v/>
      </c>
      <c r="DA202" s="452" t="str">
        <f t="shared" si="294"/>
        <v/>
      </c>
      <c r="DB202" s="452" t="str">
        <f t="shared" si="294"/>
        <v/>
      </c>
      <c r="DC202" s="453" t="str">
        <f t="shared" si="294"/>
        <v/>
      </c>
      <c r="DD202" s="451" t="str">
        <f t="shared" si="294"/>
        <v/>
      </c>
      <c r="DE202" s="452" t="str">
        <f t="shared" si="295"/>
        <v/>
      </c>
      <c r="DF202" s="452" t="str">
        <f t="shared" si="288"/>
        <v/>
      </c>
      <c r="DG202" s="452" t="str">
        <f t="shared" si="288"/>
        <v/>
      </c>
      <c r="DH202" s="453" t="str">
        <f t="shared" si="288"/>
        <v/>
      </c>
      <c r="DI202" s="451" t="str">
        <f t="shared" si="288"/>
        <v/>
      </c>
      <c r="DJ202" s="452" t="str">
        <f t="shared" si="288"/>
        <v/>
      </c>
      <c r="DK202" s="452" t="str">
        <f t="shared" si="288"/>
        <v/>
      </c>
      <c r="DL202" s="452" t="str">
        <f t="shared" si="288"/>
        <v/>
      </c>
      <c r="DM202" s="453" t="str">
        <f t="shared" si="288"/>
        <v/>
      </c>
      <c r="DN202" s="451" t="str">
        <f t="shared" si="288"/>
        <v/>
      </c>
      <c r="DO202" s="452" t="str">
        <f t="shared" si="288"/>
        <v/>
      </c>
      <c r="DP202" s="452" t="str">
        <f t="shared" si="288"/>
        <v/>
      </c>
      <c r="DQ202" s="452" t="str">
        <f t="shared" si="288"/>
        <v/>
      </c>
      <c r="DR202" s="453" t="str">
        <f t="shared" si="288"/>
        <v/>
      </c>
      <c r="DS202" s="451" t="str">
        <f t="shared" si="288"/>
        <v/>
      </c>
      <c r="DT202" s="452" t="str">
        <f t="shared" si="288"/>
        <v/>
      </c>
      <c r="DU202" s="452" t="str">
        <f t="shared" si="297"/>
        <v/>
      </c>
      <c r="DV202" s="452" t="str">
        <f t="shared" si="297"/>
        <v/>
      </c>
      <c r="DW202" s="453" t="str">
        <f t="shared" si="297"/>
        <v/>
      </c>
      <c r="DX202" s="451" t="str">
        <f t="shared" si="297"/>
        <v/>
      </c>
      <c r="DY202" s="452" t="str">
        <f t="shared" si="297"/>
        <v/>
      </c>
      <c r="DZ202" s="452" t="str">
        <f t="shared" si="297"/>
        <v/>
      </c>
      <c r="EA202" s="452" t="str">
        <f t="shared" si="297"/>
        <v/>
      </c>
      <c r="EB202" s="453" t="str">
        <f t="shared" si="297"/>
        <v/>
      </c>
      <c r="EC202" s="451" t="str">
        <f t="shared" si="297"/>
        <v/>
      </c>
      <c r="ED202" s="452" t="str">
        <f t="shared" si="297"/>
        <v/>
      </c>
      <c r="EE202" s="452" t="str">
        <f t="shared" si="297"/>
        <v/>
      </c>
      <c r="EF202" s="452" t="str">
        <f t="shared" si="297"/>
        <v/>
      </c>
      <c r="EG202" s="453" t="str">
        <f t="shared" si="297"/>
        <v/>
      </c>
      <c r="EH202" s="451" t="str">
        <f t="shared" si="297"/>
        <v/>
      </c>
      <c r="EI202" s="452" t="str">
        <f t="shared" si="297"/>
        <v/>
      </c>
      <c r="EJ202" s="452" t="str">
        <f t="shared" si="297"/>
        <v/>
      </c>
      <c r="EK202" s="452" t="str">
        <f t="shared" si="301"/>
        <v/>
      </c>
      <c r="EL202" s="453" t="str">
        <f t="shared" si="301"/>
        <v/>
      </c>
      <c r="EM202" s="451" t="str">
        <f t="shared" si="301"/>
        <v/>
      </c>
      <c r="EN202" s="452" t="str">
        <f t="shared" si="301"/>
        <v/>
      </c>
      <c r="EO202" s="452" t="str">
        <f t="shared" si="301"/>
        <v/>
      </c>
      <c r="EP202" s="452" t="str">
        <f t="shared" si="301"/>
        <v/>
      </c>
      <c r="EQ202" s="453" t="str">
        <f t="shared" si="301"/>
        <v/>
      </c>
      <c r="ER202" s="451" t="str">
        <f t="shared" si="301"/>
        <v/>
      </c>
      <c r="ES202" s="452" t="str">
        <f t="shared" si="301"/>
        <v/>
      </c>
      <c r="ET202" s="452" t="str">
        <f t="shared" si="301"/>
        <v/>
      </c>
      <c r="EU202" s="452" t="str">
        <f t="shared" si="301"/>
        <v/>
      </c>
      <c r="EV202" s="453" t="str">
        <f t="shared" si="301"/>
        <v/>
      </c>
      <c r="EW202" s="451" t="str">
        <f t="shared" si="301"/>
        <v/>
      </c>
      <c r="EX202" s="452" t="str">
        <f t="shared" si="301"/>
        <v/>
      </c>
      <c r="EY202" s="452" t="str">
        <f t="shared" si="301"/>
        <v/>
      </c>
      <c r="EZ202" s="452" t="str">
        <f t="shared" si="301"/>
        <v/>
      </c>
      <c r="FA202" s="453" t="str">
        <f t="shared" si="302"/>
        <v/>
      </c>
      <c r="FB202" s="451" t="str">
        <f t="shared" si="302"/>
        <v/>
      </c>
      <c r="FC202" s="452" t="str">
        <f t="shared" si="302"/>
        <v/>
      </c>
      <c r="FD202" s="452" t="str">
        <f t="shared" si="302"/>
        <v/>
      </c>
      <c r="FE202" s="452" t="str">
        <f t="shared" si="302"/>
        <v/>
      </c>
      <c r="FF202" s="453" t="str">
        <f t="shared" si="302"/>
        <v/>
      </c>
      <c r="FG202" s="451" t="str">
        <f t="shared" si="302"/>
        <v/>
      </c>
      <c r="FH202" s="452" t="str">
        <f t="shared" si="302"/>
        <v/>
      </c>
      <c r="FI202" s="452" t="str">
        <f t="shared" si="302"/>
        <v/>
      </c>
      <c r="FJ202" s="452" t="str">
        <f t="shared" si="302"/>
        <v/>
      </c>
      <c r="FK202" s="453" t="str">
        <f t="shared" si="302"/>
        <v/>
      </c>
      <c r="FL202" s="451" t="str">
        <f t="shared" si="302"/>
        <v/>
      </c>
      <c r="FM202" s="452" t="str">
        <f t="shared" si="302"/>
        <v/>
      </c>
      <c r="FN202" s="452" t="str">
        <f t="shared" si="302"/>
        <v/>
      </c>
      <c r="FO202" s="452" t="str">
        <f t="shared" si="302"/>
        <v/>
      </c>
      <c r="FP202" s="453" t="str">
        <f t="shared" si="302"/>
        <v/>
      </c>
      <c r="FQ202" s="451" t="str">
        <f t="shared" si="303"/>
        <v/>
      </c>
      <c r="FR202" s="452" t="str">
        <f t="shared" si="303"/>
        <v/>
      </c>
      <c r="FS202" s="452" t="str">
        <f t="shared" si="303"/>
        <v/>
      </c>
      <c r="FT202" s="452" t="str">
        <f t="shared" si="303"/>
        <v/>
      </c>
      <c r="FU202" s="453" t="str">
        <f t="shared" si="303"/>
        <v/>
      </c>
      <c r="FV202" s="451" t="str">
        <f t="shared" si="303"/>
        <v/>
      </c>
      <c r="FW202" s="452" t="str">
        <f t="shared" si="303"/>
        <v/>
      </c>
      <c r="FX202" s="452" t="str">
        <f t="shared" si="303"/>
        <v/>
      </c>
      <c r="FY202" s="452" t="str">
        <f t="shared" si="303"/>
        <v/>
      </c>
      <c r="FZ202" s="453" t="str">
        <f t="shared" si="303"/>
        <v/>
      </c>
      <c r="GA202" s="451" t="str">
        <f t="shared" si="303"/>
        <v/>
      </c>
      <c r="GB202" s="452" t="str">
        <f t="shared" si="303"/>
        <v/>
      </c>
      <c r="GC202" s="452" t="str">
        <f t="shared" si="303"/>
        <v/>
      </c>
      <c r="GD202" s="452" t="str">
        <f t="shared" si="303"/>
        <v/>
      </c>
      <c r="GE202" s="453" t="str">
        <f t="shared" si="303"/>
        <v/>
      </c>
      <c r="GF202" s="451" t="str">
        <f t="shared" si="303"/>
        <v/>
      </c>
      <c r="GG202" s="452" t="str">
        <f t="shared" si="299"/>
        <v/>
      </c>
      <c r="GH202" s="452" t="str">
        <f t="shared" si="299"/>
        <v/>
      </c>
      <c r="GI202" s="452" t="str">
        <f t="shared" si="299"/>
        <v/>
      </c>
      <c r="GJ202" s="453" t="str">
        <f t="shared" si="299"/>
        <v/>
      </c>
      <c r="GK202" s="451" t="str">
        <f t="shared" si="299"/>
        <v/>
      </c>
      <c r="GL202" s="452" t="str">
        <f t="shared" si="299"/>
        <v/>
      </c>
      <c r="GM202" s="452" t="str">
        <f t="shared" si="299"/>
        <v/>
      </c>
      <c r="GN202" s="452" t="str">
        <f t="shared" si="299"/>
        <v/>
      </c>
      <c r="GO202" s="453" t="str">
        <f t="shared" si="299"/>
        <v/>
      </c>
      <c r="GP202" s="451" t="str">
        <f t="shared" si="299"/>
        <v/>
      </c>
      <c r="GQ202" s="452" t="str">
        <f t="shared" si="299"/>
        <v/>
      </c>
      <c r="GR202" s="452" t="str">
        <f t="shared" si="299"/>
        <v/>
      </c>
      <c r="GS202" s="452" t="str">
        <f t="shared" si="299"/>
        <v/>
      </c>
      <c r="GT202" s="453" t="str">
        <f t="shared" si="299"/>
        <v/>
      </c>
      <c r="GU202" s="451" t="str">
        <f t="shared" si="299"/>
        <v/>
      </c>
      <c r="GV202" s="452" t="str">
        <f t="shared" si="299"/>
        <v/>
      </c>
      <c r="GW202" s="452" t="str">
        <f t="shared" si="300"/>
        <v/>
      </c>
      <c r="GX202" s="452" t="str">
        <f t="shared" si="300"/>
        <v/>
      </c>
      <c r="GY202" s="453" t="str">
        <f t="shared" si="300"/>
        <v/>
      </c>
      <c r="GZ202" s="451" t="str">
        <f t="shared" si="300"/>
        <v/>
      </c>
      <c r="HA202" s="452" t="str">
        <f t="shared" si="300"/>
        <v/>
      </c>
      <c r="HB202" s="452" t="str">
        <f t="shared" si="300"/>
        <v/>
      </c>
      <c r="HC202" s="452" t="str">
        <f t="shared" si="300"/>
        <v/>
      </c>
      <c r="HD202" s="453" t="str">
        <f t="shared" si="300"/>
        <v/>
      </c>
      <c r="HE202" s="451" t="str">
        <f t="shared" si="300"/>
        <v/>
      </c>
      <c r="HF202" s="452" t="str">
        <f t="shared" si="300"/>
        <v/>
      </c>
      <c r="HG202" s="452" t="str">
        <f t="shared" si="300"/>
        <v/>
      </c>
      <c r="HH202" s="452" t="str">
        <f t="shared" si="300"/>
        <v/>
      </c>
      <c r="HI202" s="453" t="str">
        <f t="shared" si="300"/>
        <v/>
      </c>
      <c r="HJ202" s="451" t="str">
        <f t="shared" si="300"/>
        <v/>
      </c>
      <c r="HK202" s="452" t="str">
        <f t="shared" si="300"/>
        <v/>
      </c>
      <c r="HL202" s="452" t="str">
        <f t="shared" si="300"/>
        <v/>
      </c>
      <c r="HM202" s="452" t="str">
        <f t="shared" si="304"/>
        <v/>
      </c>
      <c r="HN202" s="453" t="str">
        <f t="shared" si="304"/>
        <v/>
      </c>
      <c r="HO202" s="451" t="str">
        <f t="shared" si="304"/>
        <v/>
      </c>
      <c r="HP202" s="452" t="str">
        <f t="shared" si="304"/>
        <v/>
      </c>
      <c r="HQ202" s="452" t="str">
        <f t="shared" si="304"/>
        <v/>
      </c>
      <c r="HR202" s="452" t="str">
        <f t="shared" si="304"/>
        <v/>
      </c>
      <c r="HS202" s="453" t="str">
        <f t="shared" si="304"/>
        <v/>
      </c>
      <c r="HT202" s="451" t="str">
        <f t="shared" si="304"/>
        <v/>
      </c>
      <c r="HU202" s="452" t="str">
        <f t="shared" si="304"/>
        <v/>
      </c>
      <c r="HV202" s="452" t="str">
        <f t="shared" si="304"/>
        <v/>
      </c>
      <c r="HW202" s="452" t="str">
        <f t="shared" si="304"/>
        <v/>
      </c>
      <c r="HX202" s="453" t="str">
        <f t="shared" si="304"/>
        <v/>
      </c>
      <c r="HY202" s="451" t="str">
        <f t="shared" si="304"/>
        <v/>
      </c>
      <c r="HZ202" s="452" t="str">
        <f t="shared" si="304"/>
        <v/>
      </c>
      <c r="IA202" s="452" t="str">
        <f t="shared" si="304"/>
        <v/>
      </c>
      <c r="IB202" s="452" t="str">
        <f t="shared" si="304"/>
        <v/>
      </c>
      <c r="IC202" s="453" t="str">
        <f t="shared" si="305"/>
        <v/>
      </c>
      <c r="ID202" s="451" t="str">
        <f t="shared" si="305"/>
        <v/>
      </c>
      <c r="IE202" s="452" t="str">
        <f t="shared" si="305"/>
        <v/>
      </c>
      <c r="IF202" s="452" t="str">
        <f t="shared" si="305"/>
        <v/>
      </c>
      <c r="IG202" s="452" t="str">
        <f t="shared" si="305"/>
        <v/>
      </c>
      <c r="IH202" s="453" t="str">
        <f t="shared" si="305"/>
        <v/>
      </c>
      <c r="II202" s="451" t="str">
        <f t="shared" si="305"/>
        <v/>
      </c>
      <c r="IJ202" s="452" t="str">
        <f t="shared" si="305"/>
        <v/>
      </c>
      <c r="IK202" s="452" t="str">
        <f t="shared" si="305"/>
        <v/>
      </c>
      <c r="IL202" s="452" t="str">
        <f t="shared" si="305"/>
        <v/>
      </c>
      <c r="IM202" s="453" t="str">
        <f t="shared" si="305"/>
        <v/>
      </c>
      <c r="IN202" s="451" t="str">
        <f t="shared" si="305"/>
        <v/>
      </c>
      <c r="IO202" s="452" t="str">
        <f t="shared" si="305"/>
        <v/>
      </c>
      <c r="IP202" s="452" t="str">
        <f t="shared" si="305"/>
        <v/>
      </c>
      <c r="IQ202" s="452" t="str">
        <f t="shared" si="305"/>
        <v/>
      </c>
      <c r="IR202" s="453" t="str">
        <f t="shared" si="305"/>
        <v/>
      </c>
    </row>
    <row r="203" spans="1:252" x14ac:dyDescent="0.2">
      <c r="A203" s="461">
        <v>19.100000000000001</v>
      </c>
      <c r="C203" s="447" t="s">
        <v>1351</v>
      </c>
      <c r="D203" s="447"/>
      <c r="E203" s="448"/>
      <c r="F203" s="448"/>
      <c r="G203" s="448"/>
      <c r="H203" s="448"/>
      <c r="I203" s="448"/>
      <c r="J203" s="449" t="str">
        <f t="shared" ref="J203:J212" si="307">IF(E203="","",E203-$M$3+1)</f>
        <v/>
      </c>
      <c r="K203" s="449" t="str">
        <f t="shared" ref="K203:K212" si="308">IF(F203="","",F203-$M$3+1)</f>
        <v/>
      </c>
      <c r="L203" s="450">
        <f t="shared" si="306"/>
        <v>0</v>
      </c>
      <c r="M203" s="451" t="str">
        <f t="shared" si="284"/>
        <v/>
      </c>
      <c r="N203" s="452" t="str">
        <f t="shared" si="284"/>
        <v/>
      </c>
      <c r="O203" s="452" t="str">
        <f t="shared" si="284"/>
        <v/>
      </c>
      <c r="P203" s="452" t="str">
        <f t="shared" si="284"/>
        <v/>
      </c>
      <c r="Q203" s="453" t="str">
        <f t="shared" si="284"/>
        <v/>
      </c>
      <c r="R203" s="451" t="str">
        <f t="shared" si="284"/>
        <v/>
      </c>
      <c r="S203" s="452" t="str">
        <f t="shared" si="284"/>
        <v/>
      </c>
      <c r="T203" s="452" t="str">
        <f t="shared" si="284"/>
        <v/>
      </c>
      <c r="U203" s="452" t="str">
        <f t="shared" si="284"/>
        <v/>
      </c>
      <c r="V203" s="453" t="str">
        <f t="shared" si="284"/>
        <v/>
      </c>
      <c r="W203" s="451" t="str">
        <f t="shared" si="284"/>
        <v/>
      </c>
      <c r="X203" s="452" t="str">
        <f t="shared" si="284"/>
        <v/>
      </c>
      <c r="Y203" s="452" t="str">
        <f t="shared" si="284"/>
        <v/>
      </c>
      <c r="Z203" s="452" t="str">
        <f t="shared" si="284"/>
        <v/>
      </c>
      <c r="AA203" s="453" t="str">
        <f t="shared" si="284"/>
        <v/>
      </c>
      <c r="AB203" s="451" t="str">
        <f t="shared" ref="AB203" si="309">IF(AND(AB$2&gt;=$J203,AB$2&lt;=$K203),1,"")</f>
        <v/>
      </c>
      <c r="AC203" s="452" t="str">
        <f t="shared" si="296"/>
        <v/>
      </c>
      <c r="AD203" s="452" t="str">
        <f t="shared" si="296"/>
        <v/>
      </c>
      <c r="AE203" s="452" t="str">
        <f t="shared" si="296"/>
        <v/>
      </c>
      <c r="AF203" s="453" t="str">
        <f t="shared" si="296"/>
        <v/>
      </c>
      <c r="AG203" s="451" t="str">
        <f t="shared" si="296"/>
        <v/>
      </c>
      <c r="AH203" s="452" t="str">
        <f t="shared" si="296"/>
        <v/>
      </c>
      <c r="AI203" s="452" t="str">
        <f t="shared" si="296"/>
        <v/>
      </c>
      <c r="AJ203" s="452" t="str">
        <f t="shared" si="296"/>
        <v/>
      </c>
      <c r="AK203" s="453" t="str">
        <f t="shared" si="296"/>
        <v/>
      </c>
      <c r="AL203" s="451" t="str">
        <f t="shared" si="296"/>
        <v/>
      </c>
      <c r="AM203" s="452" t="str">
        <f t="shared" si="296"/>
        <v/>
      </c>
      <c r="AN203" s="452" t="str">
        <f t="shared" si="296"/>
        <v/>
      </c>
      <c r="AO203" s="452" t="str">
        <f t="shared" si="296"/>
        <v/>
      </c>
      <c r="AP203" s="453" t="str">
        <f t="shared" si="296"/>
        <v/>
      </c>
      <c r="AQ203" s="451" t="str">
        <f t="shared" si="296"/>
        <v/>
      </c>
      <c r="AR203" s="452" t="str">
        <f t="shared" si="296"/>
        <v/>
      </c>
      <c r="AS203" s="452" t="str">
        <f t="shared" si="291"/>
        <v/>
      </c>
      <c r="AT203" s="452" t="str">
        <f t="shared" si="291"/>
        <v/>
      </c>
      <c r="AU203" s="453" t="str">
        <f t="shared" si="291"/>
        <v/>
      </c>
      <c r="AV203" s="451" t="str">
        <f t="shared" si="291"/>
        <v/>
      </c>
      <c r="AW203" s="452" t="str">
        <f t="shared" si="291"/>
        <v/>
      </c>
      <c r="AX203" s="452" t="str">
        <f t="shared" si="291"/>
        <v/>
      </c>
      <c r="AY203" s="452" t="str">
        <f t="shared" si="291"/>
        <v/>
      </c>
      <c r="AZ203" s="453" t="str">
        <f t="shared" si="291"/>
        <v/>
      </c>
      <c r="BA203" s="451" t="str">
        <f t="shared" si="291"/>
        <v/>
      </c>
      <c r="BB203" s="452" t="str">
        <f t="shared" si="291"/>
        <v/>
      </c>
      <c r="BC203" s="452" t="str">
        <f t="shared" si="291"/>
        <v/>
      </c>
      <c r="BD203" s="452" t="str">
        <f t="shared" si="291"/>
        <v/>
      </c>
      <c r="BE203" s="453" t="str">
        <f t="shared" si="291"/>
        <v/>
      </c>
      <c r="BF203" s="451" t="str">
        <f t="shared" si="291"/>
        <v/>
      </c>
      <c r="BG203" s="452" t="str">
        <f t="shared" si="291"/>
        <v/>
      </c>
      <c r="BH203" s="452" t="str">
        <f t="shared" si="291"/>
        <v/>
      </c>
      <c r="BI203" s="452" t="str">
        <f t="shared" si="292"/>
        <v/>
      </c>
      <c r="BJ203" s="453" t="str">
        <f t="shared" si="292"/>
        <v/>
      </c>
      <c r="BK203" s="451" t="str">
        <f t="shared" si="292"/>
        <v/>
      </c>
      <c r="BL203" s="452" t="str">
        <f t="shared" si="292"/>
        <v/>
      </c>
      <c r="BM203" s="452" t="str">
        <f t="shared" si="292"/>
        <v/>
      </c>
      <c r="BN203" s="452" t="str">
        <f t="shared" si="292"/>
        <v/>
      </c>
      <c r="BO203" s="453" t="str">
        <f t="shared" si="292"/>
        <v/>
      </c>
      <c r="BP203" s="451" t="str">
        <f t="shared" si="292"/>
        <v/>
      </c>
      <c r="BQ203" s="452" t="str">
        <f t="shared" si="292"/>
        <v/>
      </c>
      <c r="BR203" s="452" t="str">
        <f t="shared" si="292"/>
        <v/>
      </c>
      <c r="BS203" s="452" t="str">
        <f t="shared" si="292"/>
        <v/>
      </c>
      <c r="BT203" s="453" t="str">
        <f t="shared" si="292"/>
        <v/>
      </c>
      <c r="BU203" s="451" t="str">
        <f t="shared" si="292"/>
        <v/>
      </c>
      <c r="BV203" s="452" t="str">
        <f t="shared" si="292"/>
        <v/>
      </c>
      <c r="BW203" s="452" t="str">
        <f t="shared" si="292"/>
        <v/>
      </c>
      <c r="BX203" s="452" t="str">
        <f t="shared" si="292"/>
        <v/>
      </c>
      <c r="BY203" s="453" t="str">
        <f t="shared" si="293"/>
        <v/>
      </c>
      <c r="BZ203" s="451" t="str">
        <f t="shared" si="293"/>
        <v/>
      </c>
      <c r="CA203" s="452" t="str">
        <f t="shared" si="293"/>
        <v/>
      </c>
      <c r="CB203" s="452" t="str">
        <f t="shared" si="293"/>
        <v/>
      </c>
      <c r="CC203" s="452" t="str">
        <f t="shared" si="293"/>
        <v/>
      </c>
      <c r="CD203" s="453" t="str">
        <f t="shared" si="293"/>
        <v/>
      </c>
      <c r="CE203" s="451" t="str">
        <f t="shared" si="293"/>
        <v/>
      </c>
      <c r="CF203" s="452" t="str">
        <f t="shared" si="293"/>
        <v/>
      </c>
      <c r="CG203" s="452" t="str">
        <f t="shared" si="293"/>
        <v/>
      </c>
      <c r="CH203" s="452" t="str">
        <f t="shared" si="293"/>
        <v/>
      </c>
      <c r="CI203" s="453" t="str">
        <f t="shared" si="293"/>
        <v/>
      </c>
      <c r="CJ203" s="451" t="str">
        <f t="shared" si="293"/>
        <v/>
      </c>
      <c r="CK203" s="452" t="str">
        <f t="shared" si="293"/>
        <v/>
      </c>
      <c r="CL203" s="452" t="str">
        <f t="shared" si="293"/>
        <v/>
      </c>
      <c r="CM203" s="452" t="str">
        <f t="shared" si="293"/>
        <v/>
      </c>
      <c r="CN203" s="453" t="str">
        <f t="shared" si="293"/>
        <v/>
      </c>
      <c r="CO203" s="451" t="str">
        <f t="shared" si="294"/>
        <v/>
      </c>
      <c r="CP203" s="452" t="str">
        <f t="shared" si="294"/>
        <v/>
      </c>
      <c r="CQ203" s="452" t="str">
        <f t="shared" si="294"/>
        <v/>
      </c>
      <c r="CR203" s="452" t="str">
        <f t="shared" si="294"/>
        <v/>
      </c>
      <c r="CS203" s="453" t="str">
        <f t="shared" si="294"/>
        <v/>
      </c>
      <c r="CT203" s="451" t="str">
        <f t="shared" si="294"/>
        <v/>
      </c>
      <c r="CU203" s="452" t="str">
        <f t="shared" si="294"/>
        <v/>
      </c>
      <c r="CV203" s="452" t="str">
        <f t="shared" si="294"/>
        <v/>
      </c>
      <c r="CW203" s="452" t="str">
        <f t="shared" si="294"/>
        <v/>
      </c>
      <c r="CX203" s="453" t="str">
        <f t="shared" si="294"/>
        <v/>
      </c>
      <c r="CY203" s="451" t="str">
        <f t="shared" si="294"/>
        <v/>
      </c>
      <c r="CZ203" s="452" t="str">
        <f t="shared" si="294"/>
        <v/>
      </c>
      <c r="DA203" s="452" t="str">
        <f t="shared" si="294"/>
        <v/>
      </c>
      <c r="DB203" s="452" t="str">
        <f t="shared" si="294"/>
        <v/>
      </c>
      <c r="DC203" s="453" t="str">
        <f t="shared" si="294"/>
        <v/>
      </c>
      <c r="DD203" s="451" t="str">
        <f t="shared" si="294"/>
        <v/>
      </c>
      <c r="DE203" s="452" t="str">
        <f t="shared" si="295"/>
        <v/>
      </c>
      <c r="DF203" s="452" t="str">
        <f t="shared" si="295"/>
        <v/>
      </c>
      <c r="DG203" s="452" t="str">
        <f t="shared" si="295"/>
        <v/>
      </c>
      <c r="DH203" s="453" t="str">
        <f t="shared" si="295"/>
        <v/>
      </c>
      <c r="DI203" s="451" t="str">
        <f t="shared" si="295"/>
        <v/>
      </c>
      <c r="DJ203" s="452" t="str">
        <f t="shared" si="295"/>
        <v/>
      </c>
      <c r="DK203" s="452" t="str">
        <f t="shared" si="295"/>
        <v/>
      </c>
      <c r="DL203" s="452" t="str">
        <f t="shared" si="295"/>
        <v/>
      </c>
      <c r="DM203" s="453" t="str">
        <f t="shared" si="295"/>
        <v/>
      </c>
      <c r="DN203" s="451" t="str">
        <f t="shared" si="295"/>
        <v/>
      </c>
      <c r="DO203" s="452" t="str">
        <f t="shared" si="295"/>
        <v/>
      </c>
      <c r="DP203" s="452" t="str">
        <f t="shared" si="295"/>
        <v/>
      </c>
      <c r="DQ203" s="452" t="str">
        <f t="shared" si="295"/>
        <v/>
      </c>
      <c r="DR203" s="453" t="str">
        <f t="shared" si="295"/>
        <v/>
      </c>
      <c r="DS203" s="451" t="str">
        <f t="shared" si="295"/>
        <v/>
      </c>
      <c r="DT203" s="452" t="str">
        <f t="shared" si="295"/>
        <v/>
      </c>
      <c r="DU203" s="452" t="str">
        <f t="shared" si="297"/>
        <v/>
      </c>
      <c r="DV203" s="452" t="str">
        <f t="shared" si="297"/>
        <v/>
      </c>
      <c r="DW203" s="453" t="str">
        <f t="shared" si="297"/>
        <v/>
      </c>
      <c r="DX203" s="451" t="str">
        <f t="shared" si="297"/>
        <v/>
      </c>
      <c r="DY203" s="452" t="str">
        <f t="shared" si="297"/>
        <v/>
      </c>
      <c r="DZ203" s="452" t="str">
        <f t="shared" si="297"/>
        <v/>
      </c>
      <c r="EA203" s="452" t="str">
        <f t="shared" si="297"/>
        <v/>
      </c>
      <c r="EB203" s="453" t="str">
        <f t="shared" si="297"/>
        <v/>
      </c>
      <c r="EC203" s="451" t="str">
        <f t="shared" si="297"/>
        <v/>
      </c>
      <c r="ED203" s="452" t="str">
        <f t="shared" si="297"/>
        <v/>
      </c>
      <c r="EE203" s="452" t="str">
        <f t="shared" si="297"/>
        <v/>
      </c>
      <c r="EF203" s="452" t="str">
        <f t="shared" si="297"/>
        <v/>
      </c>
      <c r="EG203" s="453" t="str">
        <f t="shared" si="297"/>
        <v/>
      </c>
      <c r="EH203" s="451" t="str">
        <f t="shared" si="297"/>
        <v/>
      </c>
      <c r="EI203" s="452" t="str">
        <f t="shared" si="297"/>
        <v/>
      </c>
      <c r="EJ203" s="452" t="str">
        <f t="shared" si="297"/>
        <v/>
      </c>
      <c r="EK203" s="452" t="str">
        <f t="shared" si="301"/>
        <v/>
      </c>
      <c r="EL203" s="453" t="str">
        <f t="shared" si="301"/>
        <v/>
      </c>
      <c r="EM203" s="451" t="str">
        <f t="shared" si="301"/>
        <v/>
      </c>
      <c r="EN203" s="452" t="str">
        <f t="shared" si="301"/>
        <v/>
      </c>
      <c r="EO203" s="452" t="str">
        <f t="shared" si="301"/>
        <v/>
      </c>
      <c r="EP203" s="452" t="str">
        <f t="shared" si="301"/>
        <v/>
      </c>
      <c r="EQ203" s="453" t="str">
        <f t="shared" si="301"/>
        <v/>
      </c>
      <c r="ER203" s="451" t="str">
        <f t="shared" si="301"/>
        <v/>
      </c>
      <c r="ES203" s="452" t="str">
        <f t="shared" si="301"/>
        <v/>
      </c>
      <c r="ET203" s="452" t="str">
        <f t="shared" si="301"/>
        <v/>
      </c>
      <c r="EU203" s="452" t="str">
        <f t="shared" si="301"/>
        <v/>
      </c>
      <c r="EV203" s="453" t="str">
        <f t="shared" si="301"/>
        <v/>
      </c>
      <c r="EW203" s="451" t="str">
        <f t="shared" si="301"/>
        <v/>
      </c>
      <c r="EX203" s="452" t="str">
        <f t="shared" si="301"/>
        <v/>
      </c>
      <c r="EY203" s="452" t="str">
        <f t="shared" si="301"/>
        <v/>
      </c>
      <c r="EZ203" s="452" t="str">
        <f t="shared" si="301"/>
        <v/>
      </c>
      <c r="FA203" s="453" t="str">
        <f t="shared" si="302"/>
        <v/>
      </c>
      <c r="FB203" s="451" t="str">
        <f t="shared" si="302"/>
        <v/>
      </c>
      <c r="FC203" s="452" t="str">
        <f t="shared" si="302"/>
        <v/>
      </c>
      <c r="FD203" s="452" t="str">
        <f t="shared" si="302"/>
        <v/>
      </c>
      <c r="FE203" s="452" t="str">
        <f t="shared" si="302"/>
        <v/>
      </c>
      <c r="FF203" s="453" t="str">
        <f t="shared" si="302"/>
        <v/>
      </c>
      <c r="FG203" s="451" t="str">
        <f t="shared" si="302"/>
        <v/>
      </c>
      <c r="FH203" s="452" t="str">
        <f t="shared" si="302"/>
        <v/>
      </c>
      <c r="FI203" s="452" t="str">
        <f t="shared" si="302"/>
        <v/>
      </c>
      <c r="FJ203" s="452" t="str">
        <f t="shared" si="302"/>
        <v/>
      </c>
      <c r="FK203" s="453" t="str">
        <f t="shared" si="302"/>
        <v/>
      </c>
      <c r="FL203" s="451" t="str">
        <f t="shared" si="302"/>
        <v/>
      </c>
      <c r="FM203" s="452" t="str">
        <f t="shared" si="302"/>
        <v/>
      </c>
      <c r="FN203" s="452" t="str">
        <f t="shared" si="302"/>
        <v/>
      </c>
      <c r="FO203" s="452" t="str">
        <f t="shared" si="302"/>
        <v/>
      </c>
      <c r="FP203" s="453" t="str">
        <f t="shared" si="302"/>
        <v/>
      </c>
      <c r="FQ203" s="451" t="str">
        <f t="shared" si="303"/>
        <v/>
      </c>
      <c r="FR203" s="452" t="str">
        <f t="shared" si="303"/>
        <v/>
      </c>
      <c r="FS203" s="452" t="str">
        <f t="shared" si="303"/>
        <v/>
      </c>
      <c r="FT203" s="452" t="str">
        <f t="shared" si="303"/>
        <v/>
      </c>
      <c r="FU203" s="453" t="str">
        <f t="shared" si="303"/>
        <v/>
      </c>
      <c r="FV203" s="451" t="str">
        <f t="shared" si="303"/>
        <v/>
      </c>
      <c r="FW203" s="452" t="str">
        <f t="shared" si="303"/>
        <v/>
      </c>
      <c r="FX203" s="452" t="str">
        <f t="shared" si="303"/>
        <v/>
      </c>
      <c r="FY203" s="452" t="str">
        <f t="shared" si="303"/>
        <v/>
      </c>
      <c r="FZ203" s="453" t="str">
        <f t="shared" si="303"/>
        <v/>
      </c>
      <c r="GA203" s="451" t="str">
        <f t="shared" si="303"/>
        <v/>
      </c>
      <c r="GB203" s="452" t="str">
        <f t="shared" si="303"/>
        <v/>
      </c>
      <c r="GC203" s="452" t="str">
        <f t="shared" si="303"/>
        <v/>
      </c>
      <c r="GD203" s="452" t="str">
        <f t="shared" si="303"/>
        <v/>
      </c>
      <c r="GE203" s="453" t="str">
        <f t="shared" si="303"/>
        <v/>
      </c>
      <c r="GF203" s="451" t="str">
        <f t="shared" si="303"/>
        <v/>
      </c>
      <c r="GG203" s="452" t="str">
        <f t="shared" si="299"/>
        <v/>
      </c>
      <c r="GH203" s="452" t="str">
        <f t="shared" si="299"/>
        <v/>
      </c>
      <c r="GI203" s="452" t="str">
        <f t="shared" si="299"/>
        <v/>
      </c>
      <c r="GJ203" s="453" t="str">
        <f t="shared" si="299"/>
        <v/>
      </c>
      <c r="GK203" s="451" t="str">
        <f t="shared" si="299"/>
        <v/>
      </c>
      <c r="GL203" s="452" t="str">
        <f t="shared" si="299"/>
        <v/>
      </c>
      <c r="GM203" s="452" t="str">
        <f t="shared" si="299"/>
        <v/>
      </c>
      <c r="GN203" s="452" t="str">
        <f t="shared" si="299"/>
        <v/>
      </c>
      <c r="GO203" s="453" t="str">
        <f t="shared" si="299"/>
        <v/>
      </c>
      <c r="GP203" s="451" t="str">
        <f t="shared" si="299"/>
        <v/>
      </c>
      <c r="GQ203" s="452" t="str">
        <f t="shared" si="299"/>
        <v/>
      </c>
      <c r="GR203" s="452" t="str">
        <f t="shared" si="299"/>
        <v/>
      </c>
      <c r="GS203" s="452" t="str">
        <f t="shared" si="299"/>
        <v/>
      </c>
      <c r="GT203" s="453" t="str">
        <f t="shared" si="299"/>
        <v/>
      </c>
      <c r="GU203" s="451" t="str">
        <f t="shared" si="299"/>
        <v/>
      </c>
      <c r="GV203" s="452" t="str">
        <f t="shared" si="299"/>
        <v/>
      </c>
      <c r="GW203" s="452" t="str">
        <f t="shared" si="300"/>
        <v/>
      </c>
      <c r="GX203" s="452" t="str">
        <f t="shared" si="300"/>
        <v/>
      </c>
      <c r="GY203" s="453" t="str">
        <f t="shared" si="300"/>
        <v/>
      </c>
      <c r="GZ203" s="451" t="str">
        <f t="shared" si="300"/>
        <v/>
      </c>
      <c r="HA203" s="452" t="str">
        <f t="shared" si="300"/>
        <v/>
      </c>
      <c r="HB203" s="452" t="str">
        <f t="shared" si="300"/>
        <v/>
      </c>
      <c r="HC203" s="452" t="str">
        <f t="shared" si="300"/>
        <v/>
      </c>
      <c r="HD203" s="453" t="str">
        <f t="shared" si="300"/>
        <v/>
      </c>
      <c r="HE203" s="451" t="str">
        <f t="shared" si="300"/>
        <v/>
      </c>
      <c r="HF203" s="452" t="str">
        <f t="shared" si="300"/>
        <v/>
      </c>
      <c r="HG203" s="452" t="str">
        <f t="shared" si="300"/>
        <v/>
      </c>
      <c r="HH203" s="452" t="str">
        <f t="shared" si="300"/>
        <v/>
      </c>
      <c r="HI203" s="453" t="str">
        <f t="shared" si="300"/>
        <v/>
      </c>
      <c r="HJ203" s="451" t="str">
        <f t="shared" si="300"/>
        <v/>
      </c>
      <c r="HK203" s="452" t="str">
        <f t="shared" si="300"/>
        <v/>
      </c>
      <c r="HL203" s="452" t="str">
        <f t="shared" si="300"/>
        <v/>
      </c>
      <c r="HM203" s="452" t="str">
        <f t="shared" si="304"/>
        <v/>
      </c>
      <c r="HN203" s="453" t="str">
        <f t="shared" si="304"/>
        <v/>
      </c>
      <c r="HO203" s="451" t="str">
        <f t="shared" si="304"/>
        <v/>
      </c>
      <c r="HP203" s="452" t="str">
        <f t="shared" si="304"/>
        <v/>
      </c>
      <c r="HQ203" s="452" t="str">
        <f t="shared" si="304"/>
        <v/>
      </c>
      <c r="HR203" s="452" t="str">
        <f t="shared" si="304"/>
        <v/>
      </c>
      <c r="HS203" s="453" t="str">
        <f t="shared" si="304"/>
        <v/>
      </c>
      <c r="HT203" s="451" t="str">
        <f t="shared" si="304"/>
        <v/>
      </c>
      <c r="HU203" s="452" t="str">
        <f t="shared" si="304"/>
        <v/>
      </c>
      <c r="HV203" s="452" t="str">
        <f t="shared" si="304"/>
        <v/>
      </c>
      <c r="HW203" s="452" t="str">
        <f t="shared" si="304"/>
        <v/>
      </c>
      <c r="HX203" s="453" t="str">
        <f t="shared" si="304"/>
        <v/>
      </c>
      <c r="HY203" s="451" t="str">
        <f t="shared" si="304"/>
        <v/>
      </c>
      <c r="HZ203" s="452" t="str">
        <f t="shared" si="304"/>
        <v/>
      </c>
      <c r="IA203" s="452" t="str">
        <f t="shared" si="304"/>
        <v/>
      </c>
      <c r="IB203" s="452" t="str">
        <f t="shared" si="304"/>
        <v/>
      </c>
      <c r="IC203" s="453" t="str">
        <f t="shared" si="305"/>
        <v/>
      </c>
      <c r="ID203" s="451" t="str">
        <f t="shared" si="305"/>
        <v/>
      </c>
      <c r="IE203" s="452" t="str">
        <f t="shared" si="305"/>
        <v/>
      </c>
      <c r="IF203" s="452" t="str">
        <f t="shared" si="305"/>
        <v/>
      </c>
      <c r="IG203" s="452" t="str">
        <f t="shared" si="305"/>
        <v/>
      </c>
      <c r="IH203" s="453" t="str">
        <f t="shared" si="305"/>
        <v/>
      </c>
      <c r="II203" s="451" t="str">
        <f t="shared" si="305"/>
        <v/>
      </c>
      <c r="IJ203" s="452" t="str">
        <f t="shared" si="305"/>
        <v/>
      </c>
      <c r="IK203" s="452" t="str">
        <f t="shared" si="305"/>
        <v/>
      </c>
      <c r="IL203" s="452" t="str">
        <f t="shared" si="305"/>
        <v/>
      </c>
      <c r="IM203" s="453" t="str">
        <f t="shared" si="305"/>
        <v/>
      </c>
      <c r="IN203" s="451" t="str">
        <f t="shared" si="305"/>
        <v/>
      </c>
      <c r="IO203" s="452" t="str">
        <f t="shared" si="305"/>
        <v/>
      </c>
      <c r="IP203" s="452" t="str">
        <f t="shared" si="305"/>
        <v/>
      </c>
      <c r="IQ203" s="452" t="str">
        <f t="shared" si="305"/>
        <v/>
      </c>
      <c r="IR203" s="453" t="str">
        <f t="shared" si="305"/>
        <v/>
      </c>
    </row>
    <row r="204" spans="1:252" x14ac:dyDescent="0.2">
      <c r="A204" s="461">
        <v>19.2</v>
      </c>
      <c r="C204" s="447" t="s">
        <v>1352</v>
      </c>
      <c r="D204" s="447"/>
      <c r="E204" s="448"/>
      <c r="F204" s="448"/>
      <c r="G204" s="448"/>
      <c r="H204" s="448"/>
      <c r="I204" s="448"/>
      <c r="J204" s="449" t="str">
        <f t="shared" si="307"/>
        <v/>
      </c>
      <c r="K204" s="449" t="str">
        <f t="shared" si="308"/>
        <v/>
      </c>
      <c r="L204" s="450">
        <f t="shared" si="306"/>
        <v>0</v>
      </c>
      <c r="M204" s="451" t="str">
        <f t="shared" ref="M204:AB212" si="310">IF(AND(M$2&gt;=$J204,M$2&lt;=$K204),1,"")</f>
        <v/>
      </c>
      <c r="N204" s="452" t="str">
        <f t="shared" si="310"/>
        <v/>
      </c>
      <c r="O204" s="452" t="str">
        <f t="shared" si="310"/>
        <v/>
      </c>
      <c r="P204" s="452" t="str">
        <f t="shared" si="310"/>
        <v/>
      </c>
      <c r="Q204" s="453" t="str">
        <f t="shared" si="310"/>
        <v/>
      </c>
      <c r="R204" s="451" t="str">
        <f t="shared" si="310"/>
        <v/>
      </c>
      <c r="S204" s="452" t="str">
        <f t="shared" si="310"/>
        <v/>
      </c>
      <c r="T204" s="452" t="str">
        <f t="shared" si="310"/>
        <v/>
      </c>
      <c r="U204" s="452" t="str">
        <f t="shared" si="310"/>
        <v/>
      </c>
      <c r="V204" s="453" t="str">
        <f t="shared" si="310"/>
        <v/>
      </c>
      <c r="W204" s="451" t="str">
        <f t="shared" si="310"/>
        <v/>
      </c>
      <c r="X204" s="452" t="str">
        <f t="shared" si="310"/>
        <v/>
      </c>
      <c r="Y204" s="452" t="str">
        <f t="shared" si="310"/>
        <v/>
      </c>
      <c r="Z204" s="452" t="str">
        <f t="shared" si="310"/>
        <v/>
      </c>
      <c r="AA204" s="453" t="str">
        <f t="shared" si="310"/>
        <v/>
      </c>
      <c r="AB204" s="451" t="str">
        <f t="shared" si="310"/>
        <v/>
      </c>
      <c r="AC204" s="452" t="str">
        <f t="shared" si="296"/>
        <v/>
      </c>
      <c r="AD204" s="452" t="str">
        <f t="shared" si="296"/>
        <v/>
      </c>
      <c r="AE204" s="452" t="str">
        <f t="shared" si="296"/>
        <v/>
      </c>
      <c r="AF204" s="453" t="str">
        <f t="shared" si="296"/>
        <v/>
      </c>
      <c r="AG204" s="451" t="str">
        <f t="shared" si="296"/>
        <v/>
      </c>
      <c r="AH204" s="452" t="str">
        <f t="shared" si="296"/>
        <v/>
      </c>
      <c r="AI204" s="452" t="str">
        <f t="shared" si="296"/>
        <v/>
      </c>
      <c r="AJ204" s="452" t="str">
        <f t="shared" si="296"/>
        <v/>
      </c>
      <c r="AK204" s="453" t="str">
        <f t="shared" si="296"/>
        <v/>
      </c>
      <c r="AL204" s="451" t="str">
        <f t="shared" si="296"/>
        <v/>
      </c>
      <c r="AM204" s="452" t="str">
        <f t="shared" si="296"/>
        <v/>
      </c>
      <c r="AN204" s="452" t="str">
        <f t="shared" si="296"/>
        <v/>
      </c>
      <c r="AO204" s="452" t="str">
        <f t="shared" si="296"/>
        <v/>
      </c>
      <c r="AP204" s="453" t="str">
        <f t="shared" si="296"/>
        <v/>
      </c>
      <c r="AQ204" s="451" t="str">
        <f t="shared" si="296"/>
        <v/>
      </c>
      <c r="AR204" s="452" t="str">
        <f t="shared" si="296"/>
        <v/>
      </c>
      <c r="AS204" s="452" t="str">
        <f t="shared" si="291"/>
        <v/>
      </c>
      <c r="AT204" s="452" t="str">
        <f t="shared" si="291"/>
        <v/>
      </c>
      <c r="AU204" s="453" t="str">
        <f t="shared" si="291"/>
        <v/>
      </c>
      <c r="AV204" s="451" t="str">
        <f t="shared" si="291"/>
        <v/>
      </c>
      <c r="AW204" s="452" t="str">
        <f t="shared" si="291"/>
        <v/>
      </c>
      <c r="AX204" s="452" t="str">
        <f t="shared" si="291"/>
        <v/>
      </c>
      <c r="AY204" s="452" t="str">
        <f t="shared" si="291"/>
        <v/>
      </c>
      <c r="AZ204" s="453" t="str">
        <f t="shared" si="291"/>
        <v/>
      </c>
      <c r="BA204" s="451" t="str">
        <f t="shared" si="291"/>
        <v/>
      </c>
      <c r="BB204" s="452" t="str">
        <f t="shared" si="291"/>
        <v/>
      </c>
      <c r="BC204" s="452" t="str">
        <f t="shared" si="291"/>
        <v/>
      </c>
      <c r="BD204" s="452" t="str">
        <f t="shared" si="291"/>
        <v/>
      </c>
      <c r="BE204" s="453" t="str">
        <f t="shared" si="291"/>
        <v/>
      </c>
      <c r="BF204" s="451" t="str">
        <f t="shared" si="291"/>
        <v/>
      </c>
      <c r="BG204" s="452" t="str">
        <f t="shared" si="291"/>
        <v/>
      </c>
      <c r="BH204" s="452" t="str">
        <f t="shared" si="291"/>
        <v/>
      </c>
      <c r="BI204" s="452" t="str">
        <f t="shared" si="292"/>
        <v/>
      </c>
      <c r="BJ204" s="453" t="str">
        <f t="shared" si="292"/>
        <v/>
      </c>
      <c r="BK204" s="451" t="str">
        <f t="shared" si="292"/>
        <v/>
      </c>
      <c r="BL204" s="452" t="str">
        <f t="shared" si="292"/>
        <v/>
      </c>
      <c r="BM204" s="452" t="str">
        <f t="shared" si="292"/>
        <v/>
      </c>
      <c r="BN204" s="452" t="str">
        <f t="shared" si="292"/>
        <v/>
      </c>
      <c r="BO204" s="453" t="str">
        <f t="shared" si="292"/>
        <v/>
      </c>
      <c r="BP204" s="451" t="str">
        <f t="shared" si="292"/>
        <v/>
      </c>
      <c r="BQ204" s="452" t="str">
        <f t="shared" si="292"/>
        <v/>
      </c>
      <c r="BR204" s="452" t="str">
        <f t="shared" si="292"/>
        <v/>
      </c>
      <c r="BS204" s="452" t="str">
        <f t="shared" si="292"/>
        <v/>
      </c>
      <c r="BT204" s="453" t="str">
        <f t="shared" si="292"/>
        <v/>
      </c>
      <c r="BU204" s="451" t="str">
        <f t="shared" si="292"/>
        <v/>
      </c>
      <c r="BV204" s="452" t="str">
        <f t="shared" si="292"/>
        <v/>
      </c>
      <c r="BW204" s="452" t="str">
        <f t="shared" si="292"/>
        <v/>
      </c>
      <c r="BX204" s="452" t="str">
        <f t="shared" si="292"/>
        <v/>
      </c>
      <c r="BY204" s="453" t="str">
        <f t="shared" si="293"/>
        <v/>
      </c>
      <c r="BZ204" s="451" t="str">
        <f t="shared" si="293"/>
        <v/>
      </c>
      <c r="CA204" s="452" t="str">
        <f t="shared" si="293"/>
        <v/>
      </c>
      <c r="CB204" s="452" t="str">
        <f t="shared" si="293"/>
        <v/>
      </c>
      <c r="CC204" s="452" t="str">
        <f t="shared" si="293"/>
        <v/>
      </c>
      <c r="CD204" s="453" t="str">
        <f t="shared" si="293"/>
        <v/>
      </c>
      <c r="CE204" s="451" t="str">
        <f t="shared" si="293"/>
        <v/>
      </c>
      <c r="CF204" s="452" t="str">
        <f t="shared" si="293"/>
        <v/>
      </c>
      <c r="CG204" s="452" t="str">
        <f t="shared" si="293"/>
        <v/>
      </c>
      <c r="CH204" s="452" t="str">
        <f t="shared" si="293"/>
        <v/>
      </c>
      <c r="CI204" s="453" t="str">
        <f t="shared" si="293"/>
        <v/>
      </c>
      <c r="CJ204" s="451" t="str">
        <f t="shared" si="293"/>
        <v/>
      </c>
      <c r="CK204" s="452" t="str">
        <f t="shared" si="293"/>
        <v/>
      </c>
      <c r="CL204" s="452" t="str">
        <f t="shared" si="293"/>
        <v/>
      </c>
      <c r="CM204" s="452" t="str">
        <f t="shared" si="293"/>
        <v/>
      </c>
      <c r="CN204" s="453" t="str">
        <f t="shared" si="293"/>
        <v/>
      </c>
      <c r="CO204" s="451" t="str">
        <f t="shared" si="294"/>
        <v/>
      </c>
      <c r="CP204" s="452" t="str">
        <f t="shared" si="294"/>
        <v/>
      </c>
      <c r="CQ204" s="452" t="str">
        <f t="shared" si="294"/>
        <v/>
      </c>
      <c r="CR204" s="452" t="str">
        <f t="shared" si="294"/>
        <v/>
      </c>
      <c r="CS204" s="453" t="str">
        <f t="shared" si="294"/>
        <v/>
      </c>
      <c r="CT204" s="451" t="str">
        <f t="shared" si="294"/>
        <v/>
      </c>
      <c r="CU204" s="452" t="str">
        <f t="shared" si="294"/>
        <v/>
      </c>
      <c r="CV204" s="452" t="str">
        <f t="shared" si="294"/>
        <v/>
      </c>
      <c r="CW204" s="452" t="str">
        <f t="shared" si="294"/>
        <v/>
      </c>
      <c r="CX204" s="453" t="str">
        <f t="shared" si="294"/>
        <v/>
      </c>
      <c r="CY204" s="451" t="str">
        <f t="shared" si="294"/>
        <v/>
      </c>
      <c r="CZ204" s="452" t="str">
        <f t="shared" si="294"/>
        <v/>
      </c>
      <c r="DA204" s="452" t="str">
        <f t="shared" si="294"/>
        <v/>
      </c>
      <c r="DB204" s="452" t="str">
        <f t="shared" si="294"/>
        <v/>
      </c>
      <c r="DC204" s="453" t="str">
        <f t="shared" si="294"/>
        <v/>
      </c>
      <c r="DD204" s="451" t="str">
        <f t="shared" si="294"/>
        <v/>
      </c>
      <c r="DE204" s="452" t="str">
        <f t="shared" si="295"/>
        <v/>
      </c>
      <c r="DF204" s="452" t="str">
        <f t="shared" si="295"/>
        <v/>
      </c>
      <c r="DG204" s="452" t="str">
        <f t="shared" si="295"/>
        <v/>
      </c>
      <c r="DH204" s="453" t="str">
        <f t="shared" si="295"/>
        <v/>
      </c>
      <c r="DI204" s="451" t="str">
        <f t="shared" si="295"/>
        <v/>
      </c>
      <c r="DJ204" s="452" t="str">
        <f t="shared" si="295"/>
        <v/>
      </c>
      <c r="DK204" s="452" t="str">
        <f t="shared" si="295"/>
        <v/>
      </c>
      <c r="DL204" s="452" t="str">
        <f t="shared" si="295"/>
        <v/>
      </c>
      <c r="DM204" s="453" t="str">
        <f t="shared" si="295"/>
        <v/>
      </c>
      <c r="DN204" s="451" t="str">
        <f t="shared" si="295"/>
        <v/>
      </c>
      <c r="DO204" s="452" t="str">
        <f t="shared" si="295"/>
        <v/>
      </c>
      <c r="DP204" s="452" t="str">
        <f t="shared" si="295"/>
        <v/>
      </c>
      <c r="DQ204" s="452" t="str">
        <f t="shared" si="295"/>
        <v/>
      </c>
      <c r="DR204" s="453" t="str">
        <f t="shared" si="295"/>
        <v/>
      </c>
      <c r="DS204" s="451" t="str">
        <f t="shared" si="295"/>
        <v/>
      </c>
      <c r="DT204" s="452" t="str">
        <f t="shared" si="295"/>
        <v/>
      </c>
      <c r="DU204" s="452" t="str">
        <f t="shared" si="297"/>
        <v/>
      </c>
      <c r="DV204" s="452" t="str">
        <f t="shared" si="297"/>
        <v/>
      </c>
      <c r="DW204" s="453" t="str">
        <f t="shared" si="297"/>
        <v/>
      </c>
      <c r="DX204" s="451" t="str">
        <f t="shared" si="297"/>
        <v/>
      </c>
      <c r="DY204" s="452" t="str">
        <f t="shared" si="297"/>
        <v/>
      </c>
      <c r="DZ204" s="452" t="str">
        <f t="shared" si="297"/>
        <v/>
      </c>
      <c r="EA204" s="452" t="str">
        <f t="shared" si="297"/>
        <v/>
      </c>
      <c r="EB204" s="453" t="str">
        <f t="shared" si="297"/>
        <v/>
      </c>
      <c r="EC204" s="451" t="str">
        <f t="shared" si="297"/>
        <v/>
      </c>
      <c r="ED204" s="452" t="str">
        <f t="shared" si="297"/>
        <v/>
      </c>
      <c r="EE204" s="452" t="str">
        <f t="shared" si="297"/>
        <v/>
      </c>
      <c r="EF204" s="452" t="str">
        <f t="shared" si="297"/>
        <v/>
      </c>
      <c r="EG204" s="453" t="str">
        <f t="shared" si="297"/>
        <v/>
      </c>
      <c r="EH204" s="451" t="str">
        <f t="shared" si="297"/>
        <v/>
      </c>
      <c r="EI204" s="452" t="str">
        <f t="shared" si="297"/>
        <v/>
      </c>
      <c r="EJ204" s="452" t="str">
        <f t="shared" si="297"/>
        <v/>
      </c>
      <c r="EK204" s="452" t="str">
        <f t="shared" si="301"/>
        <v/>
      </c>
      <c r="EL204" s="453" t="str">
        <f t="shared" si="301"/>
        <v/>
      </c>
      <c r="EM204" s="451" t="str">
        <f t="shared" si="301"/>
        <v/>
      </c>
      <c r="EN204" s="452" t="str">
        <f t="shared" si="301"/>
        <v/>
      </c>
      <c r="EO204" s="452" t="str">
        <f t="shared" si="301"/>
        <v/>
      </c>
      <c r="EP204" s="452" t="str">
        <f t="shared" si="301"/>
        <v/>
      </c>
      <c r="EQ204" s="453" t="str">
        <f t="shared" si="301"/>
        <v/>
      </c>
      <c r="ER204" s="451" t="str">
        <f t="shared" si="301"/>
        <v/>
      </c>
      <c r="ES204" s="452" t="str">
        <f t="shared" si="301"/>
        <v/>
      </c>
      <c r="ET204" s="452" t="str">
        <f t="shared" si="301"/>
        <v/>
      </c>
      <c r="EU204" s="452" t="str">
        <f t="shared" si="301"/>
        <v/>
      </c>
      <c r="EV204" s="453" t="str">
        <f t="shared" si="301"/>
        <v/>
      </c>
      <c r="EW204" s="451" t="str">
        <f t="shared" si="301"/>
        <v/>
      </c>
      <c r="EX204" s="452" t="str">
        <f t="shared" si="301"/>
        <v/>
      </c>
      <c r="EY204" s="452" t="str">
        <f t="shared" si="301"/>
        <v/>
      </c>
      <c r="EZ204" s="452" t="str">
        <f t="shared" si="301"/>
        <v/>
      </c>
      <c r="FA204" s="453" t="str">
        <f t="shared" si="302"/>
        <v/>
      </c>
      <c r="FB204" s="451" t="str">
        <f t="shared" si="302"/>
        <v/>
      </c>
      <c r="FC204" s="452" t="str">
        <f t="shared" si="302"/>
        <v/>
      </c>
      <c r="FD204" s="452" t="str">
        <f t="shared" si="302"/>
        <v/>
      </c>
      <c r="FE204" s="452" t="str">
        <f t="shared" si="302"/>
        <v/>
      </c>
      <c r="FF204" s="453" t="str">
        <f t="shared" si="302"/>
        <v/>
      </c>
      <c r="FG204" s="451" t="str">
        <f t="shared" si="302"/>
        <v/>
      </c>
      <c r="FH204" s="452" t="str">
        <f t="shared" si="302"/>
        <v/>
      </c>
      <c r="FI204" s="452" t="str">
        <f t="shared" si="302"/>
        <v/>
      </c>
      <c r="FJ204" s="452" t="str">
        <f t="shared" si="302"/>
        <v/>
      </c>
      <c r="FK204" s="453" t="str">
        <f t="shared" si="302"/>
        <v/>
      </c>
      <c r="FL204" s="451" t="str">
        <f t="shared" si="302"/>
        <v/>
      </c>
      <c r="FM204" s="452" t="str">
        <f t="shared" si="302"/>
        <v/>
      </c>
      <c r="FN204" s="452" t="str">
        <f t="shared" si="302"/>
        <v/>
      </c>
      <c r="FO204" s="452" t="str">
        <f t="shared" si="302"/>
        <v/>
      </c>
      <c r="FP204" s="453" t="str">
        <f t="shared" si="302"/>
        <v/>
      </c>
      <c r="FQ204" s="451" t="str">
        <f t="shared" si="303"/>
        <v/>
      </c>
      <c r="FR204" s="452" t="str">
        <f t="shared" si="303"/>
        <v/>
      </c>
      <c r="FS204" s="452" t="str">
        <f t="shared" si="303"/>
        <v/>
      </c>
      <c r="FT204" s="452" t="str">
        <f t="shared" si="303"/>
        <v/>
      </c>
      <c r="FU204" s="453" t="str">
        <f t="shared" si="303"/>
        <v/>
      </c>
      <c r="FV204" s="451" t="str">
        <f t="shared" si="303"/>
        <v/>
      </c>
      <c r="FW204" s="452" t="str">
        <f t="shared" si="303"/>
        <v/>
      </c>
      <c r="FX204" s="452" t="str">
        <f t="shared" si="303"/>
        <v/>
      </c>
      <c r="FY204" s="452" t="str">
        <f t="shared" si="303"/>
        <v/>
      </c>
      <c r="FZ204" s="453" t="str">
        <f t="shared" si="303"/>
        <v/>
      </c>
      <c r="GA204" s="451" t="str">
        <f t="shared" si="303"/>
        <v/>
      </c>
      <c r="GB204" s="452" t="str">
        <f t="shared" si="303"/>
        <v/>
      </c>
      <c r="GC204" s="452" t="str">
        <f t="shared" si="303"/>
        <v/>
      </c>
      <c r="GD204" s="452" t="str">
        <f t="shared" si="303"/>
        <v/>
      </c>
      <c r="GE204" s="453" t="str">
        <f t="shared" si="303"/>
        <v/>
      </c>
      <c r="GF204" s="451" t="str">
        <f t="shared" si="303"/>
        <v/>
      </c>
      <c r="GG204" s="452" t="str">
        <f t="shared" si="299"/>
        <v/>
      </c>
      <c r="GH204" s="452" t="str">
        <f t="shared" si="299"/>
        <v/>
      </c>
      <c r="GI204" s="452" t="str">
        <f t="shared" si="299"/>
        <v/>
      </c>
      <c r="GJ204" s="453" t="str">
        <f t="shared" si="299"/>
        <v/>
      </c>
      <c r="GK204" s="451" t="str">
        <f t="shared" si="299"/>
        <v/>
      </c>
      <c r="GL204" s="452" t="str">
        <f t="shared" si="299"/>
        <v/>
      </c>
      <c r="GM204" s="452" t="str">
        <f t="shared" si="299"/>
        <v/>
      </c>
      <c r="GN204" s="452" t="str">
        <f t="shared" si="299"/>
        <v/>
      </c>
      <c r="GO204" s="453" t="str">
        <f t="shared" si="299"/>
        <v/>
      </c>
      <c r="GP204" s="451" t="str">
        <f t="shared" si="299"/>
        <v/>
      </c>
      <c r="GQ204" s="452" t="str">
        <f t="shared" si="299"/>
        <v/>
      </c>
      <c r="GR204" s="452" t="str">
        <f t="shared" si="299"/>
        <v/>
      </c>
      <c r="GS204" s="452" t="str">
        <f t="shared" si="299"/>
        <v/>
      </c>
      <c r="GT204" s="453" t="str">
        <f t="shared" si="299"/>
        <v/>
      </c>
      <c r="GU204" s="451" t="str">
        <f t="shared" si="299"/>
        <v/>
      </c>
      <c r="GV204" s="452" t="str">
        <f t="shared" si="299"/>
        <v/>
      </c>
      <c r="GW204" s="452" t="str">
        <f t="shared" si="300"/>
        <v/>
      </c>
      <c r="GX204" s="452" t="str">
        <f t="shared" si="300"/>
        <v/>
      </c>
      <c r="GY204" s="453" t="str">
        <f t="shared" si="300"/>
        <v/>
      </c>
      <c r="GZ204" s="451" t="str">
        <f t="shared" si="300"/>
        <v/>
      </c>
      <c r="HA204" s="452" t="str">
        <f t="shared" si="300"/>
        <v/>
      </c>
      <c r="HB204" s="452" t="str">
        <f t="shared" si="300"/>
        <v/>
      </c>
      <c r="HC204" s="452" t="str">
        <f t="shared" si="300"/>
        <v/>
      </c>
      <c r="HD204" s="453" t="str">
        <f t="shared" si="300"/>
        <v/>
      </c>
      <c r="HE204" s="451" t="str">
        <f t="shared" si="300"/>
        <v/>
      </c>
      <c r="HF204" s="452" t="str">
        <f t="shared" si="300"/>
        <v/>
      </c>
      <c r="HG204" s="452" t="str">
        <f t="shared" si="300"/>
        <v/>
      </c>
      <c r="HH204" s="452" t="str">
        <f t="shared" si="300"/>
        <v/>
      </c>
      <c r="HI204" s="453" t="str">
        <f t="shared" si="300"/>
        <v/>
      </c>
      <c r="HJ204" s="451" t="str">
        <f t="shared" si="300"/>
        <v/>
      </c>
      <c r="HK204" s="452" t="str">
        <f t="shared" si="300"/>
        <v/>
      </c>
      <c r="HL204" s="452" t="str">
        <f t="shared" si="300"/>
        <v/>
      </c>
      <c r="HM204" s="452" t="str">
        <f t="shared" si="304"/>
        <v/>
      </c>
      <c r="HN204" s="453" t="str">
        <f t="shared" si="304"/>
        <v/>
      </c>
      <c r="HO204" s="451" t="str">
        <f t="shared" si="304"/>
        <v/>
      </c>
      <c r="HP204" s="452" t="str">
        <f t="shared" si="304"/>
        <v/>
      </c>
      <c r="HQ204" s="452" t="str">
        <f t="shared" si="304"/>
        <v/>
      </c>
      <c r="HR204" s="452" t="str">
        <f t="shared" si="304"/>
        <v/>
      </c>
      <c r="HS204" s="453" t="str">
        <f t="shared" si="304"/>
        <v/>
      </c>
      <c r="HT204" s="451" t="str">
        <f t="shared" si="304"/>
        <v/>
      </c>
      <c r="HU204" s="452" t="str">
        <f t="shared" si="304"/>
        <v/>
      </c>
      <c r="HV204" s="452" t="str">
        <f t="shared" si="304"/>
        <v/>
      </c>
      <c r="HW204" s="452" t="str">
        <f t="shared" si="304"/>
        <v/>
      </c>
      <c r="HX204" s="453" t="str">
        <f t="shared" si="304"/>
        <v/>
      </c>
      <c r="HY204" s="451" t="str">
        <f t="shared" si="304"/>
        <v/>
      </c>
      <c r="HZ204" s="452" t="str">
        <f t="shared" si="304"/>
        <v/>
      </c>
      <c r="IA204" s="452" t="str">
        <f t="shared" si="304"/>
        <v/>
      </c>
      <c r="IB204" s="452" t="str">
        <f t="shared" si="304"/>
        <v/>
      </c>
      <c r="IC204" s="453" t="str">
        <f t="shared" si="305"/>
        <v/>
      </c>
      <c r="ID204" s="451" t="str">
        <f t="shared" si="305"/>
        <v/>
      </c>
      <c r="IE204" s="452" t="str">
        <f t="shared" si="305"/>
        <v/>
      </c>
      <c r="IF204" s="452" t="str">
        <f t="shared" si="305"/>
        <v/>
      </c>
      <c r="IG204" s="452" t="str">
        <f t="shared" si="305"/>
        <v/>
      </c>
      <c r="IH204" s="453" t="str">
        <f t="shared" si="305"/>
        <v/>
      </c>
      <c r="II204" s="451" t="str">
        <f t="shared" si="305"/>
        <v/>
      </c>
      <c r="IJ204" s="452" t="str">
        <f t="shared" si="305"/>
        <v/>
      </c>
      <c r="IK204" s="452" t="str">
        <f t="shared" si="305"/>
        <v/>
      </c>
      <c r="IL204" s="452" t="str">
        <f t="shared" si="305"/>
        <v/>
      </c>
      <c r="IM204" s="453" t="str">
        <f t="shared" si="305"/>
        <v/>
      </c>
      <c r="IN204" s="451" t="str">
        <f t="shared" si="305"/>
        <v/>
      </c>
      <c r="IO204" s="452" t="str">
        <f t="shared" si="305"/>
        <v/>
      </c>
      <c r="IP204" s="452" t="str">
        <f t="shared" si="305"/>
        <v/>
      </c>
      <c r="IQ204" s="452" t="str">
        <f t="shared" si="305"/>
        <v/>
      </c>
      <c r="IR204" s="453" t="str">
        <f t="shared" si="305"/>
        <v/>
      </c>
    </row>
    <row r="205" spans="1:252" x14ac:dyDescent="0.2">
      <c r="A205" s="461">
        <v>19.3</v>
      </c>
      <c r="C205" s="447" t="s">
        <v>1353</v>
      </c>
      <c r="D205" s="447"/>
      <c r="E205" s="448"/>
      <c r="F205" s="448"/>
      <c r="G205" s="448"/>
      <c r="H205" s="448"/>
      <c r="I205" s="448"/>
      <c r="J205" s="449" t="str">
        <f t="shared" si="307"/>
        <v/>
      </c>
      <c r="K205" s="449" t="str">
        <f t="shared" si="308"/>
        <v/>
      </c>
      <c r="L205" s="450">
        <f t="shared" si="306"/>
        <v>0</v>
      </c>
      <c r="M205" s="451" t="str">
        <f t="shared" si="310"/>
        <v/>
      </c>
      <c r="N205" s="452" t="str">
        <f t="shared" si="310"/>
        <v/>
      </c>
      <c r="O205" s="452" t="str">
        <f t="shared" si="310"/>
        <v/>
      </c>
      <c r="P205" s="452" t="str">
        <f t="shared" si="310"/>
        <v/>
      </c>
      <c r="Q205" s="453" t="str">
        <f t="shared" si="310"/>
        <v/>
      </c>
      <c r="R205" s="451" t="str">
        <f t="shared" si="310"/>
        <v/>
      </c>
      <c r="S205" s="452" t="str">
        <f t="shared" si="310"/>
        <v/>
      </c>
      <c r="T205" s="452" t="str">
        <f t="shared" si="310"/>
        <v/>
      </c>
      <c r="U205" s="452" t="str">
        <f t="shared" si="310"/>
        <v/>
      </c>
      <c r="V205" s="453" t="str">
        <f t="shared" si="310"/>
        <v/>
      </c>
      <c r="W205" s="451" t="str">
        <f t="shared" si="310"/>
        <v/>
      </c>
      <c r="X205" s="452" t="str">
        <f t="shared" si="310"/>
        <v/>
      </c>
      <c r="Y205" s="452" t="str">
        <f t="shared" si="310"/>
        <v/>
      </c>
      <c r="Z205" s="452" t="str">
        <f t="shared" si="310"/>
        <v/>
      </c>
      <c r="AA205" s="453" t="str">
        <f t="shared" si="310"/>
        <v/>
      </c>
      <c r="AB205" s="451" t="str">
        <f t="shared" si="310"/>
        <v/>
      </c>
      <c r="AC205" s="452" t="str">
        <f t="shared" si="296"/>
        <v/>
      </c>
      <c r="AD205" s="452" t="str">
        <f t="shared" si="296"/>
        <v/>
      </c>
      <c r="AE205" s="452" t="str">
        <f t="shared" si="296"/>
        <v/>
      </c>
      <c r="AF205" s="453" t="str">
        <f t="shared" si="296"/>
        <v/>
      </c>
      <c r="AG205" s="451" t="str">
        <f t="shared" si="296"/>
        <v/>
      </c>
      <c r="AH205" s="452" t="str">
        <f t="shared" si="296"/>
        <v/>
      </c>
      <c r="AI205" s="452" t="str">
        <f t="shared" si="296"/>
        <v/>
      </c>
      <c r="AJ205" s="452" t="str">
        <f t="shared" si="296"/>
        <v/>
      </c>
      <c r="AK205" s="453" t="str">
        <f t="shared" si="296"/>
        <v/>
      </c>
      <c r="AL205" s="451" t="str">
        <f t="shared" si="296"/>
        <v/>
      </c>
      <c r="AM205" s="452" t="str">
        <f t="shared" si="296"/>
        <v/>
      </c>
      <c r="AN205" s="452" t="str">
        <f t="shared" si="296"/>
        <v/>
      </c>
      <c r="AO205" s="452" t="str">
        <f t="shared" si="296"/>
        <v/>
      </c>
      <c r="AP205" s="453" t="str">
        <f t="shared" si="296"/>
        <v/>
      </c>
      <c r="AQ205" s="451" t="str">
        <f t="shared" si="296"/>
        <v/>
      </c>
      <c r="AR205" s="452" t="str">
        <f t="shared" si="296"/>
        <v/>
      </c>
      <c r="AS205" s="452" t="str">
        <f t="shared" si="291"/>
        <v/>
      </c>
      <c r="AT205" s="452" t="str">
        <f t="shared" si="291"/>
        <v/>
      </c>
      <c r="AU205" s="453" t="str">
        <f t="shared" si="291"/>
        <v/>
      </c>
      <c r="AV205" s="451" t="str">
        <f t="shared" si="291"/>
        <v/>
      </c>
      <c r="AW205" s="452" t="str">
        <f t="shared" si="291"/>
        <v/>
      </c>
      <c r="AX205" s="452" t="str">
        <f t="shared" si="291"/>
        <v/>
      </c>
      <c r="AY205" s="452" t="str">
        <f t="shared" si="291"/>
        <v/>
      </c>
      <c r="AZ205" s="453" t="str">
        <f t="shared" si="291"/>
        <v/>
      </c>
      <c r="BA205" s="451" t="str">
        <f t="shared" si="291"/>
        <v/>
      </c>
      <c r="BB205" s="452" t="str">
        <f t="shared" si="291"/>
        <v/>
      </c>
      <c r="BC205" s="452" t="str">
        <f t="shared" si="291"/>
        <v/>
      </c>
      <c r="BD205" s="452" t="str">
        <f t="shared" si="291"/>
        <v/>
      </c>
      <c r="BE205" s="453" t="str">
        <f t="shared" si="291"/>
        <v/>
      </c>
      <c r="BF205" s="451" t="str">
        <f t="shared" si="291"/>
        <v/>
      </c>
      <c r="BG205" s="452" t="str">
        <f t="shared" si="291"/>
        <v/>
      </c>
      <c r="BH205" s="452" t="str">
        <f t="shared" si="291"/>
        <v/>
      </c>
      <c r="BI205" s="452" t="str">
        <f t="shared" si="292"/>
        <v/>
      </c>
      <c r="BJ205" s="453" t="str">
        <f t="shared" si="292"/>
        <v/>
      </c>
      <c r="BK205" s="451" t="str">
        <f t="shared" si="292"/>
        <v/>
      </c>
      <c r="BL205" s="452" t="str">
        <f t="shared" si="292"/>
        <v/>
      </c>
      <c r="BM205" s="452" t="str">
        <f t="shared" si="292"/>
        <v/>
      </c>
      <c r="BN205" s="452" t="str">
        <f t="shared" si="292"/>
        <v/>
      </c>
      <c r="BO205" s="453" t="str">
        <f t="shared" si="292"/>
        <v/>
      </c>
      <c r="BP205" s="451" t="str">
        <f t="shared" si="292"/>
        <v/>
      </c>
      <c r="BQ205" s="452" t="str">
        <f t="shared" si="292"/>
        <v/>
      </c>
      <c r="BR205" s="452" t="str">
        <f t="shared" si="292"/>
        <v/>
      </c>
      <c r="BS205" s="452" t="str">
        <f t="shared" si="292"/>
        <v/>
      </c>
      <c r="BT205" s="453" t="str">
        <f t="shared" si="292"/>
        <v/>
      </c>
      <c r="BU205" s="451" t="str">
        <f t="shared" si="292"/>
        <v/>
      </c>
      <c r="BV205" s="452" t="str">
        <f t="shared" si="292"/>
        <v/>
      </c>
      <c r="BW205" s="452" t="str">
        <f t="shared" si="292"/>
        <v/>
      </c>
      <c r="BX205" s="452" t="str">
        <f t="shared" si="292"/>
        <v/>
      </c>
      <c r="BY205" s="453" t="str">
        <f t="shared" si="293"/>
        <v/>
      </c>
      <c r="BZ205" s="451" t="str">
        <f t="shared" si="293"/>
        <v/>
      </c>
      <c r="CA205" s="452" t="str">
        <f t="shared" si="293"/>
        <v/>
      </c>
      <c r="CB205" s="452" t="str">
        <f t="shared" si="293"/>
        <v/>
      </c>
      <c r="CC205" s="452" t="str">
        <f t="shared" si="293"/>
        <v/>
      </c>
      <c r="CD205" s="453" t="str">
        <f t="shared" si="293"/>
        <v/>
      </c>
      <c r="CE205" s="451" t="str">
        <f t="shared" si="293"/>
        <v/>
      </c>
      <c r="CF205" s="452" t="str">
        <f t="shared" si="293"/>
        <v/>
      </c>
      <c r="CG205" s="452" t="str">
        <f t="shared" si="293"/>
        <v/>
      </c>
      <c r="CH205" s="452" t="str">
        <f t="shared" si="293"/>
        <v/>
      </c>
      <c r="CI205" s="453" t="str">
        <f t="shared" si="293"/>
        <v/>
      </c>
      <c r="CJ205" s="451" t="str">
        <f t="shared" si="293"/>
        <v/>
      </c>
      <c r="CK205" s="452" t="str">
        <f t="shared" si="293"/>
        <v/>
      </c>
      <c r="CL205" s="452" t="str">
        <f t="shared" si="293"/>
        <v/>
      </c>
      <c r="CM205" s="452" t="str">
        <f t="shared" si="293"/>
        <v/>
      </c>
      <c r="CN205" s="453" t="str">
        <f t="shared" si="293"/>
        <v/>
      </c>
      <c r="CO205" s="451" t="str">
        <f t="shared" si="294"/>
        <v/>
      </c>
      <c r="CP205" s="452" t="str">
        <f t="shared" si="294"/>
        <v/>
      </c>
      <c r="CQ205" s="452" t="str">
        <f t="shared" si="294"/>
        <v/>
      </c>
      <c r="CR205" s="452" t="str">
        <f t="shared" si="294"/>
        <v/>
      </c>
      <c r="CS205" s="453" t="str">
        <f t="shared" si="294"/>
        <v/>
      </c>
      <c r="CT205" s="451" t="str">
        <f t="shared" si="294"/>
        <v/>
      </c>
      <c r="CU205" s="452" t="str">
        <f t="shared" si="294"/>
        <v/>
      </c>
      <c r="CV205" s="452" t="str">
        <f t="shared" si="294"/>
        <v/>
      </c>
      <c r="CW205" s="452" t="str">
        <f t="shared" si="294"/>
        <v/>
      </c>
      <c r="CX205" s="453" t="str">
        <f t="shared" si="294"/>
        <v/>
      </c>
      <c r="CY205" s="451" t="str">
        <f t="shared" si="294"/>
        <v/>
      </c>
      <c r="CZ205" s="452" t="str">
        <f t="shared" si="294"/>
        <v/>
      </c>
      <c r="DA205" s="452" t="str">
        <f t="shared" si="294"/>
        <v/>
      </c>
      <c r="DB205" s="452" t="str">
        <f t="shared" si="294"/>
        <v/>
      </c>
      <c r="DC205" s="453" t="str">
        <f t="shared" si="294"/>
        <v/>
      </c>
      <c r="DD205" s="451" t="str">
        <f t="shared" si="294"/>
        <v/>
      </c>
      <c r="DE205" s="452" t="str">
        <f t="shared" si="295"/>
        <v/>
      </c>
      <c r="DF205" s="452" t="str">
        <f t="shared" si="295"/>
        <v/>
      </c>
      <c r="DG205" s="452" t="str">
        <f t="shared" si="295"/>
        <v/>
      </c>
      <c r="DH205" s="453" t="str">
        <f t="shared" si="295"/>
        <v/>
      </c>
      <c r="DI205" s="451" t="str">
        <f t="shared" si="295"/>
        <v/>
      </c>
      <c r="DJ205" s="452" t="str">
        <f t="shared" si="295"/>
        <v/>
      </c>
      <c r="DK205" s="452" t="str">
        <f t="shared" si="295"/>
        <v/>
      </c>
      <c r="DL205" s="452" t="str">
        <f t="shared" si="295"/>
        <v/>
      </c>
      <c r="DM205" s="453" t="str">
        <f t="shared" si="295"/>
        <v/>
      </c>
      <c r="DN205" s="451" t="str">
        <f t="shared" si="295"/>
        <v/>
      </c>
      <c r="DO205" s="452" t="str">
        <f t="shared" si="295"/>
        <v/>
      </c>
      <c r="DP205" s="452" t="str">
        <f t="shared" si="295"/>
        <v/>
      </c>
      <c r="DQ205" s="452" t="str">
        <f t="shared" si="295"/>
        <v/>
      </c>
      <c r="DR205" s="453" t="str">
        <f t="shared" si="295"/>
        <v/>
      </c>
      <c r="DS205" s="451" t="str">
        <f t="shared" si="295"/>
        <v/>
      </c>
      <c r="DT205" s="452" t="str">
        <f t="shared" si="295"/>
        <v/>
      </c>
      <c r="DU205" s="452" t="str">
        <f t="shared" si="297"/>
        <v/>
      </c>
      <c r="DV205" s="452" t="str">
        <f t="shared" si="297"/>
        <v/>
      </c>
      <c r="DW205" s="453" t="str">
        <f t="shared" si="297"/>
        <v/>
      </c>
      <c r="DX205" s="451" t="str">
        <f t="shared" si="297"/>
        <v/>
      </c>
      <c r="DY205" s="452" t="str">
        <f t="shared" si="297"/>
        <v/>
      </c>
      <c r="DZ205" s="452" t="str">
        <f t="shared" si="297"/>
        <v/>
      </c>
      <c r="EA205" s="452" t="str">
        <f t="shared" si="297"/>
        <v/>
      </c>
      <c r="EB205" s="453" t="str">
        <f t="shared" si="297"/>
        <v/>
      </c>
      <c r="EC205" s="451" t="str">
        <f t="shared" si="297"/>
        <v/>
      </c>
      <c r="ED205" s="452" t="str">
        <f t="shared" si="297"/>
        <v/>
      </c>
      <c r="EE205" s="452" t="str">
        <f t="shared" si="297"/>
        <v/>
      </c>
      <c r="EF205" s="452" t="str">
        <f t="shared" si="297"/>
        <v/>
      </c>
      <c r="EG205" s="453" t="str">
        <f t="shared" si="297"/>
        <v/>
      </c>
      <c r="EH205" s="451" t="str">
        <f t="shared" si="297"/>
        <v/>
      </c>
      <c r="EI205" s="452" t="str">
        <f t="shared" si="297"/>
        <v/>
      </c>
      <c r="EJ205" s="452" t="str">
        <f t="shared" si="297"/>
        <v/>
      </c>
      <c r="EK205" s="452" t="str">
        <f t="shared" si="301"/>
        <v/>
      </c>
      <c r="EL205" s="453" t="str">
        <f t="shared" si="301"/>
        <v/>
      </c>
      <c r="EM205" s="451" t="str">
        <f t="shared" si="301"/>
        <v/>
      </c>
      <c r="EN205" s="452" t="str">
        <f t="shared" si="301"/>
        <v/>
      </c>
      <c r="EO205" s="452" t="str">
        <f t="shared" si="301"/>
        <v/>
      </c>
      <c r="EP205" s="452" t="str">
        <f t="shared" si="301"/>
        <v/>
      </c>
      <c r="EQ205" s="453" t="str">
        <f t="shared" si="301"/>
        <v/>
      </c>
      <c r="ER205" s="451" t="str">
        <f t="shared" si="301"/>
        <v/>
      </c>
      <c r="ES205" s="452" t="str">
        <f t="shared" si="301"/>
        <v/>
      </c>
      <c r="ET205" s="452" t="str">
        <f t="shared" si="301"/>
        <v/>
      </c>
      <c r="EU205" s="452" t="str">
        <f t="shared" si="301"/>
        <v/>
      </c>
      <c r="EV205" s="453" t="str">
        <f t="shared" si="301"/>
        <v/>
      </c>
      <c r="EW205" s="451" t="str">
        <f t="shared" si="301"/>
        <v/>
      </c>
      <c r="EX205" s="452" t="str">
        <f t="shared" si="301"/>
        <v/>
      </c>
      <c r="EY205" s="452" t="str">
        <f t="shared" si="301"/>
        <v/>
      </c>
      <c r="EZ205" s="452" t="str">
        <f t="shared" si="301"/>
        <v/>
      </c>
      <c r="FA205" s="453" t="str">
        <f t="shared" si="302"/>
        <v/>
      </c>
      <c r="FB205" s="451" t="str">
        <f t="shared" si="302"/>
        <v/>
      </c>
      <c r="FC205" s="452" t="str">
        <f t="shared" si="302"/>
        <v/>
      </c>
      <c r="FD205" s="452" t="str">
        <f t="shared" si="302"/>
        <v/>
      </c>
      <c r="FE205" s="452" t="str">
        <f t="shared" si="302"/>
        <v/>
      </c>
      <c r="FF205" s="453" t="str">
        <f t="shared" si="302"/>
        <v/>
      </c>
      <c r="FG205" s="451" t="str">
        <f t="shared" si="302"/>
        <v/>
      </c>
      <c r="FH205" s="452" t="str">
        <f t="shared" si="302"/>
        <v/>
      </c>
      <c r="FI205" s="452" t="str">
        <f t="shared" si="302"/>
        <v/>
      </c>
      <c r="FJ205" s="452" t="str">
        <f t="shared" si="302"/>
        <v/>
      </c>
      <c r="FK205" s="453" t="str">
        <f t="shared" si="302"/>
        <v/>
      </c>
      <c r="FL205" s="451" t="str">
        <f t="shared" si="302"/>
        <v/>
      </c>
      <c r="FM205" s="452" t="str">
        <f t="shared" si="302"/>
        <v/>
      </c>
      <c r="FN205" s="452" t="str">
        <f t="shared" si="302"/>
        <v/>
      </c>
      <c r="FO205" s="452" t="str">
        <f t="shared" si="302"/>
        <v/>
      </c>
      <c r="FP205" s="453" t="str">
        <f t="shared" si="302"/>
        <v/>
      </c>
      <c r="FQ205" s="451" t="str">
        <f t="shared" si="303"/>
        <v/>
      </c>
      <c r="FR205" s="452" t="str">
        <f t="shared" si="303"/>
        <v/>
      </c>
      <c r="FS205" s="452" t="str">
        <f t="shared" si="303"/>
        <v/>
      </c>
      <c r="FT205" s="452" t="str">
        <f t="shared" si="303"/>
        <v/>
      </c>
      <c r="FU205" s="453" t="str">
        <f t="shared" si="303"/>
        <v/>
      </c>
      <c r="FV205" s="451" t="str">
        <f t="shared" si="303"/>
        <v/>
      </c>
      <c r="FW205" s="452" t="str">
        <f t="shared" si="303"/>
        <v/>
      </c>
      <c r="FX205" s="452" t="str">
        <f t="shared" si="303"/>
        <v/>
      </c>
      <c r="FY205" s="452" t="str">
        <f t="shared" si="303"/>
        <v/>
      </c>
      <c r="FZ205" s="453" t="str">
        <f t="shared" si="303"/>
        <v/>
      </c>
      <c r="GA205" s="451" t="str">
        <f t="shared" si="303"/>
        <v/>
      </c>
      <c r="GB205" s="452" t="str">
        <f t="shared" si="303"/>
        <v/>
      </c>
      <c r="GC205" s="452" t="str">
        <f t="shared" si="303"/>
        <v/>
      </c>
      <c r="GD205" s="452" t="str">
        <f t="shared" si="303"/>
        <v/>
      </c>
      <c r="GE205" s="453" t="str">
        <f t="shared" si="303"/>
        <v/>
      </c>
      <c r="GF205" s="451" t="str">
        <f t="shared" si="303"/>
        <v/>
      </c>
      <c r="GG205" s="452" t="str">
        <f t="shared" si="299"/>
        <v/>
      </c>
      <c r="GH205" s="452" t="str">
        <f t="shared" si="299"/>
        <v/>
      </c>
      <c r="GI205" s="452" t="str">
        <f t="shared" si="299"/>
        <v/>
      </c>
      <c r="GJ205" s="453" t="str">
        <f t="shared" si="299"/>
        <v/>
      </c>
      <c r="GK205" s="451" t="str">
        <f t="shared" si="299"/>
        <v/>
      </c>
      <c r="GL205" s="452" t="str">
        <f t="shared" si="299"/>
        <v/>
      </c>
      <c r="GM205" s="452" t="str">
        <f t="shared" si="299"/>
        <v/>
      </c>
      <c r="GN205" s="452" t="str">
        <f t="shared" si="299"/>
        <v/>
      </c>
      <c r="GO205" s="453" t="str">
        <f t="shared" si="299"/>
        <v/>
      </c>
      <c r="GP205" s="451" t="str">
        <f t="shared" si="299"/>
        <v/>
      </c>
      <c r="GQ205" s="452" t="str">
        <f t="shared" si="299"/>
        <v/>
      </c>
      <c r="GR205" s="452" t="str">
        <f t="shared" si="299"/>
        <v/>
      </c>
      <c r="GS205" s="452" t="str">
        <f t="shared" si="299"/>
        <v/>
      </c>
      <c r="GT205" s="453" t="str">
        <f t="shared" si="299"/>
        <v/>
      </c>
      <c r="GU205" s="451" t="str">
        <f t="shared" si="299"/>
        <v/>
      </c>
      <c r="GV205" s="452" t="str">
        <f t="shared" si="299"/>
        <v/>
      </c>
      <c r="GW205" s="452" t="str">
        <f t="shared" si="300"/>
        <v/>
      </c>
      <c r="GX205" s="452" t="str">
        <f t="shared" si="300"/>
        <v/>
      </c>
      <c r="GY205" s="453" t="str">
        <f t="shared" si="300"/>
        <v/>
      </c>
      <c r="GZ205" s="451" t="str">
        <f t="shared" si="300"/>
        <v/>
      </c>
      <c r="HA205" s="452" t="str">
        <f t="shared" si="300"/>
        <v/>
      </c>
      <c r="HB205" s="452" t="str">
        <f t="shared" si="300"/>
        <v/>
      </c>
      <c r="HC205" s="452" t="str">
        <f t="shared" si="300"/>
        <v/>
      </c>
      <c r="HD205" s="453" t="str">
        <f t="shared" si="300"/>
        <v/>
      </c>
      <c r="HE205" s="451" t="str">
        <f t="shared" si="300"/>
        <v/>
      </c>
      <c r="HF205" s="452" t="str">
        <f t="shared" si="300"/>
        <v/>
      </c>
      <c r="HG205" s="452" t="str">
        <f t="shared" si="300"/>
        <v/>
      </c>
      <c r="HH205" s="452" t="str">
        <f t="shared" si="300"/>
        <v/>
      </c>
      <c r="HI205" s="453" t="str">
        <f t="shared" si="300"/>
        <v/>
      </c>
      <c r="HJ205" s="451" t="str">
        <f t="shared" si="300"/>
        <v/>
      </c>
      <c r="HK205" s="452" t="str">
        <f t="shared" si="300"/>
        <v/>
      </c>
      <c r="HL205" s="452" t="str">
        <f t="shared" si="300"/>
        <v/>
      </c>
      <c r="HM205" s="452" t="str">
        <f t="shared" si="304"/>
        <v/>
      </c>
      <c r="HN205" s="453" t="str">
        <f t="shared" si="304"/>
        <v/>
      </c>
      <c r="HO205" s="451" t="str">
        <f t="shared" si="304"/>
        <v/>
      </c>
      <c r="HP205" s="452" t="str">
        <f t="shared" si="304"/>
        <v/>
      </c>
      <c r="HQ205" s="452" t="str">
        <f t="shared" si="304"/>
        <v/>
      </c>
      <c r="HR205" s="452" t="str">
        <f t="shared" si="304"/>
        <v/>
      </c>
      <c r="HS205" s="453" t="str">
        <f t="shared" si="304"/>
        <v/>
      </c>
      <c r="HT205" s="451" t="str">
        <f t="shared" si="304"/>
        <v/>
      </c>
      <c r="HU205" s="452" t="str">
        <f t="shared" si="304"/>
        <v/>
      </c>
      <c r="HV205" s="452" t="str">
        <f t="shared" si="304"/>
        <v/>
      </c>
      <c r="HW205" s="452" t="str">
        <f t="shared" si="304"/>
        <v/>
      </c>
      <c r="HX205" s="453" t="str">
        <f t="shared" si="304"/>
        <v/>
      </c>
      <c r="HY205" s="451" t="str">
        <f t="shared" si="304"/>
        <v/>
      </c>
      <c r="HZ205" s="452" t="str">
        <f t="shared" si="304"/>
        <v/>
      </c>
      <c r="IA205" s="452" t="str">
        <f t="shared" si="304"/>
        <v/>
      </c>
      <c r="IB205" s="452" t="str">
        <f t="shared" si="304"/>
        <v/>
      </c>
      <c r="IC205" s="453" t="str">
        <f t="shared" si="305"/>
        <v/>
      </c>
      <c r="ID205" s="451" t="str">
        <f t="shared" si="305"/>
        <v/>
      </c>
      <c r="IE205" s="452" t="str">
        <f t="shared" si="305"/>
        <v/>
      </c>
      <c r="IF205" s="452" t="str">
        <f t="shared" si="305"/>
        <v/>
      </c>
      <c r="IG205" s="452" t="str">
        <f t="shared" si="305"/>
        <v/>
      </c>
      <c r="IH205" s="453" t="str">
        <f t="shared" si="305"/>
        <v/>
      </c>
      <c r="II205" s="451" t="str">
        <f t="shared" si="305"/>
        <v/>
      </c>
      <c r="IJ205" s="452" t="str">
        <f t="shared" si="305"/>
        <v/>
      </c>
      <c r="IK205" s="452" t="str">
        <f t="shared" si="305"/>
        <v/>
      </c>
      <c r="IL205" s="452" t="str">
        <f t="shared" si="305"/>
        <v/>
      </c>
      <c r="IM205" s="453" t="str">
        <f t="shared" si="305"/>
        <v/>
      </c>
      <c r="IN205" s="451" t="str">
        <f t="shared" si="305"/>
        <v/>
      </c>
      <c r="IO205" s="452" t="str">
        <f t="shared" si="305"/>
        <v/>
      </c>
      <c r="IP205" s="452" t="str">
        <f t="shared" si="305"/>
        <v/>
      </c>
      <c r="IQ205" s="452" t="str">
        <f t="shared" si="305"/>
        <v/>
      </c>
      <c r="IR205" s="453" t="str">
        <f t="shared" si="305"/>
        <v/>
      </c>
    </row>
    <row r="206" spans="1:252" x14ac:dyDescent="0.2">
      <c r="A206" s="461">
        <v>19.399999999999999</v>
      </c>
      <c r="C206" s="447" t="s">
        <v>1354</v>
      </c>
      <c r="D206" s="447"/>
      <c r="E206" s="448"/>
      <c r="F206" s="448"/>
      <c r="G206" s="448"/>
      <c r="H206" s="448"/>
      <c r="I206" s="448"/>
      <c r="J206" s="449" t="str">
        <f t="shared" si="307"/>
        <v/>
      </c>
      <c r="K206" s="449" t="str">
        <f t="shared" si="308"/>
        <v/>
      </c>
      <c r="L206" s="450">
        <f t="shared" si="306"/>
        <v>0</v>
      </c>
      <c r="M206" s="451" t="str">
        <f t="shared" si="310"/>
        <v/>
      </c>
      <c r="N206" s="452" t="str">
        <f t="shared" si="310"/>
        <v/>
      </c>
      <c r="O206" s="452" t="str">
        <f t="shared" si="310"/>
        <v/>
      </c>
      <c r="P206" s="452" t="str">
        <f t="shared" si="310"/>
        <v/>
      </c>
      <c r="Q206" s="453" t="str">
        <f t="shared" si="310"/>
        <v/>
      </c>
      <c r="R206" s="451" t="str">
        <f t="shared" si="310"/>
        <v/>
      </c>
      <c r="S206" s="452" t="str">
        <f t="shared" si="310"/>
        <v/>
      </c>
      <c r="T206" s="452" t="str">
        <f t="shared" si="310"/>
        <v/>
      </c>
      <c r="U206" s="452" t="str">
        <f t="shared" si="310"/>
        <v/>
      </c>
      <c r="V206" s="453" t="str">
        <f t="shared" si="310"/>
        <v/>
      </c>
      <c r="W206" s="451" t="str">
        <f t="shared" si="310"/>
        <v/>
      </c>
      <c r="X206" s="452" t="str">
        <f t="shared" si="310"/>
        <v/>
      </c>
      <c r="Y206" s="452" t="str">
        <f t="shared" si="310"/>
        <v/>
      </c>
      <c r="Z206" s="452" t="str">
        <f t="shared" si="310"/>
        <v/>
      </c>
      <c r="AA206" s="453" t="str">
        <f t="shared" si="310"/>
        <v/>
      </c>
      <c r="AB206" s="451" t="str">
        <f t="shared" si="310"/>
        <v/>
      </c>
      <c r="AC206" s="452" t="str">
        <f t="shared" si="296"/>
        <v/>
      </c>
      <c r="AD206" s="452" t="str">
        <f t="shared" si="296"/>
        <v/>
      </c>
      <c r="AE206" s="452" t="str">
        <f t="shared" si="296"/>
        <v/>
      </c>
      <c r="AF206" s="453" t="str">
        <f t="shared" si="296"/>
        <v/>
      </c>
      <c r="AG206" s="451" t="str">
        <f t="shared" si="296"/>
        <v/>
      </c>
      <c r="AH206" s="452" t="str">
        <f t="shared" si="296"/>
        <v/>
      </c>
      <c r="AI206" s="452" t="str">
        <f t="shared" si="296"/>
        <v/>
      </c>
      <c r="AJ206" s="452" t="str">
        <f t="shared" si="296"/>
        <v/>
      </c>
      <c r="AK206" s="453" t="str">
        <f t="shared" si="296"/>
        <v/>
      </c>
      <c r="AL206" s="451" t="str">
        <f t="shared" si="296"/>
        <v/>
      </c>
      <c r="AM206" s="452" t="str">
        <f t="shared" si="296"/>
        <v/>
      </c>
      <c r="AN206" s="452" t="str">
        <f t="shared" si="296"/>
        <v/>
      </c>
      <c r="AO206" s="452" t="str">
        <f t="shared" si="296"/>
        <v/>
      </c>
      <c r="AP206" s="453" t="str">
        <f t="shared" si="296"/>
        <v/>
      </c>
      <c r="AQ206" s="451" t="str">
        <f t="shared" si="296"/>
        <v/>
      </c>
      <c r="AR206" s="452" t="str">
        <f t="shared" si="296"/>
        <v/>
      </c>
      <c r="AS206" s="452" t="str">
        <f t="shared" si="291"/>
        <v/>
      </c>
      <c r="AT206" s="452" t="str">
        <f t="shared" si="291"/>
        <v/>
      </c>
      <c r="AU206" s="453" t="str">
        <f t="shared" si="291"/>
        <v/>
      </c>
      <c r="AV206" s="451" t="str">
        <f t="shared" si="291"/>
        <v/>
      </c>
      <c r="AW206" s="452" t="str">
        <f t="shared" si="291"/>
        <v/>
      </c>
      <c r="AX206" s="452" t="str">
        <f t="shared" si="291"/>
        <v/>
      </c>
      <c r="AY206" s="452" t="str">
        <f t="shared" si="291"/>
        <v/>
      </c>
      <c r="AZ206" s="453" t="str">
        <f t="shared" si="291"/>
        <v/>
      </c>
      <c r="BA206" s="451" t="str">
        <f t="shared" si="291"/>
        <v/>
      </c>
      <c r="BB206" s="452" t="str">
        <f t="shared" si="291"/>
        <v/>
      </c>
      <c r="BC206" s="452" t="str">
        <f t="shared" si="291"/>
        <v/>
      </c>
      <c r="BD206" s="452" t="str">
        <f t="shared" si="291"/>
        <v/>
      </c>
      <c r="BE206" s="453" t="str">
        <f t="shared" si="291"/>
        <v/>
      </c>
      <c r="BF206" s="451" t="str">
        <f t="shared" si="291"/>
        <v/>
      </c>
      <c r="BG206" s="452" t="str">
        <f t="shared" si="291"/>
        <v/>
      </c>
      <c r="BH206" s="452" t="str">
        <f t="shared" si="291"/>
        <v/>
      </c>
      <c r="BI206" s="452" t="str">
        <f t="shared" si="292"/>
        <v/>
      </c>
      <c r="BJ206" s="453" t="str">
        <f t="shared" si="292"/>
        <v/>
      </c>
      <c r="BK206" s="451" t="str">
        <f t="shared" si="292"/>
        <v/>
      </c>
      <c r="BL206" s="452" t="str">
        <f t="shared" si="292"/>
        <v/>
      </c>
      <c r="BM206" s="452" t="str">
        <f t="shared" si="292"/>
        <v/>
      </c>
      <c r="BN206" s="452" t="str">
        <f t="shared" si="292"/>
        <v/>
      </c>
      <c r="BO206" s="453" t="str">
        <f t="shared" si="292"/>
        <v/>
      </c>
      <c r="BP206" s="451" t="str">
        <f t="shared" si="292"/>
        <v/>
      </c>
      <c r="BQ206" s="452" t="str">
        <f t="shared" si="292"/>
        <v/>
      </c>
      <c r="BR206" s="452" t="str">
        <f t="shared" si="292"/>
        <v/>
      </c>
      <c r="BS206" s="452" t="str">
        <f t="shared" si="292"/>
        <v/>
      </c>
      <c r="BT206" s="453" t="str">
        <f t="shared" si="292"/>
        <v/>
      </c>
      <c r="BU206" s="451" t="str">
        <f t="shared" si="292"/>
        <v/>
      </c>
      <c r="BV206" s="452" t="str">
        <f t="shared" si="292"/>
        <v/>
      </c>
      <c r="BW206" s="452" t="str">
        <f t="shared" si="292"/>
        <v/>
      </c>
      <c r="BX206" s="452" t="str">
        <f t="shared" si="292"/>
        <v/>
      </c>
      <c r="BY206" s="453" t="str">
        <f t="shared" si="293"/>
        <v/>
      </c>
      <c r="BZ206" s="451" t="str">
        <f t="shared" si="293"/>
        <v/>
      </c>
      <c r="CA206" s="452" t="str">
        <f t="shared" si="293"/>
        <v/>
      </c>
      <c r="CB206" s="452" t="str">
        <f t="shared" si="293"/>
        <v/>
      </c>
      <c r="CC206" s="452" t="str">
        <f t="shared" si="293"/>
        <v/>
      </c>
      <c r="CD206" s="453" t="str">
        <f t="shared" si="293"/>
        <v/>
      </c>
      <c r="CE206" s="451" t="str">
        <f t="shared" si="293"/>
        <v/>
      </c>
      <c r="CF206" s="452" t="str">
        <f t="shared" si="293"/>
        <v/>
      </c>
      <c r="CG206" s="452" t="str">
        <f t="shared" si="293"/>
        <v/>
      </c>
      <c r="CH206" s="452" t="str">
        <f t="shared" si="293"/>
        <v/>
      </c>
      <c r="CI206" s="453" t="str">
        <f t="shared" si="293"/>
        <v/>
      </c>
      <c r="CJ206" s="451" t="str">
        <f t="shared" si="293"/>
        <v/>
      </c>
      <c r="CK206" s="452" t="str">
        <f t="shared" si="293"/>
        <v/>
      </c>
      <c r="CL206" s="452" t="str">
        <f t="shared" si="293"/>
        <v/>
      </c>
      <c r="CM206" s="452" t="str">
        <f t="shared" si="293"/>
        <v/>
      </c>
      <c r="CN206" s="453" t="str">
        <f t="shared" si="293"/>
        <v/>
      </c>
      <c r="CO206" s="451" t="str">
        <f t="shared" si="294"/>
        <v/>
      </c>
      <c r="CP206" s="452" t="str">
        <f t="shared" si="294"/>
        <v/>
      </c>
      <c r="CQ206" s="452" t="str">
        <f t="shared" si="294"/>
        <v/>
      </c>
      <c r="CR206" s="452" t="str">
        <f t="shared" si="294"/>
        <v/>
      </c>
      <c r="CS206" s="453" t="str">
        <f t="shared" si="294"/>
        <v/>
      </c>
      <c r="CT206" s="451" t="str">
        <f t="shared" si="294"/>
        <v/>
      </c>
      <c r="CU206" s="452" t="str">
        <f t="shared" si="294"/>
        <v/>
      </c>
      <c r="CV206" s="452" t="str">
        <f t="shared" si="294"/>
        <v/>
      </c>
      <c r="CW206" s="452" t="str">
        <f t="shared" si="294"/>
        <v/>
      </c>
      <c r="CX206" s="453" t="str">
        <f t="shared" si="294"/>
        <v/>
      </c>
      <c r="CY206" s="451" t="str">
        <f t="shared" si="294"/>
        <v/>
      </c>
      <c r="CZ206" s="452" t="str">
        <f t="shared" si="294"/>
        <v/>
      </c>
      <c r="DA206" s="452" t="str">
        <f t="shared" si="294"/>
        <v/>
      </c>
      <c r="DB206" s="452" t="str">
        <f t="shared" si="294"/>
        <v/>
      </c>
      <c r="DC206" s="453" t="str">
        <f t="shared" si="294"/>
        <v/>
      </c>
      <c r="DD206" s="451" t="str">
        <f t="shared" si="294"/>
        <v/>
      </c>
      <c r="DE206" s="452" t="str">
        <f t="shared" si="295"/>
        <v/>
      </c>
      <c r="DF206" s="452" t="str">
        <f t="shared" si="295"/>
        <v/>
      </c>
      <c r="DG206" s="452" t="str">
        <f t="shared" si="295"/>
        <v/>
      </c>
      <c r="DH206" s="453" t="str">
        <f t="shared" si="295"/>
        <v/>
      </c>
      <c r="DI206" s="451" t="str">
        <f t="shared" si="295"/>
        <v/>
      </c>
      <c r="DJ206" s="452" t="str">
        <f t="shared" si="295"/>
        <v/>
      </c>
      <c r="DK206" s="452" t="str">
        <f t="shared" si="295"/>
        <v/>
      </c>
      <c r="DL206" s="452" t="str">
        <f t="shared" si="295"/>
        <v/>
      </c>
      <c r="DM206" s="453" t="str">
        <f t="shared" si="295"/>
        <v/>
      </c>
      <c r="DN206" s="451" t="str">
        <f t="shared" si="295"/>
        <v/>
      </c>
      <c r="DO206" s="452" t="str">
        <f t="shared" si="295"/>
        <v/>
      </c>
      <c r="DP206" s="452" t="str">
        <f t="shared" si="295"/>
        <v/>
      </c>
      <c r="DQ206" s="452" t="str">
        <f t="shared" si="295"/>
        <v/>
      </c>
      <c r="DR206" s="453" t="str">
        <f t="shared" si="295"/>
        <v/>
      </c>
      <c r="DS206" s="451" t="str">
        <f t="shared" si="295"/>
        <v/>
      </c>
      <c r="DT206" s="452" t="str">
        <f t="shared" si="295"/>
        <v/>
      </c>
      <c r="DU206" s="452" t="str">
        <f t="shared" si="297"/>
        <v/>
      </c>
      <c r="DV206" s="452" t="str">
        <f t="shared" si="297"/>
        <v/>
      </c>
      <c r="DW206" s="453" t="str">
        <f t="shared" si="297"/>
        <v/>
      </c>
      <c r="DX206" s="451" t="str">
        <f t="shared" si="297"/>
        <v/>
      </c>
      <c r="DY206" s="452" t="str">
        <f t="shared" si="297"/>
        <v/>
      </c>
      <c r="DZ206" s="452" t="str">
        <f t="shared" si="297"/>
        <v/>
      </c>
      <c r="EA206" s="452" t="str">
        <f t="shared" si="297"/>
        <v/>
      </c>
      <c r="EB206" s="453" t="str">
        <f t="shared" si="297"/>
        <v/>
      </c>
      <c r="EC206" s="451" t="str">
        <f t="shared" si="297"/>
        <v/>
      </c>
      <c r="ED206" s="452" t="str">
        <f t="shared" si="297"/>
        <v/>
      </c>
      <c r="EE206" s="452" t="str">
        <f t="shared" si="297"/>
        <v/>
      </c>
      <c r="EF206" s="452" t="str">
        <f t="shared" si="297"/>
        <v/>
      </c>
      <c r="EG206" s="453" t="str">
        <f t="shared" si="297"/>
        <v/>
      </c>
      <c r="EH206" s="451" t="str">
        <f t="shared" si="297"/>
        <v/>
      </c>
      <c r="EI206" s="452" t="str">
        <f t="shared" si="297"/>
        <v/>
      </c>
      <c r="EJ206" s="452" t="str">
        <f t="shared" si="297"/>
        <v/>
      </c>
      <c r="EK206" s="452" t="str">
        <f t="shared" si="301"/>
        <v/>
      </c>
      <c r="EL206" s="453" t="str">
        <f t="shared" si="301"/>
        <v/>
      </c>
      <c r="EM206" s="451" t="str">
        <f t="shared" si="301"/>
        <v/>
      </c>
      <c r="EN206" s="452" t="str">
        <f t="shared" si="301"/>
        <v/>
      </c>
      <c r="EO206" s="452" t="str">
        <f t="shared" si="301"/>
        <v/>
      </c>
      <c r="EP206" s="452" t="str">
        <f t="shared" si="301"/>
        <v/>
      </c>
      <c r="EQ206" s="453" t="str">
        <f t="shared" si="301"/>
        <v/>
      </c>
      <c r="ER206" s="451" t="str">
        <f t="shared" si="301"/>
        <v/>
      </c>
      <c r="ES206" s="452" t="str">
        <f t="shared" si="301"/>
        <v/>
      </c>
      <c r="ET206" s="452" t="str">
        <f t="shared" si="301"/>
        <v/>
      </c>
      <c r="EU206" s="452" t="str">
        <f t="shared" si="301"/>
        <v/>
      </c>
      <c r="EV206" s="453" t="str">
        <f t="shared" si="301"/>
        <v/>
      </c>
      <c r="EW206" s="451" t="str">
        <f t="shared" si="301"/>
        <v/>
      </c>
      <c r="EX206" s="452" t="str">
        <f t="shared" si="301"/>
        <v/>
      </c>
      <c r="EY206" s="452" t="str">
        <f t="shared" si="301"/>
        <v/>
      </c>
      <c r="EZ206" s="452" t="str">
        <f t="shared" si="301"/>
        <v/>
      </c>
      <c r="FA206" s="453" t="str">
        <f t="shared" si="302"/>
        <v/>
      </c>
      <c r="FB206" s="451" t="str">
        <f t="shared" si="302"/>
        <v/>
      </c>
      <c r="FC206" s="452" t="str">
        <f t="shared" si="302"/>
        <v/>
      </c>
      <c r="FD206" s="452" t="str">
        <f t="shared" si="302"/>
        <v/>
      </c>
      <c r="FE206" s="452" t="str">
        <f t="shared" si="302"/>
        <v/>
      </c>
      <c r="FF206" s="453" t="str">
        <f t="shared" si="302"/>
        <v/>
      </c>
      <c r="FG206" s="451" t="str">
        <f t="shared" si="302"/>
        <v/>
      </c>
      <c r="FH206" s="452" t="str">
        <f t="shared" si="302"/>
        <v/>
      </c>
      <c r="FI206" s="452" t="str">
        <f t="shared" si="302"/>
        <v/>
      </c>
      <c r="FJ206" s="452" t="str">
        <f t="shared" si="302"/>
        <v/>
      </c>
      <c r="FK206" s="453" t="str">
        <f t="shared" si="302"/>
        <v/>
      </c>
      <c r="FL206" s="451" t="str">
        <f t="shared" si="302"/>
        <v/>
      </c>
      <c r="FM206" s="452" t="str">
        <f t="shared" si="302"/>
        <v/>
      </c>
      <c r="FN206" s="452" t="str">
        <f t="shared" si="302"/>
        <v/>
      </c>
      <c r="FO206" s="452" t="str">
        <f t="shared" si="302"/>
        <v/>
      </c>
      <c r="FP206" s="453" t="str">
        <f t="shared" si="302"/>
        <v/>
      </c>
      <c r="FQ206" s="451" t="str">
        <f t="shared" si="303"/>
        <v/>
      </c>
      <c r="FR206" s="452" t="str">
        <f t="shared" si="303"/>
        <v/>
      </c>
      <c r="FS206" s="452" t="str">
        <f t="shared" si="303"/>
        <v/>
      </c>
      <c r="FT206" s="452" t="str">
        <f t="shared" si="303"/>
        <v/>
      </c>
      <c r="FU206" s="453" t="str">
        <f t="shared" si="303"/>
        <v/>
      </c>
      <c r="FV206" s="451" t="str">
        <f t="shared" si="303"/>
        <v/>
      </c>
      <c r="FW206" s="452" t="str">
        <f t="shared" si="303"/>
        <v/>
      </c>
      <c r="FX206" s="452" t="str">
        <f t="shared" si="303"/>
        <v/>
      </c>
      <c r="FY206" s="452" t="str">
        <f t="shared" si="303"/>
        <v/>
      </c>
      <c r="FZ206" s="453" t="str">
        <f t="shared" si="303"/>
        <v/>
      </c>
      <c r="GA206" s="451" t="str">
        <f t="shared" si="303"/>
        <v/>
      </c>
      <c r="GB206" s="452" t="str">
        <f t="shared" si="303"/>
        <v/>
      </c>
      <c r="GC206" s="452" t="str">
        <f t="shared" si="303"/>
        <v/>
      </c>
      <c r="GD206" s="452" t="str">
        <f t="shared" si="303"/>
        <v/>
      </c>
      <c r="GE206" s="453" t="str">
        <f t="shared" si="303"/>
        <v/>
      </c>
      <c r="GF206" s="451" t="str">
        <f t="shared" si="303"/>
        <v/>
      </c>
      <c r="GG206" s="452" t="str">
        <f t="shared" si="299"/>
        <v/>
      </c>
      <c r="GH206" s="452" t="str">
        <f t="shared" si="299"/>
        <v/>
      </c>
      <c r="GI206" s="452" t="str">
        <f t="shared" si="299"/>
        <v/>
      </c>
      <c r="GJ206" s="453" t="str">
        <f t="shared" si="299"/>
        <v/>
      </c>
      <c r="GK206" s="451" t="str">
        <f t="shared" si="299"/>
        <v/>
      </c>
      <c r="GL206" s="452" t="str">
        <f t="shared" si="299"/>
        <v/>
      </c>
      <c r="GM206" s="452" t="str">
        <f t="shared" si="299"/>
        <v/>
      </c>
      <c r="GN206" s="452" t="str">
        <f t="shared" si="299"/>
        <v/>
      </c>
      <c r="GO206" s="453" t="str">
        <f t="shared" si="299"/>
        <v/>
      </c>
      <c r="GP206" s="451" t="str">
        <f t="shared" si="299"/>
        <v/>
      </c>
      <c r="GQ206" s="452" t="str">
        <f t="shared" si="299"/>
        <v/>
      </c>
      <c r="GR206" s="452" t="str">
        <f t="shared" si="299"/>
        <v/>
      </c>
      <c r="GS206" s="452" t="str">
        <f t="shared" si="299"/>
        <v/>
      </c>
      <c r="GT206" s="453" t="str">
        <f t="shared" si="299"/>
        <v/>
      </c>
      <c r="GU206" s="451" t="str">
        <f t="shared" si="299"/>
        <v/>
      </c>
      <c r="GV206" s="452" t="str">
        <f t="shared" si="299"/>
        <v/>
      </c>
      <c r="GW206" s="452" t="str">
        <f t="shared" si="300"/>
        <v/>
      </c>
      <c r="GX206" s="452" t="str">
        <f t="shared" si="300"/>
        <v/>
      </c>
      <c r="GY206" s="453" t="str">
        <f t="shared" si="300"/>
        <v/>
      </c>
      <c r="GZ206" s="451" t="str">
        <f t="shared" si="300"/>
        <v/>
      </c>
      <c r="HA206" s="452" t="str">
        <f t="shared" si="300"/>
        <v/>
      </c>
      <c r="HB206" s="452" t="str">
        <f t="shared" si="300"/>
        <v/>
      </c>
      <c r="HC206" s="452" t="str">
        <f t="shared" si="300"/>
        <v/>
      </c>
      <c r="HD206" s="453" t="str">
        <f t="shared" si="300"/>
        <v/>
      </c>
      <c r="HE206" s="451" t="str">
        <f t="shared" si="300"/>
        <v/>
      </c>
      <c r="HF206" s="452" t="str">
        <f t="shared" si="300"/>
        <v/>
      </c>
      <c r="HG206" s="452" t="str">
        <f t="shared" si="300"/>
        <v/>
      </c>
      <c r="HH206" s="452" t="str">
        <f t="shared" si="300"/>
        <v/>
      </c>
      <c r="HI206" s="453" t="str">
        <f t="shared" si="300"/>
        <v/>
      </c>
      <c r="HJ206" s="451" t="str">
        <f t="shared" si="300"/>
        <v/>
      </c>
      <c r="HK206" s="452" t="str">
        <f t="shared" si="300"/>
        <v/>
      </c>
      <c r="HL206" s="452" t="str">
        <f t="shared" si="300"/>
        <v/>
      </c>
      <c r="HM206" s="452" t="str">
        <f t="shared" si="304"/>
        <v/>
      </c>
      <c r="HN206" s="453" t="str">
        <f t="shared" si="304"/>
        <v/>
      </c>
      <c r="HO206" s="451" t="str">
        <f t="shared" si="304"/>
        <v/>
      </c>
      <c r="HP206" s="452" t="str">
        <f t="shared" si="304"/>
        <v/>
      </c>
      <c r="HQ206" s="452" t="str">
        <f t="shared" si="304"/>
        <v/>
      </c>
      <c r="HR206" s="452" t="str">
        <f t="shared" si="304"/>
        <v/>
      </c>
      <c r="HS206" s="453" t="str">
        <f t="shared" si="304"/>
        <v/>
      </c>
      <c r="HT206" s="451" t="str">
        <f t="shared" si="304"/>
        <v/>
      </c>
      <c r="HU206" s="452" t="str">
        <f t="shared" si="304"/>
        <v/>
      </c>
      <c r="HV206" s="452" t="str">
        <f t="shared" si="304"/>
        <v/>
      </c>
      <c r="HW206" s="452" t="str">
        <f t="shared" si="304"/>
        <v/>
      </c>
      <c r="HX206" s="453" t="str">
        <f t="shared" si="304"/>
        <v/>
      </c>
      <c r="HY206" s="451" t="str">
        <f t="shared" si="304"/>
        <v/>
      </c>
      <c r="HZ206" s="452" t="str">
        <f t="shared" si="304"/>
        <v/>
      </c>
      <c r="IA206" s="452" t="str">
        <f t="shared" si="304"/>
        <v/>
      </c>
      <c r="IB206" s="452" t="str">
        <f t="shared" si="304"/>
        <v/>
      </c>
      <c r="IC206" s="453" t="str">
        <f t="shared" si="305"/>
        <v/>
      </c>
      <c r="ID206" s="451" t="str">
        <f t="shared" si="305"/>
        <v/>
      </c>
      <c r="IE206" s="452" t="str">
        <f t="shared" si="305"/>
        <v/>
      </c>
      <c r="IF206" s="452" t="str">
        <f t="shared" si="305"/>
        <v/>
      </c>
      <c r="IG206" s="452" t="str">
        <f t="shared" si="305"/>
        <v/>
      </c>
      <c r="IH206" s="453" t="str">
        <f t="shared" si="305"/>
        <v/>
      </c>
      <c r="II206" s="451" t="str">
        <f t="shared" si="305"/>
        <v/>
      </c>
      <c r="IJ206" s="452" t="str">
        <f t="shared" si="305"/>
        <v/>
      </c>
      <c r="IK206" s="452" t="str">
        <f t="shared" si="305"/>
        <v/>
      </c>
      <c r="IL206" s="452" t="str">
        <f t="shared" si="305"/>
        <v/>
      </c>
      <c r="IM206" s="453" t="str">
        <f t="shared" si="305"/>
        <v/>
      </c>
      <c r="IN206" s="451" t="str">
        <f t="shared" si="305"/>
        <v/>
      </c>
      <c r="IO206" s="452" t="str">
        <f t="shared" si="305"/>
        <v/>
      </c>
      <c r="IP206" s="452" t="str">
        <f t="shared" si="305"/>
        <v/>
      </c>
      <c r="IQ206" s="452" t="str">
        <f t="shared" si="305"/>
        <v/>
      </c>
      <c r="IR206" s="453" t="str">
        <f t="shared" si="305"/>
        <v/>
      </c>
    </row>
    <row r="207" spans="1:252" x14ac:dyDescent="0.2">
      <c r="A207" s="461">
        <v>19.5</v>
      </c>
      <c r="C207" s="447" t="s">
        <v>1355</v>
      </c>
      <c r="D207" s="447"/>
      <c r="E207" s="448"/>
      <c r="F207" s="448"/>
      <c r="G207" s="448"/>
      <c r="H207" s="448"/>
      <c r="I207" s="448"/>
      <c r="J207" s="449" t="str">
        <f t="shared" si="307"/>
        <v/>
      </c>
      <c r="K207" s="449" t="str">
        <f t="shared" si="308"/>
        <v/>
      </c>
      <c r="L207" s="450">
        <f t="shared" si="306"/>
        <v>0</v>
      </c>
      <c r="M207" s="451" t="str">
        <f t="shared" si="310"/>
        <v/>
      </c>
      <c r="N207" s="452" t="str">
        <f t="shared" si="310"/>
        <v/>
      </c>
      <c r="O207" s="452" t="str">
        <f t="shared" si="310"/>
        <v/>
      </c>
      <c r="P207" s="452" t="str">
        <f t="shared" si="310"/>
        <v/>
      </c>
      <c r="Q207" s="453" t="str">
        <f t="shared" si="310"/>
        <v/>
      </c>
      <c r="R207" s="451" t="str">
        <f t="shared" si="310"/>
        <v/>
      </c>
      <c r="S207" s="452" t="str">
        <f t="shared" si="310"/>
        <v/>
      </c>
      <c r="T207" s="452" t="str">
        <f t="shared" si="310"/>
        <v/>
      </c>
      <c r="U207" s="452" t="str">
        <f t="shared" si="310"/>
        <v/>
      </c>
      <c r="V207" s="453" t="str">
        <f t="shared" si="310"/>
        <v/>
      </c>
      <c r="W207" s="451" t="str">
        <f t="shared" si="310"/>
        <v/>
      </c>
      <c r="X207" s="452" t="str">
        <f t="shared" si="310"/>
        <v/>
      </c>
      <c r="Y207" s="452" t="str">
        <f t="shared" si="310"/>
        <v/>
      </c>
      <c r="Z207" s="452" t="str">
        <f t="shared" si="310"/>
        <v/>
      </c>
      <c r="AA207" s="453" t="str">
        <f t="shared" si="310"/>
        <v/>
      </c>
      <c r="AB207" s="451" t="str">
        <f t="shared" si="310"/>
        <v/>
      </c>
      <c r="AC207" s="452" t="str">
        <f t="shared" si="296"/>
        <v/>
      </c>
      <c r="AD207" s="452" t="str">
        <f t="shared" si="296"/>
        <v/>
      </c>
      <c r="AE207" s="452" t="str">
        <f t="shared" si="296"/>
        <v/>
      </c>
      <c r="AF207" s="453" t="str">
        <f t="shared" si="296"/>
        <v/>
      </c>
      <c r="AG207" s="451" t="str">
        <f t="shared" si="296"/>
        <v/>
      </c>
      <c r="AH207" s="452" t="str">
        <f t="shared" si="296"/>
        <v/>
      </c>
      <c r="AI207" s="452" t="str">
        <f t="shared" si="296"/>
        <v/>
      </c>
      <c r="AJ207" s="452" t="str">
        <f t="shared" si="296"/>
        <v/>
      </c>
      <c r="AK207" s="453" t="str">
        <f t="shared" si="296"/>
        <v/>
      </c>
      <c r="AL207" s="451" t="str">
        <f t="shared" si="296"/>
        <v/>
      </c>
      <c r="AM207" s="452" t="str">
        <f t="shared" si="296"/>
        <v/>
      </c>
      <c r="AN207" s="452" t="str">
        <f t="shared" si="296"/>
        <v/>
      </c>
      <c r="AO207" s="452" t="str">
        <f t="shared" si="296"/>
        <v/>
      </c>
      <c r="AP207" s="453" t="str">
        <f t="shared" si="296"/>
        <v/>
      </c>
      <c r="AQ207" s="451" t="str">
        <f t="shared" si="296"/>
        <v/>
      </c>
      <c r="AR207" s="452" t="str">
        <f t="shared" si="296"/>
        <v/>
      </c>
      <c r="AS207" s="452" t="str">
        <f t="shared" si="291"/>
        <v/>
      </c>
      <c r="AT207" s="452" t="str">
        <f t="shared" si="291"/>
        <v/>
      </c>
      <c r="AU207" s="453" t="str">
        <f t="shared" si="291"/>
        <v/>
      </c>
      <c r="AV207" s="451" t="str">
        <f t="shared" si="291"/>
        <v/>
      </c>
      <c r="AW207" s="452" t="str">
        <f t="shared" si="291"/>
        <v/>
      </c>
      <c r="AX207" s="452" t="str">
        <f t="shared" si="291"/>
        <v/>
      </c>
      <c r="AY207" s="452" t="str">
        <f t="shared" si="291"/>
        <v/>
      </c>
      <c r="AZ207" s="453" t="str">
        <f t="shared" si="291"/>
        <v/>
      </c>
      <c r="BA207" s="451" t="str">
        <f t="shared" si="291"/>
        <v/>
      </c>
      <c r="BB207" s="452" t="str">
        <f t="shared" si="291"/>
        <v/>
      </c>
      <c r="BC207" s="452" t="str">
        <f t="shared" si="291"/>
        <v/>
      </c>
      <c r="BD207" s="452" t="str">
        <f t="shared" si="291"/>
        <v/>
      </c>
      <c r="BE207" s="453" t="str">
        <f t="shared" si="291"/>
        <v/>
      </c>
      <c r="BF207" s="451" t="str">
        <f t="shared" si="291"/>
        <v/>
      </c>
      <c r="BG207" s="452" t="str">
        <f t="shared" si="291"/>
        <v/>
      </c>
      <c r="BH207" s="452" t="str">
        <f t="shared" ref="BH207:BW212" si="311">IF(AND(BH$2&gt;=$J207,BH$2&lt;=$K207),1,"")</f>
        <v/>
      </c>
      <c r="BI207" s="452" t="str">
        <f t="shared" si="292"/>
        <v/>
      </c>
      <c r="BJ207" s="453" t="str">
        <f t="shared" si="292"/>
        <v/>
      </c>
      <c r="BK207" s="451" t="str">
        <f t="shared" si="292"/>
        <v/>
      </c>
      <c r="BL207" s="452" t="str">
        <f t="shared" si="292"/>
        <v/>
      </c>
      <c r="BM207" s="452" t="str">
        <f t="shared" si="292"/>
        <v/>
      </c>
      <c r="BN207" s="452" t="str">
        <f t="shared" si="292"/>
        <v/>
      </c>
      <c r="BO207" s="453" t="str">
        <f t="shared" si="292"/>
        <v/>
      </c>
      <c r="BP207" s="451" t="str">
        <f t="shared" si="292"/>
        <v/>
      </c>
      <c r="BQ207" s="452" t="str">
        <f t="shared" si="292"/>
        <v/>
      </c>
      <c r="BR207" s="452" t="str">
        <f t="shared" si="292"/>
        <v/>
      </c>
      <c r="BS207" s="452" t="str">
        <f t="shared" si="292"/>
        <v/>
      </c>
      <c r="BT207" s="453" t="str">
        <f t="shared" si="292"/>
        <v/>
      </c>
      <c r="BU207" s="451" t="str">
        <f t="shared" si="292"/>
        <v/>
      </c>
      <c r="BV207" s="452" t="str">
        <f t="shared" si="292"/>
        <v/>
      </c>
      <c r="BW207" s="452" t="str">
        <f t="shared" si="292"/>
        <v/>
      </c>
      <c r="BX207" s="452" t="str">
        <f t="shared" si="292"/>
        <v/>
      </c>
      <c r="BY207" s="453" t="str">
        <f t="shared" si="293"/>
        <v/>
      </c>
      <c r="BZ207" s="451" t="str">
        <f t="shared" si="293"/>
        <v/>
      </c>
      <c r="CA207" s="452" t="str">
        <f t="shared" si="293"/>
        <v/>
      </c>
      <c r="CB207" s="452" t="str">
        <f t="shared" si="293"/>
        <v/>
      </c>
      <c r="CC207" s="452" t="str">
        <f t="shared" si="293"/>
        <v/>
      </c>
      <c r="CD207" s="453" t="str">
        <f t="shared" si="293"/>
        <v/>
      </c>
      <c r="CE207" s="451" t="str">
        <f t="shared" si="293"/>
        <v/>
      </c>
      <c r="CF207" s="452" t="str">
        <f t="shared" si="293"/>
        <v/>
      </c>
      <c r="CG207" s="452" t="str">
        <f t="shared" si="293"/>
        <v/>
      </c>
      <c r="CH207" s="452" t="str">
        <f t="shared" si="293"/>
        <v/>
      </c>
      <c r="CI207" s="453" t="str">
        <f t="shared" si="293"/>
        <v/>
      </c>
      <c r="CJ207" s="451" t="str">
        <f t="shared" si="293"/>
        <v/>
      </c>
      <c r="CK207" s="452" t="str">
        <f t="shared" si="293"/>
        <v/>
      </c>
      <c r="CL207" s="452" t="str">
        <f t="shared" si="293"/>
        <v/>
      </c>
      <c r="CM207" s="452" t="str">
        <f t="shared" si="293"/>
        <v/>
      </c>
      <c r="CN207" s="453" t="str">
        <f t="shared" si="293"/>
        <v/>
      </c>
      <c r="CO207" s="451" t="str">
        <f t="shared" si="294"/>
        <v/>
      </c>
      <c r="CP207" s="452" t="str">
        <f t="shared" si="294"/>
        <v/>
      </c>
      <c r="CQ207" s="452" t="str">
        <f t="shared" si="294"/>
        <v/>
      </c>
      <c r="CR207" s="452" t="str">
        <f t="shared" si="294"/>
        <v/>
      </c>
      <c r="CS207" s="453" t="str">
        <f t="shared" si="294"/>
        <v/>
      </c>
      <c r="CT207" s="451" t="str">
        <f t="shared" si="294"/>
        <v/>
      </c>
      <c r="CU207" s="452" t="str">
        <f t="shared" si="294"/>
        <v/>
      </c>
      <c r="CV207" s="452" t="str">
        <f t="shared" si="294"/>
        <v/>
      </c>
      <c r="CW207" s="452" t="str">
        <f t="shared" si="294"/>
        <v/>
      </c>
      <c r="CX207" s="453" t="str">
        <f t="shared" si="294"/>
        <v/>
      </c>
      <c r="CY207" s="451" t="str">
        <f t="shared" si="294"/>
        <v/>
      </c>
      <c r="CZ207" s="452" t="str">
        <f t="shared" si="294"/>
        <v/>
      </c>
      <c r="DA207" s="452" t="str">
        <f t="shared" si="294"/>
        <v/>
      </c>
      <c r="DB207" s="452" t="str">
        <f t="shared" si="294"/>
        <v/>
      </c>
      <c r="DC207" s="453" t="str">
        <f t="shared" si="294"/>
        <v/>
      </c>
      <c r="DD207" s="451" t="str">
        <f t="shared" ref="DD207:DS212" si="312">IF(AND(DD$2&gt;=$J207,DD$2&lt;=$K207),1,"")</f>
        <v/>
      </c>
      <c r="DE207" s="452" t="str">
        <f t="shared" si="295"/>
        <v/>
      </c>
      <c r="DF207" s="452" t="str">
        <f t="shared" si="295"/>
        <v/>
      </c>
      <c r="DG207" s="452" t="str">
        <f t="shared" si="295"/>
        <v/>
      </c>
      <c r="DH207" s="453" t="str">
        <f t="shared" si="295"/>
        <v/>
      </c>
      <c r="DI207" s="451" t="str">
        <f t="shared" si="295"/>
        <v/>
      </c>
      <c r="DJ207" s="452" t="str">
        <f t="shared" si="295"/>
        <v/>
      </c>
      <c r="DK207" s="452" t="str">
        <f t="shared" si="295"/>
        <v/>
      </c>
      <c r="DL207" s="452" t="str">
        <f t="shared" si="295"/>
        <v/>
      </c>
      <c r="DM207" s="453" t="str">
        <f t="shared" si="295"/>
        <v/>
      </c>
      <c r="DN207" s="451" t="str">
        <f t="shared" si="295"/>
        <v/>
      </c>
      <c r="DO207" s="452" t="str">
        <f t="shared" si="295"/>
        <v/>
      </c>
      <c r="DP207" s="452" t="str">
        <f t="shared" si="295"/>
        <v/>
      </c>
      <c r="DQ207" s="452" t="str">
        <f t="shared" si="295"/>
        <v/>
      </c>
      <c r="DR207" s="453" t="str">
        <f t="shared" si="295"/>
        <v/>
      </c>
      <c r="DS207" s="451" t="str">
        <f t="shared" si="295"/>
        <v/>
      </c>
      <c r="DT207" s="452" t="str">
        <f t="shared" si="295"/>
        <v/>
      </c>
      <c r="DU207" s="452" t="str">
        <f t="shared" si="297"/>
        <v/>
      </c>
      <c r="DV207" s="452" t="str">
        <f t="shared" si="297"/>
        <v/>
      </c>
      <c r="DW207" s="453" t="str">
        <f t="shared" si="297"/>
        <v/>
      </c>
      <c r="DX207" s="451" t="str">
        <f t="shared" si="297"/>
        <v/>
      </c>
      <c r="DY207" s="452" t="str">
        <f t="shared" si="297"/>
        <v/>
      </c>
      <c r="DZ207" s="452" t="str">
        <f t="shared" si="297"/>
        <v/>
      </c>
      <c r="EA207" s="452" t="str">
        <f t="shared" si="297"/>
        <v/>
      </c>
      <c r="EB207" s="453" t="str">
        <f t="shared" si="297"/>
        <v/>
      </c>
      <c r="EC207" s="451" t="str">
        <f t="shared" si="297"/>
        <v/>
      </c>
      <c r="ED207" s="452" t="str">
        <f t="shared" si="297"/>
        <v/>
      </c>
      <c r="EE207" s="452" t="str">
        <f t="shared" si="297"/>
        <v/>
      </c>
      <c r="EF207" s="452" t="str">
        <f t="shared" si="297"/>
        <v/>
      </c>
      <c r="EG207" s="453" t="str">
        <f t="shared" si="297"/>
        <v/>
      </c>
      <c r="EH207" s="451" t="str">
        <f t="shared" si="297"/>
        <v/>
      </c>
      <c r="EI207" s="452" t="str">
        <f t="shared" si="297"/>
        <v/>
      </c>
      <c r="EJ207" s="452" t="str">
        <f t="shared" si="297"/>
        <v/>
      </c>
      <c r="EK207" s="452" t="str">
        <f t="shared" si="301"/>
        <v/>
      </c>
      <c r="EL207" s="453" t="str">
        <f t="shared" si="301"/>
        <v/>
      </c>
      <c r="EM207" s="451" t="str">
        <f t="shared" si="301"/>
        <v/>
      </c>
      <c r="EN207" s="452" t="str">
        <f t="shared" si="301"/>
        <v/>
      </c>
      <c r="EO207" s="452" t="str">
        <f t="shared" si="301"/>
        <v/>
      </c>
      <c r="EP207" s="452" t="str">
        <f t="shared" si="301"/>
        <v/>
      </c>
      <c r="EQ207" s="453" t="str">
        <f t="shared" si="301"/>
        <v/>
      </c>
      <c r="ER207" s="451" t="str">
        <f t="shared" si="301"/>
        <v/>
      </c>
      <c r="ES207" s="452" t="str">
        <f t="shared" si="301"/>
        <v/>
      </c>
      <c r="ET207" s="452" t="str">
        <f t="shared" si="301"/>
        <v/>
      </c>
      <c r="EU207" s="452" t="str">
        <f t="shared" si="301"/>
        <v/>
      </c>
      <c r="EV207" s="453" t="str">
        <f t="shared" si="301"/>
        <v/>
      </c>
      <c r="EW207" s="451" t="str">
        <f t="shared" si="301"/>
        <v/>
      </c>
      <c r="EX207" s="452" t="str">
        <f t="shared" si="301"/>
        <v/>
      </c>
      <c r="EY207" s="452" t="str">
        <f t="shared" si="301"/>
        <v/>
      </c>
      <c r="EZ207" s="452" t="str">
        <f t="shared" si="301"/>
        <v/>
      </c>
      <c r="FA207" s="453" t="str">
        <f t="shared" si="302"/>
        <v/>
      </c>
      <c r="FB207" s="451" t="str">
        <f t="shared" si="302"/>
        <v/>
      </c>
      <c r="FC207" s="452" t="str">
        <f t="shared" si="302"/>
        <v/>
      </c>
      <c r="FD207" s="452" t="str">
        <f t="shared" si="302"/>
        <v/>
      </c>
      <c r="FE207" s="452" t="str">
        <f t="shared" si="302"/>
        <v/>
      </c>
      <c r="FF207" s="453" t="str">
        <f t="shared" si="302"/>
        <v/>
      </c>
      <c r="FG207" s="451" t="str">
        <f t="shared" si="302"/>
        <v/>
      </c>
      <c r="FH207" s="452" t="str">
        <f t="shared" si="302"/>
        <v/>
      </c>
      <c r="FI207" s="452" t="str">
        <f t="shared" si="302"/>
        <v/>
      </c>
      <c r="FJ207" s="452" t="str">
        <f t="shared" si="302"/>
        <v/>
      </c>
      <c r="FK207" s="453" t="str">
        <f t="shared" si="302"/>
        <v/>
      </c>
      <c r="FL207" s="451" t="str">
        <f t="shared" si="302"/>
        <v/>
      </c>
      <c r="FM207" s="452" t="str">
        <f t="shared" si="302"/>
        <v/>
      </c>
      <c r="FN207" s="452" t="str">
        <f t="shared" si="302"/>
        <v/>
      </c>
      <c r="FO207" s="452" t="str">
        <f t="shared" si="302"/>
        <v/>
      </c>
      <c r="FP207" s="453" t="str">
        <f t="shared" si="302"/>
        <v/>
      </c>
      <c r="FQ207" s="451" t="str">
        <f t="shared" si="303"/>
        <v/>
      </c>
      <c r="FR207" s="452" t="str">
        <f t="shared" si="303"/>
        <v/>
      </c>
      <c r="FS207" s="452" t="str">
        <f t="shared" si="303"/>
        <v/>
      </c>
      <c r="FT207" s="452" t="str">
        <f t="shared" si="303"/>
        <v/>
      </c>
      <c r="FU207" s="453" t="str">
        <f t="shared" si="303"/>
        <v/>
      </c>
      <c r="FV207" s="451" t="str">
        <f t="shared" si="303"/>
        <v/>
      </c>
      <c r="FW207" s="452" t="str">
        <f t="shared" si="303"/>
        <v/>
      </c>
      <c r="FX207" s="452" t="str">
        <f t="shared" si="303"/>
        <v/>
      </c>
      <c r="FY207" s="452" t="str">
        <f t="shared" si="303"/>
        <v/>
      </c>
      <c r="FZ207" s="453" t="str">
        <f t="shared" si="303"/>
        <v/>
      </c>
      <c r="GA207" s="451" t="str">
        <f t="shared" si="303"/>
        <v/>
      </c>
      <c r="GB207" s="452" t="str">
        <f t="shared" si="303"/>
        <v/>
      </c>
      <c r="GC207" s="452" t="str">
        <f t="shared" si="303"/>
        <v/>
      </c>
      <c r="GD207" s="452" t="str">
        <f t="shared" si="303"/>
        <v/>
      </c>
      <c r="GE207" s="453" t="str">
        <f t="shared" si="303"/>
        <v/>
      </c>
      <c r="GF207" s="451" t="str">
        <f t="shared" si="303"/>
        <v/>
      </c>
      <c r="GG207" s="452" t="str">
        <f t="shared" si="299"/>
        <v/>
      </c>
      <c r="GH207" s="452" t="str">
        <f t="shared" si="299"/>
        <v/>
      </c>
      <c r="GI207" s="452" t="str">
        <f t="shared" si="299"/>
        <v/>
      </c>
      <c r="GJ207" s="453" t="str">
        <f t="shared" si="299"/>
        <v/>
      </c>
      <c r="GK207" s="451" t="str">
        <f t="shared" si="299"/>
        <v/>
      </c>
      <c r="GL207" s="452" t="str">
        <f t="shared" si="299"/>
        <v/>
      </c>
      <c r="GM207" s="452" t="str">
        <f t="shared" si="299"/>
        <v/>
      </c>
      <c r="GN207" s="452" t="str">
        <f t="shared" si="299"/>
        <v/>
      </c>
      <c r="GO207" s="453" t="str">
        <f t="shared" si="299"/>
        <v/>
      </c>
      <c r="GP207" s="451" t="str">
        <f t="shared" si="299"/>
        <v/>
      </c>
      <c r="GQ207" s="452" t="str">
        <f t="shared" si="299"/>
        <v/>
      </c>
      <c r="GR207" s="452" t="str">
        <f t="shared" si="299"/>
        <v/>
      </c>
      <c r="GS207" s="452" t="str">
        <f t="shared" si="299"/>
        <v/>
      </c>
      <c r="GT207" s="453" t="str">
        <f t="shared" si="299"/>
        <v/>
      </c>
      <c r="GU207" s="451" t="str">
        <f t="shared" si="299"/>
        <v/>
      </c>
      <c r="GV207" s="452" t="str">
        <f t="shared" si="299"/>
        <v/>
      </c>
      <c r="GW207" s="452" t="str">
        <f t="shared" si="300"/>
        <v/>
      </c>
      <c r="GX207" s="452" t="str">
        <f t="shared" si="300"/>
        <v/>
      </c>
      <c r="GY207" s="453" t="str">
        <f t="shared" si="300"/>
        <v/>
      </c>
      <c r="GZ207" s="451" t="str">
        <f t="shared" si="300"/>
        <v/>
      </c>
      <c r="HA207" s="452" t="str">
        <f t="shared" si="300"/>
        <v/>
      </c>
      <c r="HB207" s="452" t="str">
        <f t="shared" si="300"/>
        <v/>
      </c>
      <c r="HC207" s="452" t="str">
        <f t="shared" si="300"/>
        <v/>
      </c>
      <c r="HD207" s="453" t="str">
        <f t="shared" si="300"/>
        <v/>
      </c>
      <c r="HE207" s="451" t="str">
        <f t="shared" si="300"/>
        <v/>
      </c>
      <c r="HF207" s="452" t="str">
        <f t="shared" si="300"/>
        <v/>
      </c>
      <c r="HG207" s="452" t="str">
        <f t="shared" si="300"/>
        <v/>
      </c>
      <c r="HH207" s="452" t="str">
        <f t="shared" si="300"/>
        <v/>
      </c>
      <c r="HI207" s="453" t="str">
        <f t="shared" si="300"/>
        <v/>
      </c>
      <c r="HJ207" s="451" t="str">
        <f t="shared" si="300"/>
        <v/>
      </c>
      <c r="HK207" s="452" t="str">
        <f t="shared" si="300"/>
        <v/>
      </c>
      <c r="HL207" s="452" t="str">
        <f t="shared" si="300"/>
        <v/>
      </c>
      <c r="HM207" s="452" t="str">
        <f t="shared" si="304"/>
        <v/>
      </c>
      <c r="HN207" s="453" t="str">
        <f t="shared" si="304"/>
        <v/>
      </c>
      <c r="HO207" s="451" t="str">
        <f t="shared" si="304"/>
        <v/>
      </c>
      <c r="HP207" s="452" t="str">
        <f t="shared" si="304"/>
        <v/>
      </c>
      <c r="HQ207" s="452" t="str">
        <f t="shared" si="304"/>
        <v/>
      </c>
      <c r="HR207" s="452" t="str">
        <f t="shared" si="304"/>
        <v/>
      </c>
      <c r="HS207" s="453" t="str">
        <f t="shared" si="304"/>
        <v/>
      </c>
      <c r="HT207" s="451" t="str">
        <f t="shared" si="304"/>
        <v/>
      </c>
      <c r="HU207" s="452" t="str">
        <f t="shared" si="304"/>
        <v/>
      </c>
      <c r="HV207" s="452" t="str">
        <f t="shared" si="304"/>
        <v/>
      </c>
      <c r="HW207" s="452" t="str">
        <f t="shared" si="304"/>
        <v/>
      </c>
      <c r="HX207" s="453" t="str">
        <f t="shared" si="304"/>
        <v/>
      </c>
      <c r="HY207" s="451" t="str">
        <f t="shared" si="304"/>
        <v/>
      </c>
      <c r="HZ207" s="452" t="str">
        <f t="shared" si="304"/>
        <v/>
      </c>
      <c r="IA207" s="452" t="str">
        <f t="shared" si="304"/>
        <v/>
      </c>
      <c r="IB207" s="452" t="str">
        <f t="shared" si="304"/>
        <v/>
      </c>
      <c r="IC207" s="453" t="str">
        <f t="shared" si="305"/>
        <v/>
      </c>
      <c r="ID207" s="451" t="str">
        <f t="shared" si="305"/>
        <v/>
      </c>
      <c r="IE207" s="452" t="str">
        <f t="shared" si="305"/>
        <v/>
      </c>
      <c r="IF207" s="452" t="str">
        <f t="shared" si="305"/>
        <v/>
      </c>
      <c r="IG207" s="452" t="str">
        <f t="shared" si="305"/>
        <v/>
      </c>
      <c r="IH207" s="453" t="str">
        <f t="shared" si="305"/>
        <v/>
      </c>
      <c r="II207" s="451" t="str">
        <f t="shared" si="305"/>
        <v/>
      </c>
      <c r="IJ207" s="452" t="str">
        <f t="shared" si="305"/>
        <v/>
      </c>
      <c r="IK207" s="452" t="str">
        <f t="shared" si="305"/>
        <v/>
      </c>
      <c r="IL207" s="452" t="str">
        <f t="shared" si="305"/>
        <v/>
      </c>
      <c r="IM207" s="453" t="str">
        <f t="shared" si="305"/>
        <v/>
      </c>
      <c r="IN207" s="451" t="str">
        <f t="shared" si="305"/>
        <v/>
      </c>
      <c r="IO207" s="452" t="str">
        <f t="shared" si="305"/>
        <v/>
      </c>
      <c r="IP207" s="452" t="str">
        <f t="shared" si="305"/>
        <v/>
      </c>
      <c r="IQ207" s="452" t="str">
        <f t="shared" si="305"/>
        <v/>
      </c>
      <c r="IR207" s="453" t="str">
        <f t="shared" si="305"/>
        <v/>
      </c>
    </row>
    <row r="208" spans="1:252" x14ac:dyDescent="0.2">
      <c r="A208" s="461">
        <v>19.600000000000001</v>
      </c>
      <c r="C208" s="447" t="s">
        <v>1356</v>
      </c>
      <c r="D208" s="447"/>
      <c r="E208" s="448"/>
      <c r="F208" s="448"/>
      <c r="G208" s="448"/>
      <c r="H208" s="448"/>
      <c r="I208" s="448"/>
      <c r="J208" s="449" t="str">
        <f t="shared" si="307"/>
        <v/>
      </c>
      <c r="K208" s="449" t="str">
        <f t="shared" si="308"/>
        <v/>
      </c>
      <c r="L208" s="450">
        <f t="shared" si="306"/>
        <v>0</v>
      </c>
      <c r="M208" s="451" t="str">
        <f t="shared" si="310"/>
        <v/>
      </c>
      <c r="N208" s="452" t="str">
        <f t="shared" si="310"/>
        <v/>
      </c>
      <c r="O208" s="452" t="str">
        <f t="shared" si="310"/>
        <v/>
      </c>
      <c r="P208" s="452" t="str">
        <f t="shared" si="310"/>
        <v/>
      </c>
      <c r="Q208" s="453" t="str">
        <f t="shared" si="310"/>
        <v/>
      </c>
      <c r="R208" s="451" t="str">
        <f t="shared" si="310"/>
        <v/>
      </c>
      <c r="S208" s="452" t="str">
        <f t="shared" si="310"/>
        <v/>
      </c>
      <c r="T208" s="452" t="str">
        <f t="shared" si="310"/>
        <v/>
      </c>
      <c r="U208" s="452" t="str">
        <f t="shared" si="310"/>
        <v/>
      </c>
      <c r="V208" s="453" t="str">
        <f t="shared" si="310"/>
        <v/>
      </c>
      <c r="W208" s="451" t="str">
        <f t="shared" si="310"/>
        <v/>
      </c>
      <c r="X208" s="452" t="str">
        <f t="shared" si="310"/>
        <v/>
      </c>
      <c r="Y208" s="452" t="str">
        <f t="shared" si="310"/>
        <v/>
      </c>
      <c r="Z208" s="452" t="str">
        <f t="shared" si="310"/>
        <v/>
      </c>
      <c r="AA208" s="453" t="str">
        <f t="shared" si="310"/>
        <v/>
      </c>
      <c r="AB208" s="451" t="str">
        <f t="shared" si="310"/>
        <v/>
      </c>
      <c r="AC208" s="452" t="str">
        <f t="shared" si="296"/>
        <v/>
      </c>
      <c r="AD208" s="452" t="str">
        <f t="shared" si="296"/>
        <v/>
      </c>
      <c r="AE208" s="452" t="str">
        <f t="shared" si="296"/>
        <v/>
      </c>
      <c r="AF208" s="453" t="str">
        <f t="shared" si="296"/>
        <v/>
      </c>
      <c r="AG208" s="451" t="str">
        <f t="shared" si="296"/>
        <v/>
      </c>
      <c r="AH208" s="452" t="str">
        <f t="shared" si="296"/>
        <v/>
      </c>
      <c r="AI208" s="452" t="str">
        <f t="shared" si="296"/>
        <v/>
      </c>
      <c r="AJ208" s="452" t="str">
        <f t="shared" si="296"/>
        <v/>
      </c>
      <c r="AK208" s="453" t="str">
        <f t="shared" si="296"/>
        <v/>
      </c>
      <c r="AL208" s="451" t="str">
        <f t="shared" si="296"/>
        <v/>
      </c>
      <c r="AM208" s="452" t="str">
        <f t="shared" si="296"/>
        <v/>
      </c>
      <c r="AN208" s="452" t="str">
        <f t="shared" si="296"/>
        <v/>
      </c>
      <c r="AO208" s="452" t="str">
        <f t="shared" si="296"/>
        <v/>
      </c>
      <c r="AP208" s="453" t="str">
        <f t="shared" si="296"/>
        <v/>
      </c>
      <c r="AQ208" s="451" t="str">
        <f t="shared" si="296"/>
        <v/>
      </c>
      <c r="AR208" s="452" t="str">
        <f t="shared" ref="AR208:BG212" si="313">IF(AND(AR$2&gt;=$J208,AR$2&lt;=$K208),1,"")</f>
        <v/>
      </c>
      <c r="AS208" s="452" t="str">
        <f t="shared" si="313"/>
        <v/>
      </c>
      <c r="AT208" s="452" t="str">
        <f t="shared" si="313"/>
        <v/>
      </c>
      <c r="AU208" s="453" t="str">
        <f t="shared" si="313"/>
        <v/>
      </c>
      <c r="AV208" s="451" t="str">
        <f t="shared" si="313"/>
        <v/>
      </c>
      <c r="AW208" s="452" t="str">
        <f t="shared" si="313"/>
        <v/>
      </c>
      <c r="AX208" s="452" t="str">
        <f t="shared" si="313"/>
        <v/>
      </c>
      <c r="AY208" s="452" t="str">
        <f t="shared" si="313"/>
        <v/>
      </c>
      <c r="AZ208" s="453" t="str">
        <f t="shared" si="313"/>
        <v/>
      </c>
      <c r="BA208" s="451" t="str">
        <f t="shared" si="313"/>
        <v/>
      </c>
      <c r="BB208" s="452" t="str">
        <f t="shared" si="313"/>
        <v/>
      </c>
      <c r="BC208" s="452" t="str">
        <f t="shared" si="313"/>
        <v/>
      </c>
      <c r="BD208" s="452" t="str">
        <f t="shared" si="313"/>
        <v/>
      </c>
      <c r="BE208" s="453" t="str">
        <f t="shared" si="313"/>
        <v/>
      </c>
      <c r="BF208" s="451" t="str">
        <f t="shared" si="313"/>
        <v/>
      </c>
      <c r="BG208" s="452" t="str">
        <f t="shared" si="313"/>
        <v/>
      </c>
      <c r="BH208" s="452" t="str">
        <f t="shared" si="311"/>
        <v/>
      </c>
      <c r="BI208" s="452" t="str">
        <f t="shared" si="311"/>
        <v/>
      </c>
      <c r="BJ208" s="453" t="str">
        <f t="shared" si="311"/>
        <v/>
      </c>
      <c r="BK208" s="451" t="str">
        <f t="shared" si="311"/>
        <v/>
      </c>
      <c r="BL208" s="452" t="str">
        <f t="shared" si="311"/>
        <v/>
      </c>
      <c r="BM208" s="452" t="str">
        <f t="shared" si="311"/>
        <v/>
      </c>
      <c r="BN208" s="452" t="str">
        <f t="shared" si="311"/>
        <v/>
      </c>
      <c r="BO208" s="453" t="str">
        <f t="shared" si="311"/>
        <v/>
      </c>
      <c r="BP208" s="451" t="str">
        <f t="shared" si="311"/>
        <v/>
      </c>
      <c r="BQ208" s="452" t="str">
        <f t="shared" si="311"/>
        <v/>
      </c>
      <c r="BR208" s="452" t="str">
        <f t="shared" si="311"/>
        <v/>
      </c>
      <c r="BS208" s="452" t="str">
        <f t="shared" si="311"/>
        <v/>
      </c>
      <c r="BT208" s="453" t="str">
        <f t="shared" si="311"/>
        <v/>
      </c>
      <c r="BU208" s="451" t="str">
        <f t="shared" si="311"/>
        <v/>
      </c>
      <c r="BV208" s="452" t="str">
        <f t="shared" si="311"/>
        <v/>
      </c>
      <c r="BW208" s="452" t="str">
        <f t="shared" si="311"/>
        <v/>
      </c>
      <c r="BX208" s="452" t="str">
        <f t="shared" ref="BX208:CM212" si="314">IF(AND(BX$2&gt;=$J208,BX$2&lt;=$K208),1,"")</f>
        <v/>
      </c>
      <c r="BY208" s="453" t="str">
        <f t="shared" si="314"/>
        <v/>
      </c>
      <c r="BZ208" s="451" t="str">
        <f t="shared" si="314"/>
        <v/>
      </c>
      <c r="CA208" s="452" t="str">
        <f t="shared" si="314"/>
        <v/>
      </c>
      <c r="CB208" s="452" t="str">
        <f t="shared" si="314"/>
        <v/>
      </c>
      <c r="CC208" s="452" t="str">
        <f t="shared" si="314"/>
        <v/>
      </c>
      <c r="CD208" s="453" t="str">
        <f t="shared" si="314"/>
        <v/>
      </c>
      <c r="CE208" s="451" t="str">
        <f t="shared" si="314"/>
        <v/>
      </c>
      <c r="CF208" s="452" t="str">
        <f t="shared" si="314"/>
        <v/>
      </c>
      <c r="CG208" s="452" t="str">
        <f t="shared" si="314"/>
        <v/>
      </c>
      <c r="CH208" s="452" t="str">
        <f t="shared" si="314"/>
        <v/>
      </c>
      <c r="CI208" s="453" t="str">
        <f t="shared" si="314"/>
        <v/>
      </c>
      <c r="CJ208" s="451" t="str">
        <f t="shared" si="314"/>
        <v/>
      </c>
      <c r="CK208" s="452" t="str">
        <f t="shared" si="314"/>
        <v/>
      </c>
      <c r="CL208" s="452" t="str">
        <f t="shared" si="314"/>
        <v/>
      </c>
      <c r="CM208" s="452" t="str">
        <f t="shared" si="314"/>
        <v/>
      </c>
      <c r="CN208" s="453" t="str">
        <f t="shared" ref="CN208:DC212" si="315">IF(AND(CN$2&gt;=$J208,CN$2&lt;=$K208),1,"")</f>
        <v/>
      </c>
      <c r="CO208" s="451" t="str">
        <f t="shared" si="315"/>
        <v/>
      </c>
      <c r="CP208" s="452" t="str">
        <f t="shared" si="315"/>
        <v/>
      </c>
      <c r="CQ208" s="452" t="str">
        <f t="shared" si="315"/>
        <v/>
      </c>
      <c r="CR208" s="452" t="str">
        <f t="shared" si="315"/>
        <v/>
      </c>
      <c r="CS208" s="453" t="str">
        <f t="shared" si="315"/>
        <v/>
      </c>
      <c r="CT208" s="451" t="str">
        <f t="shared" si="315"/>
        <v/>
      </c>
      <c r="CU208" s="452" t="str">
        <f t="shared" si="315"/>
        <v/>
      </c>
      <c r="CV208" s="452" t="str">
        <f t="shared" si="315"/>
        <v/>
      </c>
      <c r="CW208" s="452" t="str">
        <f t="shared" si="315"/>
        <v/>
      </c>
      <c r="CX208" s="453" t="str">
        <f t="shared" si="315"/>
        <v/>
      </c>
      <c r="CY208" s="451" t="str">
        <f t="shared" si="315"/>
        <v/>
      </c>
      <c r="CZ208" s="452" t="str">
        <f t="shared" si="315"/>
        <v/>
      </c>
      <c r="DA208" s="452" t="str">
        <f t="shared" si="315"/>
        <v/>
      </c>
      <c r="DB208" s="452" t="str">
        <f t="shared" si="315"/>
        <v/>
      </c>
      <c r="DC208" s="453" t="str">
        <f t="shared" si="315"/>
        <v/>
      </c>
      <c r="DD208" s="451" t="str">
        <f t="shared" si="312"/>
        <v/>
      </c>
      <c r="DE208" s="452" t="str">
        <f t="shared" si="312"/>
        <v/>
      </c>
      <c r="DF208" s="452" t="str">
        <f t="shared" si="312"/>
        <v/>
      </c>
      <c r="DG208" s="452" t="str">
        <f t="shared" si="312"/>
        <v/>
      </c>
      <c r="DH208" s="453" t="str">
        <f t="shared" si="312"/>
        <v/>
      </c>
      <c r="DI208" s="451" t="str">
        <f t="shared" si="312"/>
        <v/>
      </c>
      <c r="DJ208" s="452" t="str">
        <f t="shared" si="312"/>
        <v/>
      </c>
      <c r="DK208" s="452" t="str">
        <f t="shared" si="312"/>
        <v/>
      </c>
      <c r="DL208" s="452" t="str">
        <f t="shared" si="312"/>
        <v/>
      </c>
      <c r="DM208" s="453" t="str">
        <f t="shared" si="312"/>
        <v/>
      </c>
      <c r="DN208" s="451" t="str">
        <f t="shared" si="312"/>
        <v/>
      </c>
      <c r="DO208" s="452" t="str">
        <f t="shared" si="312"/>
        <v/>
      </c>
      <c r="DP208" s="452" t="str">
        <f t="shared" si="312"/>
        <v/>
      </c>
      <c r="DQ208" s="452" t="str">
        <f t="shared" si="312"/>
        <v/>
      </c>
      <c r="DR208" s="453" t="str">
        <f t="shared" si="312"/>
        <v/>
      </c>
      <c r="DS208" s="451" t="str">
        <f t="shared" si="312"/>
        <v/>
      </c>
      <c r="DT208" s="452" t="str">
        <f t="shared" ref="DT208:EI212" si="316">IF(AND(DT$2&gt;=$J208,DT$2&lt;=$K208),1,"")</f>
        <v/>
      </c>
      <c r="DU208" s="452" t="str">
        <f t="shared" si="297"/>
        <v/>
      </c>
      <c r="DV208" s="452" t="str">
        <f t="shared" si="297"/>
        <v/>
      </c>
      <c r="DW208" s="453" t="str">
        <f t="shared" si="297"/>
        <v/>
      </c>
      <c r="DX208" s="451" t="str">
        <f t="shared" si="297"/>
        <v/>
      </c>
      <c r="DY208" s="452" t="str">
        <f t="shared" si="297"/>
        <v/>
      </c>
      <c r="DZ208" s="452" t="str">
        <f t="shared" si="297"/>
        <v/>
      </c>
      <c r="EA208" s="452" t="str">
        <f t="shared" si="297"/>
        <v/>
      </c>
      <c r="EB208" s="453" t="str">
        <f t="shared" si="297"/>
        <v/>
      </c>
      <c r="EC208" s="451" t="str">
        <f t="shared" si="297"/>
        <v/>
      </c>
      <c r="ED208" s="452" t="str">
        <f t="shared" si="297"/>
        <v/>
      </c>
      <c r="EE208" s="452" t="str">
        <f t="shared" si="297"/>
        <v/>
      </c>
      <c r="EF208" s="452" t="str">
        <f t="shared" si="297"/>
        <v/>
      </c>
      <c r="EG208" s="453" t="str">
        <f t="shared" si="297"/>
        <v/>
      </c>
      <c r="EH208" s="451" t="str">
        <f t="shared" si="297"/>
        <v/>
      </c>
      <c r="EI208" s="452" t="str">
        <f t="shared" si="297"/>
        <v/>
      </c>
      <c r="EJ208" s="452" t="str">
        <f t="shared" ref="EJ208:EJ212" si="317">IF(AND(EJ$2&gt;=$J208,EJ$2&lt;=$K208),1,"")</f>
        <v/>
      </c>
      <c r="EK208" s="452" t="str">
        <f t="shared" si="301"/>
        <v/>
      </c>
      <c r="EL208" s="453" t="str">
        <f t="shared" si="301"/>
        <v/>
      </c>
      <c r="EM208" s="451" t="str">
        <f t="shared" si="301"/>
        <v/>
      </c>
      <c r="EN208" s="452" t="str">
        <f t="shared" si="301"/>
        <v/>
      </c>
      <c r="EO208" s="452" t="str">
        <f t="shared" si="301"/>
        <v/>
      </c>
      <c r="EP208" s="452" t="str">
        <f t="shared" si="301"/>
        <v/>
      </c>
      <c r="EQ208" s="453" t="str">
        <f t="shared" si="301"/>
        <v/>
      </c>
      <c r="ER208" s="451" t="str">
        <f t="shared" si="301"/>
        <v/>
      </c>
      <c r="ES208" s="452" t="str">
        <f t="shared" si="301"/>
        <v/>
      </c>
      <c r="ET208" s="452" t="str">
        <f t="shared" si="301"/>
        <v/>
      </c>
      <c r="EU208" s="452" t="str">
        <f t="shared" si="301"/>
        <v/>
      </c>
      <c r="EV208" s="453" t="str">
        <f t="shared" si="301"/>
        <v/>
      </c>
      <c r="EW208" s="451" t="str">
        <f t="shared" si="301"/>
        <v/>
      </c>
      <c r="EX208" s="452" t="str">
        <f t="shared" si="301"/>
        <v/>
      </c>
      <c r="EY208" s="452" t="str">
        <f t="shared" si="301"/>
        <v/>
      </c>
      <c r="EZ208" s="452" t="str">
        <f t="shared" si="301"/>
        <v/>
      </c>
      <c r="FA208" s="453" t="str">
        <f t="shared" si="302"/>
        <v/>
      </c>
      <c r="FB208" s="451" t="str">
        <f t="shared" si="302"/>
        <v/>
      </c>
      <c r="FC208" s="452" t="str">
        <f t="shared" si="302"/>
        <v/>
      </c>
      <c r="FD208" s="452" t="str">
        <f t="shared" si="302"/>
        <v/>
      </c>
      <c r="FE208" s="452" t="str">
        <f t="shared" si="302"/>
        <v/>
      </c>
      <c r="FF208" s="453" t="str">
        <f t="shared" si="302"/>
        <v/>
      </c>
      <c r="FG208" s="451" t="str">
        <f t="shared" si="302"/>
        <v/>
      </c>
      <c r="FH208" s="452" t="str">
        <f t="shared" si="302"/>
        <v/>
      </c>
      <c r="FI208" s="452" t="str">
        <f t="shared" si="302"/>
        <v/>
      </c>
      <c r="FJ208" s="452" t="str">
        <f t="shared" si="302"/>
        <v/>
      </c>
      <c r="FK208" s="453" t="str">
        <f t="shared" si="302"/>
        <v/>
      </c>
      <c r="FL208" s="451" t="str">
        <f t="shared" si="302"/>
        <v/>
      </c>
      <c r="FM208" s="452" t="str">
        <f t="shared" si="302"/>
        <v/>
      </c>
      <c r="FN208" s="452" t="str">
        <f t="shared" si="302"/>
        <v/>
      </c>
      <c r="FO208" s="452" t="str">
        <f t="shared" si="302"/>
        <v/>
      </c>
      <c r="FP208" s="453" t="str">
        <f t="shared" si="302"/>
        <v/>
      </c>
      <c r="FQ208" s="451" t="str">
        <f t="shared" si="303"/>
        <v/>
      </c>
      <c r="FR208" s="452" t="str">
        <f t="shared" si="303"/>
        <v/>
      </c>
      <c r="FS208" s="452" t="str">
        <f t="shared" si="303"/>
        <v/>
      </c>
      <c r="FT208" s="452" t="str">
        <f t="shared" si="303"/>
        <v/>
      </c>
      <c r="FU208" s="453" t="str">
        <f t="shared" si="303"/>
        <v/>
      </c>
      <c r="FV208" s="451" t="str">
        <f t="shared" si="303"/>
        <v/>
      </c>
      <c r="FW208" s="452" t="str">
        <f t="shared" si="303"/>
        <v/>
      </c>
      <c r="FX208" s="452" t="str">
        <f t="shared" si="303"/>
        <v/>
      </c>
      <c r="FY208" s="452" t="str">
        <f t="shared" si="303"/>
        <v/>
      </c>
      <c r="FZ208" s="453" t="str">
        <f t="shared" si="303"/>
        <v/>
      </c>
      <c r="GA208" s="451" t="str">
        <f t="shared" si="303"/>
        <v/>
      </c>
      <c r="GB208" s="452" t="str">
        <f t="shared" si="303"/>
        <v/>
      </c>
      <c r="GC208" s="452" t="str">
        <f t="shared" si="303"/>
        <v/>
      </c>
      <c r="GD208" s="452" t="str">
        <f t="shared" si="303"/>
        <v/>
      </c>
      <c r="GE208" s="453" t="str">
        <f t="shared" si="303"/>
        <v/>
      </c>
      <c r="GF208" s="451" t="str">
        <f t="shared" si="303"/>
        <v/>
      </c>
      <c r="GG208" s="452" t="str">
        <f t="shared" si="299"/>
        <v/>
      </c>
      <c r="GH208" s="452" t="str">
        <f t="shared" si="299"/>
        <v/>
      </c>
      <c r="GI208" s="452" t="str">
        <f t="shared" si="299"/>
        <v/>
      </c>
      <c r="GJ208" s="453" t="str">
        <f t="shared" si="299"/>
        <v/>
      </c>
      <c r="GK208" s="451" t="str">
        <f t="shared" si="299"/>
        <v/>
      </c>
      <c r="GL208" s="452" t="str">
        <f t="shared" si="299"/>
        <v/>
      </c>
      <c r="GM208" s="452" t="str">
        <f t="shared" si="299"/>
        <v/>
      </c>
      <c r="GN208" s="452" t="str">
        <f t="shared" si="299"/>
        <v/>
      </c>
      <c r="GO208" s="453" t="str">
        <f t="shared" si="299"/>
        <v/>
      </c>
      <c r="GP208" s="451" t="str">
        <f t="shared" si="299"/>
        <v/>
      </c>
      <c r="GQ208" s="452" t="str">
        <f t="shared" si="299"/>
        <v/>
      </c>
      <c r="GR208" s="452" t="str">
        <f t="shared" si="299"/>
        <v/>
      </c>
      <c r="GS208" s="452" t="str">
        <f t="shared" si="299"/>
        <v/>
      </c>
      <c r="GT208" s="453" t="str">
        <f t="shared" si="299"/>
        <v/>
      </c>
      <c r="GU208" s="451" t="str">
        <f t="shared" si="299"/>
        <v/>
      </c>
      <c r="GV208" s="452" t="str">
        <f t="shared" si="299"/>
        <v/>
      </c>
      <c r="GW208" s="452" t="str">
        <f t="shared" si="300"/>
        <v/>
      </c>
      <c r="GX208" s="452" t="str">
        <f t="shared" si="300"/>
        <v/>
      </c>
      <c r="GY208" s="453" t="str">
        <f t="shared" si="300"/>
        <v/>
      </c>
      <c r="GZ208" s="451" t="str">
        <f t="shared" si="300"/>
        <v/>
      </c>
      <c r="HA208" s="452" t="str">
        <f t="shared" si="300"/>
        <v/>
      </c>
      <c r="HB208" s="452" t="str">
        <f t="shared" si="300"/>
        <v/>
      </c>
      <c r="HC208" s="452" t="str">
        <f t="shared" si="300"/>
        <v/>
      </c>
      <c r="HD208" s="453" t="str">
        <f t="shared" si="300"/>
        <v/>
      </c>
      <c r="HE208" s="451" t="str">
        <f t="shared" si="300"/>
        <v/>
      </c>
      <c r="HF208" s="452" t="str">
        <f t="shared" si="300"/>
        <v/>
      </c>
      <c r="HG208" s="452" t="str">
        <f t="shared" si="300"/>
        <v/>
      </c>
      <c r="HH208" s="452" t="str">
        <f t="shared" si="300"/>
        <v/>
      </c>
      <c r="HI208" s="453" t="str">
        <f t="shared" si="300"/>
        <v/>
      </c>
      <c r="HJ208" s="451" t="str">
        <f t="shared" si="300"/>
        <v/>
      </c>
      <c r="HK208" s="452" t="str">
        <f t="shared" si="300"/>
        <v/>
      </c>
      <c r="HL208" s="452" t="str">
        <f t="shared" si="300"/>
        <v/>
      </c>
      <c r="HM208" s="452" t="str">
        <f t="shared" si="304"/>
        <v/>
      </c>
      <c r="HN208" s="453" t="str">
        <f t="shared" si="304"/>
        <v/>
      </c>
      <c r="HO208" s="451" t="str">
        <f t="shared" si="304"/>
        <v/>
      </c>
      <c r="HP208" s="452" t="str">
        <f t="shared" si="304"/>
        <v/>
      </c>
      <c r="HQ208" s="452" t="str">
        <f t="shared" si="304"/>
        <v/>
      </c>
      <c r="HR208" s="452" t="str">
        <f t="shared" si="304"/>
        <v/>
      </c>
      <c r="HS208" s="453" t="str">
        <f t="shared" si="304"/>
        <v/>
      </c>
      <c r="HT208" s="451" t="str">
        <f t="shared" si="304"/>
        <v/>
      </c>
      <c r="HU208" s="452" t="str">
        <f t="shared" si="304"/>
        <v/>
      </c>
      <c r="HV208" s="452" t="str">
        <f t="shared" si="304"/>
        <v/>
      </c>
      <c r="HW208" s="452" t="str">
        <f t="shared" si="304"/>
        <v/>
      </c>
      <c r="HX208" s="453" t="str">
        <f t="shared" si="304"/>
        <v/>
      </c>
      <c r="HY208" s="451" t="str">
        <f t="shared" si="304"/>
        <v/>
      </c>
      <c r="HZ208" s="452" t="str">
        <f t="shared" si="304"/>
        <v/>
      </c>
      <c r="IA208" s="452" t="str">
        <f t="shared" si="304"/>
        <v/>
      </c>
      <c r="IB208" s="452" t="str">
        <f t="shared" si="304"/>
        <v/>
      </c>
      <c r="IC208" s="453" t="str">
        <f t="shared" si="305"/>
        <v/>
      </c>
      <c r="ID208" s="451" t="str">
        <f t="shared" si="305"/>
        <v/>
      </c>
      <c r="IE208" s="452" t="str">
        <f t="shared" si="305"/>
        <v/>
      </c>
      <c r="IF208" s="452" t="str">
        <f t="shared" si="305"/>
        <v/>
      </c>
      <c r="IG208" s="452" t="str">
        <f t="shared" si="305"/>
        <v/>
      </c>
      <c r="IH208" s="453" t="str">
        <f t="shared" si="305"/>
        <v/>
      </c>
      <c r="II208" s="451" t="str">
        <f t="shared" si="305"/>
        <v/>
      </c>
      <c r="IJ208" s="452" t="str">
        <f t="shared" si="305"/>
        <v/>
      </c>
      <c r="IK208" s="452" t="str">
        <f t="shared" si="305"/>
        <v/>
      </c>
      <c r="IL208" s="452" t="str">
        <f t="shared" si="305"/>
        <v/>
      </c>
      <c r="IM208" s="453" t="str">
        <f t="shared" si="305"/>
        <v/>
      </c>
      <c r="IN208" s="451" t="str">
        <f t="shared" si="305"/>
        <v/>
      </c>
      <c r="IO208" s="452" t="str">
        <f t="shared" si="305"/>
        <v/>
      </c>
      <c r="IP208" s="452" t="str">
        <f t="shared" si="305"/>
        <v/>
      </c>
      <c r="IQ208" s="452" t="str">
        <f t="shared" si="305"/>
        <v/>
      </c>
      <c r="IR208" s="453" t="str">
        <f t="shared" si="305"/>
        <v/>
      </c>
    </row>
    <row r="209" spans="1:252" x14ac:dyDescent="0.2">
      <c r="A209" s="461">
        <v>19.7</v>
      </c>
      <c r="C209" s="447" t="s">
        <v>1357</v>
      </c>
      <c r="D209" s="447"/>
      <c r="E209" s="448"/>
      <c r="F209" s="448"/>
      <c r="G209" s="448"/>
      <c r="H209" s="448"/>
      <c r="I209" s="448"/>
      <c r="J209" s="449" t="str">
        <f t="shared" si="307"/>
        <v/>
      </c>
      <c r="K209" s="449" t="str">
        <f t="shared" si="308"/>
        <v/>
      </c>
      <c r="L209" s="450">
        <f t="shared" si="306"/>
        <v>0</v>
      </c>
      <c r="M209" s="451" t="str">
        <f t="shared" si="310"/>
        <v/>
      </c>
      <c r="N209" s="452" t="str">
        <f t="shared" si="310"/>
        <v/>
      </c>
      <c r="O209" s="452" t="str">
        <f t="shared" si="310"/>
        <v/>
      </c>
      <c r="P209" s="452" t="str">
        <f t="shared" si="310"/>
        <v/>
      </c>
      <c r="Q209" s="453" t="str">
        <f t="shared" si="310"/>
        <v/>
      </c>
      <c r="R209" s="451" t="str">
        <f t="shared" si="310"/>
        <v/>
      </c>
      <c r="S209" s="452" t="str">
        <f t="shared" si="310"/>
        <v/>
      </c>
      <c r="T209" s="452" t="str">
        <f t="shared" si="310"/>
        <v/>
      </c>
      <c r="U209" s="452" t="str">
        <f t="shared" si="310"/>
        <v/>
      </c>
      <c r="V209" s="453" t="str">
        <f t="shared" si="310"/>
        <v/>
      </c>
      <c r="W209" s="451" t="str">
        <f t="shared" si="310"/>
        <v/>
      </c>
      <c r="X209" s="452" t="str">
        <f t="shared" si="310"/>
        <v/>
      </c>
      <c r="Y209" s="452" t="str">
        <f t="shared" si="310"/>
        <v/>
      </c>
      <c r="Z209" s="452" t="str">
        <f t="shared" si="310"/>
        <v/>
      </c>
      <c r="AA209" s="453" t="str">
        <f t="shared" si="310"/>
        <v/>
      </c>
      <c r="AB209" s="451" t="str">
        <f t="shared" si="310"/>
        <v/>
      </c>
      <c r="AC209" s="452" t="str">
        <f t="shared" ref="AC209:AR212" si="318">IF(AND(AC$2&gt;=$J209,AC$2&lt;=$K209),1,"")</f>
        <v/>
      </c>
      <c r="AD209" s="452" t="str">
        <f t="shared" si="318"/>
        <v/>
      </c>
      <c r="AE209" s="452" t="str">
        <f t="shared" si="318"/>
        <v/>
      </c>
      <c r="AF209" s="453" t="str">
        <f t="shared" si="318"/>
        <v/>
      </c>
      <c r="AG209" s="451" t="str">
        <f t="shared" si="318"/>
        <v/>
      </c>
      <c r="AH209" s="452" t="str">
        <f t="shared" si="318"/>
        <v/>
      </c>
      <c r="AI209" s="452" t="str">
        <f t="shared" si="318"/>
        <v/>
      </c>
      <c r="AJ209" s="452" t="str">
        <f t="shared" si="318"/>
        <v/>
      </c>
      <c r="AK209" s="453" t="str">
        <f t="shared" si="318"/>
        <v/>
      </c>
      <c r="AL209" s="451" t="str">
        <f t="shared" si="318"/>
        <v/>
      </c>
      <c r="AM209" s="452" t="str">
        <f t="shared" si="318"/>
        <v/>
      </c>
      <c r="AN209" s="452" t="str">
        <f t="shared" si="318"/>
        <v/>
      </c>
      <c r="AO209" s="452" t="str">
        <f t="shared" si="318"/>
        <v/>
      </c>
      <c r="AP209" s="453" t="str">
        <f t="shared" si="318"/>
        <v/>
      </c>
      <c r="AQ209" s="451" t="str">
        <f t="shared" si="318"/>
        <v/>
      </c>
      <c r="AR209" s="452" t="str">
        <f t="shared" si="318"/>
        <v/>
      </c>
      <c r="AS209" s="452" t="str">
        <f t="shared" si="313"/>
        <v/>
      </c>
      <c r="AT209" s="452" t="str">
        <f t="shared" si="313"/>
        <v/>
      </c>
      <c r="AU209" s="453" t="str">
        <f t="shared" si="313"/>
        <v/>
      </c>
      <c r="AV209" s="451" t="str">
        <f t="shared" si="313"/>
        <v/>
      </c>
      <c r="AW209" s="452" t="str">
        <f t="shared" si="313"/>
        <v/>
      </c>
      <c r="AX209" s="452" t="str">
        <f t="shared" si="313"/>
        <v/>
      </c>
      <c r="AY209" s="452" t="str">
        <f t="shared" si="313"/>
        <v/>
      </c>
      <c r="AZ209" s="453" t="str">
        <f t="shared" si="313"/>
        <v/>
      </c>
      <c r="BA209" s="451" t="str">
        <f t="shared" si="313"/>
        <v/>
      </c>
      <c r="BB209" s="452" t="str">
        <f t="shared" si="313"/>
        <v/>
      </c>
      <c r="BC209" s="452" t="str">
        <f t="shared" si="313"/>
        <v/>
      </c>
      <c r="BD209" s="452" t="str">
        <f t="shared" si="313"/>
        <v/>
      </c>
      <c r="BE209" s="453" t="str">
        <f t="shared" si="313"/>
        <v/>
      </c>
      <c r="BF209" s="451" t="str">
        <f t="shared" si="313"/>
        <v/>
      </c>
      <c r="BG209" s="452" t="str">
        <f t="shared" si="313"/>
        <v/>
      </c>
      <c r="BH209" s="452" t="str">
        <f t="shared" si="311"/>
        <v/>
      </c>
      <c r="BI209" s="452" t="str">
        <f t="shared" si="311"/>
        <v/>
      </c>
      <c r="BJ209" s="453" t="str">
        <f t="shared" si="311"/>
        <v/>
      </c>
      <c r="BK209" s="451" t="str">
        <f t="shared" si="311"/>
        <v/>
      </c>
      <c r="BL209" s="452" t="str">
        <f t="shared" si="311"/>
        <v/>
      </c>
      <c r="BM209" s="452" t="str">
        <f t="shared" si="311"/>
        <v/>
      </c>
      <c r="BN209" s="452" t="str">
        <f t="shared" si="311"/>
        <v/>
      </c>
      <c r="BO209" s="453" t="str">
        <f t="shared" si="311"/>
        <v/>
      </c>
      <c r="BP209" s="451" t="str">
        <f t="shared" si="311"/>
        <v/>
      </c>
      <c r="BQ209" s="452" t="str">
        <f t="shared" si="311"/>
        <v/>
      </c>
      <c r="BR209" s="452" t="str">
        <f t="shared" si="311"/>
        <v/>
      </c>
      <c r="BS209" s="452" t="str">
        <f t="shared" si="311"/>
        <v/>
      </c>
      <c r="BT209" s="453" t="str">
        <f t="shared" si="311"/>
        <v/>
      </c>
      <c r="BU209" s="451" t="str">
        <f t="shared" si="311"/>
        <v/>
      </c>
      <c r="BV209" s="452" t="str">
        <f t="shared" si="311"/>
        <v/>
      </c>
      <c r="BW209" s="452" t="str">
        <f t="shared" si="311"/>
        <v/>
      </c>
      <c r="BX209" s="452" t="str">
        <f t="shared" si="314"/>
        <v/>
      </c>
      <c r="BY209" s="453" t="str">
        <f t="shared" si="314"/>
        <v/>
      </c>
      <c r="BZ209" s="451" t="str">
        <f t="shared" si="314"/>
        <v/>
      </c>
      <c r="CA209" s="452" t="str">
        <f t="shared" si="314"/>
        <v/>
      </c>
      <c r="CB209" s="452" t="str">
        <f t="shared" si="314"/>
        <v/>
      </c>
      <c r="CC209" s="452" t="str">
        <f t="shared" si="314"/>
        <v/>
      </c>
      <c r="CD209" s="453" t="str">
        <f t="shared" si="314"/>
        <v/>
      </c>
      <c r="CE209" s="451" t="str">
        <f t="shared" si="314"/>
        <v/>
      </c>
      <c r="CF209" s="452" t="str">
        <f t="shared" si="314"/>
        <v/>
      </c>
      <c r="CG209" s="452" t="str">
        <f t="shared" si="314"/>
        <v/>
      </c>
      <c r="CH209" s="452" t="str">
        <f t="shared" si="314"/>
        <v/>
      </c>
      <c r="CI209" s="453" t="str">
        <f t="shared" si="314"/>
        <v/>
      </c>
      <c r="CJ209" s="451" t="str">
        <f t="shared" si="314"/>
        <v/>
      </c>
      <c r="CK209" s="452" t="str">
        <f t="shared" si="314"/>
        <v/>
      </c>
      <c r="CL209" s="452" t="str">
        <f t="shared" si="314"/>
        <v/>
      </c>
      <c r="CM209" s="452" t="str">
        <f t="shared" si="314"/>
        <v/>
      </c>
      <c r="CN209" s="453" t="str">
        <f t="shared" si="315"/>
        <v/>
      </c>
      <c r="CO209" s="451" t="str">
        <f t="shared" si="315"/>
        <v/>
      </c>
      <c r="CP209" s="452" t="str">
        <f t="shared" si="315"/>
        <v/>
      </c>
      <c r="CQ209" s="452" t="str">
        <f t="shared" si="315"/>
        <v/>
      </c>
      <c r="CR209" s="452" t="str">
        <f t="shared" si="315"/>
        <v/>
      </c>
      <c r="CS209" s="453" t="str">
        <f t="shared" si="315"/>
        <v/>
      </c>
      <c r="CT209" s="451" t="str">
        <f t="shared" si="315"/>
        <v/>
      </c>
      <c r="CU209" s="452" t="str">
        <f t="shared" si="315"/>
        <v/>
      </c>
      <c r="CV209" s="452" t="str">
        <f t="shared" si="315"/>
        <v/>
      </c>
      <c r="CW209" s="452" t="str">
        <f t="shared" si="315"/>
        <v/>
      </c>
      <c r="CX209" s="453" t="str">
        <f t="shared" si="315"/>
        <v/>
      </c>
      <c r="CY209" s="451" t="str">
        <f t="shared" si="315"/>
        <v/>
      </c>
      <c r="CZ209" s="452" t="str">
        <f t="shared" si="315"/>
        <v/>
      </c>
      <c r="DA209" s="452" t="str">
        <f t="shared" si="315"/>
        <v/>
      </c>
      <c r="DB209" s="452" t="str">
        <f t="shared" si="315"/>
        <v/>
      </c>
      <c r="DC209" s="453" t="str">
        <f t="shared" si="315"/>
        <v/>
      </c>
      <c r="DD209" s="451" t="str">
        <f t="shared" si="312"/>
        <v/>
      </c>
      <c r="DE209" s="452" t="str">
        <f t="shared" si="312"/>
        <v/>
      </c>
      <c r="DF209" s="452" t="str">
        <f t="shared" si="312"/>
        <v/>
      </c>
      <c r="DG209" s="452" t="str">
        <f t="shared" si="312"/>
        <v/>
      </c>
      <c r="DH209" s="453" t="str">
        <f t="shared" si="312"/>
        <v/>
      </c>
      <c r="DI209" s="451" t="str">
        <f t="shared" si="312"/>
        <v/>
      </c>
      <c r="DJ209" s="452" t="str">
        <f t="shared" si="312"/>
        <v/>
      </c>
      <c r="DK209" s="452" t="str">
        <f t="shared" si="312"/>
        <v/>
      </c>
      <c r="DL209" s="452" t="str">
        <f t="shared" si="312"/>
        <v/>
      </c>
      <c r="DM209" s="453" t="str">
        <f t="shared" si="312"/>
        <v/>
      </c>
      <c r="DN209" s="451" t="str">
        <f t="shared" si="312"/>
        <v/>
      </c>
      <c r="DO209" s="452" t="str">
        <f t="shared" si="312"/>
        <v/>
      </c>
      <c r="DP209" s="452" t="str">
        <f t="shared" si="312"/>
        <v/>
      </c>
      <c r="DQ209" s="452" t="str">
        <f t="shared" si="312"/>
        <v/>
      </c>
      <c r="DR209" s="453" t="str">
        <f t="shared" si="312"/>
        <v/>
      </c>
      <c r="DS209" s="451" t="str">
        <f t="shared" si="312"/>
        <v/>
      </c>
      <c r="DT209" s="452" t="str">
        <f t="shared" si="316"/>
        <v/>
      </c>
      <c r="DU209" s="452" t="str">
        <f t="shared" si="316"/>
        <v/>
      </c>
      <c r="DV209" s="452" t="str">
        <f t="shared" si="316"/>
        <v/>
      </c>
      <c r="DW209" s="453" t="str">
        <f t="shared" si="316"/>
        <v/>
      </c>
      <c r="DX209" s="451" t="str">
        <f t="shared" si="316"/>
        <v/>
      </c>
      <c r="DY209" s="452" t="str">
        <f t="shared" si="316"/>
        <v/>
      </c>
      <c r="DZ209" s="452" t="str">
        <f t="shared" si="316"/>
        <v/>
      </c>
      <c r="EA209" s="452" t="str">
        <f t="shared" si="316"/>
        <v/>
      </c>
      <c r="EB209" s="453" t="str">
        <f t="shared" si="316"/>
        <v/>
      </c>
      <c r="EC209" s="451" t="str">
        <f t="shared" si="316"/>
        <v/>
      </c>
      <c r="ED209" s="452" t="str">
        <f t="shared" si="316"/>
        <v/>
      </c>
      <c r="EE209" s="452" t="str">
        <f t="shared" si="316"/>
        <v/>
      </c>
      <c r="EF209" s="452" t="str">
        <f t="shared" si="316"/>
        <v/>
      </c>
      <c r="EG209" s="453" t="str">
        <f t="shared" si="316"/>
        <v/>
      </c>
      <c r="EH209" s="451" t="str">
        <f t="shared" si="316"/>
        <v/>
      </c>
      <c r="EI209" s="452" t="str">
        <f t="shared" si="316"/>
        <v/>
      </c>
      <c r="EJ209" s="452" t="str">
        <f t="shared" si="317"/>
        <v/>
      </c>
      <c r="EK209" s="452" t="str">
        <f t="shared" si="301"/>
        <v/>
      </c>
      <c r="EL209" s="453" t="str">
        <f t="shared" si="301"/>
        <v/>
      </c>
      <c r="EM209" s="451" t="str">
        <f t="shared" si="301"/>
        <v/>
      </c>
      <c r="EN209" s="452" t="str">
        <f t="shared" si="301"/>
        <v/>
      </c>
      <c r="EO209" s="452" t="str">
        <f t="shared" si="301"/>
        <v/>
      </c>
      <c r="EP209" s="452" t="str">
        <f t="shared" si="301"/>
        <v/>
      </c>
      <c r="EQ209" s="453" t="str">
        <f t="shared" si="301"/>
        <v/>
      </c>
      <c r="ER209" s="451" t="str">
        <f t="shared" si="301"/>
        <v/>
      </c>
      <c r="ES209" s="452" t="str">
        <f t="shared" si="301"/>
        <v/>
      </c>
      <c r="ET209" s="452" t="str">
        <f t="shared" si="301"/>
        <v/>
      </c>
      <c r="EU209" s="452" t="str">
        <f t="shared" si="301"/>
        <v/>
      </c>
      <c r="EV209" s="453" t="str">
        <f t="shared" si="301"/>
        <v/>
      </c>
      <c r="EW209" s="451" t="str">
        <f t="shared" si="301"/>
        <v/>
      </c>
      <c r="EX209" s="452" t="str">
        <f t="shared" si="301"/>
        <v/>
      </c>
      <c r="EY209" s="452" t="str">
        <f t="shared" si="301"/>
        <v/>
      </c>
      <c r="EZ209" s="452" t="str">
        <f t="shared" si="301"/>
        <v/>
      </c>
      <c r="FA209" s="453" t="str">
        <f t="shared" si="302"/>
        <v/>
      </c>
      <c r="FB209" s="451" t="str">
        <f t="shared" si="302"/>
        <v/>
      </c>
      <c r="FC209" s="452" t="str">
        <f t="shared" si="302"/>
        <v/>
      </c>
      <c r="FD209" s="452" t="str">
        <f t="shared" si="302"/>
        <v/>
      </c>
      <c r="FE209" s="452" t="str">
        <f t="shared" si="302"/>
        <v/>
      </c>
      <c r="FF209" s="453" t="str">
        <f t="shared" si="302"/>
        <v/>
      </c>
      <c r="FG209" s="451" t="str">
        <f t="shared" si="302"/>
        <v/>
      </c>
      <c r="FH209" s="452" t="str">
        <f t="shared" si="302"/>
        <v/>
      </c>
      <c r="FI209" s="452" t="str">
        <f t="shared" si="302"/>
        <v/>
      </c>
      <c r="FJ209" s="452" t="str">
        <f t="shared" si="302"/>
        <v/>
      </c>
      <c r="FK209" s="453" t="str">
        <f t="shared" si="302"/>
        <v/>
      </c>
      <c r="FL209" s="451" t="str">
        <f t="shared" si="302"/>
        <v/>
      </c>
      <c r="FM209" s="452" t="str">
        <f t="shared" si="302"/>
        <v/>
      </c>
      <c r="FN209" s="452" t="str">
        <f t="shared" si="302"/>
        <v/>
      </c>
      <c r="FO209" s="452" t="str">
        <f t="shared" si="302"/>
        <v/>
      </c>
      <c r="FP209" s="453" t="str">
        <f t="shared" si="302"/>
        <v/>
      </c>
      <c r="FQ209" s="451" t="str">
        <f t="shared" si="303"/>
        <v/>
      </c>
      <c r="FR209" s="452" t="str">
        <f t="shared" si="303"/>
        <v/>
      </c>
      <c r="FS209" s="452" t="str">
        <f t="shared" si="303"/>
        <v/>
      </c>
      <c r="FT209" s="452" t="str">
        <f t="shared" si="303"/>
        <v/>
      </c>
      <c r="FU209" s="453" t="str">
        <f t="shared" si="303"/>
        <v/>
      </c>
      <c r="FV209" s="451" t="str">
        <f t="shared" si="303"/>
        <v/>
      </c>
      <c r="FW209" s="452" t="str">
        <f t="shared" si="303"/>
        <v/>
      </c>
      <c r="FX209" s="452" t="str">
        <f t="shared" si="303"/>
        <v/>
      </c>
      <c r="FY209" s="452" t="str">
        <f t="shared" si="303"/>
        <v/>
      </c>
      <c r="FZ209" s="453" t="str">
        <f t="shared" si="303"/>
        <v/>
      </c>
      <c r="GA209" s="451" t="str">
        <f t="shared" si="303"/>
        <v/>
      </c>
      <c r="GB209" s="452" t="str">
        <f t="shared" si="303"/>
        <v/>
      </c>
      <c r="GC209" s="452" t="str">
        <f t="shared" si="303"/>
        <v/>
      </c>
      <c r="GD209" s="452" t="str">
        <f t="shared" si="303"/>
        <v/>
      </c>
      <c r="GE209" s="453" t="str">
        <f t="shared" si="303"/>
        <v/>
      </c>
      <c r="GF209" s="451" t="str">
        <f t="shared" si="303"/>
        <v/>
      </c>
      <c r="GG209" s="452" t="str">
        <f t="shared" si="299"/>
        <v/>
      </c>
      <c r="GH209" s="452" t="str">
        <f t="shared" si="299"/>
        <v/>
      </c>
      <c r="GI209" s="452" t="str">
        <f t="shared" si="299"/>
        <v/>
      </c>
      <c r="GJ209" s="453" t="str">
        <f t="shared" si="299"/>
        <v/>
      </c>
      <c r="GK209" s="451" t="str">
        <f t="shared" si="299"/>
        <v/>
      </c>
      <c r="GL209" s="452" t="str">
        <f t="shared" si="299"/>
        <v/>
      </c>
      <c r="GM209" s="452" t="str">
        <f t="shared" si="299"/>
        <v/>
      </c>
      <c r="GN209" s="452" t="str">
        <f t="shared" si="299"/>
        <v/>
      </c>
      <c r="GO209" s="453" t="str">
        <f t="shared" si="299"/>
        <v/>
      </c>
      <c r="GP209" s="451" t="str">
        <f t="shared" si="299"/>
        <v/>
      </c>
      <c r="GQ209" s="452" t="str">
        <f t="shared" si="299"/>
        <v/>
      </c>
      <c r="GR209" s="452" t="str">
        <f t="shared" si="299"/>
        <v/>
      </c>
      <c r="GS209" s="452" t="str">
        <f t="shared" si="299"/>
        <v/>
      </c>
      <c r="GT209" s="453" t="str">
        <f t="shared" si="299"/>
        <v/>
      </c>
      <c r="GU209" s="451" t="str">
        <f t="shared" si="299"/>
        <v/>
      </c>
      <c r="GV209" s="452" t="str">
        <f t="shared" si="299"/>
        <v/>
      </c>
      <c r="GW209" s="452" t="str">
        <f t="shared" si="300"/>
        <v/>
      </c>
      <c r="GX209" s="452" t="str">
        <f t="shared" si="300"/>
        <v/>
      </c>
      <c r="GY209" s="453" t="str">
        <f t="shared" si="300"/>
        <v/>
      </c>
      <c r="GZ209" s="451" t="str">
        <f t="shared" si="300"/>
        <v/>
      </c>
      <c r="HA209" s="452" t="str">
        <f t="shared" si="300"/>
        <v/>
      </c>
      <c r="HB209" s="452" t="str">
        <f t="shared" si="300"/>
        <v/>
      </c>
      <c r="HC209" s="452" t="str">
        <f t="shared" si="300"/>
        <v/>
      </c>
      <c r="HD209" s="453" t="str">
        <f t="shared" si="300"/>
        <v/>
      </c>
      <c r="HE209" s="451" t="str">
        <f t="shared" si="300"/>
        <v/>
      </c>
      <c r="HF209" s="452" t="str">
        <f t="shared" si="300"/>
        <v/>
      </c>
      <c r="HG209" s="452" t="str">
        <f t="shared" si="300"/>
        <v/>
      </c>
      <c r="HH209" s="452" t="str">
        <f t="shared" si="300"/>
        <v/>
      </c>
      <c r="HI209" s="453" t="str">
        <f t="shared" si="300"/>
        <v/>
      </c>
      <c r="HJ209" s="451" t="str">
        <f t="shared" si="300"/>
        <v/>
      </c>
      <c r="HK209" s="452" t="str">
        <f t="shared" si="300"/>
        <v/>
      </c>
      <c r="HL209" s="452" t="str">
        <f t="shared" si="300"/>
        <v/>
      </c>
      <c r="HM209" s="452" t="str">
        <f t="shared" si="304"/>
        <v/>
      </c>
      <c r="HN209" s="453" t="str">
        <f t="shared" si="304"/>
        <v/>
      </c>
      <c r="HO209" s="451" t="str">
        <f t="shared" si="304"/>
        <v/>
      </c>
      <c r="HP209" s="452" t="str">
        <f t="shared" si="304"/>
        <v/>
      </c>
      <c r="HQ209" s="452" t="str">
        <f t="shared" si="304"/>
        <v/>
      </c>
      <c r="HR209" s="452" t="str">
        <f t="shared" si="304"/>
        <v/>
      </c>
      <c r="HS209" s="453" t="str">
        <f t="shared" si="304"/>
        <v/>
      </c>
      <c r="HT209" s="451" t="str">
        <f t="shared" si="304"/>
        <v/>
      </c>
      <c r="HU209" s="452" t="str">
        <f t="shared" si="304"/>
        <v/>
      </c>
      <c r="HV209" s="452" t="str">
        <f t="shared" si="304"/>
        <v/>
      </c>
      <c r="HW209" s="452" t="str">
        <f t="shared" si="304"/>
        <v/>
      </c>
      <c r="HX209" s="453" t="str">
        <f t="shared" si="304"/>
        <v/>
      </c>
      <c r="HY209" s="451" t="str">
        <f t="shared" si="304"/>
        <v/>
      </c>
      <c r="HZ209" s="452" t="str">
        <f t="shared" si="304"/>
        <v/>
      </c>
      <c r="IA209" s="452" t="str">
        <f t="shared" si="304"/>
        <v/>
      </c>
      <c r="IB209" s="452" t="str">
        <f t="shared" si="304"/>
        <v/>
      </c>
      <c r="IC209" s="453" t="str">
        <f t="shared" si="305"/>
        <v/>
      </c>
      <c r="ID209" s="451" t="str">
        <f t="shared" si="305"/>
        <v/>
      </c>
      <c r="IE209" s="452" t="str">
        <f t="shared" si="305"/>
        <v/>
      </c>
      <c r="IF209" s="452" t="str">
        <f t="shared" si="305"/>
        <v/>
      </c>
      <c r="IG209" s="452" t="str">
        <f t="shared" si="305"/>
        <v/>
      </c>
      <c r="IH209" s="453" t="str">
        <f t="shared" si="305"/>
        <v/>
      </c>
      <c r="II209" s="451" t="str">
        <f t="shared" si="305"/>
        <v/>
      </c>
      <c r="IJ209" s="452" t="str">
        <f t="shared" si="305"/>
        <v/>
      </c>
      <c r="IK209" s="452" t="str">
        <f t="shared" si="305"/>
        <v/>
      </c>
      <c r="IL209" s="452" t="str">
        <f t="shared" si="305"/>
        <v/>
      </c>
      <c r="IM209" s="453" t="str">
        <f t="shared" si="305"/>
        <v/>
      </c>
      <c r="IN209" s="451" t="str">
        <f t="shared" si="305"/>
        <v/>
      </c>
      <c r="IO209" s="452" t="str">
        <f t="shared" si="305"/>
        <v/>
      </c>
      <c r="IP209" s="452" t="str">
        <f t="shared" si="305"/>
        <v/>
      </c>
      <c r="IQ209" s="452" t="str">
        <f t="shared" si="305"/>
        <v/>
      </c>
      <c r="IR209" s="453" t="str">
        <f t="shared" si="305"/>
        <v/>
      </c>
    </row>
    <row r="210" spans="1:252" x14ac:dyDescent="0.2">
      <c r="A210" s="461">
        <v>19.8</v>
      </c>
      <c r="C210" s="447" t="s">
        <v>1358</v>
      </c>
      <c r="D210" s="447"/>
      <c r="E210" s="448"/>
      <c r="F210" s="448"/>
      <c r="G210" s="448"/>
      <c r="H210" s="448"/>
      <c r="I210" s="448"/>
      <c r="J210" s="449" t="str">
        <f t="shared" si="307"/>
        <v/>
      </c>
      <c r="K210" s="449" t="str">
        <f t="shared" si="308"/>
        <v/>
      </c>
      <c r="L210" s="450">
        <f t="shared" si="306"/>
        <v>0</v>
      </c>
      <c r="M210" s="451" t="str">
        <f t="shared" si="310"/>
        <v/>
      </c>
      <c r="N210" s="452" t="str">
        <f t="shared" si="310"/>
        <v/>
      </c>
      <c r="O210" s="452" t="str">
        <f t="shared" si="310"/>
        <v/>
      </c>
      <c r="P210" s="452" t="str">
        <f t="shared" si="310"/>
        <v/>
      </c>
      <c r="Q210" s="453" t="str">
        <f t="shared" si="310"/>
        <v/>
      </c>
      <c r="R210" s="451" t="str">
        <f t="shared" si="310"/>
        <v/>
      </c>
      <c r="S210" s="452" t="str">
        <f t="shared" si="310"/>
        <v/>
      </c>
      <c r="T210" s="452" t="str">
        <f t="shared" si="310"/>
        <v/>
      </c>
      <c r="U210" s="452" t="str">
        <f t="shared" si="310"/>
        <v/>
      </c>
      <c r="V210" s="453" t="str">
        <f t="shared" si="310"/>
        <v/>
      </c>
      <c r="W210" s="451" t="str">
        <f t="shared" si="310"/>
        <v/>
      </c>
      <c r="X210" s="452" t="str">
        <f t="shared" si="310"/>
        <v/>
      </c>
      <c r="Y210" s="452" t="str">
        <f t="shared" si="310"/>
        <v/>
      </c>
      <c r="Z210" s="452" t="str">
        <f t="shared" si="310"/>
        <v/>
      </c>
      <c r="AA210" s="453" t="str">
        <f t="shared" si="310"/>
        <v/>
      </c>
      <c r="AB210" s="451" t="str">
        <f t="shared" si="310"/>
        <v/>
      </c>
      <c r="AC210" s="452" t="str">
        <f t="shared" si="318"/>
        <v/>
      </c>
      <c r="AD210" s="452" t="str">
        <f t="shared" si="318"/>
        <v/>
      </c>
      <c r="AE210" s="452" t="str">
        <f t="shared" si="318"/>
        <v/>
      </c>
      <c r="AF210" s="453" t="str">
        <f t="shared" si="318"/>
        <v/>
      </c>
      <c r="AG210" s="451" t="str">
        <f t="shared" si="318"/>
        <v/>
      </c>
      <c r="AH210" s="452" t="str">
        <f t="shared" si="318"/>
        <v/>
      </c>
      <c r="AI210" s="452" t="str">
        <f t="shared" si="318"/>
        <v/>
      </c>
      <c r="AJ210" s="452" t="str">
        <f t="shared" si="318"/>
        <v/>
      </c>
      <c r="AK210" s="453" t="str">
        <f t="shared" si="318"/>
        <v/>
      </c>
      <c r="AL210" s="451" t="str">
        <f t="shared" si="318"/>
        <v/>
      </c>
      <c r="AM210" s="452" t="str">
        <f t="shared" si="318"/>
        <v/>
      </c>
      <c r="AN210" s="452" t="str">
        <f t="shared" si="318"/>
        <v/>
      </c>
      <c r="AO210" s="452" t="str">
        <f t="shared" si="318"/>
        <v/>
      </c>
      <c r="AP210" s="453" t="str">
        <f t="shared" si="318"/>
        <v/>
      </c>
      <c r="AQ210" s="451" t="str">
        <f t="shared" si="318"/>
        <v/>
      </c>
      <c r="AR210" s="452" t="str">
        <f t="shared" si="318"/>
        <v/>
      </c>
      <c r="AS210" s="452" t="str">
        <f t="shared" si="313"/>
        <v/>
      </c>
      <c r="AT210" s="452" t="str">
        <f t="shared" si="313"/>
        <v/>
      </c>
      <c r="AU210" s="453" t="str">
        <f t="shared" si="313"/>
        <v/>
      </c>
      <c r="AV210" s="451" t="str">
        <f t="shared" si="313"/>
        <v/>
      </c>
      <c r="AW210" s="452" t="str">
        <f t="shared" si="313"/>
        <v/>
      </c>
      <c r="AX210" s="452" t="str">
        <f t="shared" si="313"/>
        <v/>
      </c>
      <c r="AY210" s="452" t="str">
        <f t="shared" si="313"/>
        <v/>
      </c>
      <c r="AZ210" s="453" t="str">
        <f t="shared" si="313"/>
        <v/>
      </c>
      <c r="BA210" s="451" t="str">
        <f t="shared" si="313"/>
        <v/>
      </c>
      <c r="BB210" s="452" t="str">
        <f t="shared" si="313"/>
        <v/>
      </c>
      <c r="BC210" s="452" t="str">
        <f t="shared" si="313"/>
        <v/>
      </c>
      <c r="BD210" s="452" t="str">
        <f t="shared" si="313"/>
        <v/>
      </c>
      <c r="BE210" s="453" t="str">
        <f t="shared" si="313"/>
        <v/>
      </c>
      <c r="BF210" s="451" t="str">
        <f t="shared" si="313"/>
        <v/>
      </c>
      <c r="BG210" s="452" t="str">
        <f t="shared" si="313"/>
        <v/>
      </c>
      <c r="BH210" s="452" t="str">
        <f t="shared" si="311"/>
        <v/>
      </c>
      <c r="BI210" s="452" t="str">
        <f t="shared" si="311"/>
        <v/>
      </c>
      <c r="BJ210" s="453" t="str">
        <f t="shared" si="311"/>
        <v/>
      </c>
      <c r="BK210" s="451" t="str">
        <f t="shared" si="311"/>
        <v/>
      </c>
      <c r="BL210" s="452" t="str">
        <f t="shared" si="311"/>
        <v/>
      </c>
      <c r="BM210" s="452" t="str">
        <f t="shared" si="311"/>
        <v/>
      </c>
      <c r="BN210" s="452" t="str">
        <f t="shared" si="311"/>
        <v/>
      </c>
      <c r="BO210" s="453" t="str">
        <f t="shared" si="311"/>
        <v/>
      </c>
      <c r="BP210" s="451" t="str">
        <f t="shared" si="311"/>
        <v/>
      </c>
      <c r="BQ210" s="452" t="str">
        <f t="shared" si="311"/>
        <v/>
      </c>
      <c r="BR210" s="452" t="str">
        <f t="shared" si="311"/>
        <v/>
      </c>
      <c r="BS210" s="452" t="str">
        <f t="shared" si="311"/>
        <v/>
      </c>
      <c r="BT210" s="453" t="str">
        <f t="shared" si="311"/>
        <v/>
      </c>
      <c r="BU210" s="451" t="str">
        <f t="shared" si="311"/>
        <v/>
      </c>
      <c r="BV210" s="452" t="str">
        <f t="shared" si="311"/>
        <v/>
      </c>
      <c r="BW210" s="452" t="str">
        <f t="shared" si="311"/>
        <v/>
      </c>
      <c r="BX210" s="452" t="str">
        <f t="shared" si="314"/>
        <v/>
      </c>
      <c r="BY210" s="453" t="str">
        <f t="shared" si="314"/>
        <v/>
      </c>
      <c r="BZ210" s="451" t="str">
        <f t="shared" si="314"/>
        <v/>
      </c>
      <c r="CA210" s="452" t="str">
        <f t="shared" si="314"/>
        <v/>
      </c>
      <c r="CB210" s="452" t="str">
        <f t="shared" si="314"/>
        <v/>
      </c>
      <c r="CC210" s="452" t="str">
        <f t="shared" si="314"/>
        <v/>
      </c>
      <c r="CD210" s="453" t="str">
        <f t="shared" si="314"/>
        <v/>
      </c>
      <c r="CE210" s="451" t="str">
        <f t="shared" si="314"/>
        <v/>
      </c>
      <c r="CF210" s="452" t="str">
        <f t="shared" si="314"/>
        <v/>
      </c>
      <c r="CG210" s="452" t="str">
        <f t="shared" si="314"/>
        <v/>
      </c>
      <c r="CH210" s="452" t="str">
        <f t="shared" si="314"/>
        <v/>
      </c>
      <c r="CI210" s="453" t="str">
        <f t="shared" si="314"/>
        <v/>
      </c>
      <c r="CJ210" s="451" t="str">
        <f t="shared" si="314"/>
        <v/>
      </c>
      <c r="CK210" s="452" t="str">
        <f t="shared" si="314"/>
        <v/>
      </c>
      <c r="CL210" s="452" t="str">
        <f t="shared" si="314"/>
        <v/>
      </c>
      <c r="CM210" s="452" t="str">
        <f t="shared" si="314"/>
        <v/>
      </c>
      <c r="CN210" s="453" t="str">
        <f t="shared" si="315"/>
        <v/>
      </c>
      <c r="CO210" s="451" t="str">
        <f t="shared" si="315"/>
        <v/>
      </c>
      <c r="CP210" s="452" t="str">
        <f t="shared" si="315"/>
        <v/>
      </c>
      <c r="CQ210" s="452" t="str">
        <f t="shared" si="315"/>
        <v/>
      </c>
      <c r="CR210" s="452" t="str">
        <f t="shared" si="315"/>
        <v/>
      </c>
      <c r="CS210" s="453" t="str">
        <f t="shared" si="315"/>
        <v/>
      </c>
      <c r="CT210" s="451" t="str">
        <f t="shared" si="315"/>
        <v/>
      </c>
      <c r="CU210" s="452" t="str">
        <f t="shared" si="315"/>
        <v/>
      </c>
      <c r="CV210" s="452" t="str">
        <f t="shared" si="315"/>
        <v/>
      </c>
      <c r="CW210" s="452" t="str">
        <f t="shared" si="315"/>
        <v/>
      </c>
      <c r="CX210" s="453" t="str">
        <f t="shared" si="315"/>
        <v/>
      </c>
      <c r="CY210" s="451" t="str">
        <f t="shared" si="315"/>
        <v/>
      </c>
      <c r="CZ210" s="452" t="str">
        <f t="shared" si="315"/>
        <v/>
      </c>
      <c r="DA210" s="452" t="str">
        <f t="shared" si="315"/>
        <v/>
      </c>
      <c r="DB210" s="452" t="str">
        <f t="shared" si="315"/>
        <v/>
      </c>
      <c r="DC210" s="453" t="str">
        <f t="shared" si="315"/>
        <v/>
      </c>
      <c r="DD210" s="451" t="str">
        <f t="shared" si="312"/>
        <v/>
      </c>
      <c r="DE210" s="452" t="str">
        <f t="shared" si="312"/>
        <v/>
      </c>
      <c r="DF210" s="452" t="str">
        <f t="shared" si="312"/>
        <v/>
      </c>
      <c r="DG210" s="452" t="str">
        <f t="shared" si="312"/>
        <v/>
      </c>
      <c r="DH210" s="453" t="str">
        <f t="shared" si="312"/>
        <v/>
      </c>
      <c r="DI210" s="451" t="str">
        <f t="shared" si="312"/>
        <v/>
      </c>
      <c r="DJ210" s="452" t="str">
        <f t="shared" si="312"/>
        <v/>
      </c>
      <c r="DK210" s="452" t="str">
        <f t="shared" si="312"/>
        <v/>
      </c>
      <c r="DL210" s="452" t="str">
        <f t="shared" si="312"/>
        <v/>
      </c>
      <c r="DM210" s="453" t="str">
        <f t="shared" si="312"/>
        <v/>
      </c>
      <c r="DN210" s="451" t="str">
        <f t="shared" si="312"/>
        <v/>
      </c>
      <c r="DO210" s="452" t="str">
        <f t="shared" si="312"/>
        <v/>
      </c>
      <c r="DP210" s="452" t="str">
        <f t="shared" si="312"/>
        <v/>
      </c>
      <c r="DQ210" s="452" t="str">
        <f t="shared" si="312"/>
        <v/>
      </c>
      <c r="DR210" s="453" t="str">
        <f t="shared" si="312"/>
        <v/>
      </c>
      <c r="DS210" s="451" t="str">
        <f t="shared" si="312"/>
        <v/>
      </c>
      <c r="DT210" s="452" t="str">
        <f t="shared" si="316"/>
        <v/>
      </c>
      <c r="DU210" s="452" t="str">
        <f t="shared" si="316"/>
        <v/>
      </c>
      <c r="DV210" s="452" t="str">
        <f t="shared" si="316"/>
        <v/>
      </c>
      <c r="DW210" s="453" t="str">
        <f t="shared" si="316"/>
        <v/>
      </c>
      <c r="DX210" s="451" t="str">
        <f t="shared" si="316"/>
        <v/>
      </c>
      <c r="DY210" s="452" t="str">
        <f t="shared" si="316"/>
        <v/>
      </c>
      <c r="DZ210" s="452" t="str">
        <f t="shared" si="316"/>
        <v/>
      </c>
      <c r="EA210" s="452" t="str">
        <f t="shared" si="316"/>
        <v/>
      </c>
      <c r="EB210" s="453" t="str">
        <f t="shared" si="316"/>
        <v/>
      </c>
      <c r="EC210" s="451" t="str">
        <f t="shared" si="316"/>
        <v/>
      </c>
      <c r="ED210" s="452" t="str">
        <f t="shared" si="316"/>
        <v/>
      </c>
      <c r="EE210" s="452" t="str">
        <f t="shared" si="316"/>
        <v/>
      </c>
      <c r="EF210" s="452" t="str">
        <f t="shared" si="316"/>
        <v/>
      </c>
      <c r="EG210" s="453" t="str">
        <f t="shared" si="316"/>
        <v/>
      </c>
      <c r="EH210" s="451" t="str">
        <f t="shared" si="316"/>
        <v/>
      </c>
      <c r="EI210" s="452" t="str">
        <f t="shared" si="316"/>
        <v/>
      </c>
      <c r="EJ210" s="452" t="str">
        <f t="shared" si="317"/>
        <v/>
      </c>
      <c r="EK210" s="452" t="str">
        <f t="shared" si="301"/>
        <v/>
      </c>
      <c r="EL210" s="453" t="str">
        <f t="shared" si="301"/>
        <v/>
      </c>
      <c r="EM210" s="451" t="str">
        <f t="shared" si="301"/>
        <v/>
      </c>
      <c r="EN210" s="452" t="str">
        <f t="shared" si="301"/>
        <v/>
      </c>
      <c r="EO210" s="452" t="str">
        <f t="shared" si="301"/>
        <v/>
      </c>
      <c r="EP210" s="452" t="str">
        <f t="shared" si="301"/>
        <v/>
      </c>
      <c r="EQ210" s="453" t="str">
        <f t="shared" si="301"/>
        <v/>
      </c>
      <c r="ER210" s="451" t="str">
        <f t="shared" si="301"/>
        <v/>
      </c>
      <c r="ES210" s="452" t="str">
        <f t="shared" si="301"/>
        <v/>
      </c>
      <c r="ET210" s="452" t="str">
        <f t="shared" si="301"/>
        <v/>
      </c>
      <c r="EU210" s="452" t="str">
        <f t="shared" si="301"/>
        <v/>
      </c>
      <c r="EV210" s="453" t="str">
        <f t="shared" si="301"/>
        <v/>
      </c>
      <c r="EW210" s="451" t="str">
        <f t="shared" si="301"/>
        <v/>
      </c>
      <c r="EX210" s="452" t="str">
        <f t="shared" si="301"/>
        <v/>
      </c>
      <c r="EY210" s="452" t="str">
        <f t="shared" si="301"/>
        <v/>
      </c>
      <c r="EZ210" s="452" t="str">
        <f t="shared" si="301"/>
        <v/>
      </c>
      <c r="FA210" s="453" t="str">
        <f t="shared" si="302"/>
        <v/>
      </c>
      <c r="FB210" s="451" t="str">
        <f t="shared" si="302"/>
        <v/>
      </c>
      <c r="FC210" s="452" t="str">
        <f t="shared" si="302"/>
        <v/>
      </c>
      <c r="FD210" s="452" t="str">
        <f t="shared" si="302"/>
        <v/>
      </c>
      <c r="FE210" s="452" t="str">
        <f t="shared" si="302"/>
        <v/>
      </c>
      <c r="FF210" s="453" t="str">
        <f t="shared" si="302"/>
        <v/>
      </c>
      <c r="FG210" s="451" t="str">
        <f t="shared" si="302"/>
        <v/>
      </c>
      <c r="FH210" s="452" t="str">
        <f t="shared" si="302"/>
        <v/>
      </c>
      <c r="FI210" s="452" t="str">
        <f t="shared" si="302"/>
        <v/>
      </c>
      <c r="FJ210" s="452" t="str">
        <f t="shared" si="302"/>
        <v/>
      </c>
      <c r="FK210" s="453" t="str">
        <f t="shared" si="302"/>
        <v/>
      </c>
      <c r="FL210" s="451" t="str">
        <f t="shared" si="302"/>
        <v/>
      </c>
      <c r="FM210" s="452" t="str">
        <f t="shared" si="302"/>
        <v/>
      </c>
      <c r="FN210" s="452" t="str">
        <f t="shared" si="302"/>
        <v/>
      </c>
      <c r="FO210" s="452" t="str">
        <f t="shared" si="302"/>
        <v/>
      </c>
      <c r="FP210" s="453" t="str">
        <f t="shared" si="302"/>
        <v/>
      </c>
      <c r="FQ210" s="451" t="str">
        <f t="shared" si="303"/>
        <v/>
      </c>
      <c r="FR210" s="452" t="str">
        <f t="shared" si="303"/>
        <v/>
      </c>
      <c r="FS210" s="452" t="str">
        <f t="shared" si="303"/>
        <v/>
      </c>
      <c r="FT210" s="452" t="str">
        <f t="shared" si="303"/>
        <v/>
      </c>
      <c r="FU210" s="453" t="str">
        <f t="shared" si="303"/>
        <v/>
      </c>
      <c r="FV210" s="451" t="str">
        <f t="shared" si="303"/>
        <v/>
      </c>
      <c r="FW210" s="452" t="str">
        <f t="shared" si="303"/>
        <v/>
      </c>
      <c r="FX210" s="452" t="str">
        <f t="shared" si="303"/>
        <v/>
      </c>
      <c r="FY210" s="452" t="str">
        <f t="shared" si="303"/>
        <v/>
      </c>
      <c r="FZ210" s="453" t="str">
        <f t="shared" si="303"/>
        <v/>
      </c>
      <c r="GA210" s="451" t="str">
        <f t="shared" si="303"/>
        <v/>
      </c>
      <c r="GB210" s="452" t="str">
        <f t="shared" si="303"/>
        <v/>
      </c>
      <c r="GC210" s="452" t="str">
        <f t="shared" si="303"/>
        <v/>
      </c>
      <c r="GD210" s="452" t="str">
        <f t="shared" si="303"/>
        <v/>
      </c>
      <c r="GE210" s="453" t="str">
        <f t="shared" si="303"/>
        <v/>
      </c>
      <c r="GF210" s="451" t="str">
        <f t="shared" si="303"/>
        <v/>
      </c>
      <c r="GG210" s="452" t="str">
        <f t="shared" si="299"/>
        <v/>
      </c>
      <c r="GH210" s="452" t="str">
        <f t="shared" si="299"/>
        <v/>
      </c>
      <c r="GI210" s="452" t="str">
        <f t="shared" si="299"/>
        <v/>
      </c>
      <c r="GJ210" s="453" t="str">
        <f t="shared" si="299"/>
        <v/>
      </c>
      <c r="GK210" s="451" t="str">
        <f t="shared" si="299"/>
        <v/>
      </c>
      <c r="GL210" s="452" t="str">
        <f t="shared" si="299"/>
        <v/>
      </c>
      <c r="GM210" s="452" t="str">
        <f t="shared" si="299"/>
        <v/>
      </c>
      <c r="GN210" s="452" t="str">
        <f t="shared" si="299"/>
        <v/>
      </c>
      <c r="GO210" s="453" t="str">
        <f t="shared" si="299"/>
        <v/>
      </c>
      <c r="GP210" s="451" t="str">
        <f t="shared" si="299"/>
        <v/>
      </c>
      <c r="GQ210" s="452" t="str">
        <f t="shared" si="299"/>
        <v/>
      </c>
      <c r="GR210" s="452" t="str">
        <f t="shared" si="299"/>
        <v/>
      </c>
      <c r="GS210" s="452" t="str">
        <f t="shared" si="299"/>
        <v/>
      </c>
      <c r="GT210" s="453" t="str">
        <f t="shared" si="299"/>
        <v/>
      </c>
      <c r="GU210" s="451" t="str">
        <f t="shared" si="299"/>
        <v/>
      </c>
      <c r="GV210" s="452" t="str">
        <f t="shared" si="299"/>
        <v/>
      </c>
      <c r="GW210" s="452" t="str">
        <f t="shared" si="300"/>
        <v/>
      </c>
      <c r="GX210" s="452" t="str">
        <f t="shared" si="300"/>
        <v/>
      </c>
      <c r="GY210" s="453" t="str">
        <f t="shared" si="300"/>
        <v/>
      </c>
      <c r="GZ210" s="451" t="str">
        <f t="shared" si="300"/>
        <v/>
      </c>
      <c r="HA210" s="452" t="str">
        <f t="shared" si="300"/>
        <v/>
      </c>
      <c r="HB210" s="452" t="str">
        <f t="shared" si="300"/>
        <v/>
      </c>
      <c r="HC210" s="452" t="str">
        <f t="shared" si="300"/>
        <v/>
      </c>
      <c r="HD210" s="453" t="str">
        <f t="shared" si="300"/>
        <v/>
      </c>
      <c r="HE210" s="451" t="str">
        <f t="shared" si="300"/>
        <v/>
      </c>
      <c r="HF210" s="452" t="str">
        <f t="shared" si="300"/>
        <v/>
      </c>
      <c r="HG210" s="452" t="str">
        <f t="shared" si="300"/>
        <v/>
      </c>
      <c r="HH210" s="452" t="str">
        <f t="shared" si="300"/>
        <v/>
      </c>
      <c r="HI210" s="453" t="str">
        <f t="shared" si="300"/>
        <v/>
      </c>
      <c r="HJ210" s="451" t="str">
        <f t="shared" si="300"/>
        <v/>
      </c>
      <c r="HK210" s="452" t="str">
        <f t="shared" si="300"/>
        <v/>
      </c>
      <c r="HL210" s="452" t="str">
        <f t="shared" si="300"/>
        <v/>
      </c>
      <c r="HM210" s="452" t="str">
        <f t="shared" si="304"/>
        <v/>
      </c>
      <c r="HN210" s="453" t="str">
        <f t="shared" si="304"/>
        <v/>
      </c>
      <c r="HO210" s="451" t="str">
        <f t="shared" si="304"/>
        <v/>
      </c>
      <c r="HP210" s="452" t="str">
        <f t="shared" si="304"/>
        <v/>
      </c>
      <c r="HQ210" s="452" t="str">
        <f t="shared" si="304"/>
        <v/>
      </c>
      <c r="HR210" s="452" t="str">
        <f t="shared" si="304"/>
        <v/>
      </c>
      <c r="HS210" s="453" t="str">
        <f t="shared" si="304"/>
        <v/>
      </c>
      <c r="HT210" s="451" t="str">
        <f t="shared" si="304"/>
        <v/>
      </c>
      <c r="HU210" s="452" t="str">
        <f t="shared" si="304"/>
        <v/>
      </c>
      <c r="HV210" s="452" t="str">
        <f t="shared" si="304"/>
        <v/>
      </c>
      <c r="HW210" s="452" t="str">
        <f t="shared" si="304"/>
        <v/>
      </c>
      <c r="HX210" s="453" t="str">
        <f t="shared" si="304"/>
        <v/>
      </c>
      <c r="HY210" s="451" t="str">
        <f t="shared" si="304"/>
        <v/>
      </c>
      <c r="HZ210" s="452" t="str">
        <f t="shared" si="304"/>
        <v/>
      </c>
      <c r="IA210" s="452" t="str">
        <f t="shared" si="304"/>
        <v/>
      </c>
      <c r="IB210" s="452" t="str">
        <f t="shared" si="304"/>
        <v/>
      </c>
      <c r="IC210" s="453" t="str">
        <f t="shared" si="305"/>
        <v/>
      </c>
      <c r="ID210" s="451" t="str">
        <f t="shared" si="305"/>
        <v/>
      </c>
      <c r="IE210" s="452" t="str">
        <f t="shared" si="305"/>
        <v/>
      </c>
      <c r="IF210" s="452" t="str">
        <f t="shared" si="305"/>
        <v/>
      </c>
      <c r="IG210" s="452" t="str">
        <f t="shared" si="305"/>
        <v/>
      </c>
      <c r="IH210" s="453" t="str">
        <f t="shared" si="305"/>
        <v/>
      </c>
      <c r="II210" s="451" t="str">
        <f t="shared" si="305"/>
        <v/>
      </c>
      <c r="IJ210" s="452" t="str">
        <f t="shared" si="305"/>
        <v/>
      </c>
      <c r="IK210" s="452" t="str">
        <f t="shared" si="305"/>
        <v/>
      </c>
      <c r="IL210" s="452" t="str">
        <f t="shared" si="305"/>
        <v/>
      </c>
      <c r="IM210" s="453" t="str">
        <f t="shared" si="305"/>
        <v/>
      </c>
      <c r="IN210" s="451" t="str">
        <f t="shared" si="305"/>
        <v/>
      </c>
      <c r="IO210" s="452" t="str">
        <f t="shared" si="305"/>
        <v/>
      </c>
      <c r="IP210" s="452" t="str">
        <f t="shared" si="305"/>
        <v/>
      </c>
      <c r="IQ210" s="452" t="str">
        <f t="shared" si="305"/>
        <v/>
      </c>
      <c r="IR210" s="453" t="str">
        <f t="shared" si="305"/>
        <v/>
      </c>
    </row>
    <row r="211" spans="1:252" x14ac:dyDescent="0.2">
      <c r="A211" s="461">
        <v>19.899999999999999</v>
      </c>
      <c r="C211" s="447" t="s">
        <v>1359</v>
      </c>
      <c r="D211" s="447"/>
      <c r="E211" s="448"/>
      <c r="F211" s="448"/>
      <c r="G211" s="448"/>
      <c r="H211" s="448"/>
      <c r="I211" s="448"/>
      <c r="J211" s="449" t="str">
        <f t="shared" si="307"/>
        <v/>
      </c>
      <c r="K211" s="449" t="str">
        <f t="shared" si="308"/>
        <v/>
      </c>
      <c r="L211" s="450">
        <f t="shared" si="306"/>
        <v>0</v>
      </c>
      <c r="M211" s="451" t="str">
        <f t="shared" si="310"/>
        <v/>
      </c>
      <c r="N211" s="452" t="str">
        <f t="shared" si="310"/>
        <v/>
      </c>
      <c r="O211" s="452" t="str">
        <f t="shared" si="310"/>
        <v/>
      </c>
      <c r="P211" s="452" t="str">
        <f t="shared" si="310"/>
        <v/>
      </c>
      <c r="Q211" s="453" t="str">
        <f t="shared" si="310"/>
        <v/>
      </c>
      <c r="R211" s="451" t="str">
        <f t="shared" si="310"/>
        <v/>
      </c>
      <c r="S211" s="452" t="str">
        <f t="shared" si="310"/>
        <v/>
      </c>
      <c r="T211" s="452" t="str">
        <f t="shared" si="310"/>
        <v/>
      </c>
      <c r="U211" s="452" t="str">
        <f t="shared" si="310"/>
        <v/>
      </c>
      <c r="V211" s="453" t="str">
        <f t="shared" si="310"/>
        <v/>
      </c>
      <c r="W211" s="451" t="str">
        <f t="shared" si="310"/>
        <v/>
      </c>
      <c r="X211" s="452" t="str">
        <f t="shared" si="310"/>
        <v/>
      </c>
      <c r="Y211" s="452" t="str">
        <f t="shared" si="310"/>
        <v/>
      </c>
      <c r="Z211" s="452" t="str">
        <f t="shared" si="310"/>
        <v/>
      </c>
      <c r="AA211" s="453" t="str">
        <f t="shared" si="310"/>
        <v/>
      </c>
      <c r="AB211" s="451" t="str">
        <f t="shared" si="310"/>
        <v/>
      </c>
      <c r="AC211" s="452" t="str">
        <f t="shared" si="318"/>
        <v/>
      </c>
      <c r="AD211" s="452" t="str">
        <f t="shared" si="318"/>
        <v/>
      </c>
      <c r="AE211" s="452" t="str">
        <f t="shared" si="318"/>
        <v/>
      </c>
      <c r="AF211" s="453" t="str">
        <f t="shared" si="318"/>
        <v/>
      </c>
      <c r="AG211" s="451" t="str">
        <f t="shared" si="318"/>
        <v/>
      </c>
      <c r="AH211" s="452" t="str">
        <f t="shared" si="318"/>
        <v/>
      </c>
      <c r="AI211" s="452" t="str">
        <f t="shared" si="318"/>
        <v/>
      </c>
      <c r="AJ211" s="452" t="str">
        <f t="shared" si="318"/>
        <v/>
      </c>
      <c r="AK211" s="453" t="str">
        <f t="shared" si="318"/>
        <v/>
      </c>
      <c r="AL211" s="451" t="str">
        <f t="shared" si="318"/>
        <v/>
      </c>
      <c r="AM211" s="452" t="str">
        <f t="shared" si="318"/>
        <v/>
      </c>
      <c r="AN211" s="452" t="str">
        <f t="shared" si="318"/>
        <v/>
      </c>
      <c r="AO211" s="452" t="str">
        <f t="shared" si="318"/>
        <v/>
      </c>
      <c r="AP211" s="453" t="str">
        <f t="shared" si="318"/>
        <v/>
      </c>
      <c r="AQ211" s="451" t="str">
        <f t="shared" si="318"/>
        <v/>
      </c>
      <c r="AR211" s="452" t="str">
        <f t="shared" si="318"/>
        <v/>
      </c>
      <c r="AS211" s="452" t="str">
        <f t="shared" si="313"/>
        <v/>
      </c>
      <c r="AT211" s="452" t="str">
        <f t="shared" si="313"/>
        <v/>
      </c>
      <c r="AU211" s="453" t="str">
        <f t="shared" si="313"/>
        <v/>
      </c>
      <c r="AV211" s="451" t="str">
        <f t="shared" si="313"/>
        <v/>
      </c>
      <c r="AW211" s="452" t="str">
        <f t="shared" si="313"/>
        <v/>
      </c>
      <c r="AX211" s="452" t="str">
        <f t="shared" si="313"/>
        <v/>
      </c>
      <c r="AY211" s="452" t="str">
        <f t="shared" si="313"/>
        <v/>
      </c>
      <c r="AZ211" s="453" t="str">
        <f t="shared" si="313"/>
        <v/>
      </c>
      <c r="BA211" s="451" t="str">
        <f t="shared" si="313"/>
        <v/>
      </c>
      <c r="BB211" s="452" t="str">
        <f t="shared" si="313"/>
        <v/>
      </c>
      <c r="BC211" s="452" t="str">
        <f t="shared" si="313"/>
        <v/>
      </c>
      <c r="BD211" s="452" t="str">
        <f t="shared" si="313"/>
        <v/>
      </c>
      <c r="BE211" s="453" t="str">
        <f t="shared" si="313"/>
        <v/>
      </c>
      <c r="BF211" s="451" t="str">
        <f t="shared" si="313"/>
        <v/>
      </c>
      <c r="BG211" s="452" t="str">
        <f t="shared" si="313"/>
        <v/>
      </c>
      <c r="BH211" s="452" t="str">
        <f t="shared" si="311"/>
        <v/>
      </c>
      <c r="BI211" s="452" t="str">
        <f t="shared" si="311"/>
        <v/>
      </c>
      <c r="BJ211" s="453" t="str">
        <f t="shared" si="311"/>
        <v/>
      </c>
      <c r="BK211" s="451" t="str">
        <f t="shared" si="311"/>
        <v/>
      </c>
      <c r="BL211" s="452" t="str">
        <f t="shared" si="311"/>
        <v/>
      </c>
      <c r="BM211" s="452" t="str">
        <f t="shared" si="311"/>
        <v/>
      </c>
      <c r="BN211" s="452" t="str">
        <f t="shared" si="311"/>
        <v/>
      </c>
      <c r="BO211" s="453" t="str">
        <f t="shared" si="311"/>
        <v/>
      </c>
      <c r="BP211" s="451" t="str">
        <f t="shared" si="311"/>
        <v/>
      </c>
      <c r="BQ211" s="452" t="str">
        <f t="shared" si="311"/>
        <v/>
      </c>
      <c r="BR211" s="452" t="str">
        <f t="shared" si="311"/>
        <v/>
      </c>
      <c r="BS211" s="452" t="str">
        <f t="shared" si="311"/>
        <v/>
      </c>
      <c r="BT211" s="453" t="str">
        <f t="shared" si="311"/>
        <v/>
      </c>
      <c r="BU211" s="451" t="str">
        <f t="shared" si="311"/>
        <v/>
      </c>
      <c r="BV211" s="452" t="str">
        <f t="shared" si="311"/>
        <v/>
      </c>
      <c r="BW211" s="452" t="str">
        <f t="shared" si="311"/>
        <v/>
      </c>
      <c r="BX211" s="452" t="str">
        <f t="shared" si="314"/>
        <v/>
      </c>
      <c r="BY211" s="453" t="str">
        <f t="shared" si="314"/>
        <v/>
      </c>
      <c r="BZ211" s="451" t="str">
        <f t="shared" si="314"/>
        <v/>
      </c>
      <c r="CA211" s="452" t="str">
        <f t="shared" si="314"/>
        <v/>
      </c>
      <c r="CB211" s="452" t="str">
        <f t="shared" si="314"/>
        <v/>
      </c>
      <c r="CC211" s="452" t="str">
        <f t="shared" si="314"/>
        <v/>
      </c>
      <c r="CD211" s="453" t="str">
        <f t="shared" si="314"/>
        <v/>
      </c>
      <c r="CE211" s="451" t="str">
        <f t="shared" si="314"/>
        <v/>
      </c>
      <c r="CF211" s="452" t="str">
        <f t="shared" si="314"/>
        <v/>
      </c>
      <c r="CG211" s="452" t="str">
        <f t="shared" si="314"/>
        <v/>
      </c>
      <c r="CH211" s="452" t="str">
        <f t="shared" si="314"/>
        <v/>
      </c>
      <c r="CI211" s="453" t="str">
        <f t="shared" si="314"/>
        <v/>
      </c>
      <c r="CJ211" s="451" t="str">
        <f t="shared" si="314"/>
        <v/>
      </c>
      <c r="CK211" s="452" t="str">
        <f t="shared" si="314"/>
        <v/>
      </c>
      <c r="CL211" s="452" t="str">
        <f t="shared" si="314"/>
        <v/>
      </c>
      <c r="CM211" s="452" t="str">
        <f t="shared" si="314"/>
        <v/>
      </c>
      <c r="CN211" s="453" t="str">
        <f t="shared" si="315"/>
        <v/>
      </c>
      <c r="CO211" s="451" t="str">
        <f t="shared" si="315"/>
        <v/>
      </c>
      <c r="CP211" s="452" t="str">
        <f t="shared" si="315"/>
        <v/>
      </c>
      <c r="CQ211" s="452" t="str">
        <f t="shared" si="315"/>
        <v/>
      </c>
      <c r="CR211" s="452" t="str">
        <f t="shared" si="315"/>
        <v/>
      </c>
      <c r="CS211" s="453" t="str">
        <f t="shared" si="315"/>
        <v/>
      </c>
      <c r="CT211" s="451" t="str">
        <f t="shared" si="315"/>
        <v/>
      </c>
      <c r="CU211" s="452" t="str">
        <f t="shared" si="315"/>
        <v/>
      </c>
      <c r="CV211" s="452" t="str">
        <f t="shared" si="315"/>
        <v/>
      </c>
      <c r="CW211" s="452" t="str">
        <f t="shared" si="315"/>
        <v/>
      </c>
      <c r="CX211" s="453" t="str">
        <f t="shared" si="315"/>
        <v/>
      </c>
      <c r="CY211" s="451" t="str">
        <f t="shared" si="315"/>
        <v/>
      </c>
      <c r="CZ211" s="452" t="str">
        <f t="shared" si="315"/>
        <v/>
      </c>
      <c r="DA211" s="452" t="str">
        <f t="shared" si="315"/>
        <v/>
      </c>
      <c r="DB211" s="452" t="str">
        <f t="shared" si="315"/>
        <v/>
      </c>
      <c r="DC211" s="453" t="str">
        <f t="shared" si="315"/>
        <v/>
      </c>
      <c r="DD211" s="451" t="str">
        <f t="shared" si="312"/>
        <v/>
      </c>
      <c r="DE211" s="452" t="str">
        <f t="shared" si="312"/>
        <v/>
      </c>
      <c r="DF211" s="452" t="str">
        <f t="shared" si="312"/>
        <v/>
      </c>
      <c r="DG211" s="452" t="str">
        <f t="shared" si="312"/>
        <v/>
      </c>
      <c r="DH211" s="453" t="str">
        <f t="shared" si="312"/>
        <v/>
      </c>
      <c r="DI211" s="451" t="str">
        <f t="shared" si="312"/>
        <v/>
      </c>
      <c r="DJ211" s="452" t="str">
        <f t="shared" si="312"/>
        <v/>
      </c>
      <c r="DK211" s="452" t="str">
        <f t="shared" si="312"/>
        <v/>
      </c>
      <c r="DL211" s="452" t="str">
        <f t="shared" si="312"/>
        <v/>
      </c>
      <c r="DM211" s="453" t="str">
        <f t="shared" si="312"/>
        <v/>
      </c>
      <c r="DN211" s="451" t="str">
        <f t="shared" si="312"/>
        <v/>
      </c>
      <c r="DO211" s="452" t="str">
        <f t="shared" si="312"/>
        <v/>
      </c>
      <c r="DP211" s="452" t="str">
        <f t="shared" si="312"/>
        <v/>
      </c>
      <c r="DQ211" s="452" t="str">
        <f t="shared" si="312"/>
        <v/>
      </c>
      <c r="DR211" s="453" t="str">
        <f t="shared" si="312"/>
        <v/>
      </c>
      <c r="DS211" s="451" t="str">
        <f t="shared" si="312"/>
        <v/>
      </c>
      <c r="DT211" s="452" t="str">
        <f t="shared" si="316"/>
        <v/>
      </c>
      <c r="DU211" s="452" t="str">
        <f t="shared" si="316"/>
        <v/>
      </c>
      <c r="DV211" s="452" t="str">
        <f t="shared" si="316"/>
        <v/>
      </c>
      <c r="DW211" s="453" t="str">
        <f t="shared" si="316"/>
        <v/>
      </c>
      <c r="DX211" s="451" t="str">
        <f t="shared" si="316"/>
        <v/>
      </c>
      <c r="DY211" s="452" t="str">
        <f t="shared" si="316"/>
        <v/>
      </c>
      <c r="DZ211" s="452" t="str">
        <f t="shared" si="316"/>
        <v/>
      </c>
      <c r="EA211" s="452" t="str">
        <f t="shared" si="316"/>
        <v/>
      </c>
      <c r="EB211" s="453" t="str">
        <f t="shared" si="316"/>
        <v/>
      </c>
      <c r="EC211" s="451" t="str">
        <f t="shared" si="316"/>
        <v/>
      </c>
      <c r="ED211" s="452" t="str">
        <f t="shared" si="316"/>
        <v/>
      </c>
      <c r="EE211" s="452" t="str">
        <f t="shared" si="316"/>
        <v/>
      </c>
      <c r="EF211" s="452" t="str">
        <f t="shared" si="316"/>
        <v/>
      </c>
      <c r="EG211" s="453" t="str">
        <f t="shared" si="316"/>
        <v/>
      </c>
      <c r="EH211" s="451" t="str">
        <f t="shared" si="316"/>
        <v/>
      </c>
      <c r="EI211" s="452" t="str">
        <f t="shared" si="316"/>
        <v/>
      </c>
      <c r="EJ211" s="452" t="str">
        <f t="shared" si="317"/>
        <v/>
      </c>
      <c r="EK211" s="452" t="str">
        <f t="shared" si="301"/>
        <v/>
      </c>
      <c r="EL211" s="453" t="str">
        <f t="shared" si="301"/>
        <v/>
      </c>
      <c r="EM211" s="451" t="str">
        <f t="shared" si="301"/>
        <v/>
      </c>
      <c r="EN211" s="452" t="str">
        <f t="shared" si="301"/>
        <v/>
      </c>
      <c r="EO211" s="452" t="str">
        <f t="shared" si="301"/>
        <v/>
      </c>
      <c r="EP211" s="452" t="str">
        <f t="shared" si="301"/>
        <v/>
      </c>
      <c r="EQ211" s="453" t="str">
        <f t="shared" si="301"/>
        <v/>
      </c>
      <c r="ER211" s="451" t="str">
        <f t="shared" si="301"/>
        <v/>
      </c>
      <c r="ES211" s="452" t="str">
        <f t="shared" si="301"/>
        <v/>
      </c>
      <c r="ET211" s="452" t="str">
        <f t="shared" si="301"/>
        <v/>
      </c>
      <c r="EU211" s="452" t="str">
        <f t="shared" si="301"/>
        <v/>
      </c>
      <c r="EV211" s="453" t="str">
        <f t="shared" si="301"/>
        <v/>
      </c>
      <c r="EW211" s="451" t="str">
        <f t="shared" si="301"/>
        <v/>
      </c>
      <c r="EX211" s="452" t="str">
        <f t="shared" si="301"/>
        <v/>
      </c>
      <c r="EY211" s="452" t="str">
        <f t="shared" si="301"/>
        <v/>
      </c>
      <c r="EZ211" s="452" t="str">
        <f t="shared" si="301"/>
        <v/>
      </c>
      <c r="FA211" s="453" t="str">
        <f t="shared" si="302"/>
        <v/>
      </c>
      <c r="FB211" s="451" t="str">
        <f t="shared" si="302"/>
        <v/>
      </c>
      <c r="FC211" s="452" t="str">
        <f t="shared" si="302"/>
        <v/>
      </c>
      <c r="FD211" s="452" t="str">
        <f t="shared" si="302"/>
        <v/>
      </c>
      <c r="FE211" s="452" t="str">
        <f t="shared" si="302"/>
        <v/>
      </c>
      <c r="FF211" s="453" t="str">
        <f t="shared" si="302"/>
        <v/>
      </c>
      <c r="FG211" s="451" t="str">
        <f t="shared" si="302"/>
        <v/>
      </c>
      <c r="FH211" s="452" t="str">
        <f t="shared" si="302"/>
        <v/>
      </c>
      <c r="FI211" s="452" t="str">
        <f t="shared" si="302"/>
        <v/>
      </c>
      <c r="FJ211" s="452" t="str">
        <f t="shared" si="302"/>
        <v/>
      </c>
      <c r="FK211" s="453" t="str">
        <f t="shared" si="302"/>
        <v/>
      </c>
      <c r="FL211" s="451" t="str">
        <f t="shared" si="302"/>
        <v/>
      </c>
      <c r="FM211" s="452" t="str">
        <f t="shared" si="302"/>
        <v/>
      </c>
      <c r="FN211" s="452" t="str">
        <f t="shared" si="302"/>
        <v/>
      </c>
      <c r="FO211" s="452" t="str">
        <f t="shared" si="302"/>
        <v/>
      </c>
      <c r="FP211" s="453" t="str">
        <f t="shared" si="302"/>
        <v/>
      </c>
      <c r="FQ211" s="451" t="str">
        <f t="shared" si="303"/>
        <v/>
      </c>
      <c r="FR211" s="452" t="str">
        <f t="shared" si="303"/>
        <v/>
      </c>
      <c r="FS211" s="452" t="str">
        <f t="shared" si="303"/>
        <v/>
      </c>
      <c r="FT211" s="452" t="str">
        <f t="shared" si="303"/>
        <v/>
      </c>
      <c r="FU211" s="453" t="str">
        <f t="shared" si="303"/>
        <v/>
      </c>
      <c r="FV211" s="451" t="str">
        <f t="shared" si="303"/>
        <v/>
      </c>
      <c r="FW211" s="452" t="str">
        <f t="shared" si="303"/>
        <v/>
      </c>
      <c r="FX211" s="452" t="str">
        <f t="shared" si="303"/>
        <v/>
      </c>
      <c r="FY211" s="452" t="str">
        <f t="shared" si="303"/>
        <v/>
      </c>
      <c r="FZ211" s="453" t="str">
        <f t="shared" si="303"/>
        <v/>
      </c>
      <c r="GA211" s="451" t="str">
        <f t="shared" si="303"/>
        <v/>
      </c>
      <c r="GB211" s="452" t="str">
        <f t="shared" si="303"/>
        <v/>
      </c>
      <c r="GC211" s="452" t="str">
        <f t="shared" si="303"/>
        <v/>
      </c>
      <c r="GD211" s="452" t="str">
        <f t="shared" si="303"/>
        <v/>
      </c>
      <c r="GE211" s="453" t="str">
        <f t="shared" si="303"/>
        <v/>
      </c>
      <c r="GF211" s="451" t="str">
        <f t="shared" si="303"/>
        <v/>
      </c>
      <c r="GG211" s="452" t="str">
        <f t="shared" si="299"/>
        <v/>
      </c>
      <c r="GH211" s="452" t="str">
        <f t="shared" si="299"/>
        <v/>
      </c>
      <c r="GI211" s="452" t="str">
        <f t="shared" si="299"/>
        <v/>
      </c>
      <c r="GJ211" s="453" t="str">
        <f t="shared" si="299"/>
        <v/>
      </c>
      <c r="GK211" s="451" t="str">
        <f t="shared" si="299"/>
        <v/>
      </c>
      <c r="GL211" s="452" t="str">
        <f t="shared" si="299"/>
        <v/>
      </c>
      <c r="GM211" s="452" t="str">
        <f t="shared" si="299"/>
        <v/>
      </c>
      <c r="GN211" s="452" t="str">
        <f t="shared" si="299"/>
        <v/>
      </c>
      <c r="GO211" s="453" t="str">
        <f t="shared" si="299"/>
        <v/>
      </c>
      <c r="GP211" s="451" t="str">
        <f t="shared" si="299"/>
        <v/>
      </c>
      <c r="GQ211" s="452" t="str">
        <f t="shared" si="299"/>
        <v/>
      </c>
      <c r="GR211" s="452" t="str">
        <f t="shared" si="299"/>
        <v/>
      </c>
      <c r="GS211" s="452" t="str">
        <f t="shared" si="299"/>
        <v/>
      </c>
      <c r="GT211" s="453" t="str">
        <f t="shared" si="299"/>
        <v/>
      </c>
      <c r="GU211" s="451" t="str">
        <f t="shared" si="299"/>
        <v/>
      </c>
      <c r="GV211" s="452" t="str">
        <f t="shared" ref="GV211" si="319">IF(AND(GV$2&gt;=$J211,GV$2&lt;=$K211),1,"")</f>
        <v/>
      </c>
      <c r="GW211" s="452" t="str">
        <f t="shared" si="300"/>
        <v/>
      </c>
      <c r="GX211" s="452" t="str">
        <f t="shared" si="300"/>
        <v/>
      </c>
      <c r="GY211" s="453" t="str">
        <f t="shared" si="300"/>
        <v/>
      </c>
      <c r="GZ211" s="451" t="str">
        <f t="shared" si="300"/>
        <v/>
      </c>
      <c r="HA211" s="452" t="str">
        <f t="shared" si="300"/>
        <v/>
      </c>
      <c r="HB211" s="452" t="str">
        <f t="shared" si="300"/>
        <v/>
      </c>
      <c r="HC211" s="452" t="str">
        <f t="shared" si="300"/>
        <v/>
      </c>
      <c r="HD211" s="453" t="str">
        <f t="shared" si="300"/>
        <v/>
      </c>
      <c r="HE211" s="451" t="str">
        <f t="shared" si="300"/>
        <v/>
      </c>
      <c r="HF211" s="452" t="str">
        <f t="shared" si="300"/>
        <v/>
      </c>
      <c r="HG211" s="452" t="str">
        <f t="shared" si="300"/>
        <v/>
      </c>
      <c r="HH211" s="452" t="str">
        <f t="shared" si="300"/>
        <v/>
      </c>
      <c r="HI211" s="453" t="str">
        <f t="shared" si="300"/>
        <v/>
      </c>
      <c r="HJ211" s="451" t="str">
        <f t="shared" si="300"/>
        <v/>
      </c>
      <c r="HK211" s="452" t="str">
        <f t="shared" si="300"/>
        <v/>
      </c>
      <c r="HL211" s="452" t="str">
        <f t="shared" si="300"/>
        <v/>
      </c>
      <c r="HM211" s="452" t="str">
        <f t="shared" si="304"/>
        <v/>
      </c>
      <c r="HN211" s="453" t="str">
        <f t="shared" si="304"/>
        <v/>
      </c>
      <c r="HO211" s="451" t="str">
        <f t="shared" si="304"/>
        <v/>
      </c>
      <c r="HP211" s="452" t="str">
        <f t="shared" si="304"/>
        <v/>
      </c>
      <c r="HQ211" s="452" t="str">
        <f t="shared" si="304"/>
        <v/>
      </c>
      <c r="HR211" s="452" t="str">
        <f t="shared" si="304"/>
        <v/>
      </c>
      <c r="HS211" s="453" t="str">
        <f t="shared" si="304"/>
        <v/>
      </c>
      <c r="HT211" s="451" t="str">
        <f t="shared" si="304"/>
        <v/>
      </c>
      <c r="HU211" s="452" t="str">
        <f t="shared" si="304"/>
        <v/>
      </c>
      <c r="HV211" s="452" t="str">
        <f t="shared" si="304"/>
        <v/>
      </c>
      <c r="HW211" s="452" t="str">
        <f t="shared" si="304"/>
        <v/>
      </c>
      <c r="HX211" s="453" t="str">
        <f t="shared" si="304"/>
        <v/>
      </c>
      <c r="HY211" s="451" t="str">
        <f t="shared" si="304"/>
        <v/>
      </c>
      <c r="HZ211" s="452" t="str">
        <f t="shared" si="304"/>
        <v/>
      </c>
      <c r="IA211" s="452" t="str">
        <f t="shared" si="304"/>
        <v/>
      </c>
      <c r="IB211" s="452" t="str">
        <f t="shared" si="304"/>
        <v/>
      </c>
      <c r="IC211" s="453" t="str">
        <f t="shared" si="305"/>
        <v/>
      </c>
      <c r="ID211" s="451" t="str">
        <f t="shared" si="305"/>
        <v/>
      </c>
      <c r="IE211" s="452" t="str">
        <f t="shared" si="305"/>
        <v/>
      </c>
      <c r="IF211" s="452" t="str">
        <f t="shared" si="305"/>
        <v/>
      </c>
      <c r="IG211" s="452" t="str">
        <f t="shared" si="305"/>
        <v/>
      </c>
      <c r="IH211" s="453" t="str">
        <f t="shared" si="305"/>
        <v/>
      </c>
      <c r="II211" s="451" t="str">
        <f t="shared" si="305"/>
        <v/>
      </c>
      <c r="IJ211" s="452" t="str">
        <f t="shared" si="305"/>
        <v/>
      </c>
      <c r="IK211" s="452" t="str">
        <f t="shared" si="305"/>
        <v/>
      </c>
      <c r="IL211" s="452" t="str">
        <f t="shared" si="305"/>
        <v/>
      </c>
      <c r="IM211" s="453" t="str">
        <f t="shared" si="305"/>
        <v/>
      </c>
      <c r="IN211" s="451" t="str">
        <f t="shared" si="305"/>
        <v/>
      </c>
      <c r="IO211" s="452" t="str">
        <f t="shared" si="305"/>
        <v/>
      </c>
      <c r="IP211" s="452" t="str">
        <f t="shared" si="305"/>
        <v/>
      </c>
      <c r="IQ211" s="452" t="str">
        <f t="shared" si="305"/>
        <v/>
      </c>
      <c r="IR211" s="453" t="str">
        <f t="shared" si="305"/>
        <v/>
      </c>
    </row>
    <row r="212" spans="1:252" x14ac:dyDescent="0.2">
      <c r="A212" s="462">
        <v>19.100000000000001</v>
      </c>
      <c r="B212" s="463"/>
      <c r="C212" s="464" t="s">
        <v>1360</v>
      </c>
      <c r="D212" s="464"/>
      <c r="E212" s="465"/>
      <c r="F212" s="465"/>
      <c r="G212" s="465"/>
      <c r="H212" s="465"/>
      <c r="I212" s="466"/>
      <c r="J212" s="467" t="str">
        <f t="shared" si="307"/>
        <v/>
      </c>
      <c r="K212" s="467" t="str">
        <f t="shared" si="308"/>
        <v/>
      </c>
      <c r="L212" s="468">
        <f t="shared" si="306"/>
        <v>0</v>
      </c>
      <c r="M212" s="469" t="str">
        <f t="shared" si="310"/>
        <v/>
      </c>
      <c r="N212" s="470" t="str">
        <f t="shared" si="310"/>
        <v/>
      </c>
      <c r="O212" s="470" t="str">
        <f t="shared" si="310"/>
        <v/>
      </c>
      <c r="P212" s="470" t="str">
        <f t="shared" si="310"/>
        <v/>
      </c>
      <c r="Q212" s="471" t="str">
        <f t="shared" si="310"/>
        <v/>
      </c>
      <c r="R212" s="469" t="str">
        <f t="shared" si="310"/>
        <v/>
      </c>
      <c r="S212" s="470" t="str">
        <f t="shared" si="310"/>
        <v/>
      </c>
      <c r="T212" s="470" t="str">
        <f t="shared" si="310"/>
        <v/>
      </c>
      <c r="U212" s="470" t="str">
        <f t="shared" si="310"/>
        <v/>
      </c>
      <c r="V212" s="471" t="str">
        <f t="shared" si="310"/>
        <v/>
      </c>
      <c r="W212" s="469" t="str">
        <f t="shared" si="310"/>
        <v/>
      </c>
      <c r="X212" s="470" t="str">
        <f t="shared" si="310"/>
        <v/>
      </c>
      <c r="Y212" s="470" t="str">
        <f t="shared" si="310"/>
        <v/>
      </c>
      <c r="Z212" s="470" t="str">
        <f t="shared" si="310"/>
        <v/>
      </c>
      <c r="AA212" s="471" t="str">
        <f t="shared" si="310"/>
        <v/>
      </c>
      <c r="AB212" s="469" t="str">
        <f t="shared" si="310"/>
        <v/>
      </c>
      <c r="AC212" s="470" t="str">
        <f t="shared" si="318"/>
        <v/>
      </c>
      <c r="AD212" s="470" t="str">
        <f t="shared" si="318"/>
        <v/>
      </c>
      <c r="AE212" s="470" t="str">
        <f t="shared" si="318"/>
        <v/>
      </c>
      <c r="AF212" s="471" t="str">
        <f t="shared" si="318"/>
        <v/>
      </c>
      <c r="AG212" s="469" t="str">
        <f t="shared" si="318"/>
        <v/>
      </c>
      <c r="AH212" s="470" t="str">
        <f t="shared" si="318"/>
        <v/>
      </c>
      <c r="AI212" s="470" t="str">
        <f t="shared" si="318"/>
        <v/>
      </c>
      <c r="AJ212" s="470" t="str">
        <f t="shared" si="318"/>
        <v/>
      </c>
      <c r="AK212" s="471" t="str">
        <f t="shared" si="318"/>
        <v/>
      </c>
      <c r="AL212" s="469" t="str">
        <f t="shared" si="318"/>
        <v/>
      </c>
      <c r="AM212" s="470" t="str">
        <f t="shared" si="318"/>
        <v/>
      </c>
      <c r="AN212" s="470" t="str">
        <f t="shared" si="318"/>
        <v/>
      </c>
      <c r="AO212" s="470" t="str">
        <f t="shared" si="318"/>
        <v/>
      </c>
      <c r="AP212" s="471" t="str">
        <f t="shared" si="318"/>
        <v/>
      </c>
      <c r="AQ212" s="469" t="str">
        <f t="shared" si="318"/>
        <v/>
      </c>
      <c r="AR212" s="470" t="str">
        <f t="shared" si="318"/>
        <v/>
      </c>
      <c r="AS212" s="470" t="str">
        <f t="shared" si="313"/>
        <v/>
      </c>
      <c r="AT212" s="470" t="str">
        <f t="shared" si="313"/>
        <v/>
      </c>
      <c r="AU212" s="471" t="str">
        <f t="shared" si="313"/>
        <v/>
      </c>
      <c r="AV212" s="469" t="str">
        <f t="shared" si="313"/>
        <v/>
      </c>
      <c r="AW212" s="470" t="str">
        <f t="shared" si="313"/>
        <v/>
      </c>
      <c r="AX212" s="470" t="str">
        <f t="shared" si="313"/>
        <v/>
      </c>
      <c r="AY212" s="470" t="str">
        <f t="shared" si="313"/>
        <v/>
      </c>
      <c r="AZ212" s="471" t="str">
        <f t="shared" si="313"/>
        <v/>
      </c>
      <c r="BA212" s="469" t="str">
        <f t="shared" si="313"/>
        <v/>
      </c>
      <c r="BB212" s="470" t="str">
        <f t="shared" si="313"/>
        <v/>
      </c>
      <c r="BC212" s="470" t="str">
        <f t="shared" si="313"/>
        <v/>
      </c>
      <c r="BD212" s="470" t="str">
        <f t="shared" si="313"/>
        <v/>
      </c>
      <c r="BE212" s="471" t="str">
        <f t="shared" si="313"/>
        <v/>
      </c>
      <c r="BF212" s="469" t="str">
        <f t="shared" si="313"/>
        <v/>
      </c>
      <c r="BG212" s="470" t="str">
        <f t="shared" si="313"/>
        <v/>
      </c>
      <c r="BH212" s="470" t="str">
        <f t="shared" si="311"/>
        <v/>
      </c>
      <c r="BI212" s="470" t="str">
        <f t="shared" si="311"/>
        <v/>
      </c>
      <c r="BJ212" s="471" t="str">
        <f t="shared" si="311"/>
        <v/>
      </c>
      <c r="BK212" s="469" t="str">
        <f t="shared" si="311"/>
        <v/>
      </c>
      <c r="BL212" s="470" t="str">
        <f t="shared" si="311"/>
        <v/>
      </c>
      <c r="BM212" s="470" t="str">
        <f t="shared" si="311"/>
        <v/>
      </c>
      <c r="BN212" s="470" t="str">
        <f t="shared" si="311"/>
        <v/>
      </c>
      <c r="BO212" s="471" t="str">
        <f t="shared" si="311"/>
        <v/>
      </c>
      <c r="BP212" s="469" t="str">
        <f t="shared" si="311"/>
        <v/>
      </c>
      <c r="BQ212" s="470" t="str">
        <f t="shared" si="311"/>
        <v/>
      </c>
      <c r="BR212" s="470" t="str">
        <f t="shared" si="311"/>
        <v/>
      </c>
      <c r="BS212" s="470" t="str">
        <f t="shared" si="311"/>
        <v/>
      </c>
      <c r="BT212" s="471" t="str">
        <f t="shared" si="311"/>
        <v/>
      </c>
      <c r="BU212" s="469" t="str">
        <f t="shared" si="311"/>
        <v/>
      </c>
      <c r="BV212" s="470" t="str">
        <f t="shared" si="311"/>
        <v/>
      </c>
      <c r="BW212" s="470" t="str">
        <f t="shared" si="311"/>
        <v/>
      </c>
      <c r="BX212" s="470" t="str">
        <f t="shared" si="314"/>
        <v/>
      </c>
      <c r="BY212" s="471" t="str">
        <f t="shared" si="314"/>
        <v/>
      </c>
      <c r="BZ212" s="469" t="str">
        <f t="shared" si="314"/>
        <v/>
      </c>
      <c r="CA212" s="470" t="str">
        <f t="shared" si="314"/>
        <v/>
      </c>
      <c r="CB212" s="470" t="str">
        <f t="shared" si="314"/>
        <v/>
      </c>
      <c r="CC212" s="470" t="str">
        <f t="shared" si="314"/>
        <v/>
      </c>
      <c r="CD212" s="471" t="str">
        <f t="shared" si="314"/>
        <v/>
      </c>
      <c r="CE212" s="469" t="str">
        <f t="shared" si="314"/>
        <v/>
      </c>
      <c r="CF212" s="470" t="str">
        <f t="shared" si="314"/>
        <v/>
      </c>
      <c r="CG212" s="470" t="str">
        <f t="shared" si="314"/>
        <v/>
      </c>
      <c r="CH212" s="470" t="str">
        <f t="shared" si="314"/>
        <v/>
      </c>
      <c r="CI212" s="471" t="str">
        <f t="shared" si="314"/>
        <v/>
      </c>
      <c r="CJ212" s="469" t="str">
        <f t="shared" si="314"/>
        <v/>
      </c>
      <c r="CK212" s="470" t="str">
        <f t="shared" si="314"/>
        <v/>
      </c>
      <c r="CL212" s="470" t="str">
        <f t="shared" si="314"/>
        <v/>
      </c>
      <c r="CM212" s="470" t="str">
        <f t="shared" si="314"/>
        <v/>
      </c>
      <c r="CN212" s="471" t="str">
        <f t="shared" si="315"/>
        <v/>
      </c>
      <c r="CO212" s="469" t="str">
        <f t="shared" si="315"/>
        <v/>
      </c>
      <c r="CP212" s="470" t="str">
        <f t="shared" si="315"/>
        <v/>
      </c>
      <c r="CQ212" s="470" t="str">
        <f t="shared" si="315"/>
        <v/>
      </c>
      <c r="CR212" s="470" t="str">
        <f t="shared" si="315"/>
        <v/>
      </c>
      <c r="CS212" s="471" t="str">
        <f t="shared" si="315"/>
        <v/>
      </c>
      <c r="CT212" s="469" t="str">
        <f t="shared" si="315"/>
        <v/>
      </c>
      <c r="CU212" s="470" t="str">
        <f t="shared" si="315"/>
        <v/>
      </c>
      <c r="CV212" s="470" t="str">
        <f t="shared" si="315"/>
        <v/>
      </c>
      <c r="CW212" s="470" t="str">
        <f t="shared" si="315"/>
        <v/>
      </c>
      <c r="CX212" s="471" t="str">
        <f t="shared" si="315"/>
        <v/>
      </c>
      <c r="CY212" s="469" t="str">
        <f t="shared" si="315"/>
        <v/>
      </c>
      <c r="CZ212" s="470" t="str">
        <f t="shared" si="315"/>
        <v/>
      </c>
      <c r="DA212" s="470" t="str">
        <f t="shared" si="315"/>
        <v/>
      </c>
      <c r="DB212" s="470" t="str">
        <f t="shared" si="315"/>
        <v/>
      </c>
      <c r="DC212" s="471" t="str">
        <f t="shared" si="315"/>
        <v/>
      </c>
      <c r="DD212" s="469" t="str">
        <f t="shared" si="312"/>
        <v/>
      </c>
      <c r="DE212" s="470" t="str">
        <f t="shared" si="312"/>
        <v/>
      </c>
      <c r="DF212" s="470" t="str">
        <f t="shared" si="312"/>
        <v/>
      </c>
      <c r="DG212" s="470" t="str">
        <f t="shared" si="312"/>
        <v/>
      </c>
      <c r="DH212" s="471" t="str">
        <f t="shared" si="312"/>
        <v/>
      </c>
      <c r="DI212" s="469" t="str">
        <f t="shared" si="312"/>
        <v/>
      </c>
      <c r="DJ212" s="470" t="str">
        <f t="shared" si="312"/>
        <v/>
      </c>
      <c r="DK212" s="470" t="str">
        <f t="shared" si="312"/>
        <v/>
      </c>
      <c r="DL212" s="470" t="str">
        <f t="shared" si="312"/>
        <v/>
      </c>
      <c r="DM212" s="471" t="str">
        <f t="shared" si="312"/>
        <v/>
      </c>
      <c r="DN212" s="469" t="str">
        <f t="shared" si="312"/>
        <v/>
      </c>
      <c r="DO212" s="470" t="str">
        <f t="shared" si="312"/>
        <v/>
      </c>
      <c r="DP212" s="470" t="str">
        <f t="shared" si="312"/>
        <v/>
      </c>
      <c r="DQ212" s="470" t="str">
        <f t="shared" si="312"/>
        <v/>
      </c>
      <c r="DR212" s="471" t="str">
        <f t="shared" si="312"/>
        <v/>
      </c>
      <c r="DS212" s="469" t="str">
        <f t="shared" si="312"/>
        <v/>
      </c>
      <c r="DT212" s="470" t="str">
        <f t="shared" si="316"/>
        <v/>
      </c>
      <c r="DU212" s="470" t="str">
        <f t="shared" si="316"/>
        <v/>
      </c>
      <c r="DV212" s="470" t="str">
        <f t="shared" si="316"/>
        <v/>
      </c>
      <c r="DW212" s="471" t="str">
        <f t="shared" si="316"/>
        <v/>
      </c>
      <c r="DX212" s="469" t="str">
        <f t="shared" si="316"/>
        <v/>
      </c>
      <c r="DY212" s="470" t="str">
        <f t="shared" si="316"/>
        <v/>
      </c>
      <c r="DZ212" s="470" t="str">
        <f t="shared" si="316"/>
        <v/>
      </c>
      <c r="EA212" s="470" t="str">
        <f t="shared" si="316"/>
        <v/>
      </c>
      <c r="EB212" s="471" t="str">
        <f t="shared" si="316"/>
        <v/>
      </c>
      <c r="EC212" s="469" t="str">
        <f t="shared" si="316"/>
        <v/>
      </c>
      <c r="ED212" s="470" t="str">
        <f t="shared" si="316"/>
        <v/>
      </c>
      <c r="EE212" s="470" t="str">
        <f t="shared" si="316"/>
        <v/>
      </c>
      <c r="EF212" s="470" t="str">
        <f t="shared" si="316"/>
        <v/>
      </c>
      <c r="EG212" s="471" t="str">
        <f t="shared" si="316"/>
        <v/>
      </c>
      <c r="EH212" s="469" t="str">
        <f t="shared" si="316"/>
        <v/>
      </c>
      <c r="EI212" s="470" t="str">
        <f t="shared" si="316"/>
        <v/>
      </c>
      <c r="EJ212" s="470" t="str">
        <f t="shared" si="317"/>
        <v/>
      </c>
      <c r="EK212" s="470" t="str">
        <f t="shared" si="301"/>
        <v/>
      </c>
      <c r="EL212" s="471" t="str">
        <f t="shared" si="301"/>
        <v/>
      </c>
      <c r="EM212" s="469" t="str">
        <f t="shared" si="301"/>
        <v/>
      </c>
      <c r="EN212" s="470" t="str">
        <f t="shared" si="301"/>
        <v/>
      </c>
      <c r="EO212" s="470" t="str">
        <f t="shared" si="301"/>
        <v/>
      </c>
      <c r="EP212" s="470" t="str">
        <f t="shared" si="301"/>
        <v/>
      </c>
      <c r="EQ212" s="471" t="str">
        <f t="shared" si="301"/>
        <v/>
      </c>
      <c r="ER212" s="469" t="str">
        <f t="shared" si="301"/>
        <v/>
      </c>
      <c r="ES212" s="470" t="str">
        <f t="shared" si="301"/>
        <v/>
      </c>
      <c r="ET212" s="470" t="str">
        <f t="shared" si="301"/>
        <v/>
      </c>
      <c r="EU212" s="470" t="str">
        <f t="shared" si="301"/>
        <v/>
      </c>
      <c r="EV212" s="471" t="str">
        <f t="shared" si="301"/>
        <v/>
      </c>
      <c r="EW212" s="469" t="str">
        <f t="shared" si="301"/>
        <v/>
      </c>
      <c r="EX212" s="470" t="str">
        <f t="shared" si="301"/>
        <v/>
      </c>
      <c r="EY212" s="470" t="str">
        <f t="shared" si="301"/>
        <v/>
      </c>
      <c r="EZ212" s="470" t="str">
        <f t="shared" ref="EZ212" si="320">IF(AND(EZ$2&gt;=$J212,EZ$2&lt;=$K212),1,"")</f>
        <v/>
      </c>
      <c r="FA212" s="471" t="str">
        <f t="shared" si="302"/>
        <v/>
      </c>
      <c r="FB212" s="469" t="str">
        <f t="shared" si="302"/>
        <v/>
      </c>
      <c r="FC212" s="470" t="str">
        <f t="shared" si="302"/>
        <v/>
      </c>
      <c r="FD212" s="470" t="str">
        <f t="shared" si="302"/>
        <v/>
      </c>
      <c r="FE212" s="470" t="str">
        <f t="shared" si="302"/>
        <v/>
      </c>
      <c r="FF212" s="471" t="str">
        <f t="shared" si="302"/>
        <v/>
      </c>
      <c r="FG212" s="469" t="str">
        <f t="shared" si="302"/>
        <v/>
      </c>
      <c r="FH212" s="470" t="str">
        <f t="shared" si="302"/>
        <v/>
      </c>
      <c r="FI212" s="470" t="str">
        <f t="shared" si="302"/>
        <v/>
      </c>
      <c r="FJ212" s="470" t="str">
        <f t="shared" si="302"/>
        <v/>
      </c>
      <c r="FK212" s="471" t="str">
        <f t="shared" si="302"/>
        <v/>
      </c>
      <c r="FL212" s="469" t="str">
        <f t="shared" si="302"/>
        <v/>
      </c>
      <c r="FM212" s="470" t="str">
        <f t="shared" si="302"/>
        <v/>
      </c>
      <c r="FN212" s="470" t="str">
        <f t="shared" si="302"/>
        <v/>
      </c>
      <c r="FO212" s="470" t="str">
        <f t="shared" si="302"/>
        <v/>
      </c>
      <c r="FP212" s="471" t="str">
        <f t="shared" ref="FP212" si="321">IF(AND(FP$2&gt;=$J212,FP$2&lt;=$K212),1,"")</f>
        <v/>
      </c>
      <c r="FQ212" s="469" t="str">
        <f t="shared" si="303"/>
        <v/>
      </c>
      <c r="FR212" s="470" t="str">
        <f t="shared" si="303"/>
        <v/>
      </c>
      <c r="FS212" s="470" t="str">
        <f t="shared" si="303"/>
        <v/>
      </c>
      <c r="FT212" s="470" t="str">
        <f t="shared" si="303"/>
        <v/>
      </c>
      <c r="FU212" s="471" t="str">
        <f t="shared" si="303"/>
        <v/>
      </c>
      <c r="FV212" s="469" t="str">
        <f t="shared" si="303"/>
        <v/>
      </c>
      <c r="FW212" s="470" t="str">
        <f t="shared" si="303"/>
        <v/>
      </c>
      <c r="FX212" s="470" t="str">
        <f t="shared" si="303"/>
        <v/>
      </c>
      <c r="FY212" s="470" t="str">
        <f t="shared" si="303"/>
        <v/>
      </c>
      <c r="FZ212" s="471" t="str">
        <f t="shared" si="303"/>
        <v/>
      </c>
      <c r="GA212" s="469" t="str">
        <f t="shared" si="303"/>
        <v/>
      </c>
      <c r="GB212" s="470" t="str">
        <f t="shared" si="303"/>
        <v/>
      </c>
      <c r="GC212" s="470" t="str">
        <f t="shared" si="303"/>
        <v/>
      </c>
      <c r="GD212" s="470" t="str">
        <f t="shared" si="303"/>
        <v/>
      </c>
      <c r="GE212" s="471" t="str">
        <f t="shared" si="303"/>
        <v/>
      </c>
      <c r="GF212" s="469" t="str">
        <f t="shared" ref="GF212:HL212" si="322">IF(AND(GF$2&gt;=$J212,GF$2&lt;=$K212),1,"")</f>
        <v/>
      </c>
      <c r="GG212" s="470" t="str">
        <f t="shared" si="322"/>
        <v/>
      </c>
      <c r="GH212" s="470" t="str">
        <f t="shared" si="322"/>
        <v/>
      </c>
      <c r="GI212" s="470" t="str">
        <f t="shared" si="322"/>
        <v/>
      </c>
      <c r="GJ212" s="471" t="str">
        <f t="shared" si="322"/>
        <v/>
      </c>
      <c r="GK212" s="469" t="str">
        <f t="shared" si="322"/>
        <v/>
      </c>
      <c r="GL212" s="470" t="str">
        <f t="shared" si="322"/>
        <v/>
      </c>
      <c r="GM212" s="470" t="str">
        <f t="shared" si="322"/>
        <v/>
      </c>
      <c r="GN212" s="470" t="str">
        <f t="shared" si="322"/>
        <v/>
      </c>
      <c r="GO212" s="471" t="str">
        <f t="shared" si="322"/>
        <v/>
      </c>
      <c r="GP212" s="469" t="str">
        <f t="shared" si="322"/>
        <v/>
      </c>
      <c r="GQ212" s="470" t="str">
        <f t="shared" si="322"/>
        <v/>
      </c>
      <c r="GR212" s="470" t="str">
        <f t="shared" si="322"/>
        <v/>
      </c>
      <c r="GS212" s="470" t="str">
        <f t="shared" si="322"/>
        <v/>
      </c>
      <c r="GT212" s="471" t="str">
        <f t="shared" si="322"/>
        <v/>
      </c>
      <c r="GU212" s="469" t="str">
        <f t="shared" si="322"/>
        <v/>
      </c>
      <c r="GV212" s="470" t="str">
        <f t="shared" si="322"/>
        <v/>
      </c>
      <c r="GW212" s="470" t="str">
        <f t="shared" si="322"/>
        <v/>
      </c>
      <c r="GX212" s="470" t="str">
        <f t="shared" si="322"/>
        <v/>
      </c>
      <c r="GY212" s="471" t="str">
        <f t="shared" si="322"/>
        <v/>
      </c>
      <c r="GZ212" s="469" t="str">
        <f t="shared" si="322"/>
        <v/>
      </c>
      <c r="HA212" s="470" t="str">
        <f t="shared" si="322"/>
        <v/>
      </c>
      <c r="HB212" s="470" t="str">
        <f t="shared" si="322"/>
        <v/>
      </c>
      <c r="HC212" s="470" t="str">
        <f t="shared" si="322"/>
        <v/>
      </c>
      <c r="HD212" s="471" t="str">
        <f t="shared" si="322"/>
        <v/>
      </c>
      <c r="HE212" s="469" t="str">
        <f t="shared" si="322"/>
        <v/>
      </c>
      <c r="HF212" s="470" t="str">
        <f t="shared" si="322"/>
        <v/>
      </c>
      <c r="HG212" s="470" t="str">
        <f t="shared" si="322"/>
        <v/>
      </c>
      <c r="HH212" s="470" t="str">
        <f t="shared" si="322"/>
        <v/>
      </c>
      <c r="HI212" s="471" t="str">
        <f t="shared" si="322"/>
        <v/>
      </c>
      <c r="HJ212" s="469" t="str">
        <f t="shared" si="322"/>
        <v/>
      </c>
      <c r="HK212" s="470" t="str">
        <f t="shared" si="322"/>
        <v/>
      </c>
      <c r="HL212" s="470" t="str">
        <f t="shared" si="322"/>
        <v/>
      </c>
      <c r="HM212" s="470" t="str">
        <f t="shared" si="304"/>
        <v/>
      </c>
      <c r="HN212" s="471" t="str">
        <f t="shared" si="304"/>
        <v/>
      </c>
      <c r="HO212" s="469" t="str">
        <f t="shared" si="304"/>
        <v/>
      </c>
      <c r="HP212" s="470" t="str">
        <f t="shared" si="304"/>
        <v/>
      </c>
      <c r="HQ212" s="470" t="str">
        <f t="shared" si="304"/>
        <v/>
      </c>
      <c r="HR212" s="470" t="str">
        <f t="shared" si="304"/>
        <v/>
      </c>
      <c r="HS212" s="471" t="str">
        <f t="shared" si="304"/>
        <v/>
      </c>
      <c r="HT212" s="469" t="str">
        <f t="shared" si="304"/>
        <v/>
      </c>
      <c r="HU212" s="470" t="str">
        <f t="shared" si="304"/>
        <v/>
      </c>
      <c r="HV212" s="470" t="str">
        <f t="shared" si="304"/>
        <v/>
      </c>
      <c r="HW212" s="470" t="str">
        <f t="shared" si="304"/>
        <v/>
      </c>
      <c r="HX212" s="471" t="str">
        <f t="shared" si="304"/>
        <v/>
      </c>
      <c r="HY212" s="469" t="str">
        <f t="shared" si="304"/>
        <v/>
      </c>
      <c r="HZ212" s="470" t="str">
        <f t="shared" si="304"/>
        <v/>
      </c>
      <c r="IA212" s="470" t="str">
        <f t="shared" si="304"/>
        <v/>
      </c>
      <c r="IB212" s="470" t="str">
        <f t="shared" ref="IB212" si="323">IF(AND(IB$2&gt;=$J212,IB$2&lt;=$K212),1,"")</f>
        <v/>
      </c>
      <c r="IC212" s="471" t="str">
        <f t="shared" si="305"/>
        <v/>
      </c>
      <c r="ID212" s="469" t="str">
        <f t="shared" si="305"/>
        <v/>
      </c>
      <c r="IE212" s="470" t="str">
        <f t="shared" si="305"/>
        <v/>
      </c>
      <c r="IF212" s="470" t="str">
        <f t="shared" si="305"/>
        <v/>
      </c>
      <c r="IG212" s="470" t="str">
        <f t="shared" si="305"/>
        <v/>
      </c>
      <c r="IH212" s="471" t="str">
        <f t="shared" si="305"/>
        <v/>
      </c>
      <c r="II212" s="469" t="str">
        <f t="shared" si="305"/>
        <v/>
      </c>
      <c r="IJ212" s="470" t="str">
        <f t="shared" si="305"/>
        <v/>
      </c>
      <c r="IK212" s="470" t="str">
        <f t="shared" si="305"/>
        <v/>
      </c>
      <c r="IL212" s="470" t="str">
        <f t="shared" si="305"/>
        <v/>
      </c>
      <c r="IM212" s="471" t="str">
        <f t="shared" si="305"/>
        <v/>
      </c>
      <c r="IN212" s="469" t="str">
        <f t="shared" si="305"/>
        <v/>
      </c>
      <c r="IO212" s="470" t="str">
        <f t="shared" si="305"/>
        <v/>
      </c>
      <c r="IP212" s="470" t="str">
        <f t="shared" si="305"/>
        <v/>
      </c>
      <c r="IQ212" s="470" t="str">
        <f t="shared" si="305"/>
        <v/>
      </c>
      <c r="IR212" s="471" t="str">
        <f t="shared" si="305"/>
        <v/>
      </c>
    </row>
    <row r="213" spans="1:252" x14ac:dyDescent="0.2">
      <c r="A213" s="472"/>
      <c r="E213" s="473"/>
      <c r="F213" s="473"/>
      <c r="G213" s="473"/>
      <c r="H213" s="473"/>
      <c r="I213" s="473"/>
    </row>
    <row r="214" spans="1:252" x14ac:dyDescent="0.2">
      <c r="A214" s="472"/>
      <c r="E214" s="473"/>
      <c r="F214" s="473"/>
      <c r="G214" s="473"/>
      <c r="H214" s="473"/>
      <c r="I214" s="473"/>
    </row>
    <row r="215" spans="1:252" x14ac:dyDescent="0.2">
      <c r="A215" s="472"/>
      <c r="E215" s="473"/>
      <c r="F215" s="473"/>
      <c r="G215" s="473"/>
      <c r="H215" s="473"/>
      <c r="I215" s="473"/>
    </row>
    <row r="216" spans="1:252" x14ac:dyDescent="0.2">
      <c r="A216" s="472"/>
      <c r="E216" s="473"/>
      <c r="F216" s="473"/>
      <c r="G216" s="473"/>
      <c r="H216" s="473"/>
      <c r="I216" s="473"/>
    </row>
    <row r="217" spans="1:252" x14ac:dyDescent="0.2">
      <c r="A217" s="472"/>
      <c r="E217" s="473"/>
      <c r="F217" s="473"/>
      <c r="G217" s="473"/>
      <c r="H217" s="473"/>
      <c r="I217" s="473"/>
    </row>
    <row r="218" spans="1:252" x14ac:dyDescent="0.2">
      <c r="A218" s="472"/>
      <c r="E218" s="473"/>
      <c r="F218" s="473"/>
      <c r="G218" s="473"/>
      <c r="H218" s="473"/>
      <c r="I218" s="473"/>
    </row>
    <row r="219" spans="1:252" x14ac:dyDescent="0.2">
      <c r="A219" s="472"/>
      <c r="E219" s="473"/>
      <c r="F219" s="473"/>
      <c r="G219" s="473"/>
      <c r="H219" s="473"/>
      <c r="I219" s="473"/>
    </row>
    <row r="220" spans="1:252" x14ac:dyDescent="0.2">
      <c r="A220" s="472"/>
      <c r="E220" s="473"/>
      <c r="F220" s="473"/>
      <c r="G220" s="473"/>
      <c r="H220" s="473"/>
      <c r="I220" s="473"/>
    </row>
    <row r="221" spans="1:252" x14ac:dyDescent="0.2">
      <c r="A221" s="472"/>
      <c r="E221" s="473"/>
      <c r="F221" s="473"/>
      <c r="G221" s="473"/>
      <c r="H221" s="473"/>
      <c r="I221" s="473"/>
    </row>
    <row r="222" spans="1:252" x14ac:dyDescent="0.2">
      <c r="A222" s="472"/>
      <c r="E222" s="473"/>
      <c r="F222" s="473"/>
      <c r="G222" s="473"/>
      <c r="H222" s="473"/>
      <c r="I222" s="473"/>
    </row>
    <row r="223" spans="1:252" x14ac:dyDescent="0.2">
      <c r="A223" s="472"/>
      <c r="E223" s="473"/>
      <c r="F223" s="473"/>
      <c r="G223" s="473"/>
      <c r="H223" s="473"/>
      <c r="I223" s="473"/>
    </row>
    <row r="224" spans="1:252" x14ac:dyDescent="0.2">
      <c r="A224" s="472"/>
      <c r="E224" s="473"/>
      <c r="F224" s="473"/>
      <c r="G224" s="473"/>
      <c r="H224" s="473"/>
      <c r="I224" s="473"/>
    </row>
    <row r="225" spans="1:9" x14ac:dyDescent="0.2">
      <c r="A225" s="472"/>
      <c r="E225" s="473"/>
      <c r="F225" s="473"/>
      <c r="G225" s="473"/>
      <c r="H225" s="473"/>
      <c r="I225" s="473"/>
    </row>
    <row r="226" spans="1:9" x14ac:dyDescent="0.2">
      <c r="A226" s="472"/>
      <c r="E226" s="473"/>
      <c r="F226" s="473"/>
      <c r="G226" s="473"/>
      <c r="H226" s="473"/>
      <c r="I226" s="473"/>
    </row>
    <row r="227" spans="1:9" x14ac:dyDescent="0.2">
      <c r="A227" s="472"/>
      <c r="E227" s="473"/>
      <c r="F227" s="473"/>
      <c r="G227" s="473"/>
      <c r="H227" s="473"/>
      <c r="I227" s="473"/>
    </row>
    <row r="228" spans="1:9" x14ac:dyDescent="0.2">
      <c r="A228" s="472"/>
      <c r="E228" s="473"/>
      <c r="F228" s="473"/>
      <c r="G228" s="473"/>
      <c r="H228" s="473"/>
      <c r="I228" s="473"/>
    </row>
    <row r="229" spans="1:9" x14ac:dyDescent="0.2">
      <c r="A229" s="472"/>
      <c r="E229" s="473"/>
      <c r="F229" s="473"/>
      <c r="G229" s="473"/>
      <c r="H229" s="473"/>
      <c r="I229" s="473"/>
    </row>
    <row r="230" spans="1:9" x14ac:dyDescent="0.2">
      <c r="A230" s="472"/>
      <c r="E230" s="473"/>
      <c r="F230" s="473"/>
      <c r="G230" s="473"/>
      <c r="H230" s="473"/>
      <c r="I230" s="473"/>
    </row>
    <row r="231" spans="1:9" x14ac:dyDescent="0.2">
      <c r="A231" s="472"/>
      <c r="E231" s="473"/>
      <c r="F231" s="473"/>
      <c r="G231" s="473"/>
      <c r="H231" s="473"/>
      <c r="I231" s="473"/>
    </row>
    <row r="232" spans="1:9" x14ac:dyDescent="0.2">
      <c r="A232" s="472"/>
      <c r="E232" s="473"/>
      <c r="F232" s="473"/>
      <c r="G232" s="473"/>
      <c r="H232" s="473"/>
      <c r="I232" s="473"/>
    </row>
    <row r="233" spans="1:9" x14ac:dyDescent="0.2">
      <c r="A233" s="472"/>
      <c r="E233" s="473"/>
      <c r="F233" s="473"/>
      <c r="G233" s="473"/>
      <c r="H233" s="473"/>
      <c r="I233" s="473"/>
    </row>
    <row r="234" spans="1:9" x14ac:dyDescent="0.2">
      <c r="A234" s="472"/>
      <c r="E234" s="473"/>
      <c r="F234" s="473"/>
      <c r="G234" s="473"/>
      <c r="H234" s="473"/>
      <c r="I234" s="473"/>
    </row>
    <row r="235" spans="1:9" x14ac:dyDescent="0.2">
      <c r="A235" s="472"/>
      <c r="E235" s="473"/>
      <c r="F235" s="473"/>
      <c r="G235" s="473"/>
      <c r="H235" s="473"/>
      <c r="I235" s="473"/>
    </row>
    <row r="236" spans="1:9" x14ac:dyDescent="0.2">
      <c r="A236" s="472"/>
      <c r="E236" s="473"/>
      <c r="F236" s="473"/>
      <c r="G236" s="473"/>
      <c r="H236" s="473"/>
      <c r="I236" s="473"/>
    </row>
    <row r="237" spans="1:9" x14ac:dyDescent="0.2">
      <c r="A237" s="472"/>
      <c r="E237" s="473"/>
      <c r="F237" s="473"/>
      <c r="G237" s="473"/>
      <c r="H237" s="473"/>
      <c r="I237" s="473"/>
    </row>
    <row r="238" spans="1:9" x14ac:dyDescent="0.2">
      <c r="A238" s="472"/>
      <c r="E238" s="473"/>
      <c r="F238" s="473"/>
      <c r="G238" s="473"/>
      <c r="H238" s="473"/>
      <c r="I238" s="473"/>
    </row>
    <row r="239" spans="1:9" x14ac:dyDescent="0.2">
      <c r="A239" s="472"/>
      <c r="E239" s="473"/>
      <c r="F239" s="473"/>
      <c r="G239" s="473"/>
      <c r="H239" s="473"/>
      <c r="I239" s="473"/>
    </row>
    <row r="240" spans="1:9" x14ac:dyDescent="0.2">
      <c r="A240" s="472"/>
      <c r="E240" s="473"/>
      <c r="F240" s="473"/>
      <c r="G240" s="473"/>
      <c r="H240" s="473"/>
      <c r="I240" s="473"/>
    </row>
    <row r="241" spans="1:9" x14ac:dyDescent="0.2">
      <c r="A241" s="472"/>
      <c r="E241" s="473"/>
      <c r="F241" s="473"/>
      <c r="G241" s="473"/>
      <c r="H241" s="473"/>
      <c r="I241" s="473"/>
    </row>
    <row r="242" spans="1:9" x14ac:dyDescent="0.2">
      <c r="A242" s="472"/>
      <c r="E242" s="473"/>
      <c r="F242" s="473"/>
      <c r="G242" s="473"/>
      <c r="H242" s="473"/>
      <c r="I242" s="473"/>
    </row>
    <row r="243" spans="1:9" x14ac:dyDescent="0.2">
      <c r="A243" s="472"/>
      <c r="E243" s="473"/>
      <c r="F243" s="473"/>
      <c r="G243" s="473"/>
      <c r="H243" s="473"/>
      <c r="I243" s="473"/>
    </row>
    <row r="244" spans="1:9" x14ac:dyDescent="0.2">
      <c r="A244" s="472"/>
      <c r="E244" s="473"/>
      <c r="F244" s="473"/>
      <c r="G244" s="473"/>
      <c r="H244" s="473"/>
      <c r="I244" s="473"/>
    </row>
    <row r="245" spans="1:9" x14ac:dyDescent="0.2">
      <c r="A245" s="472"/>
      <c r="E245" s="473"/>
      <c r="F245" s="473"/>
      <c r="G245" s="473"/>
      <c r="H245" s="473"/>
      <c r="I245" s="473"/>
    </row>
    <row r="246" spans="1:9" x14ac:dyDescent="0.2">
      <c r="A246" s="472"/>
      <c r="E246" s="473"/>
      <c r="F246" s="473"/>
      <c r="G246" s="473"/>
      <c r="H246" s="473"/>
      <c r="I246" s="473"/>
    </row>
    <row r="247" spans="1:9" x14ac:dyDescent="0.2">
      <c r="A247" s="472"/>
      <c r="E247" s="473"/>
      <c r="F247" s="473"/>
      <c r="G247" s="473"/>
      <c r="H247" s="473"/>
      <c r="I247" s="473"/>
    </row>
    <row r="248" spans="1:9" x14ac:dyDescent="0.2">
      <c r="A248" s="472"/>
      <c r="E248" s="473"/>
      <c r="F248" s="473"/>
      <c r="G248" s="473"/>
      <c r="H248" s="473"/>
      <c r="I248" s="473"/>
    </row>
    <row r="249" spans="1:9" x14ac:dyDescent="0.2">
      <c r="A249" s="472"/>
      <c r="E249" s="473"/>
      <c r="F249" s="473"/>
      <c r="G249" s="473"/>
      <c r="H249" s="473"/>
      <c r="I249" s="473"/>
    </row>
    <row r="250" spans="1:9" x14ac:dyDescent="0.2">
      <c r="A250" s="472"/>
      <c r="E250" s="473"/>
      <c r="F250" s="473"/>
      <c r="G250" s="473"/>
      <c r="H250" s="473"/>
      <c r="I250" s="473"/>
    </row>
    <row r="251" spans="1:9" x14ac:dyDescent="0.2">
      <c r="A251" s="472"/>
      <c r="E251" s="473"/>
      <c r="F251" s="473"/>
      <c r="G251" s="473"/>
      <c r="H251" s="473"/>
      <c r="I251" s="473"/>
    </row>
    <row r="252" spans="1:9" x14ac:dyDescent="0.2">
      <c r="A252" s="472"/>
      <c r="E252" s="473"/>
      <c r="F252" s="473"/>
      <c r="G252" s="473"/>
      <c r="H252" s="473"/>
      <c r="I252" s="473"/>
    </row>
    <row r="253" spans="1:9" x14ac:dyDescent="0.2">
      <c r="A253" s="472"/>
      <c r="E253" s="473"/>
      <c r="F253" s="473"/>
      <c r="G253" s="473"/>
      <c r="H253" s="473"/>
      <c r="I253" s="473"/>
    </row>
    <row r="254" spans="1:9" x14ac:dyDescent="0.2">
      <c r="A254" s="472"/>
      <c r="E254" s="473"/>
      <c r="F254" s="473"/>
      <c r="G254" s="473"/>
      <c r="H254" s="473"/>
      <c r="I254" s="473"/>
    </row>
    <row r="255" spans="1:9" x14ac:dyDescent="0.2">
      <c r="A255" s="472"/>
      <c r="E255" s="473"/>
      <c r="F255" s="473"/>
      <c r="G255" s="473"/>
      <c r="H255" s="473"/>
      <c r="I255" s="473"/>
    </row>
    <row r="256" spans="1:9" x14ac:dyDescent="0.2">
      <c r="A256" s="472"/>
      <c r="E256" s="473"/>
      <c r="F256" s="473"/>
      <c r="G256" s="473"/>
      <c r="H256" s="473"/>
      <c r="I256" s="473"/>
    </row>
    <row r="257" spans="1:9" x14ac:dyDescent="0.2">
      <c r="A257" s="472"/>
      <c r="E257" s="473"/>
      <c r="F257" s="473"/>
      <c r="G257" s="473"/>
      <c r="H257" s="473"/>
      <c r="I257" s="473"/>
    </row>
    <row r="258" spans="1:9" x14ac:dyDescent="0.2">
      <c r="A258" s="472"/>
      <c r="E258" s="473"/>
      <c r="F258" s="473"/>
      <c r="G258" s="473"/>
      <c r="H258" s="473"/>
      <c r="I258" s="473"/>
    </row>
    <row r="259" spans="1:9" x14ac:dyDescent="0.2">
      <c r="A259" s="472"/>
      <c r="E259" s="473"/>
      <c r="F259" s="473"/>
      <c r="G259" s="473"/>
      <c r="H259" s="473"/>
      <c r="I259" s="473"/>
    </row>
    <row r="260" spans="1:9" x14ac:dyDescent="0.2">
      <c r="A260" s="472"/>
      <c r="E260" s="473"/>
      <c r="F260" s="473"/>
      <c r="G260" s="473"/>
      <c r="H260" s="473"/>
      <c r="I260" s="473"/>
    </row>
    <row r="261" spans="1:9" x14ac:dyDescent="0.2">
      <c r="A261" s="472"/>
      <c r="E261" s="473"/>
      <c r="F261" s="473"/>
      <c r="G261" s="473"/>
      <c r="H261" s="473"/>
      <c r="I261" s="473"/>
    </row>
    <row r="262" spans="1:9" x14ac:dyDescent="0.2">
      <c r="A262" s="472"/>
      <c r="E262" s="473"/>
      <c r="F262" s="473"/>
      <c r="G262" s="473"/>
      <c r="H262" s="473"/>
      <c r="I262" s="473"/>
    </row>
    <row r="263" spans="1:9" x14ac:dyDescent="0.2">
      <c r="A263" s="472"/>
      <c r="E263" s="473"/>
      <c r="F263" s="473"/>
      <c r="G263" s="473"/>
      <c r="H263" s="473"/>
      <c r="I263" s="473"/>
    </row>
    <row r="264" spans="1:9" x14ac:dyDescent="0.2">
      <c r="A264" s="472"/>
      <c r="E264" s="473"/>
      <c r="F264" s="473"/>
      <c r="G264" s="473"/>
      <c r="H264" s="473"/>
      <c r="I264" s="473"/>
    </row>
    <row r="265" spans="1:9" x14ac:dyDescent="0.2">
      <c r="A265" s="472"/>
      <c r="E265" s="473"/>
      <c r="F265" s="473"/>
      <c r="G265" s="473"/>
      <c r="H265" s="473"/>
      <c r="I265" s="473"/>
    </row>
    <row r="266" spans="1:9" x14ac:dyDescent="0.2">
      <c r="A266" s="472"/>
      <c r="E266" s="473"/>
      <c r="F266" s="473"/>
      <c r="G266" s="473"/>
      <c r="H266" s="473"/>
      <c r="I266" s="473"/>
    </row>
    <row r="267" spans="1:9" x14ac:dyDescent="0.2">
      <c r="A267" s="472"/>
      <c r="E267" s="473"/>
      <c r="F267" s="473"/>
      <c r="G267" s="473"/>
      <c r="H267" s="473"/>
      <c r="I267" s="473"/>
    </row>
    <row r="268" spans="1:9" x14ac:dyDescent="0.2">
      <c r="A268" s="472"/>
      <c r="E268" s="473"/>
      <c r="F268" s="473"/>
      <c r="G268" s="473"/>
      <c r="H268" s="473"/>
      <c r="I268" s="473"/>
    </row>
    <row r="269" spans="1:9" x14ac:dyDescent="0.2">
      <c r="A269" s="472"/>
      <c r="E269" s="473"/>
      <c r="F269" s="473"/>
      <c r="G269" s="473"/>
      <c r="H269" s="473"/>
      <c r="I269" s="473"/>
    </row>
    <row r="270" spans="1:9" x14ac:dyDescent="0.2">
      <c r="A270" s="472"/>
      <c r="E270" s="473"/>
      <c r="F270" s="473"/>
      <c r="G270" s="473"/>
      <c r="H270" s="473"/>
      <c r="I270" s="473"/>
    </row>
    <row r="271" spans="1:9" x14ac:dyDescent="0.2">
      <c r="A271" s="472"/>
      <c r="E271" s="473"/>
      <c r="F271" s="473"/>
      <c r="G271" s="473"/>
      <c r="H271" s="473"/>
      <c r="I271" s="473"/>
    </row>
    <row r="272" spans="1:9" x14ac:dyDescent="0.2">
      <c r="A272" s="472"/>
      <c r="E272" s="473"/>
      <c r="F272" s="473"/>
      <c r="G272" s="473"/>
      <c r="H272" s="473"/>
      <c r="I272" s="473"/>
    </row>
    <row r="273" spans="1:9" x14ac:dyDescent="0.2">
      <c r="A273" s="472"/>
      <c r="E273" s="473"/>
      <c r="F273" s="473"/>
      <c r="G273" s="473"/>
      <c r="H273" s="473"/>
      <c r="I273" s="473"/>
    </row>
    <row r="274" spans="1:9" x14ac:dyDescent="0.2">
      <c r="A274" s="472"/>
      <c r="E274" s="473"/>
      <c r="F274" s="473"/>
      <c r="G274" s="473"/>
      <c r="H274" s="473"/>
      <c r="I274" s="473"/>
    </row>
    <row r="275" spans="1:9" x14ac:dyDescent="0.2">
      <c r="A275" s="472"/>
      <c r="E275" s="473"/>
      <c r="F275" s="473"/>
      <c r="G275" s="473"/>
      <c r="H275" s="473"/>
      <c r="I275" s="473"/>
    </row>
    <row r="276" spans="1:9" x14ac:dyDescent="0.2">
      <c r="A276" s="472"/>
      <c r="E276" s="473"/>
      <c r="F276" s="473"/>
      <c r="G276" s="473"/>
      <c r="H276" s="473"/>
      <c r="I276" s="473"/>
    </row>
    <row r="277" spans="1:9" x14ac:dyDescent="0.2">
      <c r="A277" s="472"/>
      <c r="E277" s="473"/>
      <c r="F277" s="473"/>
      <c r="G277" s="473"/>
      <c r="H277" s="473"/>
      <c r="I277" s="473"/>
    </row>
    <row r="278" spans="1:9" x14ac:dyDescent="0.2">
      <c r="A278" s="472"/>
      <c r="E278" s="473"/>
      <c r="F278" s="473"/>
      <c r="G278" s="473"/>
      <c r="H278" s="473"/>
      <c r="I278" s="473"/>
    </row>
    <row r="279" spans="1:9" x14ac:dyDescent="0.2">
      <c r="A279" s="472"/>
      <c r="E279" s="473"/>
      <c r="F279" s="473"/>
      <c r="G279" s="473"/>
      <c r="H279" s="473"/>
      <c r="I279" s="473"/>
    </row>
    <row r="280" spans="1:9" x14ac:dyDescent="0.2">
      <c r="A280" s="472"/>
      <c r="E280" s="473"/>
      <c r="F280" s="473"/>
      <c r="G280" s="473"/>
      <c r="H280" s="473"/>
      <c r="I280" s="473"/>
    </row>
    <row r="281" spans="1:9" x14ac:dyDescent="0.2">
      <c r="A281" s="472"/>
      <c r="E281" s="473"/>
      <c r="F281" s="473"/>
      <c r="G281" s="473"/>
      <c r="H281" s="473"/>
      <c r="I281" s="473"/>
    </row>
    <row r="282" spans="1:9" x14ac:dyDescent="0.2">
      <c r="A282" s="472"/>
      <c r="E282" s="473"/>
      <c r="F282" s="473"/>
      <c r="G282" s="473"/>
      <c r="H282" s="473"/>
      <c r="I282" s="473"/>
    </row>
    <row r="283" spans="1:9" x14ac:dyDescent="0.2">
      <c r="A283" s="472"/>
      <c r="E283" s="473"/>
      <c r="F283" s="473"/>
      <c r="G283" s="473"/>
      <c r="H283" s="473"/>
      <c r="I283" s="473"/>
    </row>
    <row r="284" spans="1:9" x14ac:dyDescent="0.2">
      <c r="A284" s="472"/>
      <c r="E284" s="473"/>
      <c r="F284" s="473"/>
      <c r="G284" s="473"/>
      <c r="H284" s="473"/>
      <c r="I284" s="473"/>
    </row>
    <row r="285" spans="1:9" x14ac:dyDescent="0.2">
      <c r="A285" s="472"/>
      <c r="E285" s="473"/>
      <c r="F285" s="473"/>
      <c r="G285" s="473"/>
      <c r="H285" s="473"/>
      <c r="I285" s="473"/>
    </row>
    <row r="286" spans="1:9" x14ac:dyDescent="0.2">
      <c r="A286" s="472"/>
      <c r="E286" s="473"/>
      <c r="F286" s="473"/>
      <c r="G286" s="473"/>
      <c r="H286" s="473"/>
      <c r="I286" s="473"/>
    </row>
    <row r="287" spans="1:9" x14ac:dyDescent="0.2">
      <c r="A287" s="472"/>
      <c r="E287" s="473"/>
      <c r="F287" s="473"/>
      <c r="G287" s="473"/>
      <c r="H287" s="473"/>
      <c r="I287" s="473"/>
    </row>
    <row r="288" spans="1:9" x14ac:dyDescent="0.2">
      <c r="A288" s="472"/>
      <c r="E288" s="473"/>
      <c r="F288" s="473"/>
      <c r="G288" s="473"/>
      <c r="H288" s="473"/>
      <c r="I288" s="473"/>
    </row>
    <row r="289" spans="1:9" x14ac:dyDescent="0.2">
      <c r="A289" s="472"/>
      <c r="E289" s="473"/>
      <c r="F289" s="473"/>
      <c r="G289" s="473"/>
      <c r="H289" s="473"/>
      <c r="I289" s="473"/>
    </row>
    <row r="290" spans="1:9" x14ac:dyDescent="0.2">
      <c r="A290" s="472"/>
      <c r="E290" s="473"/>
      <c r="F290" s="473"/>
      <c r="G290" s="473"/>
      <c r="H290" s="473"/>
      <c r="I290" s="473"/>
    </row>
    <row r="291" spans="1:9" x14ac:dyDescent="0.2">
      <c r="A291" s="472"/>
      <c r="E291" s="473"/>
      <c r="F291" s="473"/>
      <c r="G291" s="473"/>
      <c r="H291" s="473"/>
      <c r="I291" s="473"/>
    </row>
    <row r="292" spans="1:9" x14ac:dyDescent="0.2">
      <c r="A292" s="472"/>
      <c r="E292" s="473"/>
      <c r="F292" s="473"/>
      <c r="G292" s="473"/>
      <c r="H292" s="473"/>
      <c r="I292" s="473"/>
    </row>
    <row r="293" spans="1:9" x14ac:dyDescent="0.2">
      <c r="A293" s="472"/>
      <c r="E293" s="473"/>
      <c r="F293" s="473"/>
      <c r="G293" s="473"/>
      <c r="H293" s="473"/>
      <c r="I293" s="473"/>
    </row>
    <row r="294" spans="1:9" x14ac:dyDescent="0.2">
      <c r="A294" s="472"/>
      <c r="E294" s="473"/>
      <c r="F294" s="473"/>
      <c r="G294" s="473"/>
      <c r="H294" s="473"/>
      <c r="I294" s="473"/>
    </row>
    <row r="295" spans="1:9" x14ac:dyDescent="0.2">
      <c r="A295" s="472"/>
      <c r="E295" s="473"/>
      <c r="F295" s="473"/>
      <c r="G295" s="473"/>
      <c r="H295" s="473"/>
      <c r="I295" s="473"/>
    </row>
    <row r="296" spans="1:9" x14ac:dyDescent="0.2">
      <c r="A296" s="472"/>
      <c r="E296" s="473"/>
      <c r="F296" s="473"/>
      <c r="G296" s="473"/>
      <c r="H296" s="473"/>
      <c r="I296" s="473"/>
    </row>
    <row r="297" spans="1:9" x14ac:dyDescent="0.2">
      <c r="A297" s="472"/>
      <c r="E297" s="473"/>
      <c r="F297" s="473"/>
      <c r="G297" s="473"/>
      <c r="H297" s="473"/>
      <c r="I297" s="473"/>
    </row>
    <row r="298" spans="1:9" x14ac:dyDescent="0.2">
      <c r="A298" s="472"/>
      <c r="E298" s="473"/>
      <c r="F298" s="473"/>
      <c r="G298" s="473"/>
      <c r="H298" s="473"/>
      <c r="I298" s="473"/>
    </row>
    <row r="299" spans="1:9" x14ac:dyDescent="0.2">
      <c r="A299" s="472"/>
      <c r="E299" s="473"/>
      <c r="F299" s="473"/>
      <c r="G299" s="473"/>
      <c r="H299" s="473"/>
      <c r="I299" s="473"/>
    </row>
    <row r="300" spans="1:9" x14ac:dyDescent="0.2">
      <c r="A300" s="472"/>
      <c r="E300" s="473"/>
      <c r="F300" s="473"/>
      <c r="G300" s="473"/>
      <c r="H300" s="473"/>
      <c r="I300" s="473"/>
    </row>
    <row r="301" spans="1:9" x14ac:dyDescent="0.2">
      <c r="A301" s="472"/>
      <c r="E301" s="473"/>
      <c r="F301" s="473"/>
      <c r="G301" s="473"/>
      <c r="H301" s="473"/>
      <c r="I301" s="473"/>
    </row>
    <row r="302" spans="1:9" x14ac:dyDescent="0.2">
      <c r="A302" s="472"/>
      <c r="E302" s="473"/>
      <c r="F302" s="473"/>
      <c r="G302" s="473"/>
      <c r="H302" s="473"/>
      <c r="I302" s="473"/>
    </row>
    <row r="303" spans="1:9" x14ac:dyDescent="0.2">
      <c r="A303" s="472"/>
      <c r="E303" s="473"/>
      <c r="F303" s="473"/>
      <c r="G303" s="473"/>
      <c r="H303" s="473"/>
      <c r="I303" s="473"/>
    </row>
    <row r="304" spans="1:9" x14ac:dyDescent="0.2">
      <c r="A304" s="472"/>
      <c r="E304" s="473"/>
      <c r="F304" s="473"/>
      <c r="G304" s="473"/>
      <c r="H304" s="473"/>
      <c r="I304" s="473"/>
    </row>
    <row r="305" spans="1:9" x14ac:dyDescent="0.2">
      <c r="A305" s="472"/>
      <c r="E305" s="473"/>
      <c r="F305" s="473"/>
      <c r="G305" s="473"/>
      <c r="H305" s="473"/>
      <c r="I305" s="473"/>
    </row>
    <row r="306" spans="1:9" x14ac:dyDescent="0.2">
      <c r="A306" s="472"/>
      <c r="E306" s="473"/>
      <c r="F306" s="473"/>
      <c r="G306" s="473"/>
      <c r="H306" s="473"/>
      <c r="I306" s="473"/>
    </row>
    <row r="307" spans="1:9" x14ac:dyDescent="0.2">
      <c r="A307" s="472"/>
      <c r="E307" s="473"/>
      <c r="F307" s="473"/>
      <c r="G307" s="473"/>
      <c r="H307" s="473"/>
      <c r="I307" s="473"/>
    </row>
    <row r="308" spans="1:9" x14ac:dyDescent="0.2">
      <c r="A308" s="472"/>
      <c r="E308" s="473"/>
      <c r="F308" s="473"/>
      <c r="G308" s="473"/>
      <c r="H308" s="473"/>
      <c r="I308" s="473"/>
    </row>
    <row r="309" spans="1:9" x14ac:dyDescent="0.2">
      <c r="A309" s="472"/>
      <c r="E309" s="473"/>
      <c r="F309" s="473"/>
      <c r="G309" s="473"/>
      <c r="H309" s="473"/>
      <c r="I309" s="473"/>
    </row>
    <row r="310" spans="1:9" x14ac:dyDescent="0.2">
      <c r="A310" s="472"/>
      <c r="E310" s="473"/>
      <c r="F310" s="473"/>
      <c r="G310" s="473"/>
      <c r="H310" s="473"/>
      <c r="I310" s="473"/>
    </row>
    <row r="311" spans="1:9" x14ac:dyDescent="0.2">
      <c r="A311" s="472"/>
      <c r="E311" s="473"/>
      <c r="F311" s="473"/>
      <c r="G311" s="473"/>
      <c r="H311" s="473"/>
      <c r="I311" s="473"/>
    </row>
    <row r="312" spans="1:9" x14ac:dyDescent="0.2">
      <c r="A312" s="472"/>
      <c r="E312" s="473"/>
      <c r="F312" s="473"/>
      <c r="G312" s="473"/>
      <c r="H312" s="473"/>
      <c r="I312" s="473"/>
    </row>
    <row r="313" spans="1:9" x14ac:dyDescent="0.2">
      <c r="A313" s="472"/>
      <c r="E313" s="473"/>
      <c r="F313" s="473"/>
      <c r="G313" s="473"/>
      <c r="H313" s="473"/>
      <c r="I313" s="473"/>
    </row>
    <row r="314" spans="1:9" x14ac:dyDescent="0.2">
      <c r="A314" s="472"/>
      <c r="E314" s="473"/>
      <c r="F314" s="473"/>
      <c r="G314" s="473"/>
      <c r="H314" s="473"/>
      <c r="I314" s="473"/>
    </row>
    <row r="315" spans="1:9" x14ac:dyDescent="0.2">
      <c r="A315" s="472"/>
      <c r="E315" s="473"/>
      <c r="F315" s="473"/>
      <c r="G315" s="473"/>
      <c r="H315" s="473"/>
      <c r="I315" s="473"/>
    </row>
    <row r="316" spans="1:9" x14ac:dyDescent="0.2">
      <c r="A316" s="472"/>
      <c r="E316" s="473"/>
      <c r="F316" s="473"/>
      <c r="G316" s="473"/>
      <c r="H316" s="473"/>
      <c r="I316" s="473"/>
    </row>
    <row r="317" spans="1:9" x14ac:dyDescent="0.2">
      <c r="A317" s="472"/>
      <c r="E317" s="473"/>
      <c r="F317" s="473"/>
      <c r="G317" s="473"/>
      <c r="H317" s="473"/>
      <c r="I317" s="473"/>
    </row>
    <row r="318" spans="1:9" x14ac:dyDescent="0.2">
      <c r="A318" s="472"/>
      <c r="E318" s="473"/>
      <c r="F318" s="473"/>
      <c r="G318" s="473"/>
      <c r="H318" s="473"/>
      <c r="I318" s="473"/>
    </row>
    <row r="319" spans="1:9" x14ac:dyDescent="0.2">
      <c r="A319" s="472"/>
      <c r="E319" s="473"/>
      <c r="F319" s="473"/>
      <c r="G319" s="473"/>
      <c r="H319" s="473"/>
      <c r="I319" s="473"/>
    </row>
    <row r="320" spans="1:9" x14ac:dyDescent="0.2">
      <c r="A320" s="472"/>
      <c r="E320" s="473"/>
      <c r="F320" s="473"/>
      <c r="G320" s="473"/>
      <c r="H320" s="473"/>
      <c r="I320" s="473"/>
    </row>
    <row r="321" spans="1:9" x14ac:dyDescent="0.2">
      <c r="A321" s="472"/>
      <c r="E321" s="473"/>
      <c r="F321" s="473"/>
      <c r="G321" s="473"/>
      <c r="H321" s="473"/>
      <c r="I321" s="473"/>
    </row>
    <row r="322" spans="1:9" x14ac:dyDescent="0.2">
      <c r="A322" s="472"/>
      <c r="E322" s="473"/>
      <c r="F322" s="473"/>
      <c r="G322" s="473"/>
      <c r="H322" s="473"/>
      <c r="I322" s="473"/>
    </row>
    <row r="323" spans="1:9" x14ac:dyDescent="0.2">
      <c r="A323" s="472"/>
      <c r="E323" s="473"/>
      <c r="F323" s="473"/>
      <c r="G323" s="473"/>
      <c r="H323" s="473"/>
      <c r="I323" s="473"/>
    </row>
    <row r="324" spans="1:9" x14ac:dyDescent="0.2">
      <c r="A324" s="472"/>
      <c r="E324" s="473"/>
      <c r="F324" s="473"/>
      <c r="G324" s="473"/>
      <c r="H324" s="473"/>
      <c r="I324" s="473"/>
    </row>
    <row r="325" spans="1:9" x14ac:dyDescent="0.2">
      <c r="A325" s="472"/>
      <c r="E325" s="473"/>
      <c r="F325" s="473"/>
      <c r="G325" s="473"/>
      <c r="H325" s="473"/>
      <c r="I325" s="473"/>
    </row>
    <row r="326" spans="1:9" x14ac:dyDescent="0.2">
      <c r="A326" s="472"/>
      <c r="E326" s="473"/>
      <c r="F326" s="473"/>
      <c r="G326" s="473"/>
      <c r="H326" s="473"/>
      <c r="I326" s="473"/>
    </row>
    <row r="327" spans="1:9" x14ac:dyDescent="0.2">
      <c r="A327" s="472"/>
      <c r="E327" s="473"/>
      <c r="F327" s="473"/>
      <c r="G327" s="473"/>
      <c r="H327" s="473"/>
      <c r="I327" s="473"/>
    </row>
    <row r="328" spans="1:9" x14ac:dyDescent="0.2">
      <c r="A328" s="472"/>
      <c r="E328" s="473"/>
      <c r="F328" s="473"/>
      <c r="G328" s="473"/>
      <c r="H328" s="473"/>
      <c r="I328" s="473"/>
    </row>
    <row r="329" spans="1:9" x14ac:dyDescent="0.2">
      <c r="A329" s="472"/>
      <c r="E329" s="473"/>
      <c r="F329" s="473"/>
      <c r="G329" s="473"/>
      <c r="H329" s="473"/>
      <c r="I329" s="473"/>
    </row>
    <row r="330" spans="1:9" x14ac:dyDescent="0.2">
      <c r="A330" s="472"/>
      <c r="E330" s="473"/>
      <c r="F330" s="473"/>
      <c r="G330" s="473"/>
      <c r="H330" s="473"/>
      <c r="I330" s="473"/>
    </row>
    <row r="331" spans="1:9" x14ac:dyDescent="0.2">
      <c r="A331" s="472"/>
      <c r="E331" s="473"/>
      <c r="F331" s="473"/>
      <c r="G331" s="473"/>
      <c r="H331" s="473"/>
      <c r="I331" s="473"/>
    </row>
    <row r="332" spans="1:9" x14ac:dyDescent="0.2">
      <c r="A332" s="472"/>
      <c r="E332" s="473"/>
      <c r="F332" s="473"/>
      <c r="G332" s="473"/>
      <c r="H332" s="473"/>
      <c r="I332" s="473"/>
    </row>
    <row r="333" spans="1:9" x14ac:dyDescent="0.2">
      <c r="A333" s="472"/>
      <c r="E333" s="473"/>
      <c r="F333" s="473"/>
      <c r="G333" s="473"/>
      <c r="H333" s="473"/>
      <c r="I333" s="473"/>
    </row>
    <row r="334" spans="1:9" x14ac:dyDescent="0.2">
      <c r="A334" s="472"/>
      <c r="E334" s="473"/>
      <c r="F334" s="473"/>
      <c r="G334" s="473"/>
      <c r="H334" s="473"/>
      <c r="I334" s="473"/>
    </row>
    <row r="335" spans="1:9" x14ac:dyDescent="0.2">
      <c r="A335" s="472"/>
      <c r="E335" s="473"/>
      <c r="F335" s="473"/>
      <c r="G335" s="473"/>
      <c r="H335" s="473"/>
      <c r="I335" s="473"/>
    </row>
    <row r="336" spans="1:9" x14ac:dyDescent="0.2">
      <c r="A336" s="472"/>
      <c r="E336" s="473"/>
      <c r="F336" s="473"/>
      <c r="G336" s="473"/>
      <c r="H336" s="473"/>
      <c r="I336" s="473"/>
    </row>
    <row r="337" spans="1:9" x14ac:dyDescent="0.2">
      <c r="A337" s="472"/>
      <c r="E337" s="473"/>
      <c r="F337" s="473"/>
      <c r="G337" s="473"/>
      <c r="H337" s="473"/>
      <c r="I337" s="473"/>
    </row>
    <row r="338" spans="1:9" x14ac:dyDescent="0.2">
      <c r="A338" s="472"/>
      <c r="E338" s="473"/>
      <c r="F338" s="473"/>
      <c r="G338" s="473"/>
      <c r="H338" s="473"/>
      <c r="I338" s="473"/>
    </row>
    <row r="339" spans="1:9" x14ac:dyDescent="0.2">
      <c r="A339" s="472"/>
      <c r="E339" s="473"/>
      <c r="F339" s="473"/>
      <c r="G339" s="473"/>
      <c r="H339" s="473"/>
      <c r="I339" s="473"/>
    </row>
    <row r="340" spans="1:9" x14ac:dyDescent="0.2">
      <c r="A340" s="472"/>
      <c r="E340" s="473"/>
      <c r="F340" s="473"/>
      <c r="G340" s="473"/>
      <c r="H340" s="473"/>
      <c r="I340" s="473"/>
    </row>
    <row r="341" spans="1:9" x14ac:dyDescent="0.2">
      <c r="A341" s="472"/>
      <c r="E341" s="473"/>
      <c r="F341" s="473"/>
      <c r="G341" s="473"/>
      <c r="H341" s="473"/>
      <c r="I341" s="473"/>
    </row>
    <row r="342" spans="1:9" x14ac:dyDescent="0.2">
      <c r="A342" s="472"/>
      <c r="E342" s="473"/>
      <c r="F342" s="473"/>
      <c r="G342" s="473"/>
      <c r="H342" s="473"/>
      <c r="I342" s="473"/>
    </row>
    <row r="343" spans="1:9" x14ac:dyDescent="0.2">
      <c r="A343" s="472"/>
      <c r="E343" s="473"/>
      <c r="F343" s="473"/>
      <c r="G343" s="473"/>
      <c r="H343" s="473"/>
      <c r="I343" s="473"/>
    </row>
    <row r="344" spans="1:9" x14ac:dyDescent="0.2">
      <c r="A344" s="472"/>
      <c r="E344" s="473"/>
      <c r="F344" s="473"/>
      <c r="G344" s="473"/>
      <c r="H344" s="473"/>
      <c r="I344" s="473"/>
    </row>
    <row r="345" spans="1:9" x14ac:dyDescent="0.2">
      <c r="A345" s="472"/>
      <c r="E345" s="473"/>
      <c r="F345" s="473"/>
      <c r="G345" s="473"/>
      <c r="H345" s="473"/>
      <c r="I345" s="473"/>
    </row>
    <row r="346" spans="1:9" x14ac:dyDescent="0.2">
      <c r="A346" s="472"/>
      <c r="E346" s="473"/>
      <c r="F346" s="473"/>
      <c r="G346" s="473"/>
      <c r="H346" s="473"/>
      <c r="I346" s="473"/>
    </row>
    <row r="347" spans="1:9" x14ac:dyDescent="0.2">
      <c r="A347" s="472"/>
      <c r="E347" s="473"/>
      <c r="F347" s="473"/>
      <c r="G347" s="473"/>
      <c r="H347" s="473"/>
      <c r="I347" s="473"/>
    </row>
    <row r="348" spans="1:9" x14ac:dyDescent="0.2">
      <c r="A348" s="472"/>
      <c r="E348" s="473"/>
      <c r="F348" s="473"/>
      <c r="G348" s="473"/>
      <c r="H348" s="473"/>
      <c r="I348" s="473"/>
    </row>
    <row r="349" spans="1:9" x14ac:dyDescent="0.2">
      <c r="A349" s="472"/>
      <c r="E349" s="473"/>
      <c r="F349" s="473"/>
      <c r="G349" s="473"/>
      <c r="H349" s="473"/>
      <c r="I349" s="473"/>
    </row>
    <row r="350" spans="1:9" x14ac:dyDescent="0.2">
      <c r="A350" s="472"/>
      <c r="E350" s="473"/>
      <c r="F350" s="473"/>
      <c r="G350" s="473"/>
      <c r="H350" s="473"/>
      <c r="I350" s="473"/>
    </row>
    <row r="351" spans="1:9" x14ac:dyDescent="0.2">
      <c r="A351" s="472"/>
      <c r="E351" s="473"/>
      <c r="F351" s="473"/>
      <c r="G351" s="473"/>
      <c r="H351" s="473"/>
      <c r="I351" s="473"/>
    </row>
    <row r="352" spans="1:9" x14ac:dyDescent="0.2">
      <c r="A352" s="472"/>
      <c r="E352" s="473"/>
      <c r="F352" s="473"/>
      <c r="G352" s="473"/>
      <c r="H352" s="473"/>
      <c r="I352" s="473"/>
    </row>
    <row r="353" spans="1:9" x14ac:dyDescent="0.2">
      <c r="A353" s="472"/>
      <c r="E353" s="473"/>
      <c r="F353" s="473"/>
      <c r="G353" s="473"/>
      <c r="H353" s="473"/>
      <c r="I353" s="473"/>
    </row>
    <row r="354" spans="1:9" x14ac:dyDescent="0.2">
      <c r="A354" s="472"/>
      <c r="E354" s="473"/>
      <c r="F354" s="473"/>
      <c r="G354" s="473"/>
      <c r="H354" s="473"/>
      <c r="I354" s="473"/>
    </row>
    <row r="355" spans="1:9" x14ac:dyDescent="0.2">
      <c r="A355" s="472"/>
      <c r="E355" s="473"/>
      <c r="F355" s="473"/>
      <c r="G355" s="473"/>
      <c r="H355" s="473"/>
      <c r="I355" s="473"/>
    </row>
    <row r="356" spans="1:9" x14ac:dyDescent="0.2">
      <c r="A356" s="472"/>
      <c r="E356" s="473"/>
      <c r="F356" s="473"/>
      <c r="G356" s="473"/>
      <c r="H356" s="473"/>
      <c r="I356" s="473"/>
    </row>
    <row r="357" spans="1:9" x14ac:dyDescent="0.2">
      <c r="A357" s="472"/>
      <c r="E357" s="473"/>
      <c r="F357" s="473"/>
      <c r="G357" s="473"/>
      <c r="H357" s="473"/>
      <c r="I357" s="473"/>
    </row>
    <row r="358" spans="1:9" x14ac:dyDescent="0.2">
      <c r="A358" s="472"/>
      <c r="E358" s="473"/>
      <c r="F358" s="473"/>
      <c r="G358" s="473"/>
      <c r="H358" s="473"/>
      <c r="I358" s="473"/>
    </row>
    <row r="359" spans="1:9" x14ac:dyDescent="0.2">
      <c r="A359" s="472"/>
      <c r="E359" s="473"/>
      <c r="F359" s="473"/>
      <c r="G359" s="473"/>
      <c r="H359" s="473"/>
      <c r="I359" s="473"/>
    </row>
    <row r="360" spans="1:9" x14ac:dyDescent="0.2">
      <c r="A360" s="472"/>
      <c r="E360" s="473"/>
      <c r="F360" s="473"/>
      <c r="G360" s="473"/>
      <c r="H360" s="473"/>
      <c r="I360" s="473"/>
    </row>
    <row r="361" spans="1:9" x14ac:dyDescent="0.2">
      <c r="A361" s="472"/>
      <c r="E361" s="473"/>
      <c r="F361" s="473"/>
      <c r="G361" s="473"/>
      <c r="H361" s="473"/>
      <c r="I361" s="473"/>
    </row>
    <row r="362" spans="1:9" x14ac:dyDescent="0.2">
      <c r="A362" s="472"/>
      <c r="E362" s="473"/>
      <c r="F362" s="473"/>
      <c r="G362" s="473"/>
      <c r="H362" s="473"/>
      <c r="I362" s="473"/>
    </row>
    <row r="363" spans="1:9" x14ac:dyDescent="0.2">
      <c r="A363" s="472"/>
      <c r="E363" s="473"/>
      <c r="F363" s="473"/>
      <c r="G363" s="473"/>
      <c r="H363" s="473"/>
      <c r="I363" s="473"/>
    </row>
    <row r="364" spans="1:9" x14ac:dyDescent="0.2">
      <c r="A364" s="472"/>
      <c r="E364" s="473"/>
      <c r="F364" s="473"/>
      <c r="G364" s="473"/>
      <c r="H364" s="473"/>
      <c r="I364" s="473"/>
    </row>
    <row r="365" spans="1:9" x14ac:dyDescent="0.2">
      <c r="A365" s="472"/>
      <c r="E365" s="473"/>
      <c r="F365" s="473"/>
      <c r="G365" s="473"/>
      <c r="H365" s="473"/>
      <c r="I365" s="473"/>
    </row>
    <row r="366" spans="1:9" x14ac:dyDescent="0.2">
      <c r="A366" s="472"/>
      <c r="E366" s="473"/>
      <c r="F366" s="473"/>
      <c r="G366" s="473"/>
      <c r="H366" s="473"/>
      <c r="I366" s="473"/>
    </row>
    <row r="367" spans="1:9" x14ac:dyDescent="0.2">
      <c r="A367" s="472"/>
      <c r="E367" s="473"/>
      <c r="F367" s="473"/>
      <c r="G367" s="473"/>
      <c r="H367" s="473"/>
      <c r="I367" s="473"/>
    </row>
    <row r="368" spans="1:9" x14ac:dyDescent="0.2">
      <c r="A368" s="472"/>
      <c r="E368" s="473"/>
      <c r="F368" s="473"/>
      <c r="G368" s="473"/>
      <c r="H368" s="473"/>
      <c r="I368" s="473"/>
    </row>
    <row r="369" spans="1:9" x14ac:dyDescent="0.2">
      <c r="A369" s="472"/>
      <c r="E369" s="473"/>
      <c r="F369" s="473"/>
      <c r="G369" s="473"/>
      <c r="H369" s="473"/>
      <c r="I369" s="473"/>
    </row>
    <row r="370" spans="1:9" x14ac:dyDescent="0.2">
      <c r="A370" s="472"/>
      <c r="E370" s="473"/>
      <c r="F370" s="473"/>
      <c r="G370" s="473"/>
      <c r="H370" s="473"/>
      <c r="I370" s="473"/>
    </row>
    <row r="371" spans="1:9" x14ac:dyDescent="0.2">
      <c r="A371" s="472"/>
      <c r="E371" s="473"/>
      <c r="F371" s="473"/>
      <c r="G371" s="473"/>
      <c r="H371" s="473"/>
      <c r="I371" s="473"/>
    </row>
    <row r="372" spans="1:9" x14ac:dyDescent="0.2">
      <c r="A372" s="472"/>
      <c r="E372" s="473"/>
      <c r="F372" s="473"/>
      <c r="G372" s="473"/>
      <c r="H372" s="473"/>
      <c r="I372" s="473"/>
    </row>
    <row r="373" spans="1:9" x14ac:dyDescent="0.2">
      <c r="A373" s="472"/>
      <c r="E373" s="473"/>
      <c r="F373" s="473"/>
      <c r="G373" s="473"/>
      <c r="H373" s="473"/>
      <c r="I373" s="473"/>
    </row>
    <row r="374" spans="1:9" x14ac:dyDescent="0.2">
      <c r="A374" s="472"/>
      <c r="E374" s="473"/>
      <c r="F374" s="473"/>
      <c r="G374" s="473"/>
      <c r="H374" s="473"/>
      <c r="I374" s="473"/>
    </row>
    <row r="375" spans="1:9" x14ac:dyDescent="0.2">
      <c r="A375" s="472"/>
      <c r="E375" s="473"/>
      <c r="F375" s="473"/>
      <c r="G375" s="473"/>
      <c r="H375" s="473"/>
      <c r="I375" s="473"/>
    </row>
    <row r="376" spans="1:9" x14ac:dyDescent="0.2">
      <c r="A376" s="472"/>
      <c r="E376" s="473"/>
      <c r="F376" s="473"/>
      <c r="G376" s="473"/>
      <c r="H376" s="473"/>
      <c r="I376" s="473"/>
    </row>
    <row r="377" spans="1:9" x14ac:dyDescent="0.2">
      <c r="A377" s="472"/>
      <c r="E377" s="473"/>
      <c r="F377" s="473"/>
      <c r="G377" s="473"/>
      <c r="H377" s="473"/>
      <c r="I377" s="473"/>
    </row>
    <row r="378" spans="1:9" x14ac:dyDescent="0.2">
      <c r="A378" s="472"/>
      <c r="E378" s="473"/>
      <c r="F378" s="473"/>
      <c r="G378" s="473"/>
      <c r="H378" s="473"/>
      <c r="I378" s="473"/>
    </row>
    <row r="379" spans="1:9" x14ac:dyDescent="0.2">
      <c r="A379" s="472"/>
      <c r="E379" s="473"/>
      <c r="F379" s="473"/>
      <c r="G379" s="473"/>
      <c r="H379" s="473"/>
      <c r="I379" s="473"/>
    </row>
    <row r="380" spans="1:9" x14ac:dyDescent="0.2">
      <c r="A380" s="472"/>
      <c r="E380" s="473"/>
      <c r="F380" s="473"/>
      <c r="G380" s="473"/>
      <c r="H380" s="473"/>
      <c r="I380" s="473"/>
    </row>
    <row r="381" spans="1:9" x14ac:dyDescent="0.2">
      <c r="A381" s="472"/>
      <c r="E381" s="473"/>
      <c r="F381" s="473"/>
      <c r="G381" s="473"/>
      <c r="H381" s="473"/>
      <c r="I381" s="473"/>
    </row>
    <row r="382" spans="1:9" x14ac:dyDescent="0.2">
      <c r="A382" s="472"/>
      <c r="E382" s="473"/>
      <c r="F382" s="473"/>
      <c r="G382" s="473"/>
      <c r="H382" s="473"/>
      <c r="I382" s="473"/>
    </row>
    <row r="383" spans="1:9" x14ac:dyDescent="0.2">
      <c r="A383" s="472"/>
      <c r="E383" s="473"/>
      <c r="F383" s="473"/>
      <c r="G383" s="473"/>
      <c r="H383" s="473"/>
      <c r="I383" s="473"/>
    </row>
    <row r="384" spans="1:9" x14ac:dyDescent="0.2">
      <c r="A384" s="472"/>
      <c r="E384" s="473"/>
      <c r="F384" s="473"/>
      <c r="G384" s="473"/>
      <c r="H384" s="473"/>
      <c r="I384" s="473"/>
    </row>
    <row r="385" spans="1:9" x14ac:dyDescent="0.2">
      <c r="A385" s="472"/>
      <c r="E385" s="473"/>
      <c r="F385" s="473"/>
      <c r="G385" s="473"/>
      <c r="H385" s="473"/>
      <c r="I385" s="473"/>
    </row>
    <row r="386" spans="1:9" x14ac:dyDescent="0.2">
      <c r="A386" s="472"/>
      <c r="E386" s="473"/>
      <c r="F386" s="473"/>
      <c r="G386" s="473"/>
      <c r="H386" s="473"/>
      <c r="I386" s="473"/>
    </row>
    <row r="387" spans="1:9" x14ac:dyDescent="0.2">
      <c r="A387" s="472"/>
      <c r="E387" s="473"/>
      <c r="F387" s="473"/>
      <c r="G387" s="473"/>
      <c r="H387" s="473"/>
      <c r="I387" s="473"/>
    </row>
    <row r="388" spans="1:9" x14ac:dyDescent="0.2">
      <c r="A388" s="472"/>
      <c r="E388" s="473"/>
      <c r="F388" s="473"/>
      <c r="G388" s="473"/>
      <c r="H388" s="473"/>
      <c r="I388" s="473"/>
    </row>
    <row r="389" spans="1:9" x14ac:dyDescent="0.2">
      <c r="A389" s="472"/>
      <c r="E389" s="473"/>
      <c r="F389" s="473"/>
      <c r="G389" s="473"/>
      <c r="H389" s="473"/>
      <c r="I389" s="473"/>
    </row>
    <row r="390" spans="1:9" x14ac:dyDescent="0.2">
      <c r="A390" s="472"/>
      <c r="E390" s="473"/>
      <c r="F390" s="473"/>
      <c r="G390" s="473"/>
      <c r="H390" s="473"/>
      <c r="I390" s="473"/>
    </row>
    <row r="391" spans="1:9" x14ac:dyDescent="0.2">
      <c r="A391" s="472"/>
      <c r="E391" s="473"/>
      <c r="F391" s="473"/>
      <c r="G391" s="473"/>
      <c r="H391" s="473"/>
      <c r="I391" s="473"/>
    </row>
    <row r="392" spans="1:9" x14ac:dyDescent="0.2">
      <c r="A392" s="472"/>
      <c r="E392" s="473"/>
      <c r="F392" s="473"/>
      <c r="G392" s="473"/>
      <c r="H392" s="473"/>
      <c r="I392" s="473"/>
    </row>
    <row r="393" spans="1:9" x14ac:dyDescent="0.2">
      <c r="A393" s="472"/>
      <c r="E393" s="473"/>
      <c r="F393" s="473"/>
      <c r="G393" s="473"/>
      <c r="H393" s="473"/>
      <c r="I393" s="473"/>
    </row>
    <row r="394" spans="1:9" x14ac:dyDescent="0.2">
      <c r="A394" s="472"/>
      <c r="E394" s="473"/>
      <c r="F394" s="473"/>
      <c r="G394" s="473"/>
      <c r="H394" s="473"/>
      <c r="I394" s="473"/>
    </row>
    <row r="395" spans="1:9" x14ac:dyDescent="0.2">
      <c r="A395" s="472"/>
      <c r="E395" s="473"/>
      <c r="F395" s="473"/>
      <c r="G395" s="473"/>
      <c r="H395" s="473"/>
      <c r="I395" s="473"/>
    </row>
    <row r="396" spans="1:9" x14ac:dyDescent="0.2">
      <c r="A396" s="472"/>
      <c r="E396" s="473"/>
      <c r="F396" s="473"/>
      <c r="G396" s="473"/>
      <c r="H396" s="473"/>
      <c r="I396" s="473"/>
    </row>
    <row r="397" spans="1:9" x14ac:dyDescent="0.2">
      <c r="A397" s="472"/>
      <c r="E397" s="473"/>
      <c r="F397" s="473"/>
      <c r="G397" s="473"/>
      <c r="H397" s="473"/>
      <c r="I397" s="473"/>
    </row>
    <row r="398" spans="1:9" x14ac:dyDescent="0.2">
      <c r="A398" s="472"/>
      <c r="E398" s="473"/>
      <c r="F398" s="473"/>
      <c r="G398" s="473"/>
      <c r="H398" s="473"/>
      <c r="I398" s="473"/>
    </row>
    <row r="399" spans="1:9" x14ac:dyDescent="0.2">
      <c r="A399" s="472"/>
      <c r="E399" s="473"/>
      <c r="F399" s="473"/>
      <c r="G399" s="473"/>
      <c r="H399" s="473"/>
      <c r="I399" s="473"/>
    </row>
    <row r="400" spans="1:9" x14ac:dyDescent="0.2">
      <c r="A400" s="472"/>
      <c r="E400" s="473"/>
      <c r="F400" s="473"/>
      <c r="G400" s="473"/>
      <c r="H400" s="473"/>
      <c r="I400" s="473"/>
    </row>
    <row r="401" spans="1:9" x14ac:dyDescent="0.2">
      <c r="A401" s="472"/>
      <c r="E401" s="473"/>
      <c r="F401" s="473"/>
      <c r="G401" s="473"/>
      <c r="H401" s="473"/>
      <c r="I401" s="473"/>
    </row>
    <row r="402" spans="1:9" x14ac:dyDescent="0.2">
      <c r="A402" s="472"/>
      <c r="E402" s="473"/>
      <c r="F402" s="473"/>
      <c r="G402" s="473"/>
      <c r="H402" s="473"/>
      <c r="I402" s="473"/>
    </row>
    <row r="403" spans="1:9" x14ac:dyDescent="0.2">
      <c r="A403" s="472"/>
      <c r="E403" s="473"/>
      <c r="F403" s="473"/>
      <c r="G403" s="473"/>
      <c r="H403" s="473"/>
      <c r="I403" s="473"/>
    </row>
    <row r="404" spans="1:9" x14ac:dyDescent="0.2">
      <c r="A404" s="472"/>
      <c r="E404" s="473"/>
      <c r="F404" s="473"/>
      <c r="G404" s="473"/>
      <c r="H404" s="473"/>
      <c r="I404" s="473"/>
    </row>
    <row r="405" spans="1:9" x14ac:dyDescent="0.2">
      <c r="A405" s="472"/>
      <c r="E405" s="473"/>
      <c r="F405" s="473"/>
      <c r="G405" s="473"/>
      <c r="H405" s="473"/>
      <c r="I405" s="473"/>
    </row>
    <row r="406" spans="1:9" x14ac:dyDescent="0.2">
      <c r="A406" s="472"/>
      <c r="E406" s="473"/>
      <c r="F406" s="473"/>
      <c r="G406" s="473"/>
      <c r="H406" s="473"/>
      <c r="I406" s="473"/>
    </row>
    <row r="407" spans="1:9" x14ac:dyDescent="0.2">
      <c r="A407" s="472"/>
      <c r="E407" s="473"/>
      <c r="F407" s="473"/>
      <c r="G407" s="473"/>
      <c r="H407" s="473"/>
      <c r="I407" s="473"/>
    </row>
    <row r="408" spans="1:9" x14ac:dyDescent="0.2">
      <c r="A408" s="472"/>
      <c r="E408" s="473"/>
      <c r="F408" s="473"/>
      <c r="G408" s="473"/>
      <c r="H408" s="473"/>
      <c r="I408" s="473"/>
    </row>
    <row r="409" spans="1:9" x14ac:dyDescent="0.2">
      <c r="A409" s="472"/>
      <c r="E409" s="473"/>
      <c r="F409" s="473"/>
      <c r="G409" s="473"/>
      <c r="H409" s="473"/>
      <c r="I409" s="473"/>
    </row>
    <row r="410" spans="1:9" x14ac:dyDescent="0.2">
      <c r="A410" s="472"/>
      <c r="E410" s="473"/>
      <c r="F410" s="473"/>
      <c r="G410" s="473"/>
      <c r="H410" s="473"/>
      <c r="I410" s="473"/>
    </row>
    <row r="411" spans="1:9" x14ac:dyDescent="0.2">
      <c r="A411" s="472"/>
      <c r="E411" s="473"/>
      <c r="F411" s="473"/>
      <c r="G411" s="473"/>
      <c r="H411" s="473"/>
      <c r="I411" s="473"/>
    </row>
    <row r="412" spans="1:9" x14ac:dyDescent="0.2">
      <c r="A412" s="472"/>
      <c r="E412" s="473"/>
      <c r="F412" s="473"/>
      <c r="G412" s="473"/>
      <c r="H412" s="473"/>
      <c r="I412" s="473"/>
    </row>
    <row r="413" spans="1:9" x14ac:dyDescent="0.2">
      <c r="A413" s="472"/>
      <c r="E413" s="473"/>
      <c r="F413" s="473"/>
      <c r="G413" s="473"/>
      <c r="H413" s="473"/>
      <c r="I413" s="473"/>
    </row>
    <row r="414" spans="1:9" x14ac:dyDescent="0.2">
      <c r="A414" s="472"/>
      <c r="E414" s="473"/>
      <c r="F414" s="473"/>
      <c r="G414" s="473"/>
      <c r="H414" s="473"/>
      <c r="I414" s="473"/>
    </row>
    <row r="415" spans="1:9" x14ac:dyDescent="0.2">
      <c r="A415" s="472"/>
      <c r="E415" s="473"/>
      <c r="F415" s="473"/>
      <c r="G415" s="473"/>
      <c r="H415" s="473"/>
      <c r="I415" s="473"/>
    </row>
    <row r="416" spans="1:9" x14ac:dyDescent="0.2">
      <c r="A416" s="472"/>
      <c r="E416" s="473"/>
      <c r="F416" s="473"/>
      <c r="G416" s="473"/>
      <c r="H416" s="473"/>
      <c r="I416" s="473"/>
    </row>
    <row r="417" spans="1:9" x14ac:dyDescent="0.2">
      <c r="A417" s="472"/>
      <c r="E417" s="473"/>
      <c r="F417" s="473"/>
      <c r="G417" s="473"/>
      <c r="H417" s="473"/>
      <c r="I417" s="473"/>
    </row>
    <row r="418" spans="1:9" x14ac:dyDescent="0.2">
      <c r="A418" s="472"/>
      <c r="E418" s="473"/>
      <c r="F418" s="473"/>
      <c r="G418" s="473"/>
      <c r="H418" s="473"/>
      <c r="I418" s="473"/>
    </row>
    <row r="419" spans="1:9" x14ac:dyDescent="0.2">
      <c r="A419" s="472"/>
      <c r="E419" s="473"/>
      <c r="F419" s="473"/>
      <c r="G419" s="473"/>
      <c r="H419" s="473"/>
      <c r="I419" s="473"/>
    </row>
    <row r="420" spans="1:9" x14ac:dyDescent="0.2">
      <c r="A420" s="472"/>
      <c r="E420" s="473"/>
      <c r="F420" s="473"/>
      <c r="G420" s="473"/>
      <c r="H420" s="473"/>
      <c r="I420" s="473"/>
    </row>
    <row r="421" spans="1:9" x14ac:dyDescent="0.2">
      <c r="A421" s="472"/>
      <c r="E421" s="473"/>
      <c r="F421" s="473"/>
      <c r="G421" s="473"/>
      <c r="H421" s="473"/>
      <c r="I421" s="473"/>
    </row>
    <row r="422" spans="1:9" x14ac:dyDescent="0.2">
      <c r="A422" s="472"/>
      <c r="E422" s="473"/>
      <c r="F422" s="473"/>
      <c r="G422" s="473"/>
      <c r="H422" s="473"/>
      <c r="I422" s="473"/>
    </row>
    <row r="423" spans="1:9" x14ac:dyDescent="0.2">
      <c r="A423" s="472"/>
      <c r="E423" s="473"/>
      <c r="F423" s="473"/>
      <c r="G423" s="473"/>
      <c r="H423" s="473"/>
      <c r="I423" s="473"/>
    </row>
    <row r="424" spans="1:9" x14ac:dyDescent="0.2">
      <c r="A424" s="472"/>
      <c r="E424" s="473"/>
      <c r="F424" s="473"/>
      <c r="G424" s="473"/>
      <c r="H424" s="473"/>
      <c r="I424" s="473"/>
    </row>
    <row r="425" spans="1:9" x14ac:dyDescent="0.2">
      <c r="A425" s="472"/>
      <c r="E425" s="473"/>
      <c r="F425" s="473"/>
      <c r="G425" s="473"/>
      <c r="H425" s="473"/>
      <c r="I425" s="473"/>
    </row>
    <row r="426" spans="1:9" x14ac:dyDescent="0.2">
      <c r="A426" s="472"/>
      <c r="E426" s="473"/>
      <c r="F426" s="473"/>
      <c r="G426" s="473"/>
      <c r="H426" s="473"/>
      <c r="I426" s="473"/>
    </row>
    <row r="427" spans="1:9" x14ac:dyDescent="0.2">
      <c r="A427" s="472"/>
      <c r="E427" s="473"/>
      <c r="F427" s="473"/>
      <c r="G427" s="473"/>
      <c r="H427" s="473"/>
      <c r="I427" s="473"/>
    </row>
    <row r="428" spans="1:9" x14ac:dyDescent="0.2">
      <c r="A428" s="472"/>
      <c r="E428" s="473"/>
      <c r="F428" s="473"/>
      <c r="G428" s="473"/>
      <c r="H428" s="473"/>
      <c r="I428" s="473"/>
    </row>
    <row r="429" spans="1:9" x14ac:dyDescent="0.2">
      <c r="A429" s="472"/>
      <c r="E429" s="473"/>
      <c r="F429" s="473"/>
      <c r="G429" s="473"/>
      <c r="H429" s="473"/>
      <c r="I429" s="473"/>
    </row>
    <row r="430" spans="1:9" x14ac:dyDescent="0.2">
      <c r="A430" s="472"/>
      <c r="E430" s="473"/>
      <c r="F430" s="473"/>
      <c r="G430" s="473"/>
      <c r="H430" s="473"/>
      <c r="I430" s="473"/>
    </row>
    <row r="431" spans="1:9" x14ac:dyDescent="0.2">
      <c r="A431" s="472"/>
      <c r="E431" s="473"/>
      <c r="F431" s="473"/>
      <c r="G431" s="473"/>
      <c r="H431" s="473"/>
      <c r="I431" s="473"/>
    </row>
    <row r="432" spans="1:9" x14ac:dyDescent="0.2">
      <c r="A432" s="472"/>
      <c r="E432" s="473"/>
      <c r="F432" s="473"/>
      <c r="G432" s="473"/>
      <c r="H432" s="473"/>
      <c r="I432" s="473"/>
    </row>
    <row r="433" spans="1:9" x14ac:dyDescent="0.2">
      <c r="A433" s="472"/>
      <c r="E433" s="473"/>
      <c r="F433" s="473"/>
      <c r="G433" s="473"/>
      <c r="H433" s="473"/>
      <c r="I433" s="473"/>
    </row>
    <row r="434" spans="1:9" x14ac:dyDescent="0.2">
      <c r="A434" s="472"/>
      <c r="E434" s="473"/>
      <c r="F434" s="473"/>
      <c r="G434" s="473"/>
      <c r="H434" s="473"/>
      <c r="I434" s="473"/>
    </row>
    <row r="435" spans="1:9" x14ac:dyDescent="0.2">
      <c r="A435" s="472"/>
      <c r="E435" s="473"/>
      <c r="F435" s="473"/>
      <c r="G435" s="473"/>
      <c r="H435" s="473"/>
      <c r="I435" s="473"/>
    </row>
    <row r="436" spans="1:9" x14ac:dyDescent="0.2">
      <c r="A436" s="472"/>
      <c r="E436" s="473"/>
      <c r="F436" s="473"/>
      <c r="G436" s="473"/>
      <c r="H436" s="473"/>
      <c r="I436" s="473"/>
    </row>
    <row r="437" spans="1:9" x14ac:dyDescent="0.2">
      <c r="A437" s="472"/>
      <c r="E437" s="473"/>
      <c r="F437" s="473"/>
      <c r="G437" s="473"/>
      <c r="H437" s="473"/>
      <c r="I437" s="473"/>
    </row>
    <row r="438" spans="1:9" x14ac:dyDescent="0.2">
      <c r="A438" s="472"/>
      <c r="E438" s="473"/>
      <c r="F438" s="473"/>
      <c r="G438" s="473"/>
      <c r="H438" s="473"/>
      <c r="I438" s="473"/>
    </row>
    <row r="439" spans="1:9" x14ac:dyDescent="0.2">
      <c r="A439" s="472"/>
      <c r="E439" s="473"/>
      <c r="F439" s="473"/>
      <c r="G439" s="473"/>
      <c r="H439" s="473"/>
      <c r="I439" s="473"/>
    </row>
    <row r="440" spans="1:9" x14ac:dyDescent="0.2">
      <c r="A440" s="472"/>
      <c r="E440" s="473"/>
      <c r="F440" s="473"/>
      <c r="G440" s="473"/>
      <c r="H440" s="473"/>
      <c r="I440" s="473"/>
    </row>
    <row r="441" spans="1:9" x14ac:dyDescent="0.2">
      <c r="A441" s="472"/>
      <c r="E441" s="473"/>
      <c r="F441" s="473"/>
      <c r="G441" s="473"/>
      <c r="H441" s="473"/>
      <c r="I441" s="473"/>
    </row>
    <row r="442" spans="1:9" x14ac:dyDescent="0.2">
      <c r="A442" s="472"/>
      <c r="E442" s="473"/>
      <c r="F442" s="473"/>
      <c r="G442" s="473"/>
      <c r="H442" s="473"/>
      <c r="I442" s="473"/>
    </row>
    <row r="443" spans="1:9" x14ac:dyDescent="0.2">
      <c r="A443" s="472"/>
      <c r="E443" s="473"/>
      <c r="F443" s="473"/>
      <c r="G443" s="473"/>
      <c r="H443" s="473"/>
      <c r="I443" s="473"/>
    </row>
    <row r="444" spans="1:9" x14ac:dyDescent="0.2">
      <c r="A444" s="472"/>
      <c r="E444" s="473"/>
      <c r="F444" s="473"/>
      <c r="G444" s="473"/>
      <c r="H444" s="473"/>
      <c r="I444" s="473"/>
    </row>
    <row r="445" spans="1:9" x14ac:dyDescent="0.2">
      <c r="A445" s="472"/>
      <c r="E445" s="473"/>
      <c r="F445" s="473"/>
      <c r="G445" s="473"/>
      <c r="H445" s="473"/>
      <c r="I445" s="473"/>
    </row>
    <row r="446" spans="1:9" x14ac:dyDescent="0.2">
      <c r="A446" s="472"/>
      <c r="E446" s="473"/>
      <c r="F446" s="473"/>
      <c r="G446" s="473"/>
      <c r="H446" s="473"/>
      <c r="I446" s="473"/>
    </row>
    <row r="447" spans="1:9" x14ac:dyDescent="0.2">
      <c r="A447" s="472"/>
      <c r="E447" s="473"/>
      <c r="F447" s="473"/>
      <c r="G447" s="473"/>
      <c r="H447" s="473"/>
      <c r="I447" s="473"/>
    </row>
    <row r="448" spans="1:9" x14ac:dyDescent="0.2">
      <c r="A448" s="472"/>
      <c r="E448" s="473"/>
      <c r="F448" s="473"/>
      <c r="G448" s="473"/>
      <c r="H448" s="473"/>
      <c r="I448" s="473"/>
    </row>
    <row r="449" spans="1:9" x14ac:dyDescent="0.2">
      <c r="A449" s="472"/>
      <c r="E449" s="473"/>
      <c r="F449" s="473"/>
      <c r="G449" s="473"/>
      <c r="H449" s="473"/>
      <c r="I449" s="473"/>
    </row>
    <row r="450" spans="1:9" x14ac:dyDescent="0.2">
      <c r="A450" s="472"/>
      <c r="E450" s="473"/>
      <c r="F450" s="473"/>
      <c r="G450" s="473"/>
      <c r="H450" s="473"/>
      <c r="I450" s="473"/>
    </row>
    <row r="451" spans="1:9" x14ac:dyDescent="0.2">
      <c r="A451" s="472"/>
      <c r="E451" s="473"/>
      <c r="F451" s="473"/>
      <c r="G451" s="473"/>
      <c r="H451" s="473"/>
      <c r="I451" s="473"/>
    </row>
    <row r="452" spans="1:9" x14ac:dyDescent="0.2">
      <c r="A452" s="472"/>
      <c r="E452" s="473"/>
      <c r="F452" s="473"/>
      <c r="G452" s="473"/>
      <c r="H452" s="473"/>
      <c r="I452" s="473"/>
    </row>
    <row r="453" spans="1:9" x14ac:dyDescent="0.2">
      <c r="A453" s="472"/>
      <c r="E453" s="473"/>
      <c r="F453" s="473"/>
      <c r="G453" s="473"/>
      <c r="H453" s="473"/>
      <c r="I453" s="473"/>
    </row>
    <row r="454" spans="1:9" x14ac:dyDescent="0.2">
      <c r="A454" s="472"/>
      <c r="E454" s="473"/>
      <c r="F454" s="473"/>
      <c r="G454" s="473"/>
      <c r="H454" s="473"/>
      <c r="I454" s="473"/>
    </row>
    <row r="455" spans="1:9" x14ac:dyDescent="0.2">
      <c r="A455" s="472"/>
      <c r="E455" s="473"/>
      <c r="F455" s="473"/>
      <c r="G455" s="473"/>
      <c r="H455" s="473"/>
      <c r="I455" s="473"/>
    </row>
    <row r="456" spans="1:9" x14ac:dyDescent="0.2">
      <c r="A456" s="472"/>
      <c r="E456" s="473"/>
      <c r="F456" s="473"/>
      <c r="G456" s="473"/>
      <c r="H456" s="473"/>
      <c r="I456" s="473"/>
    </row>
    <row r="457" spans="1:9" x14ac:dyDescent="0.2">
      <c r="A457" s="472"/>
      <c r="E457" s="473"/>
      <c r="F457" s="473"/>
      <c r="G457" s="473"/>
      <c r="H457" s="473"/>
      <c r="I457" s="473"/>
    </row>
    <row r="458" spans="1:9" x14ac:dyDescent="0.2">
      <c r="A458" s="472"/>
      <c r="E458" s="473"/>
      <c r="F458" s="473"/>
      <c r="G458" s="473"/>
      <c r="H458" s="473"/>
      <c r="I458" s="473"/>
    </row>
    <row r="459" spans="1:9" x14ac:dyDescent="0.2">
      <c r="A459" s="472"/>
      <c r="E459" s="473"/>
      <c r="F459" s="473"/>
      <c r="G459" s="473"/>
      <c r="H459" s="473"/>
      <c r="I459" s="473"/>
    </row>
    <row r="460" spans="1:9" x14ac:dyDescent="0.2">
      <c r="A460" s="472"/>
      <c r="E460" s="473"/>
      <c r="F460" s="473"/>
      <c r="G460" s="473"/>
      <c r="H460" s="473"/>
      <c r="I460" s="473"/>
    </row>
    <row r="461" spans="1:9" x14ac:dyDescent="0.2">
      <c r="A461" s="472"/>
      <c r="E461" s="473"/>
      <c r="F461" s="473"/>
      <c r="G461" s="473"/>
      <c r="H461" s="473"/>
      <c r="I461" s="473"/>
    </row>
    <row r="462" spans="1:9" x14ac:dyDescent="0.2">
      <c r="A462" s="472"/>
      <c r="E462" s="473"/>
      <c r="F462" s="473"/>
      <c r="G462" s="473"/>
      <c r="H462" s="473"/>
      <c r="I462" s="473"/>
    </row>
    <row r="463" spans="1:9" x14ac:dyDescent="0.2">
      <c r="A463" s="472"/>
      <c r="E463" s="473"/>
      <c r="F463" s="473"/>
      <c r="G463" s="473"/>
      <c r="H463" s="473"/>
      <c r="I463" s="473"/>
    </row>
    <row r="464" spans="1:9" x14ac:dyDescent="0.2">
      <c r="A464" s="472"/>
      <c r="E464" s="473"/>
      <c r="F464" s="473"/>
      <c r="G464" s="473"/>
      <c r="H464" s="473"/>
      <c r="I464" s="473"/>
    </row>
    <row r="465" spans="1:9" x14ac:dyDescent="0.2">
      <c r="A465" s="472"/>
      <c r="E465" s="473"/>
      <c r="F465" s="473"/>
      <c r="G465" s="473"/>
      <c r="H465" s="473"/>
      <c r="I465" s="473"/>
    </row>
    <row r="466" spans="1:9" x14ac:dyDescent="0.2">
      <c r="A466" s="472"/>
      <c r="E466" s="473"/>
      <c r="F466" s="473"/>
      <c r="G466" s="473"/>
      <c r="H466" s="473"/>
      <c r="I466" s="473"/>
    </row>
    <row r="467" spans="1:9" x14ac:dyDescent="0.2">
      <c r="A467" s="472"/>
      <c r="E467" s="473"/>
      <c r="F467" s="473"/>
      <c r="G467" s="473"/>
      <c r="H467" s="473"/>
      <c r="I467" s="473"/>
    </row>
    <row r="468" spans="1:9" x14ac:dyDescent="0.2">
      <c r="A468" s="472"/>
      <c r="E468" s="473"/>
      <c r="F468" s="473"/>
      <c r="G468" s="473"/>
      <c r="H468" s="473"/>
      <c r="I468" s="473"/>
    </row>
    <row r="469" spans="1:9" x14ac:dyDescent="0.2">
      <c r="A469" s="472"/>
      <c r="E469" s="473"/>
      <c r="F469" s="473"/>
      <c r="G469" s="473"/>
      <c r="H469" s="473"/>
      <c r="I469" s="473"/>
    </row>
    <row r="470" spans="1:9" x14ac:dyDescent="0.2">
      <c r="A470" s="472"/>
      <c r="E470" s="473"/>
      <c r="F470" s="473"/>
      <c r="G470" s="473"/>
      <c r="H470" s="473"/>
      <c r="I470" s="473"/>
    </row>
    <row r="471" spans="1:9" x14ac:dyDescent="0.2">
      <c r="A471" s="472"/>
      <c r="E471" s="473"/>
      <c r="F471" s="473"/>
      <c r="G471" s="473"/>
      <c r="H471" s="473"/>
      <c r="I471" s="473"/>
    </row>
    <row r="472" spans="1:9" x14ac:dyDescent="0.2">
      <c r="A472" s="472"/>
      <c r="E472" s="473"/>
      <c r="F472" s="473"/>
      <c r="G472" s="473"/>
      <c r="H472" s="473"/>
      <c r="I472" s="473"/>
    </row>
    <row r="473" spans="1:9" x14ac:dyDescent="0.2">
      <c r="A473" s="472"/>
      <c r="E473" s="473"/>
      <c r="F473" s="473"/>
      <c r="G473" s="473"/>
      <c r="H473" s="473"/>
      <c r="I473" s="473"/>
    </row>
    <row r="474" spans="1:9" x14ac:dyDescent="0.2">
      <c r="A474" s="472"/>
      <c r="E474" s="473"/>
      <c r="F474" s="473"/>
      <c r="G474" s="473"/>
      <c r="H474" s="473"/>
      <c r="I474" s="473"/>
    </row>
    <row r="475" spans="1:9" x14ac:dyDescent="0.2">
      <c r="A475" s="472"/>
      <c r="E475" s="473"/>
      <c r="F475" s="473"/>
      <c r="G475" s="473"/>
      <c r="H475" s="473"/>
      <c r="I475" s="473"/>
    </row>
    <row r="476" spans="1:9" x14ac:dyDescent="0.2">
      <c r="A476" s="472"/>
      <c r="E476" s="473"/>
      <c r="F476" s="473"/>
      <c r="G476" s="473"/>
      <c r="H476" s="473"/>
      <c r="I476" s="473"/>
    </row>
    <row r="477" spans="1:9" x14ac:dyDescent="0.2">
      <c r="A477" s="472"/>
      <c r="E477" s="473"/>
      <c r="F477" s="473"/>
      <c r="G477" s="473"/>
      <c r="H477" s="473"/>
      <c r="I477" s="473"/>
    </row>
    <row r="478" spans="1:9" x14ac:dyDescent="0.2">
      <c r="A478" s="472"/>
      <c r="E478" s="473"/>
      <c r="F478" s="473"/>
      <c r="G478" s="473"/>
      <c r="H478" s="473"/>
      <c r="I478" s="473"/>
    </row>
    <row r="479" spans="1:9" x14ac:dyDescent="0.2">
      <c r="A479" s="472"/>
      <c r="E479" s="473"/>
      <c r="F479" s="473"/>
      <c r="G479" s="473"/>
      <c r="H479" s="473"/>
      <c r="I479" s="473"/>
    </row>
    <row r="480" spans="1:9" x14ac:dyDescent="0.2">
      <c r="A480" s="472"/>
      <c r="E480" s="473"/>
      <c r="F480" s="473"/>
      <c r="G480" s="473"/>
      <c r="H480" s="473"/>
      <c r="I480" s="473"/>
    </row>
    <row r="481" spans="1:9" x14ac:dyDescent="0.2">
      <c r="A481" s="472"/>
      <c r="E481" s="473"/>
      <c r="F481" s="473"/>
      <c r="G481" s="473"/>
      <c r="H481" s="473"/>
      <c r="I481" s="473"/>
    </row>
    <row r="482" spans="1:9" x14ac:dyDescent="0.2">
      <c r="A482" s="472"/>
      <c r="E482" s="473"/>
      <c r="F482" s="473"/>
      <c r="G482" s="473"/>
      <c r="H482" s="473"/>
      <c r="I482" s="473"/>
    </row>
    <row r="483" spans="1:9" x14ac:dyDescent="0.2">
      <c r="A483" s="472"/>
      <c r="E483" s="473"/>
      <c r="F483" s="473"/>
      <c r="G483" s="473"/>
      <c r="H483" s="473"/>
      <c r="I483" s="473"/>
    </row>
    <row r="484" spans="1:9" x14ac:dyDescent="0.2">
      <c r="A484" s="472"/>
      <c r="E484" s="473"/>
      <c r="F484" s="473"/>
      <c r="G484" s="473"/>
      <c r="H484" s="473"/>
      <c r="I484" s="473"/>
    </row>
    <row r="485" spans="1:9" x14ac:dyDescent="0.2">
      <c r="A485" s="472"/>
      <c r="E485" s="473"/>
      <c r="F485" s="473"/>
      <c r="G485" s="473"/>
      <c r="H485" s="473"/>
      <c r="I485" s="473"/>
    </row>
    <row r="486" spans="1:9" x14ac:dyDescent="0.2">
      <c r="A486" s="472"/>
      <c r="E486" s="473"/>
      <c r="F486" s="473"/>
      <c r="G486" s="473"/>
      <c r="H486" s="473"/>
      <c r="I486" s="473"/>
    </row>
    <row r="487" spans="1:9" x14ac:dyDescent="0.2">
      <c r="A487" s="472"/>
      <c r="E487" s="473"/>
      <c r="F487" s="473"/>
      <c r="G487" s="473"/>
      <c r="H487" s="473"/>
      <c r="I487" s="473"/>
    </row>
    <row r="488" spans="1:9" x14ac:dyDescent="0.2">
      <c r="A488" s="472"/>
      <c r="E488" s="473"/>
      <c r="F488" s="473"/>
      <c r="G488" s="473"/>
      <c r="H488" s="473"/>
      <c r="I488" s="473"/>
    </row>
    <row r="489" spans="1:9" x14ac:dyDescent="0.2">
      <c r="A489" s="472"/>
      <c r="E489" s="473"/>
      <c r="F489" s="473"/>
      <c r="G489" s="473"/>
      <c r="H489" s="473"/>
      <c r="I489" s="473"/>
    </row>
    <row r="490" spans="1:9" x14ac:dyDescent="0.2">
      <c r="A490" s="472"/>
      <c r="E490" s="473"/>
      <c r="F490" s="473"/>
      <c r="G490" s="473"/>
      <c r="H490" s="473"/>
      <c r="I490" s="473"/>
    </row>
    <row r="491" spans="1:9" x14ac:dyDescent="0.2">
      <c r="A491" s="472"/>
      <c r="E491" s="473"/>
      <c r="F491" s="473"/>
      <c r="G491" s="473"/>
      <c r="H491" s="473"/>
      <c r="I491" s="473"/>
    </row>
    <row r="492" spans="1:9" x14ac:dyDescent="0.2">
      <c r="A492" s="472"/>
      <c r="E492" s="473"/>
      <c r="F492" s="473"/>
      <c r="G492" s="473"/>
      <c r="H492" s="473"/>
      <c r="I492" s="473"/>
    </row>
    <row r="493" spans="1:9" x14ac:dyDescent="0.2">
      <c r="A493" s="472"/>
      <c r="E493" s="473"/>
      <c r="F493" s="473"/>
      <c r="G493" s="473"/>
      <c r="H493" s="473"/>
      <c r="I493" s="473"/>
    </row>
    <row r="494" spans="1:9" x14ac:dyDescent="0.2">
      <c r="A494" s="472"/>
      <c r="E494" s="473"/>
      <c r="F494" s="473"/>
      <c r="G494" s="473"/>
      <c r="H494" s="473"/>
      <c r="I494" s="473"/>
    </row>
    <row r="495" spans="1:9" x14ac:dyDescent="0.2">
      <c r="A495" s="472"/>
      <c r="E495" s="473"/>
      <c r="F495" s="473"/>
      <c r="G495" s="473"/>
      <c r="H495" s="473"/>
      <c r="I495" s="473"/>
    </row>
    <row r="496" spans="1:9" x14ac:dyDescent="0.2">
      <c r="A496" s="472"/>
      <c r="E496" s="473"/>
      <c r="F496" s="473"/>
      <c r="G496" s="473"/>
      <c r="H496" s="473"/>
      <c r="I496" s="473"/>
    </row>
    <row r="497" spans="1:9" x14ac:dyDescent="0.2">
      <c r="A497" s="472"/>
      <c r="E497" s="473"/>
      <c r="F497" s="473"/>
      <c r="G497" s="473"/>
      <c r="H497" s="473"/>
      <c r="I497" s="473"/>
    </row>
    <row r="498" spans="1:9" x14ac:dyDescent="0.2">
      <c r="A498" s="472"/>
      <c r="E498" s="473"/>
      <c r="F498" s="473"/>
      <c r="G498" s="473"/>
      <c r="H498" s="473"/>
      <c r="I498" s="473"/>
    </row>
    <row r="499" spans="1:9" x14ac:dyDescent="0.2">
      <c r="A499" s="472"/>
      <c r="E499" s="473"/>
      <c r="F499" s="473"/>
      <c r="G499" s="473"/>
      <c r="H499" s="473"/>
      <c r="I499" s="473"/>
    </row>
    <row r="500" spans="1:9" x14ac:dyDescent="0.2">
      <c r="A500" s="472"/>
      <c r="E500" s="473"/>
      <c r="F500" s="473"/>
      <c r="G500" s="473"/>
      <c r="H500" s="473"/>
      <c r="I500" s="473"/>
    </row>
    <row r="501" spans="1:9" x14ac:dyDescent="0.2">
      <c r="A501" s="472"/>
      <c r="E501" s="473"/>
      <c r="F501" s="473"/>
      <c r="G501" s="473"/>
      <c r="H501" s="473"/>
      <c r="I501" s="473"/>
    </row>
    <row r="502" spans="1:9" x14ac:dyDescent="0.2">
      <c r="A502" s="472"/>
      <c r="E502" s="473"/>
      <c r="F502" s="473"/>
      <c r="G502" s="473"/>
      <c r="H502" s="473"/>
      <c r="I502" s="473"/>
    </row>
    <row r="503" spans="1:9" x14ac:dyDescent="0.2">
      <c r="A503" s="472"/>
      <c r="E503" s="473"/>
      <c r="F503" s="473"/>
      <c r="G503" s="473"/>
      <c r="H503" s="473"/>
      <c r="I503" s="473"/>
    </row>
    <row r="504" spans="1:9" x14ac:dyDescent="0.2">
      <c r="A504" s="472"/>
      <c r="E504" s="473"/>
      <c r="F504" s="473"/>
      <c r="G504" s="473"/>
      <c r="H504" s="473"/>
      <c r="I504" s="473"/>
    </row>
    <row r="505" spans="1:9" x14ac:dyDescent="0.2">
      <c r="A505" s="472"/>
      <c r="E505" s="473"/>
      <c r="F505" s="473"/>
      <c r="G505" s="473"/>
      <c r="H505" s="473"/>
      <c r="I505" s="473"/>
    </row>
    <row r="506" spans="1:9" x14ac:dyDescent="0.2">
      <c r="A506" s="472"/>
      <c r="E506" s="473"/>
      <c r="F506" s="473"/>
      <c r="G506" s="473"/>
      <c r="H506" s="473"/>
      <c r="I506" s="473"/>
    </row>
    <row r="507" spans="1:9" x14ac:dyDescent="0.2">
      <c r="A507" s="472"/>
      <c r="E507" s="473"/>
      <c r="F507" s="473"/>
      <c r="G507" s="473"/>
      <c r="H507" s="473"/>
      <c r="I507" s="473"/>
    </row>
    <row r="508" spans="1:9" x14ac:dyDescent="0.2">
      <c r="A508" s="472"/>
      <c r="E508" s="473"/>
      <c r="F508" s="473"/>
      <c r="G508" s="473"/>
      <c r="H508" s="473"/>
      <c r="I508" s="473"/>
    </row>
    <row r="509" spans="1:9" x14ac:dyDescent="0.2">
      <c r="A509" s="472"/>
      <c r="E509" s="473"/>
      <c r="F509" s="473"/>
      <c r="G509" s="473"/>
      <c r="H509" s="473"/>
      <c r="I509" s="473"/>
    </row>
    <row r="510" spans="1:9" x14ac:dyDescent="0.2">
      <c r="A510" s="472"/>
      <c r="E510" s="473"/>
      <c r="F510" s="473"/>
      <c r="G510" s="473"/>
      <c r="H510" s="473"/>
      <c r="I510" s="473"/>
    </row>
    <row r="511" spans="1:9" x14ac:dyDescent="0.2">
      <c r="A511" s="472"/>
      <c r="E511" s="473"/>
      <c r="F511" s="473"/>
      <c r="G511" s="473"/>
      <c r="H511" s="473"/>
      <c r="I511" s="473"/>
    </row>
    <row r="512" spans="1:9" x14ac:dyDescent="0.2">
      <c r="A512" s="472"/>
      <c r="E512" s="473"/>
      <c r="F512" s="473"/>
      <c r="G512" s="473"/>
      <c r="H512" s="473"/>
      <c r="I512" s="473"/>
    </row>
    <row r="513" spans="1:9" x14ac:dyDescent="0.2">
      <c r="A513" s="472"/>
      <c r="E513" s="473"/>
      <c r="F513" s="473"/>
      <c r="G513" s="473"/>
      <c r="H513" s="473"/>
      <c r="I513" s="473"/>
    </row>
    <row r="514" spans="1:9" x14ac:dyDescent="0.2">
      <c r="A514" s="472"/>
      <c r="E514" s="473"/>
      <c r="F514" s="473"/>
      <c r="G514" s="473"/>
      <c r="H514" s="473"/>
      <c r="I514" s="473"/>
    </row>
    <row r="515" spans="1:9" x14ac:dyDescent="0.2">
      <c r="A515" s="472"/>
      <c r="E515" s="473"/>
      <c r="F515" s="473"/>
      <c r="G515" s="473"/>
      <c r="H515" s="473"/>
      <c r="I515" s="473"/>
    </row>
    <row r="516" spans="1:9" x14ac:dyDescent="0.2">
      <c r="A516" s="472"/>
      <c r="E516" s="473"/>
      <c r="F516" s="473"/>
      <c r="G516" s="473"/>
      <c r="H516" s="473"/>
      <c r="I516" s="473"/>
    </row>
    <row r="517" spans="1:9" x14ac:dyDescent="0.2">
      <c r="A517" s="472"/>
      <c r="E517" s="473"/>
      <c r="F517" s="473"/>
      <c r="G517" s="473"/>
      <c r="H517" s="473"/>
      <c r="I517" s="473"/>
    </row>
    <row r="518" spans="1:9" x14ac:dyDescent="0.2">
      <c r="A518" s="472"/>
      <c r="E518" s="473"/>
      <c r="F518" s="473"/>
      <c r="G518" s="473"/>
      <c r="H518" s="473"/>
      <c r="I518" s="473"/>
    </row>
    <row r="519" spans="1:9" x14ac:dyDescent="0.2">
      <c r="A519" s="472"/>
      <c r="E519" s="473"/>
      <c r="F519" s="473"/>
      <c r="G519" s="473"/>
      <c r="H519" s="473"/>
      <c r="I519" s="473"/>
    </row>
    <row r="520" spans="1:9" x14ac:dyDescent="0.2">
      <c r="A520" s="472"/>
      <c r="E520" s="473"/>
      <c r="F520" s="473"/>
      <c r="G520" s="473"/>
      <c r="H520" s="473"/>
      <c r="I520" s="473"/>
    </row>
    <row r="521" spans="1:9" x14ac:dyDescent="0.2">
      <c r="A521" s="472"/>
      <c r="E521" s="473"/>
      <c r="F521" s="473"/>
      <c r="G521" s="473"/>
      <c r="H521" s="473"/>
      <c r="I521" s="473"/>
    </row>
    <row r="522" spans="1:9" x14ac:dyDescent="0.2">
      <c r="E522" s="473"/>
      <c r="F522" s="473"/>
      <c r="G522" s="473"/>
      <c r="H522" s="473"/>
      <c r="I522" s="473"/>
    </row>
  </sheetData>
  <sheetProtection algorithmName="SHA-512" hashValue="j8xBdsE4oZ/PgtX79nqhcQJbI8mlsPCbGcBSXziLT3AcCDhu4kmYvFHpM+axy8v6Ip40widDFzHZAGwtc93S7A==" saltValue="kM0is+30ma08U5o3XmcNbQ==" spinCount="100000" sheet="1" objects="1" scenarios="1" sort="0" autoFilter="0" pivotTables="0"/>
  <mergeCells count="51">
    <mergeCell ref="AG3:AK3"/>
    <mergeCell ref="M1:V1"/>
    <mergeCell ref="M3:Q3"/>
    <mergeCell ref="R3:V3"/>
    <mergeCell ref="W3:AA3"/>
    <mergeCell ref="AB3:AF3"/>
    <mergeCell ref="CO3:CS3"/>
    <mergeCell ref="AL3:AP3"/>
    <mergeCell ref="AQ3:AU3"/>
    <mergeCell ref="AV3:AZ3"/>
    <mergeCell ref="BA3:BE3"/>
    <mergeCell ref="BF3:BJ3"/>
    <mergeCell ref="BK3:BO3"/>
    <mergeCell ref="BP3:BT3"/>
    <mergeCell ref="BU3:BY3"/>
    <mergeCell ref="BZ3:CD3"/>
    <mergeCell ref="CE3:CI3"/>
    <mergeCell ref="CJ3:CN3"/>
    <mergeCell ref="EW3:FA3"/>
    <mergeCell ref="CT3:CX3"/>
    <mergeCell ref="CY3:DC3"/>
    <mergeCell ref="DD3:DH3"/>
    <mergeCell ref="DI3:DM3"/>
    <mergeCell ref="DN3:DR3"/>
    <mergeCell ref="DS3:DW3"/>
    <mergeCell ref="DX3:EB3"/>
    <mergeCell ref="EC3:EG3"/>
    <mergeCell ref="EH3:EL3"/>
    <mergeCell ref="EM3:EQ3"/>
    <mergeCell ref="ER3:EV3"/>
    <mergeCell ref="FG3:FK3"/>
    <mergeCell ref="FL3:FP3"/>
    <mergeCell ref="FQ3:FU3"/>
    <mergeCell ref="FV3:FZ3"/>
    <mergeCell ref="GA3:GE3"/>
    <mergeCell ref="IN3:IR3"/>
    <mergeCell ref="A2:C2"/>
    <mergeCell ref="A1:C1"/>
    <mergeCell ref="HJ3:HN3"/>
    <mergeCell ref="HO3:HS3"/>
    <mergeCell ref="HT3:HX3"/>
    <mergeCell ref="HY3:IC3"/>
    <mergeCell ref="ID3:IH3"/>
    <mergeCell ref="II3:IM3"/>
    <mergeCell ref="GF3:GJ3"/>
    <mergeCell ref="GK3:GO3"/>
    <mergeCell ref="GP3:GT3"/>
    <mergeCell ref="GU3:GY3"/>
    <mergeCell ref="GZ3:HD3"/>
    <mergeCell ref="HE3:HI3"/>
    <mergeCell ref="FB3:FF3"/>
  </mergeCells>
  <conditionalFormatting sqref="M49:IR58 M5:IR14 M27:IR36 M16:IR25 M38:IR47 M60:IR69">
    <cfRule type="cellIs" dxfId="571" priority="27" stopIfTrue="1" operator="equal">
      <formula>1</formula>
    </cfRule>
  </conditionalFormatting>
  <conditionalFormatting sqref="M59:IR59 M26:IR26 M37:IR37 M48:IR48 M15:IR15">
    <cfRule type="cellIs" dxfId="570" priority="28" stopIfTrue="1" operator="equal">
      <formula>1</formula>
    </cfRule>
  </conditionalFormatting>
  <conditionalFormatting sqref="M4:IR4">
    <cfRule type="cellIs" dxfId="569" priority="29" stopIfTrue="1" operator="equal">
      <formula>1</formula>
    </cfRule>
  </conditionalFormatting>
  <conditionalFormatting sqref="M71:IR80">
    <cfRule type="cellIs" dxfId="568" priority="25" stopIfTrue="1" operator="equal">
      <formula>1</formula>
    </cfRule>
  </conditionalFormatting>
  <conditionalFormatting sqref="M70:IR70">
    <cfRule type="cellIs" dxfId="567" priority="26" stopIfTrue="1" operator="equal">
      <formula>1</formula>
    </cfRule>
  </conditionalFormatting>
  <conditionalFormatting sqref="M82:IR91">
    <cfRule type="cellIs" dxfId="566" priority="23" stopIfTrue="1" operator="equal">
      <formula>1</formula>
    </cfRule>
  </conditionalFormatting>
  <conditionalFormatting sqref="M81:IR81">
    <cfRule type="cellIs" dxfId="565" priority="24" stopIfTrue="1" operator="equal">
      <formula>1</formula>
    </cfRule>
  </conditionalFormatting>
  <conditionalFormatting sqref="M93:IR102">
    <cfRule type="cellIs" dxfId="564" priority="21" stopIfTrue="1" operator="equal">
      <formula>1</formula>
    </cfRule>
  </conditionalFormatting>
  <conditionalFormatting sqref="M92:IR92">
    <cfRule type="cellIs" dxfId="563" priority="22" stopIfTrue="1" operator="equal">
      <formula>1</formula>
    </cfRule>
  </conditionalFormatting>
  <conditionalFormatting sqref="M104:IR113">
    <cfRule type="cellIs" dxfId="562" priority="19" stopIfTrue="1" operator="equal">
      <formula>1</formula>
    </cfRule>
  </conditionalFormatting>
  <conditionalFormatting sqref="M103:IR103">
    <cfRule type="cellIs" dxfId="561" priority="20" stopIfTrue="1" operator="equal">
      <formula>1</formula>
    </cfRule>
  </conditionalFormatting>
  <conditionalFormatting sqref="M115:IR124">
    <cfRule type="cellIs" dxfId="560" priority="17" stopIfTrue="1" operator="equal">
      <formula>1</formula>
    </cfRule>
  </conditionalFormatting>
  <conditionalFormatting sqref="M114:IR114">
    <cfRule type="cellIs" dxfId="559" priority="18" stopIfTrue="1" operator="equal">
      <formula>1</formula>
    </cfRule>
  </conditionalFormatting>
  <conditionalFormatting sqref="M126:IR135">
    <cfRule type="cellIs" dxfId="558" priority="15" stopIfTrue="1" operator="equal">
      <formula>1</formula>
    </cfRule>
  </conditionalFormatting>
  <conditionalFormatting sqref="M125:IR125">
    <cfRule type="cellIs" dxfId="557" priority="16" stopIfTrue="1" operator="equal">
      <formula>1</formula>
    </cfRule>
  </conditionalFormatting>
  <conditionalFormatting sqref="M137:IR146">
    <cfRule type="cellIs" dxfId="556" priority="13" stopIfTrue="1" operator="equal">
      <formula>1</formula>
    </cfRule>
  </conditionalFormatting>
  <conditionalFormatting sqref="M136:IR136">
    <cfRule type="cellIs" dxfId="555" priority="14" stopIfTrue="1" operator="equal">
      <formula>1</formula>
    </cfRule>
  </conditionalFormatting>
  <conditionalFormatting sqref="M148:IR157">
    <cfRule type="cellIs" dxfId="554" priority="11" stopIfTrue="1" operator="equal">
      <formula>1</formula>
    </cfRule>
  </conditionalFormatting>
  <conditionalFormatting sqref="M147:IR147">
    <cfRule type="cellIs" dxfId="553" priority="12" stopIfTrue="1" operator="equal">
      <formula>1</formula>
    </cfRule>
  </conditionalFormatting>
  <conditionalFormatting sqref="M159:IR168">
    <cfRule type="cellIs" dxfId="552" priority="9" stopIfTrue="1" operator="equal">
      <formula>1</formula>
    </cfRule>
  </conditionalFormatting>
  <conditionalFormatting sqref="M158:IR158">
    <cfRule type="cellIs" dxfId="551" priority="10" stopIfTrue="1" operator="equal">
      <formula>1</formula>
    </cfRule>
  </conditionalFormatting>
  <conditionalFormatting sqref="M170:IR179">
    <cfRule type="cellIs" dxfId="550" priority="7" stopIfTrue="1" operator="equal">
      <formula>1</formula>
    </cfRule>
  </conditionalFormatting>
  <conditionalFormatting sqref="M169:IR169">
    <cfRule type="cellIs" dxfId="549" priority="8" stopIfTrue="1" operator="equal">
      <formula>1</formula>
    </cfRule>
  </conditionalFormatting>
  <conditionalFormatting sqref="M181:IR190">
    <cfRule type="cellIs" dxfId="548" priority="5" stopIfTrue="1" operator="equal">
      <formula>1</formula>
    </cfRule>
  </conditionalFormatting>
  <conditionalFormatting sqref="M180:IR180">
    <cfRule type="cellIs" dxfId="547" priority="6" stopIfTrue="1" operator="equal">
      <formula>1</formula>
    </cfRule>
  </conditionalFormatting>
  <conditionalFormatting sqref="M192:IR201">
    <cfRule type="cellIs" dxfId="546" priority="3" stopIfTrue="1" operator="equal">
      <formula>1</formula>
    </cfRule>
  </conditionalFormatting>
  <conditionalFormatting sqref="M191:IR191">
    <cfRule type="cellIs" dxfId="545" priority="4" stopIfTrue="1" operator="equal">
      <formula>1</formula>
    </cfRule>
  </conditionalFormatting>
  <conditionalFormatting sqref="M203:IR212">
    <cfRule type="cellIs" dxfId="544" priority="1" stopIfTrue="1" operator="equal">
      <formula>1</formula>
    </cfRule>
  </conditionalFormatting>
  <conditionalFormatting sqref="M202:IR202">
    <cfRule type="cellIs" dxfId="543" priority="2" stopIfTrue="1" operator="equal">
      <formula>1</formula>
    </cfRule>
  </conditionalFormatting>
  <dataValidations disablePrompts="1" count="1">
    <dataValidation type="list" allowBlank="1" showInputMessage="1" showErrorMessage="1" sqref="WVO983044:WVO983562 G65540:G66058 JC65540:JC66058 SY65540:SY66058 ACU65540:ACU66058 AMQ65540:AMQ66058 AWM65540:AWM66058 BGI65540:BGI66058 BQE65540:BQE66058 CAA65540:CAA66058 CJW65540:CJW66058 CTS65540:CTS66058 DDO65540:DDO66058 DNK65540:DNK66058 DXG65540:DXG66058 EHC65540:EHC66058 EQY65540:EQY66058 FAU65540:FAU66058 FKQ65540:FKQ66058 FUM65540:FUM66058 GEI65540:GEI66058 GOE65540:GOE66058 GYA65540:GYA66058 HHW65540:HHW66058 HRS65540:HRS66058 IBO65540:IBO66058 ILK65540:ILK66058 IVG65540:IVG66058 JFC65540:JFC66058 JOY65540:JOY66058 JYU65540:JYU66058 KIQ65540:KIQ66058 KSM65540:KSM66058 LCI65540:LCI66058 LME65540:LME66058 LWA65540:LWA66058 MFW65540:MFW66058 MPS65540:MPS66058 MZO65540:MZO66058 NJK65540:NJK66058 NTG65540:NTG66058 ODC65540:ODC66058 OMY65540:OMY66058 OWU65540:OWU66058 PGQ65540:PGQ66058 PQM65540:PQM66058 QAI65540:QAI66058 QKE65540:QKE66058 QUA65540:QUA66058 RDW65540:RDW66058 RNS65540:RNS66058 RXO65540:RXO66058 SHK65540:SHK66058 SRG65540:SRG66058 TBC65540:TBC66058 TKY65540:TKY66058 TUU65540:TUU66058 UEQ65540:UEQ66058 UOM65540:UOM66058 UYI65540:UYI66058 VIE65540:VIE66058 VSA65540:VSA66058 WBW65540:WBW66058 WLS65540:WLS66058 WVO65540:WVO66058 G131076:G131594 JC131076:JC131594 SY131076:SY131594 ACU131076:ACU131594 AMQ131076:AMQ131594 AWM131076:AWM131594 BGI131076:BGI131594 BQE131076:BQE131594 CAA131076:CAA131594 CJW131076:CJW131594 CTS131076:CTS131594 DDO131076:DDO131594 DNK131076:DNK131594 DXG131076:DXG131594 EHC131076:EHC131594 EQY131076:EQY131594 FAU131076:FAU131594 FKQ131076:FKQ131594 FUM131076:FUM131594 GEI131076:GEI131594 GOE131076:GOE131594 GYA131076:GYA131594 HHW131076:HHW131594 HRS131076:HRS131594 IBO131076:IBO131594 ILK131076:ILK131594 IVG131076:IVG131594 JFC131076:JFC131594 JOY131076:JOY131594 JYU131076:JYU131594 KIQ131076:KIQ131594 KSM131076:KSM131594 LCI131076:LCI131594 LME131076:LME131594 LWA131076:LWA131594 MFW131076:MFW131594 MPS131076:MPS131594 MZO131076:MZO131594 NJK131076:NJK131594 NTG131076:NTG131594 ODC131076:ODC131594 OMY131076:OMY131594 OWU131076:OWU131594 PGQ131076:PGQ131594 PQM131076:PQM131594 QAI131076:QAI131594 QKE131076:QKE131594 QUA131076:QUA131594 RDW131076:RDW131594 RNS131076:RNS131594 RXO131076:RXO131594 SHK131076:SHK131594 SRG131076:SRG131594 TBC131076:TBC131594 TKY131076:TKY131594 TUU131076:TUU131594 UEQ131076:UEQ131594 UOM131076:UOM131594 UYI131076:UYI131594 VIE131076:VIE131594 VSA131076:VSA131594 WBW131076:WBW131594 WLS131076:WLS131594 WVO131076:WVO131594 G196612:G197130 JC196612:JC197130 SY196612:SY197130 ACU196612:ACU197130 AMQ196612:AMQ197130 AWM196612:AWM197130 BGI196612:BGI197130 BQE196612:BQE197130 CAA196612:CAA197130 CJW196612:CJW197130 CTS196612:CTS197130 DDO196612:DDO197130 DNK196612:DNK197130 DXG196612:DXG197130 EHC196612:EHC197130 EQY196612:EQY197130 FAU196612:FAU197130 FKQ196612:FKQ197130 FUM196612:FUM197130 GEI196612:GEI197130 GOE196612:GOE197130 GYA196612:GYA197130 HHW196612:HHW197130 HRS196612:HRS197130 IBO196612:IBO197130 ILK196612:ILK197130 IVG196612:IVG197130 JFC196612:JFC197130 JOY196612:JOY197130 JYU196612:JYU197130 KIQ196612:KIQ197130 KSM196612:KSM197130 LCI196612:LCI197130 LME196612:LME197130 LWA196612:LWA197130 MFW196612:MFW197130 MPS196612:MPS197130 MZO196612:MZO197130 NJK196612:NJK197130 NTG196612:NTG197130 ODC196612:ODC197130 OMY196612:OMY197130 OWU196612:OWU197130 PGQ196612:PGQ197130 PQM196612:PQM197130 QAI196612:QAI197130 QKE196612:QKE197130 QUA196612:QUA197130 RDW196612:RDW197130 RNS196612:RNS197130 RXO196612:RXO197130 SHK196612:SHK197130 SRG196612:SRG197130 TBC196612:TBC197130 TKY196612:TKY197130 TUU196612:TUU197130 UEQ196612:UEQ197130 UOM196612:UOM197130 UYI196612:UYI197130 VIE196612:VIE197130 VSA196612:VSA197130 WBW196612:WBW197130 WLS196612:WLS197130 WVO196612:WVO197130 G262148:G262666 JC262148:JC262666 SY262148:SY262666 ACU262148:ACU262666 AMQ262148:AMQ262666 AWM262148:AWM262666 BGI262148:BGI262666 BQE262148:BQE262666 CAA262148:CAA262666 CJW262148:CJW262666 CTS262148:CTS262666 DDO262148:DDO262666 DNK262148:DNK262666 DXG262148:DXG262666 EHC262148:EHC262666 EQY262148:EQY262666 FAU262148:FAU262666 FKQ262148:FKQ262666 FUM262148:FUM262666 GEI262148:GEI262666 GOE262148:GOE262666 GYA262148:GYA262666 HHW262148:HHW262666 HRS262148:HRS262666 IBO262148:IBO262666 ILK262148:ILK262666 IVG262148:IVG262666 JFC262148:JFC262666 JOY262148:JOY262666 JYU262148:JYU262666 KIQ262148:KIQ262666 KSM262148:KSM262666 LCI262148:LCI262666 LME262148:LME262666 LWA262148:LWA262666 MFW262148:MFW262666 MPS262148:MPS262666 MZO262148:MZO262666 NJK262148:NJK262666 NTG262148:NTG262666 ODC262148:ODC262666 OMY262148:OMY262666 OWU262148:OWU262666 PGQ262148:PGQ262666 PQM262148:PQM262666 QAI262148:QAI262666 QKE262148:QKE262666 QUA262148:QUA262666 RDW262148:RDW262666 RNS262148:RNS262666 RXO262148:RXO262666 SHK262148:SHK262666 SRG262148:SRG262666 TBC262148:TBC262666 TKY262148:TKY262666 TUU262148:TUU262666 UEQ262148:UEQ262666 UOM262148:UOM262666 UYI262148:UYI262666 VIE262148:VIE262666 VSA262148:VSA262666 WBW262148:WBW262666 WLS262148:WLS262666 WVO262148:WVO262666 G327684:G328202 JC327684:JC328202 SY327684:SY328202 ACU327684:ACU328202 AMQ327684:AMQ328202 AWM327684:AWM328202 BGI327684:BGI328202 BQE327684:BQE328202 CAA327684:CAA328202 CJW327684:CJW328202 CTS327684:CTS328202 DDO327684:DDO328202 DNK327684:DNK328202 DXG327684:DXG328202 EHC327684:EHC328202 EQY327684:EQY328202 FAU327684:FAU328202 FKQ327684:FKQ328202 FUM327684:FUM328202 GEI327684:GEI328202 GOE327684:GOE328202 GYA327684:GYA328202 HHW327684:HHW328202 HRS327684:HRS328202 IBO327684:IBO328202 ILK327684:ILK328202 IVG327684:IVG328202 JFC327684:JFC328202 JOY327684:JOY328202 JYU327684:JYU328202 KIQ327684:KIQ328202 KSM327684:KSM328202 LCI327684:LCI328202 LME327684:LME328202 LWA327684:LWA328202 MFW327684:MFW328202 MPS327684:MPS328202 MZO327684:MZO328202 NJK327684:NJK328202 NTG327684:NTG328202 ODC327684:ODC328202 OMY327684:OMY328202 OWU327684:OWU328202 PGQ327684:PGQ328202 PQM327684:PQM328202 QAI327684:QAI328202 QKE327684:QKE328202 QUA327684:QUA328202 RDW327684:RDW328202 RNS327684:RNS328202 RXO327684:RXO328202 SHK327684:SHK328202 SRG327684:SRG328202 TBC327684:TBC328202 TKY327684:TKY328202 TUU327684:TUU328202 UEQ327684:UEQ328202 UOM327684:UOM328202 UYI327684:UYI328202 VIE327684:VIE328202 VSA327684:VSA328202 WBW327684:WBW328202 WLS327684:WLS328202 WVO327684:WVO328202 G393220:G393738 JC393220:JC393738 SY393220:SY393738 ACU393220:ACU393738 AMQ393220:AMQ393738 AWM393220:AWM393738 BGI393220:BGI393738 BQE393220:BQE393738 CAA393220:CAA393738 CJW393220:CJW393738 CTS393220:CTS393738 DDO393220:DDO393738 DNK393220:DNK393738 DXG393220:DXG393738 EHC393220:EHC393738 EQY393220:EQY393738 FAU393220:FAU393738 FKQ393220:FKQ393738 FUM393220:FUM393738 GEI393220:GEI393738 GOE393220:GOE393738 GYA393220:GYA393738 HHW393220:HHW393738 HRS393220:HRS393738 IBO393220:IBO393738 ILK393220:ILK393738 IVG393220:IVG393738 JFC393220:JFC393738 JOY393220:JOY393738 JYU393220:JYU393738 KIQ393220:KIQ393738 KSM393220:KSM393738 LCI393220:LCI393738 LME393220:LME393738 LWA393220:LWA393738 MFW393220:MFW393738 MPS393220:MPS393738 MZO393220:MZO393738 NJK393220:NJK393738 NTG393220:NTG393738 ODC393220:ODC393738 OMY393220:OMY393738 OWU393220:OWU393738 PGQ393220:PGQ393738 PQM393220:PQM393738 QAI393220:QAI393738 QKE393220:QKE393738 QUA393220:QUA393738 RDW393220:RDW393738 RNS393220:RNS393738 RXO393220:RXO393738 SHK393220:SHK393738 SRG393220:SRG393738 TBC393220:TBC393738 TKY393220:TKY393738 TUU393220:TUU393738 UEQ393220:UEQ393738 UOM393220:UOM393738 UYI393220:UYI393738 VIE393220:VIE393738 VSA393220:VSA393738 WBW393220:WBW393738 WLS393220:WLS393738 WVO393220:WVO393738 G458756:G459274 JC458756:JC459274 SY458756:SY459274 ACU458756:ACU459274 AMQ458756:AMQ459274 AWM458756:AWM459274 BGI458756:BGI459274 BQE458756:BQE459274 CAA458756:CAA459274 CJW458756:CJW459274 CTS458756:CTS459274 DDO458756:DDO459274 DNK458756:DNK459274 DXG458756:DXG459274 EHC458756:EHC459274 EQY458756:EQY459274 FAU458756:FAU459274 FKQ458756:FKQ459274 FUM458756:FUM459274 GEI458756:GEI459274 GOE458756:GOE459274 GYA458756:GYA459274 HHW458756:HHW459274 HRS458756:HRS459274 IBO458756:IBO459274 ILK458756:ILK459274 IVG458756:IVG459274 JFC458756:JFC459274 JOY458756:JOY459274 JYU458756:JYU459274 KIQ458756:KIQ459274 KSM458756:KSM459274 LCI458756:LCI459274 LME458756:LME459274 LWA458756:LWA459274 MFW458756:MFW459274 MPS458756:MPS459274 MZO458756:MZO459274 NJK458756:NJK459274 NTG458756:NTG459274 ODC458756:ODC459274 OMY458756:OMY459274 OWU458756:OWU459274 PGQ458756:PGQ459274 PQM458756:PQM459274 QAI458756:QAI459274 QKE458756:QKE459274 QUA458756:QUA459274 RDW458756:RDW459274 RNS458756:RNS459274 RXO458756:RXO459274 SHK458756:SHK459274 SRG458756:SRG459274 TBC458756:TBC459274 TKY458756:TKY459274 TUU458756:TUU459274 UEQ458756:UEQ459274 UOM458756:UOM459274 UYI458756:UYI459274 VIE458756:VIE459274 VSA458756:VSA459274 WBW458756:WBW459274 WLS458756:WLS459274 WVO458756:WVO459274 G524292:G524810 JC524292:JC524810 SY524292:SY524810 ACU524292:ACU524810 AMQ524292:AMQ524810 AWM524292:AWM524810 BGI524292:BGI524810 BQE524292:BQE524810 CAA524292:CAA524810 CJW524292:CJW524810 CTS524292:CTS524810 DDO524292:DDO524810 DNK524292:DNK524810 DXG524292:DXG524810 EHC524292:EHC524810 EQY524292:EQY524810 FAU524292:FAU524810 FKQ524292:FKQ524810 FUM524292:FUM524810 GEI524292:GEI524810 GOE524292:GOE524810 GYA524292:GYA524810 HHW524292:HHW524810 HRS524292:HRS524810 IBO524292:IBO524810 ILK524292:ILK524810 IVG524292:IVG524810 JFC524292:JFC524810 JOY524292:JOY524810 JYU524292:JYU524810 KIQ524292:KIQ524810 KSM524292:KSM524810 LCI524292:LCI524810 LME524292:LME524810 LWA524292:LWA524810 MFW524292:MFW524810 MPS524292:MPS524810 MZO524292:MZO524810 NJK524292:NJK524810 NTG524292:NTG524810 ODC524292:ODC524810 OMY524292:OMY524810 OWU524292:OWU524810 PGQ524292:PGQ524810 PQM524292:PQM524810 QAI524292:QAI524810 QKE524292:QKE524810 QUA524292:QUA524810 RDW524292:RDW524810 RNS524292:RNS524810 RXO524292:RXO524810 SHK524292:SHK524810 SRG524292:SRG524810 TBC524292:TBC524810 TKY524292:TKY524810 TUU524292:TUU524810 UEQ524292:UEQ524810 UOM524292:UOM524810 UYI524292:UYI524810 VIE524292:VIE524810 VSA524292:VSA524810 WBW524292:WBW524810 WLS524292:WLS524810 WVO524292:WVO524810 G589828:G590346 JC589828:JC590346 SY589828:SY590346 ACU589828:ACU590346 AMQ589828:AMQ590346 AWM589828:AWM590346 BGI589828:BGI590346 BQE589828:BQE590346 CAA589828:CAA590346 CJW589828:CJW590346 CTS589828:CTS590346 DDO589828:DDO590346 DNK589828:DNK590346 DXG589828:DXG590346 EHC589828:EHC590346 EQY589828:EQY590346 FAU589828:FAU590346 FKQ589828:FKQ590346 FUM589828:FUM590346 GEI589828:GEI590346 GOE589828:GOE590346 GYA589828:GYA590346 HHW589828:HHW590346 HRS589828:HRS590346 IBO589828:IBO590346 ILK589828:ILK590346 IVG589828:IVG590346 JFC589828:JFC590346 JOY589828:JOY590346 JYU589828:JYU590346 KIQ589828:KIQ590346 KSM589828:KSM590346 LCI589828:LCI590346 LME589828:LME590346 LWA589828:LWA590346 MFW589828:MFW590346 MPS589828:MPS590346 MZO589828:MZO590346 NJK589828:NJK590346 NTG589828:NTG590346 ODC589828:ODC590346 OMY589828:OMY590346 OWU589828:OWU590346 PGQ589828:PGQ590346 PQM589828:PQM590346 QAI589828:QAI590346 QKE589828:QKE590346 QUA589828:QUA590346 RDW589828:RDW590346 RNS589828:RNS590346 RXO589828:RXO590346 SHK589828:SHK590346 SRG589828:SRG590346 TBC589828:TBC590346 TKY589828:TKY590346 TUU589828:TUU590346 UEQ589828:UEQ590346 UOM589828:UOM590346 UYI589828:UYI590346 VIE589828:VIE590346 VSA589828:VSA590346 WBW589828:WBW590346 WLS589828:WLS590346 WVO589828:WVO590346 G655364:G655882 JC655364:JC655882 SY655364:SY655882 ACU655364:ACU655882 AMQ655364:AMQ655882 AWM655364:AWM655882 BGI655364:BGI655882 BQE655364:BQE655882 CAA655364:CAA655882 CJW655364:CJW655882 CTS655364:CTS655882 DDO655364:DDO655882 DNK655364:DNK655882 DXG655364:DXG655882 EHC655364:EHC655882 EQY655364:EQY655882 FAU655364:FAU655882 FKQ655364:FKQ655882 FUM655364:FUM655882 GEI655364:GEI655882 GOE655364:GOE655882 GYA655364:GYA655882 HHW655364:HHW655882 HRS655364:HRS655882 IBO655364:IBO655882 ILK655364:ILK655882 IVG655364:IVG655882 JFC655364:JFC655882 JOY655364:JOY655882 JYU655364:JYU655882 KIQ655364:KIQ655882 KSM655364:KSM655882 LCI655364:LCI655882 LME655364:LME655882 LWA655364:LWA655882 MFW655364:MFW655882 MPS655364:MPS655882 MZO655364:MZO655882 NJK655364:NJK655882 NTG655364:NTG655882 ODC655364:ODC655882 OMY655364:OMY655882 OWU655364:OWU655882 PGQ655364:PGQ655882 PQM655364:PQM655882 QAI655364:QAI655882 QKE655364:QKE655882 QUA655364:QUA655882 RDW655364:RDW655882 RNS655364:RNS655882 RXO655364:RXO655882 SHK655364:SHK655882 SRG655364:SRG655882 TBC655364:TBC655882 TKY655364:TKY655882 TUU655364:TUU655882 UEQ655364:UEQ655882 UOM655364:UOM655882 UYI655364:UYI655882 VIE655364:VIE655882 VSA655364:VSA655882 WBW655364:WBW655882 WLS655364:WLS655882 WVO655364:WVO655882 G720900:G721418 JC720900:JC721418 SY720900:SY721418 ACU720900:ACU721418 AMQ720900:AMQ721418 AWM720900:AWM721418 BGI720900:BGI721418 BQE720900:BQE721418 CAA720900:CAA721418 CJW720900:CJW721418 CTS720900:CTS721418 DDO720900:DDO721418 DNK720900:DNK721418 DXG720900:DXG721418 EHC720900:EHC721418 EQY720900:EQY721418 FAU720900:FAU721418 FKQ720900:FKQ721418 FUM720900:FUM721418 GEI720900:GEI721418 GOE720900:GOE721418 GYA720900:GYA721418 HHW720900:HHW721418 HRS720900:HRS721418 IBO720900:IBO721418 ILK720900:ILK721418 IVG720900:IVG721418 JFC720900:JFC721418 JOY720900:JOY721418 JYU720900:JYU721418 KIQ720900:KIQ721418 KSM720900:KSM721418 LCI720900:LCI721418 LME720900:LME721418 LWA720900:LWA721418 MFW720900:MFW721418 MPS720900:MPS721418 MZO720900:MZO721418 NJK720900:NJK721418 NTG720900:NTG721418 ODC720900:ODC721418 OMY720900:OMY721418 OWU720900:OWU721418 PGQ720900:PGQ721418 PQM720900:PQM721418 QAI720900:QAI721418 QKE720900:QKE721418 QUA720900:QUA721418 RDW720900:RDW721418 RNS720900:RNS721418 RXO720900:RXO721418 SHK720900:SHK721418 SRG720900:SRG721418 TBC720900:TBC721418 TKY720900:TKY721418 TUU720900:TUU721418 UEQ720900:UEQ721418 UOM720900:UOM721418 UYI720900:UYI721418 VIE720900:VIE721418 VSA720900:VSA721418 WBW720900:WBW721418 WLS720900:WLS721418 WVO720900:WVO721418 G786436:G786954 JC786436:JC786954 SY786436:SY786954 ACU786436:ACU786954 AMQ786436:AMQ786954 AWM786436:AWM786954 BGI786436:BGI786954 BQE786436:BQE786954 CAA786436:CAA786954 CJW786436:CJW786954 CTS786436:CTS786954 DDO786436:DDO786954 DNK786436:DNK786954 DXG786436:DXG786954 EHC786436:EHC786954 EQY786436:EQY786954 FAU786436:FAU786954 FKQ786436:FKQ786954 FUM786436:FUM786954 GEI786436:GEI786954 GOE786436:GOE786954 GYA786436:GYA786954 HHW786436:HHW786954 HRS786436:HRS786954 IBO786436:IBO786954 ILK786436:ILK786954 IVG786436:IVG786954 JFC786436:JFC786954 JOY786436:JOY786954 JYU786436:JYU786954 KIQ786436:KIQ786954 KSM786436:KSM786954 LCI786436:LCI786954 LME786436:LME786954 LWA786436:LWA786954 MFW786436:MFW786954 MPS786436:MPS786954 MZO786436:MZO786954 NJK786436:NJK786954 NTG786436:NTG786954 ODC786436:ODC786954 OMY786436:OMY786954 OWU786436:OWU786954 PGQ786436:PGQ786954 PQM786436:PQM786954 QAI786436:QAI786954 QKE786436:QKE786954 QUA786436:QUA786954 RDW786436:RDW786954 RNS786436:RNS786954 RXO786436:RXO786954 SHK786436:SHK786954 SRG786436:SRG786954 TBC786436:TBC786954 TKY786436:TKY786954 TUU786436:TUU786954 UEQ786436:UEQ786954 UOM786436:UOM786954 UYI786436:UYI786954 VIE786436:VIE786954 VSA786436:VSA786954 WBW786436:WBW786954 WLS786436:WLS786954 WVO786436:WVO786954 G851972:G852490 JC851972:JC852490 SY851972:SY852490 ACU851972:ACU852490 AMQ851972:AMQ852490 AWM851972:AWM852490 BGI851972:BGI852490 BQE851972:BQE852490 CAA851972:CAA852490 CJW851972:CJW852490 CTS851972:CTS852490 DDO851972:DDO852490 DNK851972:DNK852490 DXG851972:DXG852490 EHC851972:EHC852490 EQY851972:EQY852490 FAU851972:FAU852490 FKQ851972:FKQ852490 FUM851972:FUM852490 GEI851972:GEI852490 GOE851972:GOE852490 GYA851972:GYA852490 HHW851972:HHW852490 HRS851972:HRS852490 IBO851972:IBO852490 ILK851972:ILK852490 IVG851972:IVG852490 JFC851972:JFC852490 JOY851972:JOY852490 JYU851972:JYU852490 KIQ851972:KIQ852490 KSM851972:KSM852490 LCI851972:LCI852490 LME851972:LME852490 LWA851972:LWA852490 MFW851972:MFW852490 MPS851972:MPS852490 MZO851972:MZO852490 NJK851972:NJK852490 NTG851972:NTG852490 ODC851972:ODC852490 OMY851972:OMY852490 OWU851972:OWU852490 PGQ851972:PGQ852490 PQM851972:PQM852490 QAI851972:QAI852490 QKE851972:QKE852490 QUA851972:QUA852490 RDW851972:RDW852490 RNS851972:RNS852490 RXO851972:RXO852490 SHK851972:SHK852490 SRG851972:SRG852490 TBC851972:TBC852490 TKY851972:TKY852490 TUU851972:TUU852490 UEQ851972:UEQ852490 UOM851972:UOM852490 UYI851972:UYI852490 VIE851972:VIE852490 VSA851972:VSA852490 WBW851972:WBW852490 WLS851972:WLS852490 WVO851972:WVO852490 G917508:G918026 JC917508:JC918026 SY917508:SY918026 ACU917508:ACU918026 AMQ917508:AMQ918026 AWM917508:AWM918026 BGI917508:BGI918026 BQE917508:BQE918026 CAA917508:CAA918026 CJW917508:CJW918026 CTS917508:CTS918026 DDO917508:DDO918026 DNK917508:DNK918026 DXG917508:DXG918026 EHC917508:EHC918026 EQY917508:EQY918026 FAU917508:FAU918026 FKQ917508:FKQ918026 FUM917508:FUM918026 GEI917508:GEI918026 GOE917508:GOE918026 GYA917508:GYA918026 HHW917508:HHW918026 HRS917508:HRS918026 IBO917508:IBO918026 ILK917508:ILK918026 IVG917508:IVG918026 JFC917508:JFC918026 JOY917508:JOY918026 JYU917508:JYU918026 KIQ917508:KIQ918026 KSM917508:KSM918026 LCI917508:LCI918026 LME917508:LME918026 LWA917508:LWA918026 MFW917508:MFW918026 MPS917508:MPS918026 MZO917508:MZO918026 NJK917508:NJK918026 NTG917508:NTG918026 ODC917508:ODC918026 OMY917508:OMY918026 OWU917508:OWU918026 PGQ917508:PGQ918026 PQM917508:PQM918026 QAI917508:QAI918026 QKE917508:QKE918026 QUA917508:QUA918026 RDW917508:RDW918026 RNS917508:RNS918026 RXO917508:RXO918026 SHK917508:SHK918026 SRG917508:SRG918026 TBC917508:TBC918026 TKY917508:TKY918026 TUU917508:TUU918026 UEQ917508:UEQ918026 UOM917508:UOM918026 UYI917508:UYI918026 VIE917508:VIE918026 VSA917508:VSA918026 WBW917508:WBW918026 WLS917508:WLS918026 WVO917508:WVO918026 G983044:G983562 JC983044:JC983562 SY983044:SY983562 ACU983044:ACU983562 AMQ983044:AMQ983562 AWM983044:AWM983562 BGI983044:BGI983562 BQE983044:BQE983562 CAA983044:CAA983562 CJW983044:CJW983562 CTS983044:CTS983562 DDO983044:DDO983562 DNK983044:DNK983562 DXG983044:DXG983562 EHC983044:EHC983562 EQY983044:EQY983562 FAU983044:FAU983562 FKQ983044:FKQ983562 FUM983044:FUM983562 GEI983044:GEI983562 GOE983044:GOE983562 GYA983044:GYA983562 HHW983044:HHW983562 HRS983044:HRS983562 IBO983044:IBO983562 ILK983044:ILK983562 IVG983044:IVG983562 JFC983044:JFC983562 JOY983044:JOY983562 JYU983044:JYU983562 KIQ983044:KIQ983562 KSM983044:KSM983562 LCI983044:LCI983562 LME983044:LME983562 LWA983044:LWA983562 MFW983044:MFW983562 MPS983044:MPS983562 MZO983044:MZO983562 NJK983044:NJK983562 NTG983044:NTG983562 ODC983044:ODC983562 OMY983044:OMY983562 OWU983044:OWU983562 PGQ983044:PGQ983562 PQM983044:PQM983562 QAI983044:QAI983562 QKE983044:QKE983562 QUA983044:QUA983562 RDW983044:RDW983562 RNS983044:RNS983562 RXO983044:RXO983562 SHK983044:SHK983562 SRG983044:SRG983562 TBC983044:TBC983562 TKY983044:TKY983562 TUU983044:TUU983562 UEQ983044:UEQ983562 UOM983044:UOM983562 UYI983044:UYI983562 VIE983044:VIE983562 VSA983044:VSA983562 WBW983044:WBW983562 WLS983044:WLS983562 WVO4:WVO522 WLS4:WLS522 WBW4:WBW522 VSA4:VSA522 VIE4:VIE522 UYI4:UYI522 UOM4:UOM522 UEQ4:UEQ522 TUU4:TUU522 TKY4:TKY522 TBC4:TBC522 SRG4:SRG522 SHK4:SHK522 RXO4:RXO522 RNS4:RNS522 RDW4:RDW522 QUA4:QUA522 QKE4:QKE522 QAI4:QAI522 PQM4:PQM522 PGQ4:PGQ522 OWU4:OWU522 OMY4:OMY522 ODC4:ODC522 NTG4:NTG522 NJK4:NJK522 MZO4:MZO522 MPS4:MPS522 MFW4:MFW522 LWA4:LWA522 LME4:LME522 LCI4:LCI522 KSM4:KSM522 KIQ4:KIQ522 JYU4:JYU522 JOY4:JOY522 JFC4:JFC522 IVG4:IVG522 ILK4:ILK522 IBO4:IBO522 HRS4:HRS522 HHW4:HHW522 GYA4:GYA522 GOE4:GOE522 GEI4:GEI522 FUM4:FUM522 FKQ4:FKQ522 FAU4:FAU522 EQY4:EQY522 EHC4:EHC522 DXG4:DXG522 DNK4:DNK522 DDO4:DDO522 CTS4:CTS522 CJW4:CJW522 CAA4:CAA522 BQE4:BQE522 BGI4:BGI522 AWM4:AWM522 AMQ4:AMQ522 ACU4:ACU522 SY4:SY522 JC4:JC522 G4:G522" xr:uid="{00000000-0002-0000-0500-000000000000}">
      <formula1>"Not Started, In Progress, Completed"</formula1>
    </dataValidation>
  </dataValidations>
  <printOptions horizontalCentered="1"/>
  <pageMargins left="0.25" right="0.25" top="0.75" bottom="0.75" header="0.3" footer="0.3"/>
  <pageSetup paperSize="3" scale="53" fitToHeight="0" orientation="landscape" horizontalDpi="300" verticalDpi="300" r:id="rId1"/>
  <headerFooter scaleWithDoc="0" alignWithMargins="0">
    <oddFooter>&amp;L&amp;D&amp;C&amp;F&amp;RPage &amp;P of &amp;N</oddFooter>
  </headerFooter>
  <rowBreaks count="1" manualBreakCount="1">
    <brk id="113" max="251" man="1"/>
  </rowBreak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4">
    <pageSetUpPr fitToPage="1"/>
  </sheetPr>
  <dimension ref="A1:H14"/>
  <sheetViews>
    <sheetView workbookViewId="0">
      <selection activeCell="D4" sqref="D4"/>
    </sheetView>
  </sheetViews>
  <sheetFormatPr defaultColWidth="9.140625" defaultRowHeight="15" customHeight="1" x14ac:dyDescent="0.2"/>
  <cols>
    <col min="1" max="1" width="22.28515625" style="817" customWidth="1"/>
    <col min="2" max="2" width="18.85546875" style="817" customWidth="1"/>
    <col min="3" max="3" width="5.7109375" style="817" customWidth="1"/>
    <col min="4" max="4" width="15.85546875" style="817" bestFit="1" customWidth="1"/>
    <col min="5" max="5" width="5.7109375" style="817" customWidth="1"/>
    <col min="6" max="6" width="11.85546875" style="817" bestFit="1" customWidth="1"/>
    <col min="7" max="7" width="5.7109375" style="817" customWidth="1"/>
    <col min="8" max="8" width="22.7109375" style="820" bestFit="1" customWidth="1"/>
    <col min="9" max="16384" width="9.140625" style="817"/>
  </cols>
  <sheetData>
    <row r="1" spans="1:8" ht="15" customHeight="1" x14ac:dyDescent="0.25">
      <c r="B1" s="818" t="s">
        <v>1614</v>
      </c>
      <c r="C1" s="818"/>
      <c r="E1" s="819"/>
      <c r="F1" s="819"/>
    </row>
    <row r="3" spans="1:8" ht="15" customHeight="1" x14ac:dyDescent="0.25">
      <c r="A3" s="821"/>
      <c r="B3" s="823" t="s">
        <v>1827</v>
      </c>
      <c r="C3" s="823"/>
      <c r="D3" s="820" t="s">
        <v>1615</v>
      </c>
      <c r="E3" s="820"/>
      <c r="F3" s="820" t="s">
        <v>1823</v>
      </c>
      <c r="G3" s="820"/>
      <c r="H3" s="820" t="s">
        <v>1824</v>
      </c>
    </row>
    <row r="4" spans="1:8" ht="15" customHeight="1" x14ac:dyDescent="0.25">
      <c r="A4" s="823" t="s">
        <v>18</v>
      </c>
      <c r="B4" s="825">
        <f>'MCAA RECAP'!G18-'MCAA RECAP'!D27-'MCAA RECAP'!G12</f>
        <v>4270.84</v>
      </c>
      <c r="C4" s="825"/>
      <c r="D4" s="826"/>
      <c r="E4" s="822"/>
      <c r="F4" s="827"/>
      <c r="G4" s="822"/>
      <c r="H4" s="829">
        <f>IF(F4&gt;B4,ROUND(D4*B4,0),ROUND(D4*F4,0))</f>
        <v>0</v>
      </c>
    </row>
    <row r="5" spans="1:8" ht="15" customHeight="1" x14ac:dyDescent="0.2">
      <c r="B5" s="824"/>
      <c r="C5" s="824"/>
    </row>
    <row r="6" spans="1:8" ht="15" customHeight="1" x14ac:dyDescent="0.25">
      <c r="A6" s="823" t="s">
        <v>19</v>
      </c>
      <c r="B6" s="825">
        <f>'MCAA RECAP'!H18</f>
        <v>529.59999999999991</v>
      </c>
      <c r="C6" s="825"/>
      <c r="D6" s="826"/>
      <c r="E6" s="822"/>
      <c r="F6" s="827"/>
      <c r="G6" s="822"/>
      <c r="H6" s="829">
        <f>IF(F6&gt;B6,ROUND(D6*B6,0),ROUND(D6*F6,0))</f>
        <v>0</v>
      </c>
    </row>
    <row r="7" spans="1:8" ht="15" customHeight="1" x14ac:dyDescent="0.2">
      <c r="B7" s="824"/>
      <c r="C7" s="824"/>
    </row>
    <row r="8" spans="1:8" ht="15" customHeight="1" x14ac:dyDescent="0.25">
      <c r="A8" s="823" t="s">
        <v>1616</v>
      </c>
      <c r="B8" s="825">
        <f>'MCAA RECAP'!D27</f>
        <v>0</v>
      </c>
      <c r="C8" s="825"/>
      <c r="D8" s="826"/>
      <c r="E8" s="822"/>
      <c r="F8" s="827"/>
      <c r="G8" s="822"/>
      <c r="H8" s="829">
        <f>IF(F8&gt;B8,ROUND(D8*B8,0),ROUND(D8*F8,0))</f>
        <v>0</v>
      </c>
    </row>
    <row r="9" spans="1:8" ht="15" customHeight="1" x14ac:dyDescent="0.2">
      <c r="B9" s="824"/>
      <c r="C9" s="824"/>
    </row>
    <row r="10" spans="1:8" ht="15" customHeight="1" x14ac:dyDescent="0.25">
      <c r="A10" s="823" t="s">
        <v>1826</v>
      </c>
      <c r="B10" s="825">
        <f>'MCAA RECAP'!E18-'MCAA RECAP'!E12</f>
        <v>0</v>
      </c>
      <c r="C10" s="825"/>
      <c r="D10" s="826"/>
      <c r="E10" s="822"/>
      <c r="F10" s="827"/>
      <c r="G10" s="822"/>
      <c r="H10" s="829">
        <f>IF(F10&gt;B10,ROUND(D10*B10,0),ROUND(D10*F10,0))</f>
        <v>0</v>
      </c>
    </row>
    <row r="11" spans="1:8" ht="15" customHeight="1" x14ac:dyDescent="0.2">
      <c r="B11" s="824"/>
      <c r="C11" s="824"/>
    </row>
    <row r="12" spans="1:8" ht="15" customHeight="1" x14ac:dyDescent="0.25">
      <c r="A12" s="823" t="s">
        <v>1825</v>
      </c>
      <c r="B12" s="825">
        <f>'MCAA RECAP'!F18-'MCAA RECAP'!F12</f>
        <v>0</v>
      </c>
      <c r="C12" s="825"/>
      <c r="D12" s="826"/>
      <c r="E12" s="822"/>
      <c r="F12" s="827"/>
      <c r="G12" s="822"/>
      <c r="H12" s="829">
        <f>IF(F12&gt;B12,ROUND(D12*B12,0),ROUND(D12*F12,0))</f>
        <v>0</v>
      </c>
    </row>
    <row r="13" spans="1:8" ht="15" customHeight="1" x14ac:dyDescent="0.2">
      <c r="B13" s="824"/>
      <c r="C13" s="824"/>
    </row>
    <row r="14" spans="1:8" ht="15.75" x14ac:dyDescent="0.25">
      <c r="G14" s="821" t="s">
        <v>79</v>
      </c>
      <c r="H14" s="828">
        <f>SUM(H4:H12)</f>
        <v>0</v>
      </c>
    </row>
  </sheetData>
  <sheetProtection algorithmName="SHA-512" hashValue="XGWXk9TfpbP4Ddcdngx6Uw7kSjTlDfVEHlSA+jOFstAW8qzg9vDVgZNfu5EtBzUZKS85vIYnpguu3BrLC7/lMg==" saltValue="B5gSc6t+sSpskbDrRStlYg==" spinCount="100000" sheet="1" objects="1" scenarios="1" sort="0" autoFilter="0" pivotTables="0"/>
  <pageMargins left="0.7" right="0.7" top="0.75" bottom="0.75" header="0.3" footer="0.3"/>
  <pageSetup scale="67"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dimension ref="A1:H18"/>
  <sheetViews>
    <sheetView workbookViewId="0">
      <selection sqref="A1:E1"/>
    </sheetView>
  </sheetViews>
  <sheetFormatPr defaultColWidth="9.140625" defaultRowHeight="12.75" x14ac:dyDescent="0.2"/>
  <cols>
    <col min="1" max="1" width="19.42578125" style="97" customWidth="1"/>
    <col min="2" max="2" width="6.85546875" style="97" customWidth="1"/>
    <col min="3" max="3" width="13.5703125" style="97" customWidth="1"/>
    <col min="4" max="4" width="6.85546875" style="97" customWidth="1"/>
    <col min="5" max="5" width="16.28515625" style="97" customWidth="1"/>
    <col min="6" max="7" width="9.140625" style="97"/>
    <col min="8" max="8" width="12.28515625" style="97" bestFit="1" customWidth="1"/>
    <col min="9" max="16384" width="9.140625" style="97"/>
  </cols>
  <sheetData>
    <row r="1" spans="1:8" ht="15.75" x14ac:dyDescent="0.25">
      <c r="A1" s="858" t="s">
        <v>1363</v>
      </c>
      <c r="B1" s="858"/>
      <c r="C1" s="858"/>
      <c r="D1" s="858"/>
      <c r="E1" s="858"/>
    </row>
    <row r="3" spans="1:8" x14ac:dyDescent="0.2">
      <c r="A3" s="488"/>
      <c r="C3" s="488" t="s">
        <v>1368</v>
      </c>
    </row>
    <row r="4" spans="1:8" x14ac:dyDescent="0.2">
      <c r="A4" s="488" t="s">
        <v>1364</v>
      </c>
      <c r="C4" s="488" t="s">
        <v>1366</v>
      </c>
      <c r="E4" s="488" t="s">
        <v>1298</v>
      </c>
    </row>
    <row r="5" spans="1:8" ht="13.5" thickBot="1" x14ac:dyDescent="0.25">
      <c r="A5" s="488" t="s">
        <v>1365</v>
      </c>
      <c r="C5" s="488" t="s">
        <v>1367</v>
      </c>
      <c r="E5" s="488" t="s">
        <v>1361</v>
      </c>
    </row>
    <row r="6" spans="1:8" ht="13.5" thickBot="1" x14ac:dyDescent="0.25">
      <c r="A6" s="489">
        <f>SUMIFS(SM_MaterialColumn,TakeOff!P:P,"Yes")</f>
        <v>0</v>
      </c>
      <c r="C6" s="490">
        <f>'MCAA RECAP'!G62</f>
        <v>0.32500000000000001</v>
      </c>
      <c r="E6" s="489">
        <f>ROUND(A6*C6,2)</f>
        <v>0</v>
      </c>
      <c r="H6" s="105"/>
    </row>
    <row r="7" spans="1:8" x14ac:dyDescent="0.2">
      <c r="H7" s="105"/>
    </row>
    <row r="9" spans="1:8" x14ac:dyDescent="0.2">
      <c r="A9" s="622"/>
      <c r="C9" s="488" t="s">
        <v>1369</v>
      </c>
      <c r="E9" s="488"/>
    </row>
    <row r="10" spans="1:8" x14ac:dyDescent="0.2">
      <c r="C10" s="488" t="s">
        <v>1368</v>
      </c>
      <c r="E10" s="488" t="s">
        <v>1369</v>
      </c>
    </row>
    <row r="11" spans="1:8" ht="13.5" thickBot="1" x14ac:dyDescent="0.25">
      <c r="C11" s="488" t="s">
        <v>1370</v>
      </c>
      <c r="E11" s="488" t="s">
        <v>1361</v>
      </c>
    </row>
    <row r="12" spans="1:8" ht="13.5" thickBot="1" x14ac:dyDescent="0.25">
      <c r="A12" s="622"/>
      <c r="C12" s="490">
        <f>'MCAA RECAP'!G61</f>
        <v>0.1</v>
      </c>
      <c r="E12" s="489">
        <f>ROUND(A6*C12,2)</f>
        <v>0</v>
      </c>
    </row>
    <row r="15" spans="1:8" x14ac:dyDescent="0.2">
      <c r="A15" s="622"/>
      <c r="E15" s="488" t="str">
        <f>IF(E6-E12&lt;0,"Amount added","Amount reduced")</f>
        <v>Amount reduced</v>
      </c>
    </row>
    <row r="16" spans="1:8" x14ac:dyDescent="0.2">
      <c r="E16" s="488" t="str">
        <f>IF(E6-E12&lt;0,"to estimate","from estimate")</f>
        <v>from estimate</v>
      </c>
    </row>
    <row r="17" spans="5:5" ht="13.5" thickBot="1" x14ac:dyDescent="0.25">
      <c r="E17" s="488" t="s">
        <v>1371</v>
      </c>
    </row>
    <row r="18" spans="5:5" ht="13.5" thickBot="1" x14ac:dyDescent="0.25">
      <c r="E18" s="489">
        <f>ABS(E6-E12)</f>
        <v>0</v>
      </c>
    </row>
  </sheetData>
  <sheetProtection algorithmName="SHA-512" hashValue="lZDziv/nBx5slgIMbVFwdfk7vzSn+AmaD5JE+gLIbFfjKfFPmh96Xhk8ifUCg3pjzU0pafNxdDTCWfWah4N0aw==" saltValue="aQbq2L5O71MOqRHcm9gLFQ==" spinCount="100000" sheet="1" objects="1" scenarios="1" sort="0" autoFilter="0" pivotTables="0"/>
  <mergeCells count="1">
    <mergeCell ref="A1:E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pageSetUpPr fitToPage="1"/>
  </sheetPr>
  <dimension ref="A1:W58"/>
  <sheetViews>
    <sheetView workbookViewId="0"/>
  </sheetViews>
  <sheetFormatPr defaultRowHeight="12.75" x14ac:dyDescent="0.2"/>
  <cols>
    <col min="1" max="1" width="5.7109375" style="508" customWidth="1"/>
    <col min="2" max="2" width="12.28515625" style="508" bestFit="1" customWidth="1"/>
    <col min="3" max="3" width="16" style="508" bestFit="1" customWidth="1"/>
    <col min="4" max="4" width="9.140625" style="508"/>
    <col min="5" max="5" width="11.28515625" style="508" customWidth="1"/>
    <col min="6" max="6" width="16.42578125" style="508" customWidth="1"/>
    <col min="7" max="7" width="4.7109375" style="508" customWidth="1"/>
    <col min="8" max="8" width="9.140625" style="508"/>
    <col min="9" max="10" width="5.7109375" style="508" customWidth="1"/>
    <col min="11" max="11" width="12.28515625" style="508" bestFit="1" customWidth="1"/>
    <col min="12" max="12" width="16" style="508" bestFit="1" customWidth="1"/>
    <col min="13" max="13" width="9.140625" style="508"/>
    <col min="14" max="14" width="11.28515625" style="508" customWidth="1"/>
    <col min="15" max="15" width="16.42578125" style="508" customWidth="1"/>
    <col min="16" max="16" width="4.7109375" style="508" customWidth="1"/>
    <col min="17" max="17" width="10.140625" style="508" bestFit="1" customWidth="1"/>
    <col min="18" max="18" width="9.140625" style="508"/>
    <col min="19" max="19" width="12.28515625" style="508" bestFit="1" customWidth="1"/>
    <col min="20" max="20" width="16" style="508" bestFit="1" customWidth="1"/>
    <col min="21" max="21" width="9.140625" style="508"/>
    <col min="22" max="22" width="11.28515625" style="508" customWidth="1"/>
    <col min="23" max="23" width="16.42578125" style="508" customWidth="1"/>
    <col min="24" max="24" width="4.7109375" style="508" customWidth="1"/>
    <col min="25" max="256" width="9.140625" style="508"/>
    <col min="257" max="257" width="5.7109375" style="508" customWidth="1"/>
    <col min="258" max="258" width="12.28515625" style="508" bestFit="1" customWidth="1"/>
    <col min="259" max="259" width="16" style="508" bestFit="1" customWidth="1"/>
    <col min="260" max="260" width="9.140625" style="508"/>
    <col min="261" max="261" width="11.28515625" style="508" customWidth="1"/>
    <col min="262" max="262" width="16.42578125" style="508" customWidth="1"/>
    <col min="263" max="263" width="4.7109375" style="508" customWidth="1"/>
    <col min="264" max="264" width="9.140625" style="508"/>
    <col min="265" max="266" width="5.7109375" style="508" customWidth="1"/>
    <col min="267" max="267" width="12.28515625" style="508" bestFit="1" customWidth="1"/>
    <col min="268" max="268" width="16" style="508" bestFit="1" customWidth="1"/>
    <col min="269" max="269" width="9.140625" style="508"/>
    <col min="270" max="270" width="11.28515625" style="508" customWidth="1"/>
    <col min="271" max="271" width="16.42578125" style="508" customWidth="1"/>
    <col min="272" max="272" width="4.7109375" style="508" customWidth="1"/>
    <col min="273" max="273" width="10.140625" style="508" bestFit="1" customWidth="1"/>
    <col min="274" max="274" width="9.140625" style="508"/>
    <col min="275" max="275" width="12.28515625" style="508" bestFit="1" customWidth="1"/>
    <col min="276" max="276" width="16" style="508" bestFit="1" customWidth="1"/>
    <col min="277" max="277" width="9.140625" style="508"/>
    <col min="278" max="278" width="11.28515625" style="508" customWidth="1"/>
    <col min="279" max="279" width="16.42578125" style="508" customWidth="1"/>
    <col min="280" max="280" width="4.7109375" style="508" customWidth="1"/>
    <col min="281" max="512" width="9.140625" style="508"/>
    <col min="513" max="513" width="5.7109375" style="508" customWidth="1"/>
    <col min="514" max="514" width="12.28515625" style="508" bestFit="1" customWidth="1"/>
    <col min="515" max="515" width="16" style="508" bestFit="1" customWidth="1"/>
    <col min="516" max="516" width="9.140625" style="508"/>
    <col min="517" max="517" width="11.28515625" style="508" customWidth="1"/>
    <col min="518" max="518" width="16.42578125" style="508" customWidth="1"/>
    <col min="519" max="519" width="4.7109375" style="508" customWidth="1"/>
    <col min="520" max="520" width="9.140625" style="508"/>
    <col min="521" max="522" width="5.7109375" style="508" customWidth="1"/>
    <col min="523" max="523" width="12.28515625" style="508" bestFit="1" customWidth="1"/>
    <col min="524" max="524" width="16" style="508" bestFit="1" customWidth="1"/>
    <col min="525" max="525" width="9.140625" style="508"/>
    <col min="526" max="526" width="11.28515625" style="508" customWidth="1"/>
    <col min="527" max="527" width="16.42578125" style="508" customWidth="1"/>
    <col min="528" max="528" width="4.7109375" style="508" customWidth="1"/>
    <col min="529" max="529" width="10.140625" style="508" bestFit="1" customWidth="1"/>
    <col min="530" max="530" width="9.140625" style="508"/>
    <col min="531" max="531" width="12.28515625" style="508" bestFit="1" customWidth="1"/>
    <col min="532" max="532" width="16" style="508" bestFit="1" customWidth="1"/>
    <col min="533" max="533" width="9.140625" style="508"/>
    <col min="534" max="534" width="11.28515625" style="508" customWidth="1"/>
    <col min="535" max="535" width="16.42578125" style="508" customWidth="1"/>
    <col min="536" max="536" width="4.7109375" style="508" customWidth="1"/>
    <col min="537" max="768" width="9.140625" style="508"/>
    <col min="769" max="769" width="5.7109375" style="508" customWidth="1"/>
    <col min="770" max="770" width="12.28515625" style="508" bestFit="1" customWidth="1"/>
    <col min="771" max="771" width="16" style="508" bestFit="1" customWidth="1"/>
    <col min="772" max="772" width="9.140625" style="508"/>
    <col min="773" max="773" width="11.28515625" style="508" customWidth="1"/>
    <col min="774" max="774" width="16.42578125" style="508" customWidth="1"/>
    <col min="775" max="775" width="4.7109375" style="508" customWidth="1"/>
    <col min="776" max="776" width="9.140625" style="508"/>
    <col min="777" max="778" width="5.7109375" style="508" customWidth="1"/>
    <col min="779" max="779" width="12.28515625" style="508" bestFit="1" customWidth="1"/>
    <col min="780" max="780" width="16" style="508" bestFit="1" customWidth="1"/>
    <col min="781" max="781" width="9.140625" style="508"/>
    <col min="782" max="782" width="11.28515625" style="508" customWidth="1"/>
    <col min="783" max="783" width="16.42578125" style="508" customWidth="1"/>
    <col min="784" max="784" width="4.7109375" style="508" customWidth="1"/>
    <col min="785" max="785" width="10.140625" style="508" bestFit="1" customWidth="1"/>
    <col min="786" max="786" width="9.140625" style="508"/>
    <col min="787" max="787" width="12.28515625" style="508" bestFit="1" customWidth="1"/>
    <col min="788" max="788" width="16" style="508" bestFit="1" customWidth="1"/>
    <col min="789" max="789" width="9.140625" style="508"/>
    <col min="790" max="790" width="11.28515625" style="508" customWidth="1"/>
    <col min="791" max="791" width="16.42578125" style="508" customWidth="1"/>
    <col min="792" max="792" width="4.7109375" style="508" customWidth="1"/>
    <col min="793" max="1024" width="9.140625" style="508"/>
    <col min="1025" max="1025" width="5.7109375" style="508" customWidth="1"/>
    <col min="1026" max="1026" width="12.28515625" style="508" bestFit="1" customWidth="1"/>
    <col min="1027" max="1027" width="16" style="508" bestFit="1" customWidth="1"/>
    <col min="1028" max="1028" width="9.140625" style="508"/>
    <col min="1029" max="1029" width="11.28515625" style="508" customWidth="1"/>
    <col min="1030" max="1030" width="16.42578125" style="508" customWidth="1"/>
    <col min="1031" max="1031" width="4.7109375" style="508" customWidth="1"/>
    <col min="1032" max="1032" width="9.140625" style="508"/>
    <col min="1033" max="1034" width="5.7109375" style="508" customWidth="1"/>
    <col min="1035" max="1035" width="12.28515625" style="508" bestFit="1" customWidth="1"/>
    <col min="1036" max="1036" width="16" style="508" bestFit="1" customWidth="1"/>
    <col min="1037" max="1037" width="9.140625" style="508"/>
    <col min="1038" max="1038" width="11.28515625" style="508" customWidth="1"/>
    <col min="1039" max="1039" width="16.42578125" style="508" customWidth="1"/>
    <col min="1040" max="1040" width="4.7109375" style="508" customWidth="1"/>
    <col min="1041" max="1041" width="10.140625" style="508" bestFit="1" customWidth="1"/>
    <col min="1042" max="1042" width="9.140625" style="508"/>
    <col min="1043" max="1043" width="12.28515625" style="508" bestFit="1" customWidth="1"/>
    <col min="1044" max="1044" width="16" style="508" bestFit="1" customWidth="1"/>
    <col min="1045" max="1045" width="9.140625" style="508"/>
    <col min="1046" max="1046" width="11.28515625" style="508" customWidth="1"/>
    <col min="1047" max="1047" width="16.42578125" style="508" customWidth="1"/>
    <col min="1048" max="1048" width="4.7109375" style="508" customWidth="1"/>
    <col min="1049" max="1280" width="9.140625" style="508"/>
    <col min="1281" max="1281" width="5.7109375" style="508" customWidth="1"/>
    <col min="1282" max="1282" width="12.28515625" style="508" bestFit="1" customWidth="1"/>
    <col min="1283" max="1283" width="16" style="508" bestFit="1" customWidth="1"/>
    <col min="1284" max="1284" width="9.140625" style="508"/>
    <col min="1285" max="1285" width="11.28515625" style="508" customWidth="1"/>
    <col min="1286" max="1286" width="16.42578125" style="508" customWidth="1"/>
    <col min="1287" max="1287" width="4.7109375" style="508" customWidth="1"/>
    <col min="1288" max="1288" width="9.140625" style="508"/>
    <col min="1289" max="1290" width="5.7109375" style="508" customWidth="1"/>
    <col min="1291" max="1291" width="12.28515625" style="508" bestFit="1" customWidth="1"/>
    <col min="1292" max="1292" width="16" style="508" bestFit="1" customWidth="1"/>
    <col min="1293" max="1293" width="9.140625" style="508"/>
    <col min="1294" max="1294" width="11.28515625" style="508" customWidth="1"/>
    <col min="1295" max="1295" width="16.42578125" style="508" customWidth="1"/>
    <col min="1296" max="1296" width="4.7109375" style="508" customWidth="1"/>
    <col min="1297" max="1297" width="10.140625" style="508" bestFit="1" customWidth="1"/>
    <col min="1298" max="1298" width="9.140625" style="508"/>
    <col min="1299" max="1299" width="12.28515625" style="508" bestFit="1" customWidth="1"/>
    <col min="1300" max="1300" width="16" style="508" bestFit="1" customWidth="1"/>
    <col min="1301" max="1301" width="9.140625" style="508"/>
    <col min="1302" max="1302" width="11.28515625" style="508" customWidth="1"/>
    <col min="1303" max="1303" width="16.42578125" style="508" customWidth="1"/>
    <col min="1304" max="1304" width="4.7109375" style="508" customWidth="1"/>
    <col min="1305" max="1536" width="9.140625" style="508"/>
    <col min="1537" max="1537" width="5.7109375" style="508" customWidth="1"/>
    <col min="1538" max="1538" width="12.28515625" style="508" bestFit="1" customWidth="1"/>
    <col min="1539" max="1539" width="16" style="508" bestFit="1" customWidth="1"/>
    <col min="1540" max="1540" width="9.140625" style="508"/>
    <col min="1541" max="1541" width="11.28515625" style="508" customWidth="1"/>
    <col min="1542" max="1542" width="16.42578125" style="508" customWidth="1"/>
    <col min="1543" max="1543" width="4.7109375" style="508" customWidth="1"/>
    <col min="1544" max="1544" width="9.140625" style="508"/>
    <col min="1545" max="1546" width="5.7109375" style="508" customWidth="1"/>
    <col min="1547" max="1547" width="12.28515625" style="508" bestFit="1" customWidth="1"/>
    <col min="1548" max="1548" width="16" style="508" bestFit="1" customWidth="1"/>
    <col min="1549" max="1549" width="9.140625" style="508"/>
    <col min="1550" max="1550" width="11.28515625" style="508" customWidth="1"/>
    <col min="1551" max="1551" width="16.42578125" style="508" customWidth="1"/>
    <col min="1552" max="1552" width="4.7109375" style="508" customWidth="1"/>
    <col min="1553" max="1553" width="10.140625" style="508" bestFit="1" customWidth="1"/>
    <col min="1554" max="1554" width="9.140625" style="508"/>
    <col min="1555" max="1555" width="12.28515625" style="508" bestFit="1" customWidth="1"/>
    <col min="1556" max="1556" width="16" style="508" bestFit="1" customWidth="1"/>
    <col min="1557" max="1557" width="9.140625" style="508"/>
    <col min="1558" max="1558" width="11.28515625" style="508" customWidth="1"/>
    <col min="1559" max="1559" width="16.42578125" style="508" customWidth="1"/>
    <col min="1560" max="1560" width="4.7109375" style="508" customWidth="1"/>
    <col min="1561" max="1792" width="9.140625" style="508"/>
    <col min="1793" max="1793" width="5.7109375" style="508" customWidth="1"/>
    <col min="1794" max="1794" width="12.28515625" style="508" bestFit="1" customWidth="1"/>
    <col min="1795" max="1795" width="16" style="508" bestFit="1" customWidth="1"/>
    <col min="1796" max="1796" width="9.140625" style="508"/>
    <col min="1797" max="1797" width="11.28515625" style="508" customWidth="1"/>
    <col min="1798" max="1798" width="16.42578125" style="508" customWidth="1"/>
    <col min="1799" max="1799" width="4.7109375" style="508" customWidth="1"/>
    <col min="1800" max="1800" width="9.140625" style="508"/>
    <col min="1801" max="1802" width="5.7109375" style="508" customWidth="1"/>
    <col min="1803" max="1803" width="12.28515625" style="508" bestFit="1" customWidth="1"/>
    <col min="1804" max="1804" width="16" style="508" bestFit="1" customWidth="1"/>
    <col min="1805" max="1805" width="9.140625" style="508"/>
    <col min="1806" max="1806" width="11.28515625" style="508" customWidth="1"/>
    <col min="1807" max="1807" width="16.42578125" style="508" customWidth="1"/>
    <col min="1808" max="1808" width="4.7109375" style="508" customWidth="1"/>
    <col min="1809" max="1809" width="10.140625" style="508" bestFit="1" customWidth="1"/>
    <col min="1810" max="1810" width="9.140625" style="508"/>
    <col min="1811" max="1811" width="12.28515625" style="508" bestFit="1" customWidth="1"/>
    <col min="1812" max="1812" width="16" style="508" bestFit="1" customWidth="1"/>
    <col min="1813" max="1813" width="9.140625" style="508"/>
    <col min="1814" max="1814" width="11.28515625" style="508" customWidth="1"/>
    <col min="1815" max="1815" width="16.42578125" style="508" customWidth="1"/>
    <col min="1816" max="1816" width="4.7109375" style="508" customWidth="1"/>
    <col min="1817" max="2048" width="9.140625" style="508"/>
    <col min="2049" max="2049" width="5.7109375" style="508" customWidth="1"/>
    <col min="2050" max="2050" width="12.28515625" style="508" bestFit="1" customWidth="1"/>
    <col min="2051" max="2051" width="16" style="508" bestFit="1" customWidth="1"/>
    <col min="2052" max="2052" width="9.140625" style="508"/>
    <col min="2053" max="2053" width="11.28515625" style="508" customWidth="1"/>
    <col min="2054" max="2054" width="16.42578125" style="508" customWidth="1"/>
    <col min="2055" max="2055" width="4.7109375" style="508" customWidth="1"/>
    <col min="2056" max="2056" width="9.140625" style="508"/>
    <col min="2057" max="2058" width="5.7109375" style="508" customWidth="1"/>
    <col min="2059" max="2059" width="12.28515625" style="508" bestFit="1" customWidth="1"/>
    <col min="2060" max="2060" width="16" style="508" bestFit="1" customWidth="1"/>
    <col min="2061" max="2061" width="9.140625" style="508"/>
    <col min="2062" max="2062" width="11.28515625" style="508" customWidth="1"/>
    <col min="2063" max="2063" width="16.42578125" style="508" customWidth="1"/>
    <col min="2064" max="2064" width="4.7109375" style="508" customWidth="1"/>
    <col min="2065" max="2065" width="10.140625" style="508" bestFit="1" customWidth="1"/>
    <col min="2066" max="2066" width="9.140625" style="508"/>
    <col min="2067" max="2067" width="12.28515625" style="508" bestFit="1" customWidth="1"/>
    <col min="2068" max="2068" width="16" style="508" bestFit="1" customWidth="1"/>
    <col min="2069" max="2069" width="9.140625" style="508"/>
    <col min="2070" max="2070" width="11.28515625" style="508" customWidth="1"/>
    <col min="2071" max="2071" width="16.42578125" style="508" customWidth="1"/>
    <col min="2072" max="2072" width="4.7109375" style="508" customWidth="1"/>
    <col min="2073" max="2304" width="9.140625" style="508"/>
    <col min="2305" max="2305" width="5.7109375" style="508" customWidth="1"/>
    <col min="2306" max="2306" width="12.28515625" style="508" bestFit="1" customWidth="1"/>
    <col min="2307" max="2307" width="16" style="508" bestFit="1" customWidth="1"/>
    <col min="2308" max="2308" width="9.140625" style="508"/>
    <col min="2309" max="2309" width="11.28515625" style="508" customWidth="1"/>
    <col min="2310" max="2310" width="16.42578125" style="508" customWidth="1"/>
    <col min="2311" max="2311" width="4.7109375" style="508" customWidth="1"/>
    <col min="2312" max="2312" width="9.140625" style="508"/>
    <col min="2313" max="2314" width="5.7109375" style="508" customWidth="1"/>
    <col min="2315" max="2315" width="12.28515625" style="508" bestFit="1" customWidth="1"/>
    <col min="2316" max="2316" width="16" style="508" bestFit="1" customWidth="1"/>
    <col min="2317" max="2317" width="9.140625" style="508"/>
    <col min="2318" max="2318" width="11.28515625" style="508" customWidth="1"/>
    <col min="2319" max="2319" width="16.42578125" style="508" customWidth="1"/>
    <col min="2320" max="2320" width="4.7109375" style="508" customWidth="1"/>
    <col min="2321" max="2321" width="10.140625" style="508" bestFit="1" customWidth="1"/>
    <col min="2322" max="2322" width="9.140625" style="508"/>
    <col min="2323" max="2323" width="12.28515625" style="508" bestFit="1" customWidth="1"/>
    <col min="2324" max="2324" width="16" style="508" bestFit="1" customWidth="1"/>
    <col min="2325" max="2325" width="9.140625" style="508"/>
    <col min="2326" max="2326" width="11.28515625" style="508" customWidth="1"/>
    <col min="2327" max="2327" width="16.42578125" style="508" customWidth="1"/>
    <col min="2328" max="2328" width="4.7109375" style="508" customWidth="1"/>
    <col min="2329" max="2560" width="9.140625" style="508"/>
    <col min="2561" max="2561" width="5.7109375" style="508" customWidth="1"/>
    <col min="2562" max="2562" width="12.28515625" style="508" bestFit="1" customWidth="1"/>
    <col min="2563" max="2563" width="16" style="508" bestFit="1" customWidth="1"/>
    <col min="2564" max="2564" width="9.140625" style="508"/>
    <col min="2565" max="2565" width="11.28515625" style="508" customWidth="1"/>
    <col min="2566" max="2566" width="16.42578125" style="508" customWidth="1"/>
    <col min="2567" max="2567" width="4.7109375" style="508" customWidth="1"/>
    <col min="2568" max="2568" width="9.140625" style="508"/>
    <col min="2569" max="2570" width="5.7109375" style="508" customWidth="1"/>
    <col min="2571" max="2571" width="12.28515625" style="508" bestFit="1" customWidth="1"/>
    <col min="2572" max="2572" width="16" style="508" bestFit="1" customWidth="1"/>
    <col min="2573" max="2573" width="9.140625" style="508"/>
    <col min="2574" max="2574" width="11.28515625" style="508" customWidth="1"/>
    <col min="2575" max="2575" width="16.42578125" style="508" customWidth="1"/>
    <col min="2576" max="2576" width="4.7109375" style="508" customWidth="1"/>
    <col min="2577" max="2577" width="10.140625" style="508" bestFit="1" customWidth="1"/>
    <col min="2578" max="2578" width="9.140625" style="508"/>
    <col min="2579" max="2579" width="12.28515625" style="508" bestFit="1" customWidth="1"/>
    <col min="2580" max="2580" width="16" style="508" bestFit="1" customWidth="1"/>
    <col min="2581" max="2581" width="9.140625" style="508"/>
    <col min="2582" max="2582" width="11.28515625" style="508" customWidth="1"/>
    <col min="2583" max="2583" width="16.42578125" style="508" customWidth="1"/>
    <col min="2584" max="2584" width="4.7109375" style="508" customWidth="1"/>
    <col min="2585" max="2816" width="9.140625" style="508"/>
    <col min="2817" max="2817" width="5.7109375" style="508" customWidth="1"/>
    <col min="2818" max="2818" width="12.28515625" style="508" bestFit="1" customWidth="1"/>
    <col min="2819" max="2819" width="16" style="508" bestFit="1" customWidth="1"/>
    <col min="2820" max="2820" width="9.140625" style="508"/>
    <col min="2821" max="2821" width="11.28515625" style="508" customWidth="1"/>
    <col min="2822" max="2822" width="16.42578125" style="508" customWidth="1"/>
    <col min="2823" max="2823" width="4.7109375" style="508" customWidth="1"/>
    <col min="2824" max="2824" width="9.140625" style="508"/>
    <col min="2825" max="2826" width="5.7109375" style="508" customWidth="1"/>
    <col min="2827" max="2827" width="12.28515625" style="508" bestFit="1" customWidth="1"/>
    <col min="2828" max="2828" width="16" style="508" bestFit="1" customWidth="1"/>
    <col min="2829" max="2829" width="9.140625" style="508"/>
    <col min="2830" max="2830" width="11.28515625" style="508" customWidth="1"/>
    <col min="2831" max="2831" width="16.42578125" style="508" customWidth="1"/>
    <col min="2832" max="2832" width="4.7109375" style="508" customWidth="1"/>
    <col min="2833" max="2833" width="10.140625" style="508" bestFit="1" customWidth="1"/>
    <col min="2834" max="2834" width="9.140625" style="508"/>
    <col min="2835" max="2835" width="12.28515625" style="508" bestFit="1" customWidth="1"/>
    <col min="2836" max="2836" width="16" style="508" bestFit="1" customWidth="1"/>
    <col min="2837" max="2837" width="9.140625" style="508"/>
    <col min="2838" max="2838" width="11.28515625" style="508" customWidth="1"/>
    <col min="2839" max="2839" width="16.42578125" style="508" customWidth="1"/>
    <col min="2840" max="2840" width="4.7109375" style="508" customWidth="1"/>
    <col min="2841" max="3072" width="9.140625" style="508"/>
    <col min="3073" max="3073" width="5.7109375" style="508" customWidth="1"/>
    <col min="3074" max="3074" width="12.28515625" style="508" bestFit="1" customWidth="1"/>
    <col min="3075" max="3075" width="16" style="508" bestFit="1" customWidth="1"/>
    <col min="3076" max="3076" width="9.140625" style="508"/>
    <col min="3077" max="3077" width="11.28515625" style="508" customWidth="1"/>
    <col min="3078" max="3078" width="16.42578125" style="508" customWidth="1"/>
    <col min="3079" max="3079" width="4.7109375" style="508" customWidth="1"/>
    <col min="3080" max="3080" width="9.140625" style="508"/>
    <col min="3081" max="3082" width="5.7109375" style="508" customWidth="1"/>
    <col min="3083" max="3083" width="12.28515625" style="508" bestFit="1" customWidth="1"/>
    <col min="3084" max="3084" width="16" style="508" bestFit="1" customWidth="1"/>
    <col min="3085" max="3085" width="9.140625" style="508"/>
    <col min="3086" max="3086" width="11.28515625" style="508" customWidth="1"/>
    <col min="3087" max="3087" width="16.42578125" style="508" customWidth="1"/>
    <col min="3088" max="3088" width="4.7109375" style="508" customWidth="1"/>
    <col min="3089" max="3089" width="10.140625" style="508" bestFit="1" customWidth="1"/>
    <col min="3090" max="3090" width="9.140625" style="508"/>
    <col min="3091" max="3091" width="12.28515625" style="508" bestFit="1" customWidth="1"/>
    <col min="3092" max="3092" width="16" style="508" bestFit="1" customWidth="1"/>
    <col min="3093" max="3093" width="9.140625" style="508"/>
    <col min="3094" max="3094" width="11.28515625" style="508" customWidth="1"/>
    <col min="3095" max="3095" width="16.42578125" style="508" customWidth="1"/>
    <col min="3096" max="3096" width="4.7109375" style="508" customWidth="1"/>
    <col min="3097" max="3328" width="9.140625" style="508"/>
    <col min="3329" max="3329" width="5.7109375" style="508" customWidth="1"/>
    <col min="3330" max="3330" width="12.28515625" style="508" bestFit="1" customWidth="1"/>
    <col min="3331" max="3331" width="16" style="508" bestFit="1" customWidth="1"/>
    <col min="3332" max="3332" width="9.140625" style="508"/>
    <col min="3333" max="3333" width="11.28515625" style="508" customWidth="1"/>
    <col min="3334" max="3334" width="16.42578125" style="508" customWidth="1"/>
    <col min="3335" max="3335" width="4.7109375" style="508" customWidth="1"/>
    <col min="3336" max="3336" width="9.140625" style="508"/>
    <col min="3337" max="3338" width="5.7109375" style="508" customWidth="1"/>
    <col min="3339" max="3339" width="12.28515625" style="508" bestFit="1" customWidth="1"/>
    <col min="3340" max="3340" width="16" style="508" bestFit="1" customWidth="1"/>
    <col min="3341" max="3341" width="9.140625" style="508"/>
    <col min="3342" max="3342" width="11.28515625" style="508" customWidth="1"/>
    <col min="3343" max="3343" width="16.42578125" style="508" customWidth="1"/>
    <col min="3344" max="3344" width="4.7109375" style="508" customWidth="1"/>
    <col min="3345" max="3345" width="10.140625" style="508" bestFit="1" customWidth="1"/>
    <col min="3346" max="3346" width="9.140625" style="508"/>
    <col min="3347" max="3347" width="12.28515625" style="508" bestFit="1" customWidth="1"/>
    <col min="3348" max="3348" width="16" style="508" bestFit="1" customWidth="1"/>
    <col min="3349" max="3349" width="9.140625" style="508"/>
    <col min="3350" max="3350" width="11.28515625" style="508" customWidth="1"/>
    <col min="3351" max="3351" width="16.42578125" style="508" customWidth="1"/>
    <col min="3352" max="3352" width="4.7109375" style="508" customWidth="1"/>
    <col min="3353" max="3584" width="9.140625" style="508"/>
    <col min="3585" max="3585" width="5.7109375" style="508" customWidth="1"/>
    <col min="3586" max="3586" width="12.28515625" style="508" bestFit="1" customWidth="1"/>
    <col min="3587" max="3587" width="16" style="508" bestFit="1" customWidth="1"/>
    <col min="3588" max="3588" width="9.140625" style="508"/>
    <col min="3589" max="3589" width="11.28515625" style="508" customWidth="1"/>
    <col min="3590" max="3590" width="16.42578125" style="508" customWidth="1"/>
    <col min="3591" max="3591" width="4.7109375" style="508" customWidth="1"/>
    <col min="3592" max="3592" width="9.140625" style="508"/>
    <col min="3593" max="3594" width="5.7109375" style="508" customWidth="1"/>
    <col min="3595" max="3595" width="12.28515625" style="508" bestFit="1" customWidth="1"/>
    <col min="3596" max="3596" width="16" style="508" bestFit="1" customWidth="1"/>
    <col min="3597" max="3597" width="9.140625" style="508"/>
    <col min="3598" max="3598" width="11.28515625" style="508" customWidth="1"/>
    <col min="3599" max="3599" width="16.42578125" style="508" customWidth="1"/>
    <col min="3600" max="3600" width="4.7109375" style="508" customWidth="1"/>
    <col min="3601" max="3601" width="10.140625" style="508" bestFit="1" customWidth="1"/>
    <col min="3602" max="3602" width="9.140625" style="508"/>
    <col min="3603" max="3603" width="12.28515625" style="508" bestFit="1" customWidth="1"/>
    <col min="3604" max="3604" width="16" style="508" bestFit="1" customWidth="1"/>
    <col min="3605" max="3605" width="9.140625" style="508"/>
    <col min="3606" max="3606" width="11.28515625" style="508" customWidth="1"/>
    <col min="3607" max="3607" width="16.42578125" style="508" customWidth="1"/>
    <col min="3608" max="3608" width="4.7109375" style="508" customWidth="1"/>
    <col min="3609" max="3840" width="9.140625" style="508"/>
    <col min="3841" max="3841" width="5.7109375" style="508" customWidth="1"/>
    <col min="3842" max="3842" width="12.28515625" style="508" bestFit="1" customWidth="1"/>
    <col min="3843" max="3843" width="16" style="508" bestFit="1" customWidth="1"/>
    <col min="3844" max="3844" width="9.140625" style="508"/>
    <col min="3845" max="3845" width="11.28515625" style="508" customWidth="1"/>
    <col min="3846" max="3846" width="16.42578125" style="508" customWidth="1"/>
    <col min="3847" max="3847" width="4.7109375" style="508" customWidth="1"/>
    <col min="3848" max="3848" width="9.140625" style="508"/>
    <col min="3849" max="3850" width="5.7109375" style="508" customWidth="1"/>
    <col min="3851" max="3851" width="12.28515625" style="508" bestFit="1" customWidth="1"/>
    <col min="3852" max="3852" width="16" style="508" bestFit="1" customWidth="1"/>
    <col min="3853" max="3853" width="9.140625" style="508"/>
    <col min="3854" max="3854" width="11.28515625" style="508" customWidth="1"/>
    <col min="3855" max="3855" width="16.42578125" style="508" customWidth="1"/>
    <col min="3856" max="3856" width="4.7109375" style="508" customWidth="1"/>
    <col min="3857" max="3857" width="10.140625" style="508" bestFit="1" customWidth="1"/>
    <col min="3858" max="3858" width="9.140625" style="508"/>
    <col min="3859" max="3859" width="12.28515625" style="508" bestFit="1" customWidth="1"/>
    <col min="3860" max="3860" width="16" style="508" bestFit="1" customWidth="1"/>
    <col min="3861" max="3861" width="9.140625" style="508"/>
    <col min="3862" max="3862" width="11.28515625" style="508" customWidth="1"/>
    <col min="3863" max="3863" width="16.42578125" style="508" customWidth="1"/>
    <col min="3864" max="3864" width="4.7109375" style="508" customWidth="1"/>
    <col min="3865" max="4096" width="9.140625" style="508"/>
    <col min="4097" max="4097" width="5.7109375" style="508" customWidth="1"/>
    <col min="4098" max="4098" width="12.28515625" style="508" bestFit="1" customWidth="1"/>
    <col min="4099" max="4099" width="16" style="508" bestFit="1" customWidth="1"/>
    <col min="4100" max="4100" width="9.140625" style="508"/>
    <col min="4101" max="4101" width="11.28515625" style="508" customWidth="1"/>
    <col min="4102" max="4102" width="16.42578125" style="508" customWidth="1"/>
    <col min="4103" max="4103" width="4.7109375" style="508" customWidth="1"/>
    <col min="4104" max="4104" width="9.140625" style="508"/>
    <col min="4105" max="4106" width="5.7109375" style="508" customWidth="1"/>
    <col min="4107" max="4107" width="12.28515625" style="508" bestFit="1" customWidth="1"/>
    <col min="4108" max="4108" width="16" style="508" bestFit="1" customWidth="1"/>
    <col min="4109" max="4109" width="9.140625" style="508"/>
    <col min="4110" max="4110" width="11.28515625" style="508" customWidth="1"/>
    <col min="4111" max="4111" width="16.42578125" style="508" customWidth="1"/>
    <col min="4112" max="4112" width="4.7109375" style="508" customWidth="1"/>
    <col min="4113" max="4113" width="10.140625" style="508" bestFit="1" customWidth="1"/>
    <col min="4114" max="4114" width="9.140625" style="508"/>
    <col min="4115" max="4115" width="12.28515625" style="508" bestFit="1" customWidth="1"/>
    <col min="4116" max="4116" width="16" style="508" bestFit="1" customWidth="1"/>
    <col min="4117" max="4117" width="9.140625" style="508"/>
    <col min="4118" max="4118" width="11.28515625" style="508" customWidth="1"/>
    <col min="4119" max="4119" width="16.42578125" style="508" customWidth="1"/>
    <col min="4120" max="4120" width="4.7109375" style="508" customWidth="1"/>
    <col min="4121" max="4352" width="9.140625" style="508"/>
    <col min="4353" max="4353" width="5.7109375" style="508" customWidth="1"/>
    <col min="4354" max="4354" width="12.28515625" style="508" bestFit="1" customWidth="1"/>
    <col min="4355" max="4355" width="16" style="508" bestFit="1" customWidth="1"/>
    <col min="4356" max="4356" width="9.140625" style="508"/>
    <col min="4357" max="4357" width="11.28515625" style="508" customWidth="1"/>
    <col min="4358" max="4358" width="16.42578125" style="508" customWidth="1"/>
    <col min="4359" max="4359" width="4.7109375" style="508" customWidth="1"/>
    <col min="4360" max="4360" width="9.140625" style="508"/>
    <col min="4361" max="4362" width="5.7109375" style="508" customWidth="1"/>
    <col min="4363" max="4363" width="12.28515625" style="508" bestFit="1" customWidth="1"/>
    <col min="4364" max="4364" width="16" style="508" bestFit="1" customWidth="1"/>
    <col min="4365" max="4365" width="9.140625" style="508"/>
    <col min="4366" max="4366" width="11.28515625" style="508" customWidth="1"/>
    <col min="4367" max="4367" width="16.42578125" style="508" customWidth="1"/>
    <col min="4368" max="4368" width="4.7109375" style="508" customWidth="1"/>
    <col min="4369" max="4369" width="10.140625" style="508" bestFit="1" customWidth="1"/>
    <col min="4370" max="4370" width="9.140625" style="508"/>
    <col min="4371" max="4371" width="12.28515625" style="508" bestFit="1" customWidth="1"/>
    <col min="4372" max="4372" width="16" style="508" bestFit="1" customWidth="1"/>
    <col min="4373" max="4373" width="9.140625" style="508"/>
    <col min="4374" max="4374" width="11.28515625" style="508" customWidth="1"/>
    <col min="4375" max="4375" width="16.42578125" style="508" customWidth="1"/>
    <col min="4376" max="4376" width="4.7109375" style="508" customWidth="1"/>
    <col min="4377" max="4608" width="9.140625" style="508"/>
    <col min="4609" max="4609" width="5.7109375" style="508" customWidth="1"/>
    <col min="4610" max="4610" width="12.28515625" style="508" bestFit="1" customWidth="1"/>
    <col min="4611" max="4611" width="16" style="508" bestFit="1" customWidth="1"/>
    <col min="4612" max="4612" width="9.140625" style="508"/>
    <col min="4613" max="4613" width="11.28515625" style="508" customWidth="1"/>
    <col min="4614" max="4614" width="16.42578125" style="508" customWidth="1"/>
    <col min="4615" max="4615" width="4.7109375" style="508" customWidth="1"/>
    <col min="4616" max="4616" width="9.140625" style="508"/>
    <col min="4617" max="4618" width="5.7109375" style="508" customWidth="1"/>
    <col min="4619" max="4619" width="12.28515625" style="508" bestFit="1" customWidth="1"/>
    <col min="4620" max="4620" width="16" style="508" bestFit="1" customWidth="1"/>
    <col min="4621" max="4621" width="9.140625" style="508"/>
    <col min="4622" max="4622" width="11.28515625" style="508" customWidth="1"/>
    <col min="4623" max="4623" width="16.42578125" style="508" customWidth="1"/>
    <col min="4624" max="4624" width="4.7109375" style="508" customWidth="1"/>
    <col min="4625" max="4625" width="10.140625" style="508" bestFit="1" customWidth="1"/>
    <col min="4626" max="4626" width="9.140625" style="508"/>
    <col min="4627" max="4627" width="12.28515625" style="508" bestFit="1" customWidth="1"/>
    <col min="4628" max="4628" width="16" style="508" bestFit="1" customWidth="1"/>
    <col min="4629" max="4629" width="9.140625" style="508"/>
    <col min="4630" max="4630" width="11.28515625" style="508" customWidth="1"/>
    <col min="4631" max="4631" width="16.42578125" style="508" customWidth="1"/>
    <col min="4632" max="4632" width="4.7109375" style="508" customWidth="1"/>
    <col min="4633" max="4864" width="9.140625" style="508"/>
    <col min="4865" max="4865" width="5.7109375" style="508" customWidth="1"/>
    <col min="4866" max="4866" width="12.28515625" style="508" bestFit="1" customWidth="1"/>
    <col min="4867" max="4867" width="16" style="508" bestFit="1" customWidth="1"/>
    <col min="4868" max="4868" width="9.140625" style="508"/>
    <col min="4869" max="4869" width="11.28515625" style="508" customWidth="1"/>
    <col min="4870" max="4870" width="16.42578125" style="508" customWidth="1"/>
    <col min="4871" max="4871" width="4.7109375" style="508" customWidth="1"/>
    <col min="4872" max="4872" width="9.140625" style="508"/>
    <col min="4873" max="4874" width="5.7109375" style="508" customWidth="1"/>
    <col min="4875" max="4875" width="12.28515625" style="508" bestFit="1" customWidth="1"/>
    <col min="4876" max="4876" width="16" style="508" bestFit="1" customWidth="1"/>
    <col min="4877" max="4877" width="9.140625" style="508"/>
    <col min="4878" max="4878" width="11.28515625" style="508" customWidth="1"/>
    <col min="4879" max="4879" width="16.42578125" style="508" customWidth="1"/>
    <col min="4880" max="4880" width="4.7109375" style="508" customWidth="1"/>
    <col min="4881" max="4881" width="10.140625" style="508" bestFit="1" customWidth="1"/>
    <col min="4882" max="4882" width="9.140625" style="508"/>
    <col min="4883" max="4883" width="12.28515625" style="508" bestFit="1" customWidth="1"/>
    <col min="4884" max="4884" width="16" style="508" bestFit="1" customWidth="1"/>
    <col min="4885" max="4885" width="9.140625" style="508"/>
    <col min="4886" max="4886" width="11.28515625" style="508" customWidth="1"/>
    <col min="4887" max="4887" width="16.42578125" style="508" customWidth="1"/>
    <col min="4888" max="4888" width="4.7109375" style="508" customWidth="1"/>
    <col min="4889" max="5120" width="9.140625" style="508"/>
    <col min="5121" max="5121" width="5.7109375" style="508" customWidth="1"/>
    <col min="5122" max="5122" width="12.28515625" style="508" bestFit="1" customWidth="1"/>
    <col min="5123" max="5123" width="16" style="508" bestFit="1" customWidth="1"/>
    <col min="5124" max="5124" width="9.140625" style="508"/>
    <col min="5125" max="5125" width="11.28515625" style="508" customWidth="1"/>
    <col min="5126" max="5126" width="16.42578125" style="508" customWidth="1"/>
    <col min="5127" max="5127" width="4.7109375" style="508" customWidth="1"/>
    <col min="5128" max="5128" width="9.140625" style="508"/>
    <col min="5129" max="5130" width="5.7109375" style="508" customWidth="1"/>
    <col min="5131" max="5131" width="12.28515625" style="508" bestFit="1" customWidth="1"/>
    <col min="5132" max="5132" width="16" style="508" bestFit="1" customWidth="1"/>
    <col min="5133" max="5133" width="9.140625" style="508"/>
    <col min="5134" max="5134" width="11.28515625" style="508" customWidth="1"/>
    <col min="5135" max="5135" width="16.42578125" style="508" customWidth="1"/>
    <col min="5136" max="5136" width="4.7109375" style="508" customWidth="1"/>
    <col min="5137" max="5137" width="10.140625" style="508" bestFit="1" customWidth="1"/>
    <col min="5138" max="5138" width="9.140625" style="508"/>
    <col min="5139" max="5139" width="12.28515625" style="508" bestFit="1" customWidth="1"/>
    <col min="5140" max="5140" width="16" style="508" bestFit="1" customWidth="1"/>
    <col min="5141" max="5141" width="9.140625" style="508"/>
    <col min="5142" max="5142" width="11.28515625" style="508" customWidth="1"/>
    <col min="5143" max="5143" width="16.42578125" style="508" customWidth="1"/>
    <col min="5144" max="5144" width="4.7109375" style="508" customWidth="1"/>
    <col min="5145" max="5376" width="9.140625" style="508"/>
    <col min="5377" max="5377" width="5.7109375" style="508" customWidth="1"/>
    <col min="5378" max="5378" width="12.28515625" style="508" bestFit="1" customWidth="1"/>
    <col min="5379" max="5379" width="16" style="508" bestFit="1" customWidth="1"/>
    <col min="5380" max="5380" width="9.140625" style="508"/>
    <col min="5381" max="5381" width="11.28515625" style="508" customWidth="1"/>
    <col min="5382" max="5382" width="16.42578125" style="508" customWidth="1"/>
    <col min="5383" max="5383" width="4.7109375" style="508" customWidth="1"/>
    <col min="5384" max="5384" width="9.140625" style="508"/>
    <col min="5385" max="5386" width="5.7109375" style="508" customWidth="1"/>
    <col min="5387" max="5387" width="12.28515625" style="508" bestFit="1" customWidth="1"/>
    <col min="5388" max="5388" width="16" style="508" bestFit="1" customWidth="1"/>
    <col min="5389" max="5389" width="9.140625" style="508"/>
    <col min="5390" max="5390" width="11.28515625" style="508" customWidth="1"/>
    <col min="5391" max="5391" width="16.42578125" style="508" customWidth="1"/>
    <col min="5392" max="5392" width="4.7109375" style="508" customWidth="1"/>
    <col min="5393" max="5393" width="10.140625" style="508" bestFit="1" customWidth="1"/>
    <col min="5394" max="5394" width="9.140625" style="508"/>
    <col min="5395" max="5395" width="12.28515625" style="508" bestFit="1" customWidth="1"/>
    <col min="5396" max="5396" width="16" style="508" bestFit="1" customWidth="1"/>
    <col min="5397" max="5397" width="9.140625" style="508"/>
    <col min="5398" max="5398" width="11.28515625" style="508" customWidth="1"/>
    <col min="5399" max="5399" width="16.42578125" style="508" customWidth="1"/>
    <col min="5400" max="5400" width="4.7109375" style="508" customWidth="1"/>
    <col min="5401" max="5632" width="9.140625" style="508"/>
    <col min="5633" max="5633" width="5.7109375" style="508" customWidth="1"/>
    <col min="5634" max="5634" width="12.28515625" style="508" bestFit="1" customWidth="1"/>
    <col min="5635" max="5635" width="16" style="508" bestFit="1" customWidth="1"/>
    <col min="5636" max="5636" width="9.140625" style="508"/>
    <col min="5637" max="5637" width="11.28515625" style="508" customWidth="1"/>
    <col min="5638" max="5638" width="16.42578125" style="508" customWidth="1"/>
    <col min="5639" max="5639" width="4.7109375" style="508" customWidth="1"/>
    <col min="5640" max="5640" width="9.140625" style="508"/>
    <col min="5641" max="5642" width="5.7109375" style="508" customWidth="1"/>
    <col min="5643" max="5643" width="12.28515625" style="508" bestFit="1" customWidth="1"/>
    <col min="5644" max="5644" width="16" style="508" bestFit="1" customWidth="1"/>
    <col min="5645" max="5645" width="9.140625" style="508"/>
    <col min="5646" max="5646" width="11.28515625" style="508" customWidth="1"/>
    <col min="5647" max="5647" width="16.42578125" style="508" customWidth="1"/>
    <col min="5648" max="5648" width="4.7109375" style="508" customWidth="1"/>
    <col min="5649" max="5649" width="10.140625" style="508" bestFit="1" customWidth="1"/>
    <col min="5650" max="5650" width="9.140625" style="508"/>
    <col min="5651" max="5651" width="12.28515625" style="508" bestFit="1" customWidth="1"/>
    <col min="5652" max="5652" width="16" style="508" bestFit="1" customWidth="1"/>
    <col min="5653" max="5653" width="9.140625" style="508"/>
    <col min="5654" max="5654" width="11.28515625" style="508" customWidth="1"/>
    <col min="5655" max="5655" width="16.42578125" style="508" customWidth="1"/>
    <col min="5656" max="5656" width="4.7109375" style="508" customWidth="1"/>
    <col min="5657" max="5888" width="9.140625" style="508"/>
    <col min="5889" max="5889" width="5.7109375" style="508" customWidth="1"/>
    <col min="5890" max="5890" width="12.28515625" style="508" bestFit="1" customWidth="1"/>
    <col min="5891" max="5891" width="16" style="508" bestFit="1" customWidth="1"/>
    <col min="5892" max="5892" width="9.140625" style="508"/>
    <col min="5893" max="5893" width="11.28515625" style="508" customWidth="1"/>
    <col min="5894" max="5894" width="16.42578125" style="508" customWidth="1"/>
    <col min="5895" max="5895" width="4.7109375" style="508" customWidth="1"/>
    <col min="5896" max="5896" width="9.140625" style="508"/>
    <col min="5897" max="5898" width="5.7109375" style="508" customWidth="1"/>
    <col min="5899" max="5899" width="12.28515625" style="508" bestFit="1" customWidth="1"/>
    <col min="5900" max="5900" width="16" style="508" bestFit="1" customWidth="1"/>
    <col min="5901" max="5901" width="9.140625" style="508"/>
    <col min="5902" max="5902" width="11.28515625" style="508" customWidth="1"/>
    <col min="5903" max="5903" width="16.42578125" style="508" customWidth="1"/>
    <col min="5904" max="5904" width="4.7109375" style="508" customWidth="1"/>
    <col min="5905" max="5905" width="10.140625" style="508" bestFit="1" customWidth="1"/>
    <col min="5906" max="5906" width="9.140625" style="508"/>
    <col min="5907" max="5907" width="12.28515625" style="508" bestFit="1" customWidth="1"/>
    <col min="5908" max="5908" width="16" style="508" bestFit="1" customWidth="1"/>
    <col min="5909" max="5909" width="9.140625" style="508"/>
    <col min="5910" max="5910" width="11.28515625" style="508" customWidth="1"/>
    <col min="5911" max="5911" width="16.42578125" style="508" customWidth="1"/>
    <col min="5912" max="5912" width="4.7109375" style="508" customWidth="1"/>
    <col min="5913" max="6144" width="9.140625" style="508"/>
    <col min="6145" max="6145" width="5.7109375" style="508" customWidth="1"/>
    <col min="6146" max="6146" width="12.28515625" style="508" bestFit="1" customWidth="1"/>
    <col min="6147" max="6147" width="16" style="508" bestFit="1" customWidth="1"/>
    <col min="6148" max="6148" width="9.140625" style="508"/>
    <col min="6149" max="6149" width="11.28515625" style="508" customWidth="1"/>
    <col min="6150" max="6150" width="16.42578125" style="508" customWidth="1"/>
    <col min="6151" max="6151" width="4.7109375" style="508" customWidth="1"/>
    <col min="6152" max="6152" width="9.140625" style="508"/>
    <col min="6153" max="6154" width="5.7109375" style="508" customWidth="1"/>
    <col min="6155" max="6155" width="12.28515625" style="508" bestFit="1" customWidth="1"/>
    <col min="6156" max="6156" width="16" style="508" bestFit="1" customWidth="1"/>
    <col min="6157" max="6157" width="9.140625" style="508"/>
    <col min="6158" max="6158" width="11.28515625" style="508" customWidth="1"/>
    <col min="6159" max="6159" width="16.42578125" style="508" customWidth="1"/>
    <col min="6160" max="6160" width="4.7109375" style="508" customWidth="1"/>
    <col min="6161" max="6161" width="10.140625" style="508" bestFit="1" customWidth="1"/>
    <col min="6162" max="6162" width="9.140625" style="508"/>
    <col min="6163" max="6163" width="12.28515625" style="508" bestFit="1" customWidth="1"/>
    <col min="6164" max="6164" width="16" style="508" bestFit="1" customWidth="1"/>
    <col min="6165" max="6165" width="9.140625" style="508"/>
    <col min="6166" max="6166" width="11.28515625" style="508" customWidth="1"/>
    <col min="6167" max="6167" width="16.42578125" style="508" customWidth="1"/>
    <col min="6168" max="6168" width="4.7109375" style="508" customWidth="1"/>
    <col min="6169" max="6400" width="9.140625" style="508"/>
    <col min="6401" max="6401" width="5.7109375" style="508" customWidth="1"/>
    <col min="6402" max="6402" width="12.28515625" style="508" bestFit="1" customWidth="1"/>
    <col min="6403" max="6403" width="16" style="508" bestFit="1" customWidth="1"/>
    <col min="6404" max="6404" width="9.140625" style="508"/>
    <col min="6405" max="6405" width="11.28515625" style="508" customWidth="1"/>
    <col min="6406" max="6406" width="16.42578125" style="508" customWidth="1"/>
    <col min="6407" max="6407" width="4.7109375" style="508" customWidth="1"/>
    <col min="6408" max="6408" width="9.140625" style="508"/>
    <col min="6409" max="6410" width="5.7109375" style="508" customWidth="1"/>
    <col min="6411" max="6411" width="12.28515625" style="508" bestFit="1" customWidth="1"/>
    <col min="6412" max="6412" width="16" style="508" bestFit="1" customWidth="1"/>
    <col min="6413" max="6413" width="9.140625" style="508"/>
    <col min="6414" max="6414" width="11.28515625" style="508" customWidth="1"/>
    <col min="6415" max="6415" width="16.42578125" style="508" customWidth="1"/>
    <col min="6416" max="6416" width="4.7109375" style="508" customWidth="1"/>
    <col min="6417" max="6417" width="10.140625" style="508" bestFit="1" customWidth="1"/>
    <col min="6418" max="6418" width="9.140625" style="508"/>
    <col min="6419" max="6419" width="12.28515625" style="508" bestFit="1" customWidth="1"/>
    <col min="6420" max="6420" width="16" style="508" bestFit="1" customWidth="1"/>
    <col min="6421" max="6421" width="9.140625" style="508"/>
    <col min="6422" max="6422" width="11.28515625" style="508" customWidth="1"/>
    <col min="6423" max="6423" width="16.42578125" style="508" customWidth="1"/>
    <col min="6424" max="6424" width="4.7109375" style="508" customWidth="1"/>
    <col min="6425" max="6656" width="9.140625" style="508"/>
    <col min="6657" max="6657" width="5.7109375" style="508" customWidth="1"/>
    <col min="6658" max="6658" width="12.28515625" style="508" bestFit="1" customWidth="1"/>
    <col min="6659" max="6659" width="16" style="508" bestFit="1" customWidth="1"/>
    <col min="6660" max="6660" width="9.140625" style="508"/>
    <col min="6661" max="6661" width="11.28515625" style="508" customWidth="1"/>
    <col min="6662" max="6662" width="16.42578125" style="508" customWidth="1"/>
    <col min="6663" max="6663" width="4.7109375" style="508" customWidth="1"/>
    <col min="6664" max="6664" width="9.140625" style="508"/>
    <col min="6665" max="6666" width="5.7109375" style="508" customWidth="1"/>
    <col min="6667" max="6667" width="12.28515625" style="508" bestFit="1" customWidth="1"/>
    <col min="6668" max="6668" width="16" style="508" bestFit="1" customWidth="1"/>
    <col min="6669" max="6669" width="9.140625" style="508"/>
    <col min="6670" max="6670" width="11.28515625" style="508" customWidth="1"/>
    <col min="6671" max="6671" width="16.42578125" style="508" customWidth="1"/>
    <col min="6672" max="6672" width="4.7109375" style="508" customWidth="1"/>
    <col min="6673" max="6673" width="10.140625" style="508" bestFit="1" customWidth="1"/>
    <col min="6674" max="6674" width="9.140625" style="508"/>
    <col min="6675" max="6675" width="12.28515625" style="508" bestFit="1" customWidth="1"/>
    <col min="6676" max="6676" width="16" style="508" bestFit="1" customWidth="1"/>
    <col min="6677" max="6677" width="9.140625" style="508"/>
    <col min="6678" max="6678" width="11.28515625" style="508" customWidth="1"/>
    <col min="6679" max="6679" width="16.42578125" style="508" customWidth="1"/>
    <col min="6680" max="6680" width="4.7109375" style="508" customWidth="1"/>
    <col min="6681" max="6912" width="9.140625" style="508"/>
    <col min="6913" max="6913" width="5.7109375" style="508" customWidth="1"/>
    <col min="6914" max="6914" width="12.28515625" style="508" bestFit="1" customWidth="1"/>
    <col min="6915" max="6915" width="16" style="508" bestFit="1" customWidth="1"/>
    <col min="6916" max="6916" width="9.140625" style="508"/>
    <col min="6917" max="6917" width="11.28515625" style="508" customWidth="1"/>
    <col min="6918" max="6918" width="16.42578125" style="508" customWidth="1"/>
    <col min="6919" max="6919" width="4.7109375" style="508" customWidth="1"/>
    <col min="6920" max="6920" width="9.140625" style="508"/>
    <col min="6921" max="6922" width="5.7109375" style="508" customWidth="1"/>
    <col min="6923" max="6923" width="12.28515625" style="508" bestFit="1" customWidth="1"/>
    <col min="6924" max="6924" width="16" style="508" bestFit="1" customWidth="1"/>
    <col min="6925" max="6925" width="9.140625" style="508"/>
    <col min="6926" max="6926" width="11.28515625" style="508" customWidth="1"/>
    <col min="6927" max="6927" width="16.42578125" style="508" customWidth="1"/>
    <col min="6928" max="6928" width="4.7109375" style="508" customWidth="1"/>
    <col min="6929" max="6929" width="10.140625" style="508" bestFit="1" customWidth="1"/>
    <col min="6930" max="6930" width="9.140625" style="508"/>
    <col min="6931" max="6931" width="12.28515625" style="508" bestFit="1" customWidth="1"/>
    <col min="6932" max="6932" width="16" style="508" bestFit="1" customWidth="1"/>
    <col min="6933" max="6933" width="9.140625" style="508"/>
    <col min="6934" max="6934" width="11.28515625" style="508" customWidth="1"/>
    <col min="6935" max="6935" width="16.42578125" style="508" customWidth="1"/>
    <col min="6936" max="6936" width="4.7109375" style="508" customWidth="1"/>
    <col min="6937" max="7168" width="9.140625" style="508"/>
    <col min="7169" max="7169" width="5.7109375" style="508" customWidth="1"/>
    <col min="7170" max="7170" width="12.28515625" style="508" bestFit="1" customWidth="1"/>
    <col min="7171" max="7171" width="16" style="508" bestFit="1" customWidth="1"/>
    <col min="7172" max="7172" width="9.140625" style="508"/>
    <col min="7173" max="7173" width="11.28515625" style="508" customWidth="1"/>
    <col min="7174" max="7174" width="16.42578125" style="508" customWidth="1"/>
    <col min="7175" max="7175" width="4.7109375" style="508" customWidth="1"/>
    <col min="7176" max="7176" width="9.140625" style="508"/>
    <col min="7177" max="7178" width="5.7109375" style="508" customWidth="1"/>
    <col min="7179" max="7179" width="12.28515625" style="508" bestFit="1" customWidth="1"/>
    <col min="7180" max="7180" width="16" style="508" bestFit="1" customWidth="1"/>
    <col min="7181" max="7181" width="9.140625" style="508"/>
    <col min="7182" max="7182" width="11.28515625" style="508" customWidth="1"/>
    <col min="7183" max="7183" width="16.42578125" style="508" customWidth="1"/>
    <col min="7184" max="7184" width="4.7109375" style="508" customWidth="1"/>
    <col min="7185" max="7185" width="10.140625" style="508" bestFit="1" customWidth="1"/>
    <col min="7186" max="7186" width="9.140625" style="508"/>
    <col min="7187" max="7187" width="12.28515625" style="508" bestFit="1" customWidth="1"/>
    <col min="7188" max="7188" width="16" style="508" bestFit="1" customWidth="1"/>
    <col min="7189" max="7189" width="9.140625" style="508"/>
    <col min="7190" max="7190" width="11.28515625" style="508" customWidth="1"/>
    <col min="7191" max="7191" width="16.42578125" style="508" customWidth="1"/>
    <col min="7192" max="7192" width="4.7109375" style="508" customWidth="1"/>
    <col min="7193" max="7424" width="9.140625" style="508"/>
    <col min="7425" max="7425" width="5.7109375" style="508" customWidth="1"/>
    <col min="7426" max="7426" width="12.28515625" style="508" bestFit="1" customWidth="1"/>
    <col min="7427" max="7427" width="16" style="508" bestFit="1" customWidth="1"/>
    <col min="7428" max="7428" width="9.140625" style="508"/>
    <col min="7429" max="7429" width="11.28515625" style="508" customWidth="1"/>
    <col min="7430" max="7430" width="16.42578125" style="508" customWidth="1"/>
    <col min="7431" max="7431" width="4.7109375" style="508" customWidth="1"/>
    <col min="7432" max="7432" width="9.140625" style="508"/>
    <col min="7433" max="7434" width="5.7109375" style="508" customWidth="1"/>
    <col min="7435" max="7435" width="12.28515625" style="508" bestFit="1" customWidth="1"/>
    <col min="7436" max="7436" width="16" style="508" bestFit="1" customWidth="1"/>
    <col min="7437" max="7437" width="9.140625" style="508"/>
    <col min="7438" max="7438" width="11.28515625" style="508" customWidth="1"/>
    <col min="7439" max="7439" width="16.42578125" style="508" customWidth="1"/>
    <col min="7440" max="7440" width="4.7109375" style="508" customWidth="1"/>
    <col min="7441" max="7441" width="10.140625" style="508" bestFit="1" customWidth="1"/>
    <col min="7442" max="7442" width="9.140625" style="508"/>
    <col min="7443" max="7443" width="12.28515625" style="508" bestFit="1" customWidth="1"/>
    <col min="7444" max="7444" width="16" style="508" bestFit="1" customWidth="1"/>
    <col min="7445" max="7445" width="9.140625" style="508"/>
    <col min="7446" max="7446" width="11.28515625" style="508" customWidth="1"/>
    <col min="7447" max="7447" width="16.42578125" style="508" customWidth="1"/>
    <col min="7448" max="7448" width="4.7109375" style="508" customWidth="1"/>
    <col min="7449" max="7680" width="9.140625" style="508"/>
    <col min="7681" max="7681" width="5.7109375" style="508" customWidth="1"/>
    <col min="7682" max="7682" width="12.28515625" style="508" bestFit="1" customWidth="1"/>
    <col min="7683" max="7683" width="16" style="508" bestFit="1" customWidth="1"/>
    <col min="7684" max="7684" width="9.140625" style="508"/>
    <col min="7685" max="7685" width="11.28515625" style="508" customWidth="1"/>
    <col min="7686" max="7686" width="16.42578125" style="508" customWidth="1"/>
    <col min="7687" max="7687" width="4.7109375" style="508" customWidth="1"/>
    <col min="7688" max="7688" width="9.140625" style="508"/>
    <col min="7689" max="7690" width="5.7109375" style="508" customWidth="1"/>
    <col min="7691" max="7691" width="12.28515625" style="508" bestFit="1" customWidth="1"/>
    <col min="7692" max="7692" width="16" style="508" bestFit="1" customWidth="1"/>
    <col min="7693" max="7693" width="9.140625" style="508"/>
    <col min="7694" max="7694" width="11.28515625" style="508" customWidth="1"/>
    <col min="7695" max="7695" width="16.42578125" style="508" customWidth="1"/>
    <col min="7696" max="7696" width="4.7109375" style="508" customWidth="1"/>
    <col min="7697" max="7697" width="10.140625" style="508" bestFit="1" customWidth="1"/>
    <col min="7698" max="7698" width="9.140625" style="508"/>
    <col min="7699" max="7699" width="12.28515625" style="508" bestFit="1" customWidth="1"/>
    <col min="7700" max="7700" width="16" style="508" bestFit="1" customWidth="1"/>
    <col min="7701" max="7701" width="9.140625" style="508"/>
    <col min="7702" max="7702" width="11.28515625" style="508" customWidth="1"/>
    <col min="7703" max="7703" width="16.42578125" style="508" customWidth="1"/>
    <col min="7704" max="7704" width="4.7109375" style="508" customWidth="1"/>
    <col min="7705" max="7936" width="9.140625" style="508"/>
    <col min="7937" max="7937" width="5.7109375" style="508" customWidth="1"/>
    <col min="7938" max="7938" width="12.28515625" style="508" bestFit="1" customWidth="1"/>
    <col min="7939" max="7939" width="16" style="508" bestFit="1" customWidth="1"/>
    <col min="7940" max="7940" width="9.140625" style="508"/>
    <col min="7941" max="7941" width="11.28515625" style="508" customWidth="1"/>
    <col min="7942" max="7942" width="16.42578125" style="508" customWidth="1"/>
    <col min="7943" max="7943" width="4.7109375" style="508" customWidth="1"/>
    <col min="7944" max="7944" width="9.140625" style="508"/>
    <col min="7945" max="7946" width="5.7109375" style="508" customWidth="1"/>
    <col min="7947" max="7947" width="12.28515625" style="508" bestFit="1" customWidth="1"/>
    <col min="7948" max="7948" width="16" style="508" bestFit="1" customWidth="1"/>
    <col min="7949" max="7949" width="9.140625" style="508"/>
    <col min="7950" max="7950" width="11.28515625" style="508" customWidth="1"/>
    <col min="7951" max="7951" width="16.42578125" style="508" customWidth="1"/>
    <col min="7952" max="7952" width="4.7109375" style="508" customWidth="1"/>
    <col min="7953" max="7953" width="10.140625" style="508" bestFit="1" customWidth="1"/>
    <col min="7954" max="7954" width="9.140625" style="508"/>
    <col min="7955" max="7955" width="12.28515625" style="508" bestFit="1" customWidth="1"/>
    <col min="7956" max="7956" width="16" style="508" bestFit="1" customWidth="1"/>
    <col min="7957" max="7957" width="9.140625" style="508"/>
    <col min="7958" max="7958" width="11.28515625" style="508" customWidth="1"/>
    <col min="7959" max="7959" width="16.42578125" style="508" customWidth="1"/>
    <col min="7960" max="7960" width="4.7109375" style="508" customWidth="1"/>
    <col min="7961" max="8192" width="9.140625" style="508"/>
    <col min="8193" max="8193" width="5.7109375" style="508" customWidth="1"/>
    <col min="8194" max="8194" width="12.28515625" style="508" bestFit="1" customWidth="1"/>
    <col min="8195" max="8195" width="16" style="508" bestFit="1" customWidth="1"/>
    <col min="8196" max="8196" width="9.140625" style="508"/>
    <col min="8197" max="8197" width="11.28515625" style="508" customWidth="1"/>
    <col min="8198" max="8198" width="16.42578125" style="508" customWidth="1"/>
    <col min="8199" max="8199" width="4.7109375" style="508" customWidth="1"/>
    <col min="8200" max="8200" width="9.140625" style="508"/>
    <col min="8201" max="8202" width="5.7109375" style="508" customWidth="1"/>
    <col min="8203" max="8203" width="12.28515625" style="508" bestFit="1" customWidth="1"/>
    <col min="8204" max="8204" width="16" style="508" bestFit="1" customWidth="1"/>
    <col min="8205" max="8205" width="9.140625" style="508"/>
    <col min="8206" max="8206" width="11.28515625" style="508" customWidth="1"/>
    <col min="8207" max="8207" width="16.42578125" style="508" customWidth="1"/>
    <col min="8208" max="8208" width="4.7109375" style="508" customWidth="1"/>
    <col min="8209" max="8209" width="10.140625" style="508" bestFit="1" customWidth="1"/>
    <col min="8210" max="8210" width="9.140625" style="508"/>
    <col min="8211" max="8211" width="12.28515625" style="508" bestFit="1" customWidth="1"/>
    <col min="8212" max="8212" width="16" style="508" bestFit="1" customWidth="1"/>
    <col min="8213" max="8213" width="9.140625" style="508"/>
    <col min="8214" max="8214" width="11.28515625" style="508" customWidth="1"/>
    <col min="8215" max="8215" width="16.42578125" style="508" customWidth="1"/>
    <col min="8216" max="8216" width="4.7109375" style="508" customWidth="1"/>
    <col min="8217" max="8448" width="9.140625" style="508"/>
    <col min="8449" max="8449" width="5.7109375" style="508" customWidth="1"/>
    <col min="8450" max="8450" width="12.28515625" style="508" bestFit="1" customWidth="1"/>
    <col min="8451" max="8451" width="16" style="508" bestFit="1" customWidth="1"/>
    <col min="8452" max="8452" width="9.140625" style="508"/>
    <col min="8453" max="8453" width="11.28515625" style="508" customWidth="1"/>
    <col min="8454" max="8454" width="16.42578125" style="508" customWidth="1"/>
    <col min="8455" max="8455" width="4.7109375" style="508" customWidth="1"/>
    <col min="8456" max="8456" width="9.140625" style="508"/>
    <col min="8457" max="8458" width="5.7109375" style="508" customWidth="1"/>
    <col min="8459" max="8459" width="12.28515625" style="508" bestFit="1" customWidth="1"/>
    <col min="8460" max="8460" width="16" style="508" bestFit="1" customWidth="1"/>
    <col min="8461" max="8461" width="9.140625" style="508"/>
    <col min="8462" max="8462" width="11.28515625" style="508" customWidth="1"/>
    <col min="8463" max="8463" width="16.42578125" style="508" customWidth="1"/>
    <col min="8464" max="8464" width="4.7109375" style="508" customWidth="1"/>
    <col min="8465" max="8465" width="10.140625" style="508" bestFit="1" customWidth="1"/>
    <col min="8466" max="8466" width="9.140625" style="508"/>
    <col min="8467" max="8467" width="12.28515625" style="508" bestFit="1" customWidth="1"/>
    <col min="8468" max="8468" width="16" style="508" bestFit="1" customWidth="1"/>
    <col min="8469" max="8469" width="9.140625" style="508"/>
    <col min="8470" max="8470" width="11.28515625" style="508" customWidth="1"/>
    <col min="8471" max="8471" width="16.42578125" style="508" customWidth="1"/>
    <col min="8472" max="8472" width="4.7109375" style="508" customWidth="1"/>
    <col min="8473" max="8704" width="9.140625" style="508"/>
    <col min="8705" max="8705" width="5.7109375" style="508" customWidth="1"/>
    <col min="8706" max="8706" width="12.28515625" style="508" bestFit="1" customWidth="1"/>
    <col min="8707" max="8707" width="16" style="508" bestFit="1" customWidth="1"/>
    <col min="8708" max="8708" width="9.140625" style="508"/>
    <col min="8709" max="8709" width="11.28515625" style="508" customWidth="1"/>
    <col min="8710" max="8710" width="16.42578125" style="508" customWidth="1"/>
    <col min="8711" max="8711" width="4.7109375" style="508" customWidth="1"/>
    <col min="8712" max="8712" width="9.140625" style="508"/>
    <col min="8713" max="8714" width="5.7109375" style="508" customWidth="1"/>
    <col min="8715" max="8715" width="12.28515625" style="508" bestFit="1" customWidth="1"/>
    <col min="8716" max="8716" width="16" style="508" bestFit="1" customWidth="1"/>
    <col min="8717" max="8717" width="9.140625" style="508"/>
    <col min="8718" max="8718" width="11.28515625" style="508" customWidth="1"/>
    <col min="8719" max="8719" width="16.42578125" style="508" customWidth="1"/>
    <col min="8720" max="8720" width="4.7109375" style="508" customWidth="1"/>
    <col min="8721" max="8721" width="10.140625" style="508" bestFit="1" customWidth="1"/>
    <col min="8722" max="8722" width="9.140625" style="508"/>
    <col min="8723" max="8723" width="12.28515625" style="508" bestFit="1" customWidth="1"/>
    <col min="8724" max="8724" width="16" style="508" bestFit="1" customWidth="1"/>
    <col min="8725" max="8725" width="9.140625" style="508"/>
    <col min="8726" max="8726" width="11.28515625" style="508" customWidth="1"/>
    <col min="8727" max="8727" width="16.42578125" style="508" customWidth="1"/>
    <col min="8728" max="8728" width="4.7109375" style="508" customWidth="1"/>
    <col min="8729" max="8960" width="9.140625" style="508"/>
    <col min="8961" max="8961" width="5.7109375" style="508" customWidth="1"/>
    <col min="8962" max="8962" width="12.28515625" style="508" bestFit="1" customWidth="1"/>
    <col min="8963" max="8963" width="16" style="508" bestFit="1" customWidth="1"/>
    <col min="8964" max="8964" width="9.140625" style="508"/>
    <col min="8965" max="8965" width="11.28515625" style="508" customWidth="1"/>
    <col min="8966" max="8966" width="16.42578125" style="508" customWidth="1"/>
    <col min="8967" max="8967" width="4.7109375" style="508" customWidth="1"/>
    <col min="8968" max="8968" width="9.140625" style="508"/>
    <col min="8969" max="8970" width="5.7109375" style="508" customWidth="1"/>
    <col min="8971" max="8971" width="12.28515625" style="508" bestFit="1" customWidth="1"/>
    <col min="8972" max="8972" width="16" style="508" bestFit="1" customWidth="1"/>
    <col min="8973" max="8973" width="9.140625" style="508"/>
    <col min="8974" max="8974" width="11.28515625" style="508" customWidth="1"/>
    <col min="8975" max="8975" width="16.42578125" style="508" customWidth="1"/>
    <col min="8976" max="8976" width="4.7109375" style="508" customWidth="1"/>
    <col min="8977" max="8977" width="10.140625" style="508" bestFit="1" customWidth="1"/>
    <col min="8978" max="8978" width="9.140625" style="508"/>
    <col min="8979" max="8979" width="12.28515625" style="508" bestFit="1" customWidth="1"/>
    <col min="8980" max="8980" width="16" style="508" bestFit="1" customWidth="1"/>
    <col min="8981" max="8981" width="9.140625" style="508"/>
    <col min="8982" max="8982" width="11.28515625" style="508" customWidth="1"/>
    <col min="8983" max="8983" width="16.42578125" style="508" customWidth="1"/>
    <col min="8984" max="8984" width="4.7109375" style="508" customWidth="1"/>
    <col min="8985" max="9216" width="9.140625" style="508"/>
    <col min="9217" max="9217" width="5.7109375" style="508" customWidth="1"/>
    <col min="9218" max="9218" width="12.28515625" style="508" bestFit="1" customWidth="1"/>
    <col min="9219" max="9219" width="16" style="508" bestFit="1" customWidth="1"/>
    <col min="9220" max="9220" width="9.140625" style="508"/>
    <col min="9221" max="9221" width="11.28515625" style="508" customWidth="1"/>
    <col min="9222" max="9222" width="16.42578125" style="508" customWidth="1"/>
    <col min="9223" max="9223" width="4.7109375" style="508" customWidth="1"/>
    <col min="9224" max="9224" width="9.140625" style="508"/>
    <col min="9225" max="9226" width="5.7109375" style="508" customWidth="1"/>
    <col min="9227" max="9227" width="12.28515625" style="508" bestFit="1" customWidth="1"/>
    <col min="9228" max="9228" width="16" style="508" bestFit="1" customWidth="1"/>
    <col min="9229" max="9229" width="9.140625" style="508"/>
    <col min="9230" max="9230" width="11.28515625" style="508" customWidth="1"/>
    <col min="9231" max="9231" width="16.42578125" style="508" customWidth="1"/>
    <col min="9232" max="9232" width="4.7109375" style="508" customWidth="1"/>
    <col min="9233" max="9233" width="10.140625" style="508" bestFit="1" customWidth="1"/>
    <col min="9234" max="9234" width="9.140625" style="508"/>
    <col min="9235" max="9235" width="12.28515625" style="508" bestFit="1" customWidth="1"/>
    <col min="9236" max="9236" width="16" style="508" bestFit="1" customWidth="1"/>
    <col min="9237" max="9237" width="9.140625" style="508"/>
    <col min="9238" max="9238" width="11.28515625" style="508" customWidth="1"/>
    <col min="9239" max="9239" width="16.42578125" style="508" customWidth="1"/>
    <col min="9240" max="9240" width="4.7109375" style="508" customWidth="1"/>
    <col min="9241" max="9472" width="9.140625" style="508"/>
    <col min="9473" max="9473" width="5.7109375" style="508" customWidth="1"/>
    <col min="9474" max="9474" width="12.28515625" style="508" bestFit="1" customWidth="1"/>
    <col min="9475" max="9475" width="16" style="508" bestFit="1" customWidth="1"/>
    <col min="9476" max="9476" width="9.140625" style="508"/>
    <col min="9477" max="9477" width="11.28515625" style="508" customWidth="1"/>
    <col min="9478" max="9478" width="16.42578125" style="508" customWidth="1"/>
    <col min="9479" max="9479" width="4.7109375" style="508" customWidth="1"/>
    <col min="9480" max="9480" width="9.140625" style="508"/>
    <col min="9481" max="9482" width="5.7109375" style="508" customWidth="1"/>
    <col min="9483" max="9483" width="12.28515625" style="508" bestFit="1" customWidth="1"/>
    <col min="9484" max="9484" width="16" style="508" bestFit="1" customWidth="1"/>
    <col min="9485" max="9485" width="9.140625" style="508"/>
    <col min="9486" max="9486" width="11.28515625" style="508" customWidth="1"/>
    <col min="9487" max="9487" width="16.42578125" style="508" customWidth="1"/>
    <col min="9488" max="9488" width="4.7109375" style="508" customWidth="1"/>
    <col min="9489" max="9489" width="10.140625" style="508" bestFit="1" customWidth="1"/>
    <col min="9490" max="9490" width="9.140625" style="508"/>
    <col min="9491" max="9491" width="12.28515625" style="508" bestFit="1" customWidth="1"/>
    <col min="9492" max="9492" width="16" style="508" bestFit="1" customWidth="1"/>
    <col min="9493" max="9493" width="9.140625" style="508"/>
    <col min="9494" max="9494" width="11.28515625" style="508" customWidth="1"/>
    <col min="9495" max="9495" width="16.42578125" style="508" customWidth="1"/>
    <col min="9496" max="9496" width="4.7109375" style="508" customWidth="1"/>
    <col min="9497" max="9728" width="9.140625" style="508"/>
    <col min="9729" max="9729" width="5.7109375" style="508" customWidth="1"/>
    <col min="9730" max="9730" width="12.28515625" style="508" bestFit="1" customWidth="1"/>
    <col min="9731" max="9731" width="16" style="508" bestFit="1" customWidth="1"/>
    <col min="9732" max="9732" width="9.140625" style="508"/>
    <col min="9733" max="9733" width="11.28515625" style="508" customWidth="1"/>
    <col min="9734" max="9734" width="16.42578125" style="508" customWidth="1"/>
    <col min="9735" max="9735" width="4.7109375" style="508" customWidth="1"/>
    <col min="9736" max="9736" width="9.140625" style="508"/>
    <col min="9737" max="9738" width="5.7109375" style="508" customWidth="1"/>
    <col min="9739" max="9739" width="12.28515625" style="508" bestFit="1" customWidth="1"/>
    <col min="9740" max="9740" width="16" style="508" bestFit="1" customWidth="1"/>
    <col min="9741" max="9741" width="9.140625" style="508"/>
    <col min="9742" max="9742" width="11.28515625" style="508" customWidth="1"/>
    <col min="9743" max="9743" width="16.42578125" style="508" customWidth="1"/>
    <col min="9744" max="9744" width="4.7109375" style="508" customWidth="1"/>
    <col min="9745" max="9745" width="10.140625" style="508" bestFit="1" customWidth="1"/>
    <col min="9746" max="9746" width="9.140625" style="508"/>
    <col min="9747" max="9747" width="12.28515625" style="508" bestFit="1" customWidth="1"/>
    <col min="9748" max="9748" width="16" style="508" bestFit="1" customWidth="1"/>
    <col min="9749" max="9749" width="9.140625" style="508"/>
    <col min="9750" max="9750" width="11.28515625" style="508" customWidth="1"/>
    <col min="9751" max="9751" width="16.42578125" style="508" customWidth="1"/>
    <col min="9752" max="9752" width="4.7109375" style="508" customWidth="1"/>
    <col min="9753" max="9984" width="9.140625" style="508"/>
    <col min="9985" max="9985" width="5.7109375" style="508" customWidth="1"/>
    <col min="9986" max="9986" width="12.28515625" style="508" bestFit="1" customWidth="1"/>
    <col min="9987" max="9987" width="16" style="508" bestFit="1" customWidth="1"/>
    <col min="9988" max="9988" width="9.140625" style="508"/>
    <col min="9989" max="9989" width="11.28515625" style="508" customWidth="1"/>
    <col min="9990" max="9990" width="16.42578125" style="508" customWidth="1"/>
    <col min="9991" max="9991" width="4.7109375" style="508" customWidth="1"/>
    <col min="9992" max="9992" width="9.140625" style="508"/>
    <col min="9993" max="9994" width="5.7109375" style="508" customWidth="1"/>
    <col min="9995" max="9995" width="12.28515625" style="508" bestFit="1" customWidth="1"/>
    <col min="9996" max="9996" width="16" style="508" bestFit="1" customWidth="1"/>
    <col min="9997" max="9997" width="9.140625" style="508"/>
    <col min="9998" max="9998" width="11.28515625" style="508" customWidth="1"/>
    <col min="9999" max="9999" width="16.42578125" style="508" customWidth="1"/>
    <col min="10000" max="10000" width="4.7109375" style="508" customWidth="1"/>
    <col min="10001" max="10001" width="10.140625" style="508" bestFit="1" customWidth="1"/>
    <col min="10002" max="10002" width="9.140625" style="508"/>
    <col min="10003" max="10003" width="12.28515625" style="508" bestFit="1" customWidth="1"/>
    <col min="10004" max="10004" width="16" style="508" bestFit="1" customWidth="1"/>
    <col min="10005" max="10005" width="9.140625" style="508"/>
    <col min="10006" max="10006" width="11.28515625" style="508" customWidth="1"/>
    <col min="10007" max="10007" width="16.42578125" style="508" customWidth="1"/>
    <col min="10008" max="10008" width="4.7109375" style="508" customWidth="1"/>
    <col min="10009" max="10240" width="9.140625" style="508"/>
    <col min="10241" max="10241" width="5.7109375" style="508" customWidth="1"/>
    <col min="10242" max="10242" width="12.28515625" style="508" bestFit="1" customWidth="1"/>
    <col min="10243" max="10243" width="16" style="508" bestFit="1" customWidth="1"/>
    <col min="10244" max="10244" width="9.140625" style="508"/>
    <col min="10245" max="10245" width="11.28515625" style="508" customWidth="1"/>
    <col min="10246" max="10246" width="16.42578125" style="508" customWidth="1"/>
    <col min="10247" max="10247" width="4.7109375" style="508" customWidth="1"/>
    <col min="10248" max="10248" width="9.140625" style="508"/>
    <col min="10249" max="10250" width="5.7109375" style="508" customWidth="1"/>
    <col min="10251" max="10251" width="12.28515625" style="508" bestFit="1" customWidth="1"/>
    <col min="10252" max="10252" width="16" style="508" bestFit="1" customWidth="1"/>
    <col min="10253" max="10253" width="9.140625" style="508"/>
    <col min="10254" max="10254" width="11.28515625" style="508" customWidth="1"/>
    <col min="10255" max="10255" width="16.42578125" style="508" customWidth="1"/>
    <col min="10256" max="10256" width="4.7109375" style="508" customWidth="1"/>
    <col min="10257" max="10257" width="10.140625" style="508" bestFit="1" customWidth="1"/>
    <col min="10258" max="10258" width="9.140625" style="508"/>
    <col min="10259" max="10259" width="12.28515625" style="508" bestFit="1" customWidth="1"/>
    <col min="10260" max="10260" width="16" style="508" bestFit="1" customWidth="1"/>
    <col min="10261" max="10261" width="9.140625" style="508"/>
    <col min="10262" max="10262" width="11.28515625" style="508" customWidth="1"/>
    <col min="10263" max="10263" width="16.42578125" style="508" customWidth="1"/>
    <col min="10264" max="10264" width="4.7109375" style="508" customWidth="1"/>
    <col min="10265" max="10496" width="9.140625" style="508"/>
    <col min="10497" max="10497" width="5.7109375" style="508" customWidth="1"/>
    <col min="10498" max="10498" width="12.28515625" style="508" bestFit="1" customWidth="1"/>
    <col min="10499" max="10499" width="16" style="508" bestFit="1" customWidth="1"/>
    <col min="10500" max="10500" width="9.140625" style="508"/>
    <col min="10501" max="10501" width="11.28515625" style="508" customWidth="1"/>
    <col min="10502" max="10502" width="16.42578125" style="508" customWidth="1"/>
    <col min="10503" max="10503" width="4.7109375" style="508" customWidth="1"/>
    <col min="10504" max="10504" width="9.140625" style="508"/>
    <col min="10505" max="10506" width="5.7109375" style="508" customWidth="1"/>
    <col min="10507" max="10507" width="12.28515625" style="508" bestFit="1" customWidth="1"/>
    <col min="10508" max="10508" width="16" style="508" bestFit="1" customWidth="1"/>
    <col min="10509" max="10509" width="9.140625" style="508"/>
    <col min="10510" max="10510" width="11.28515625" style="508" customWidth="1"/>
    <col min="10511" max="10511" width="16.42578125" style="508" customWidth="1"/>
    <col min="10512" max="10512" width="4.7109375" style="508" customWidth="1"/>
    <col min="10513" max="10513" width="10.140625" style="508" bestFit="1" customWidth="1"/>
    <col min="10514" max="10514" width="9.140625" style="508"/>
    <col min="10515" max="10515" width="12.28515625" style="508" bestFit="1" customWidth="1"/>
    <col min="10516" max="10516" width="16" style="508" bestFit="1" customWidth="1"/>
    <col min="10517" max="10517" width="9.140625" style="508"/>
    <col min="10518" max="10518" width="11.28515625" style="508" customWidth="1"/>
    <col min="10519" max="10519" width="16.42578125" style="508" customWidth="1"/>
    <col min="10520" max="10520" width="4.7109375" style="508" customWidth="1"/>
    <col min="10521" max="10752" width="9.140625" style="508"/>
    <col min="10753" max="10753" width="5.7109375" style="508" customWidth="1"/>
    <col min="10754" max="10754" width="12.28515625" style="508" bestFit="1" customWidth="1"/>
    <col min="10755" max="10755" width="16" style="508" bestFit="1" customWidth="1"/>
    <col min="10756" max="10756" width="9.140625" style="508"/>
    <col min="10757" max="10757" width="11.28515625" style="508" customWidth="1"/>
    <col min="10758" max="10758" width="16.42578125" style="508" customWidth="1"/>
    <col min="10759" max="10759" width="4.7109375" style="508" customWidth="1"/>
    <col min="10760" max="10760" width="9.140625" style="508"/>
    <col min="10761" max="10762" width="5.7109375" style="508" customWidth="1"/>
    <col min="10763" max="10763" width="12.28515625" style="508" bestFit="1" customWidth="1"/>
    <col min="10764" max="10764" width="16" style="508" bestFit="1" customWidth="1"/>
    <col min="10765" max="10765" width="9.140625" style="508"/>
    <col min="10766" max="10766" width="11.28515625" style="508" customWidth="1"/>
    <col min="10767" max="10767" width="16.42578125" style="508" customWidth="1"/>
    <col min="10768" max="10768" width="4.7109375" style="508" customWidth="1"/>
    <col min="10769" max="10769" width="10.140625" style="508" bestFit="1" customWidth="1"/>
    <col min="10770" max="10770" width="9.140625" style="508"/>
    <col min="10771" max="10771" width="12.28515625" style="508" bestFit="1" customWidth="1"/>
    <col min="10772" max="10772" width="16" style="508" bestFit="1" customWidth="1"/>
    <col min="10773" max="10773" width="9.140625" style="508"/>
    <col min="10774" max="10774" width="11.28515625" style="508" customWidth="1"/>
    <col min="10775" max="10775" width="16.42578125" style="508" customWidth="1"/>
    <col min="10776" max="10776" width="4.7109375" style="508" customWidth="1"/>
    <col min="10777" max="11008" width="9.140625" style="508"/>
    <col min="11009" max="11009" width="5.7109375" style="508" customWidth="1"/>
    <col min="11010" max="11010" width="12.28515625" style="508" bestFit="1" customWidth="1"/>
    <col min="11011" max="11011" width="16" style="508" bestFit="1" customWidth="1"/>
    <col min="11012" max="11012" width="9.140625" style="508"/>
    <col min="11013" max="11013" width="11.28515625" style="508" customWidth="1"/>
    <col min="11014" max="11014" width="16.42578125" style="508" customWidth="1"/>
    <col min="11015" max="11015" width="4.7109375" style="508" customWidth="1"/>
    <col min="11016" max="11016" width="9.140625" style="508"/>
    <col min="11017" max="11018" width="5.7109375" style="508" customWidth="1"/>
    <col min="11019" max="11019" width="12.28515625" style="508" bestFit="1" customWidth="1"/>
    <col min="11020" max="11020" width="16" style="508" bestFit="1" customWidth="1"/>
    <col min="11021" max="11021" width="9.140625" style="508"/>
    <col min="11022" max="11022" width="11.28515625" style="508" customWidth="1"/>
    <col min="11023" max="11023" width="16.42578125" style="508" customWidth="1"/>
    <col min="11024" max="11024" width="4.7109375" style="508" customWidth="1"/>
    <col min="11025" max="11025" width="10.140625" style="508" bestFit="1" customWidth="1"/>
    <col min="11026" max="11026" width="9.140625" style="508"/>
    <col min="11027" max="11027" width="12.28515625" style="508" bestFit="1" customWidth="1"/>
    <col min="11028" max="11028" width="16" style="508" bestFit="1" customWidth="1"/>
    <col min="11029" max="11029" width="9.140625" style="508"/>
    <col min="11030" max="11030" width="11.28515625" style="508" customWidth="1"/>
    <col min="11031" max="11031" width="16.42578125" style="508" customWidth="1"/>
    <col min="11032" max="11032" width="4.7109375" style="508" customWidth="1"/>
    <col min="11033" max="11264" width="9.140625" style="508"/>
    <col min="11265" max="11265" width="5.7109375" style="508" customWidth="1"/>
    <col min="11266" max="11266" width="12.28515625" style="508" bestFit="1" customWidth="1"/>
    <col min="11267" max="11267" width="16" style="508" bestFit="1" customWidth="1"/>
    <col min="11268" max="11268" width="9.140625" style="508"/>
    <col min="11269" max="11269" width="11.28515625" style="508" customWidth="1"/>
    <col min="11270" max="11270" width="16.42578125" style="508" customWidth="1"/>
    <col min="11271" max="11271" width="4.7109375" style="508" customWidth="1"/>
    <col min="11272" max="11272" width="9.140625" style="508"/>
    <col min="11273" max="11274" width="5.7109375" style="508" customWidth="1"/>
    <col min="11275" max="11275" width="12.28515625" style="508" bestFit="1" customWidth="1"/>
    <col min="11276" max="11276" width="16" style="508" bestFit="1" customWidth="1"/>
    <col min="11277" max="11277" width="9.140625" style="508"/>
    <col min="11278" max="11278" width="11.28515625" style="508" customWidth="1"/>
    <col min="11279" max="11279" width="16.42578125" style="508" customWidth="1"/>
    <col min="11280" max="11280" width="4.7109375" style="508" customWidth="1"/>
    <col min="11281" max="11281" width="10.140625" style="508" bestFit="1" customWidth="1"/>
    <col min="11282" max="11282" width="9.140625" style="508"/>
    <col min="11283" max="11283" width="12.28515625" style="508" bestFit="1" customWidth="1"/>
    <col min="11284" max="11284" width="16" style="508" bestFit="1" customWidth="1"/>
    <col min="11285" max="11285" width="9.140625" style="508"/>
    <col min="11286" max="11286" width="11.28515625" style="508" customWidth="1"/>
    <col min="11287" max="11287" width="16.42578125" style="508" customWidth="1"/>
    <col min="11288" max="11288" width="4.7109375" style="508" customWidth="1"/>
    <col min="11289" max="11520" width="9.140625" style="508"/>
    <col min="11521" max="11521" width="5.7109375" style="508" customWidth="1"/>
    <col min="11522" max="11522" width="12.28515625" style="508" bestFit="1" customWidth="1"/>
    <col min="11523" max="11523" width="16" style="508" bestFit="1" customWidth="1"/>
    <col min="11524" max="11524" width="9.140625" style="508"/>
    <col min="11525" max="11525" width="11.28515625" style="508" customWidth="1"/>
    <col min="11526" max="11526" width="16.42578125" style="508" customWidth="1"/>
    <col min="11527" max="11527" width="4.7109375" style="508" customWidth="1"/>
    <col min="11528" max="11528" width="9.140625" style="508"/>
    <col min="11529" max="11530" width="5.7109375" style="508" customWidth="1"/>
    <col min="11531" max="11531" width="12.28515625" style="508" bestFit="1" customWidth="1"/>
    <col min="11532" max="11532" width="16" style="508" bestFit="1" customWidth="1"/>
    <col min="11533" max="11533" width="9.140625" style="508"/>
    <col min="11534" max="11534" width="11.28515625" style="508" customWidth="1"/>
    <col min="11535" max="11535" width="16.42578125" style="508" customWidth="1"/>
    <col min="11536" max="11536" width="4.7109375" style="508" customWidth="1"/>
    <col min="11537" max="11537" width="10.140625" style="508" bestFit="1" customWidth="1"/>
    <col min="11538" max="11538" width="9.140625" style="508"/>
    <col min="11539" max="11539" width="12.28515625" style="508" bestFit="1" customWidth="1"/>
    <col min="11540" max="11540" width="16" style="508" bestFit="1" customWidth="1"/>
    <col min="11541" max="11541" width="9.140625" style="508"/>
    <col min="11542" max="11542" width="11.28515625" style="508" customWidth="1"/>
    <col min="11543" max="11543" width="16.42578125" style="508" customWidth="1"/>
    <col min="11544" max="11544" width="4.7109375" style="508" customWidth="1"/>
    <col min="11545" max="11776" width="9.140625" style="508"/>
    <col min="11777" max="11777" width="5.7109375" style="508" customWidth="1"/>
    <col min="11778" max="11778" width="12.28515625" style="508" bestFit="1" customWidth="1"/>
    <col min="11779" max="11779" width="16" style="508" bestFit="1" customWidth="1"/>
    <col min="11780" max="11780" width="9.140625" style="508"/>
    <col min="11781" max="11781" width="11.28515625" style="508" customWidth="1"/>
    <col min="11782" max="11782" width="16.42578125" style="508" customWidth="1"/>
    <col min="11783" max="11783" width="4.7109375" style="508" customWidth="1"/>
    <col min="11784" max="11784" width="9.140625" style="508"/>
    <col min="11785" max="11786" width="5.7109375" style="508" customWidth="1"/>
    <col min="11787" max="11787" width="12.28515625" style="508" bestFit="1" customWidth="1"/>
    <col min="11788" max="11788" width="16" style="508" bestFit="1" customWidth="1"/>
    <col min="11789" max="11789" width="9.140625" style="508"/>
    <col min="11790" max="11790" width="11.28515625" style="508" customWidth="1"/>
    <col min="11791" max="11791" width="16.42578125" style="508" customWidth="1"/>
    <col min="11792" max="11792" width="4.7109375" style="508" customWidth="1"/>
    <col min="11793" max="11793" width="10.140625" style="508" bestFit="1" customWidth="1"/>
    <col min="11794" max="11794" width="9.140625" style="508"/>
    <col min="11795" max="11795" width="12.28515625" style="508" bestFit="1" customWidth="1"/>
    <col min="11796" max="11796" width="16" style="508" bestFit="1" customWidth="1"/>
    <col min="11797" max="11797" width="9.140625" style="508"/>
    <col min="11798" max="11798" width="11.28515625" style="508" customWidth="1"/>
    <col min="11799" max="11799" width="16.42578125" style="508" customWidth="1"/>
    <col min="11800" max="11800" width="4.7109375" style="508" customWidth="1"/>
    <col min="11801" max="12032" width="9.140625" style="508"/>
    <col min="12033" max="12033" width="5.7109375" style="508" customWidth="1"/>
    <col min="12034" max="12034" width="12.28515625" style="508" bestFit="1" customWidth="1"/>
    <col min="12035" max="12035" width="16" style="508" bestFit="1" customWidth="1"/>
    <col min="12036" max="12036" width="9.140625" style="508"/>
    <col min="12037" max="12037" width="11.28515625" style="508" customWidth="1"/>
    <col min="12038" max="12038" width="16.42578125" style="508" customWidth="1"/>
    <col min="12039" max="12039" width="4.7109375" style="508" customWidth="1"/>
    <col min="12040" max="12040" width="9.140625" style="508"/>
    <col min="12041" max="12042" width="5.7109375" style="508" customWidth="1"/>
    <col min="12043" max="12043" width="12.28515625" style="508" bestFit="1" customWidth="1"/>
    <col min="12044" max="12044" width="16" style="508" bestFit="1" customWidth="1"/>
    <col min="12045" max="12045" width="9.140625" style="508"/>
    <col min="12046" max="12046" width="11.28515625" style="508" customWidth="1"/>
    <col min="12047" max="12047" width="16.42578125" style="508" customWidth="1"/>
    <col min="12048" max="12048" width="4.7109375" style="508" customWidth="1"/>
    <col min="12049" max="12049" width="10.140625" style="508" bestFit="1" customWidth="1"/>
    <col min="12050" max="12050" width="9.140625" style="508"/>
    <col min="12051" max="12051" width="12.28515625" style="508" bestFit="1" customWidth="1"/>
    <col min="12052" max="12052" width="16" style="508" bestFit="1" customWidth="1"/>
    <col min="12053" max="12053" width="9.140625" style="508"/>
    <col min="12054" max="12054" width="11.28515625" style="508" customWidth="1"/>
    <col min="12055" max="12055" width="16.42578125" style="508" customWidth="1"/>
    <col min="12056" max="12056" width="4.7109375" style="508" customWidth="1"/>
    <col min="12057" max="12288" width="9.140625" style="508"/>
    <col min="12289" max="12289" width="5.7109375" style="508" customWidth="1"/>
    <col min="12290" max="12290" width="12.28515625" style="508" bestFit="1" customWidth="1"/>
    <col min="12291" max="12291" width="16" style="508" bestFit="1" customWidth="1"/>
    <col min="12292" max="12292" width="9.140625" style="508"/>
    <col min="12293" max="12293" width="11.28515625" style="508" customWidth="1"/>
    <col min="12294" max="12294" width="16.42578125" style="508" customWidth="1"/>
    <col min="12295" max="12295" width="4.7109375" style="508" customWidth="1"/>
    <col min="12296" max="12296" width="9.140625" style="508"/>
    <col min="12297" max="12298" width="5.7109375" style="508" customWidth="1"/>
    <col min="12299" max="12299" width="12.28515625" style="508" bestFit="1" customWidth="1"/>
    <col min="12300" max="12300" width="16" style="508" bestFit="1" customWidth="1"/>
    <col min="12301" max="12301" width="9.140625" style="508"/>
    <col min="12302" max="12302" width="11.28515625" style="508" customWidth="1"/>
    <col min="12303" max="12303" width="16.42578125" style="508" customWidth="1"/>
    <col min="12304" max="12304" width="4.7109375" style="508" customWidth="1"/>
    <col min="12305" max="12305" width="10.140625" style="508" bestFit="1" customWidth="1"/>
    <col min="12306" max="12306" width="9.140625" style="508"/>
    <col min="12307" max="12307" width="12.28515625" style="508" bestFit="1" customWidth="1"/>
    <col min="12308" max="12308" width="16" style="508" bestFit="1" customWidth="1"/>
    <col min="12309" max="12309" width="9.140625" style="508"/>
    <col min="12310" max="12310" width="11.28515625" style="508" customWidth="1"/>
    <col min="12311" max="12311" width="16.42578125" style="508" customWidth="1"/>
    <col min="12312" max="12312" width="4.7109375" style="508" customWidth="1"/>
    <col min="12313" max="12544" width="9.140625" style="508"/>
    <col min="12545" max="12545" width="5.7109375" style="508" customWidth="1"/>
    <col min="12546" max="12546" width="12.28515625" style="508" bestFit="1" customWidth="1"/>
    <col min="12547" max="12547" width="16" style="508" bestFit="1" customWidth="1"/>
    <col min="12548" max="12548" width="9.140625" style="508"/>
    <col min="12549" max="12549" width="11.28515625" style="508" customWidth="1"/>
    <col min="12550" max="12550" width="16.42578125" style="508" customWidth="1"/>
    <col min="12551" max="12551" width="4.7109375" style="508" customWidth="1"/>
    <col min="12552" max="12552" width="9.140625" style="508"/>
    <col min="12553" max="12554" width="5.7109375" style="508" customWidth="1"/>
    <col min="12555" max="12555" width="12.28515625" style="508" bestFit="1" customWidth="1"/>
    <col min="12556" max="12556" width="16" style="508" bestFit="1" customWidth="1"/>
    <col min="12557" max="12557" width="9.140625" style="508"/>
    <col min="12558" max="12558" width="11.28515625" style="508" customWidth="1"/>
    <col min="12559" max="12559" width="16.42578125" style="508" customWidth="1"/>
    <col min="12560" max="12560" width="4.7109375" style="508" customWidth="1"/>
    <col min="12561" max="12561" width="10.140625" style="508" bestFit="1" customWidth="1"/>
    <col min="12562" max="12562" width="9.140625" style="508"/>
    <col min="12563" max="12563" width="12.28515625" style="508" bestFit="1" customWidth="1"/>
    <col min="12564" max="12564" width="16" style="508" bestFit="1" customWidth="1"/>
    <col min="12565" max="12565" width="9.140625" style="508"/>
    <col min="12566" max="12566" width="11.28515625" style="508" customWidth="1"/>
    <col min="12567" max="12567" width="16.42578125" style="508" customWidth="1"/>
    <col min="12568" max="12568" width="4.7109375" style="508" customWidth="1"/>
    <col min="12569" max="12800" width="9.140625" style="508"/>
    <col min="12801" max="12801" width="5.7109375" style="508" customWidth="1"/>
    <col min="12802" max="12802" width="12.28515625" style="508" bestFit="1" customWidth="1"/>
    <col min="12803" max="12803" width="16" style="508" bestFit="1" customWidth="1"/>
    <col min="12804" max="12804" width="9.140625" style="508"/>
    <col min="12805" max="12805" width="11.28515625" style="508" customWidth="1"/>
    <col min="12806" max="12806" width="16.42578125" style="508" customWidth="1"/>
    <col min="12807" max="12807" width="4.7109375" style="508" customWidth="1"/>
    <col min="12808" max="12808" width="9.140625" style="508"/>
    <col min="12809" max="12810" width="5.7109375" style="508" customWidth="1"/>
    <col min="12811" max="12811" width="12.28515625" style="508" bestFit="1" customWidth="1"/>
    <col min="12812" max="12812" width="16" style="508" bestFit="1" customWidth="1"/>
    <col min="12813" max="12813" width="9.140625" style="508"/>
    <col min="12814" max="12814" width="11.28515625" style="508" customWidth="1"/>
    <col min="12815" max="12815" width="16.42578125" style="508" customWidth="1"/>
    <col min="12816" max="12816" width="4.7109375" style="508" customWidth="1"/>
    <col min="12817" max="12817" width="10.140625" style="508" bestFit="1" customWidth="1"/>
    <col min="12818" max="12818" width="9.140625" style="508"/>
    <col min="12819" max="12819" width="12.28515625" style="508" bestFit="1" customWidth="1"/>
    <col min="12820" max="12820" width="16" style="508" bestFit="1" customWidth="1"/>
    <col min="12821" max="12821" width="9.140625" style="508"/>
    <col min="12822" max="12822" width="11.28515625" style="508" customWidth="1"/>
    <col min="12823" max="12823" width="16.42578125" style="508" customWidth="1"/>
    <col min="12824" max="12824" width="4.7109375" style="508" customWidth="1"/>
    <col min="12825" max="13056" width="9.140625" style="508"/>
    <col min="13057" max="13057" width="5.7109375" style="508" customWidth="1"/>
    <col min="13058" max="13058" width="12.28515625" style="508" bestFit="1" customWidth="1"/>
    <col min="13059" max="13059" width="16" style="508" bestFit="1" customWidth="1"/>
    <col min="13060" max="13060" width="9.140625" style="508"/>
    <col min="13061" max="13061" width="11.28515625" style="508" customWidth="1"/>
    <col min="13062" max="13062" width="16.42578125" style="508" customWidth="1"/>
    <col min="13063" max="13063" width="4.7109375" style="508" customWidth="1"/>
    <col min="13064" max="13064" width="9.140625" style="508"/>
    <col min="13065" max="13066" width="5.7109375" style="508" customWidth="1"/>
    <col min="13067" max="13067" width="12.28515625" style="508" bestFit="1" customWidth="1"/>
    <col min="13068" max="13068" width="16" style="508" bestFit="1" customWidth="1"/>
    <col min="13069" max="13069" width="9.140625" style="508"/>
    <col min="13070" max="13070" width="11.28515625" style="508" customWidth="1"/>
    <col min="13071" max="13071" width="16.42578125" style="508" customWidth="1"/>
    <col min="13072" max="13072" width="4.7109375" style="508" customWidth="1"/>
    <col min="13073" max="13073" width="10.140625" style="508" bestFit="1" customWidth="1"/>
    <col min="13074" max="13074" width="9.140625" style="508"/>
    <col min="13075" max="13075" width="12.28515625" style="508" bestFit="1" customWidth="1"/>
    <col min="13076" max="13076" width="16" style="508" bestFit="1" customWidth="1"/>
    <col min="13077" max="13077" width="9.140625" style="508"/>
    <col min="13078" max="13078" width="11.28515625" style="508" customWidth="1"/>
    <col min="13079" max="13079" width="16.42578125" style="508" customWidth="1"/>
    <col min="13080" max="13080" width="4.7109375" style="508" customWidth="1"/>
    <col min="13081" max="13312" width="9.140625" style="508"/>
    <col min="13313" max="13313" width="5.7109375" style="508" customWidth="1"/>
    <col min="13314" max="13314" width="12.28515625" style="508" bestFit="1" customWidth="1"/>
    <col min="13315" max="13315" width="16" style="508" bestFit="1" customWidth="1"/>
    <col min="13316" max="13316" width="9.140625" style="508"/>
    <col min="13317" max="13317" width="11.28515625" style="508" customWidth="1"/>
    <col min="13318" max="13318" width="16.42578125" style="508" customWidth="1"/>
    <col min="13319" max="13319" width="4.7109375" style="508" customWidth="1"/>
    <col min="13320" max="13320" width="9.140625" style="508"/>
    <col min="13321" max="13322" width="5.7109375" style="508" customWidth="1"/>
    <col min="13323" max="13323" width="12.28515625" style="508" bestFit="1" customWidth="1"/>
    <col min="13324" max="13324" width="16" style="508" bestFit="1" customWidth="1"/>
    <col min="13325" max="13325" width="9.140625" style="508"/>
    <col min="13326" max="13326" width="11.28515625" style="508" customWidth="1"/>
    <col min="13327" max="13327" width="16.42578125" style="508" customWidth="1"/>
    <col min="13328" max="13328" width="4.7109375" style="508" customWidth="1"/>
    <col min="13329" max="13329" width="10.140625" style="508" bestFit="1" customWidth="1"/>
    <col min="13330" max="13330" width="9.140625" style="508"/>
    <col min="13331" max="13331" width="12.28515625" style="508" bestFit="1" customWidth="1"/>
    <col min="13332" max="13332" width="16" style="508" bestFit="1" customWidth="1"/>
    <col min="13333" max="13333" width="9.140625" style="508"/>
    <col min="13334" max="13334" width="11.28515625" style="508" customWidth="1"/>
    <col min="13335" max="13335" width="16.42578125" style="508" customWidth="1"/>
    <col min="13336" max="13336" width="4.7109375" style="508" customWidth="1"/>
    <col min="13337" max="13568" width="9.140625" style="508"/>
    <col min="13569" max="13569" width="5.7109375" style="508" customWidth="1"/>
    <col min="13570" max="13570" width="12.28515625" style="508" bestFit="1" customWidth="1"/>
    <col min="13571" max="13571" width="16" style="508" bestFit="1" customWidth="1"/>
    <col min="13572" max="13572" width="9.140625" style="508"/>
    <col min="13573" max="13573" width="11.28515625" style="508" customWidth="1"/>
    <col min="13574" max="13574" width="16.42578125" style="508" customWidth="1"/>
    <col min="13575" max="13575" width="4.7109375" style="508" customWidth="1"/>
    <col min="13576" max="13576" width="9.140625" style="508"/>
    <col min="13577" max="13578" width="5.7109375" style="508" customWidth="1"/>
    <col min="13579" max="13579" width="12.28515625" style="508" bestFit="1" customWidth="1"/>
    <col min="13580" max="13580" width="16" style="508" bestFit="1" customWidth="1"/>
    <col min="13581" max="13581" width="9.140625" style="508"/>
    <col min="13582" max="13582" width="11.28515625" style="508" customWidth="1"/>
    <col min="13583" max="13583" width="16.42578125" style="508" customWidth="1"/>
    <col min="13584" max="13584" width="4.7109375" style="508" customWidth="1"/>
    <col min="13585" max="13585" width="10.140625" style="508" bestFit="1" customWidth="1"/>
    <col min="13586" max="13586" width="9.140625" style="508"/>
    <col min="13587" max="13587" width="12.28515625" style="508" bestFit="1" customWidth="1"/>
    <col min="13588" max="13588" width="16" style="508" bestFit="1" customWidth="1"/>
    <col min="13589" max="13589" width="9.140625" style="508"/>
    <col min="13590" max="13590" width="11.28515625" style="508" customWidth="1"/>
    <col min="13591" max="13591" width="16.42578125" style="508" customWidth="1"/>
    <col min="13592" max="13592" width="4.7109375" style="508" customWidth="1"/>
    <col min="13593" max="13824" width="9.140625" style="508"/>
    <col min="13825" max="13825" width="5.7109375" style="508" customWidth="1"/>
    <col min="13826" max="13826" width="12.28515625" style="508" bestFit="1" customWidth="1"/>
    <col min="13827" max="13827" width="16" style="508" bestFit="1" customWidth="1"/>
    <col min="13828" max="13828" width="9.140625" style="508"/>
    <col min="13829" max="13829" width="11.28515625" style="508" customWidth="1"/>
    <col min="13830" max="13830" width="16.42578125" style="508" customWidth="1"/>
    <col min="13831" max="13831" width="4.7109375" style="508" customWidth="1"/>
    <col min="13832" max="13832" width="9.140625" style="508"/>
    <col min="13833" max="13834" width="5.7109375" style="508" customWidth="1"/>
    <col min="13835" max="13835" width="12.28515625" style="508" bestFit="1" customWidth="1"/>
    <col min="13836" max="13836" width="16" style="508" bestFit="1" customWidth="1"/>
    <col min="13837" max="13837" width="9.140625" style="508"/>
    <col min="13838" max="13838" width="11.28515625" style="508" customWidth="1"/>
    <col min="13839" max="13839" width="16.42578125" style="508" customWidth="1"/>
    <col min="13840" max="13840" width="4.7109375" style="508" customWidth="1"/>
    <col min="13841" max="13841" width="10.140625" style="508" bestFit="1" customWidth="1"/>
    <col min="13842" max="13842" width="9.140625" style="508"/>
    <col min="13843" max="13843" width="12.28515625" style="508" bestFit="1" customWidth="1"/>
    <col min="13844" max="13844" width="16" style="508" bestFit="1" customWidth="1"/>
    <col min="13845" max="13845" width="9.140625" style="508"/>
    <col min="13846" max="13846" width="11.28515625" style="508" customWidth="1"/>
    <col min="13847" max="13847" width="16.42578125" style="508" customWidth="1"/>
    <col min="13848" max="13848" width="4.7109375" style="508" customWidth="1"/>
    <col min="13849" max="14080" width="9.140625" style="508"/>
    <col min="14081" max="14081" width="5.7109375" style="508" customWidth="1"/>
    <col min="14082" max="14082" width="12.28515625" style="508" bestFit="1" customWidth="1"/>
    <col min="14083" max="14083" width="16" style="508" bestFit="1" customWidth="1"/>
    <col min="14084" max="14084" width="9.140625" style="508"/>
    <col min="14085" max="14085" width="11.28515625" style="508" customWidth="1"/>
    <col min="14086" max="14086" width="16.42578125" style="508" customWidth="1"/>
    <col min="14087" max="14087" width="4.7109375" style="508" customWidth="1"/>
    <col min="14088" max="14088" width="9.140625" style="508"/>
    <col min="14089" max="14090" width="5.7109375" style="508" customWidth="1"/>
    <col min="14091" max="14091" width="12.28515625" style="508" bestFit="1" customWidth="1"/>
    <col min="14092" max="14092" width="16" style="508" bestFit="1" customWidth="1"/>
    <col min="14093" max="14093" width="9.140625" style="508"/>
    <col min="14094" max="14094" width="11.28515625" style="508" customWidth="1"/>
    <col min="14095" max="14095" width="16.42578125" style="508" customWidth="1"/>
    <col min="14096" max="14096" width="4.7109375" style="508" customWidth="1"/>
    <col min="14097" max="14097" width="10.140625" style="508" bestFit="1" customWidth="1"/>
    <col min="14098" max="14098" width="9.140625" style="508"/>
    <col min="14099" max="14099" width="12.28515625" style="508" bestFit="1" customWidth="1"/>
    <col min="14100" max="14100" width="16" style="508" bestFit="1" customWidth="1"/>
    <col min="14101" max="14101" width="9.140625" style="508"/>
    <col min="14102" max="14102" width="11.28515625" style="508" customWidth="1"/>
    <col min="14103" max="14103" width="16.42578125" style="508" customWidth="1"/>
    <col min="14104" max="14104" width="4.7109375" style="508" customWidth="1"/>
    <col min="14105" max="14336" width="9.140625" style="508"/>
    <col min="14337" max="14337" width="5.7109375" style="508" customWidth="1"/>
    <col min="14338" max="14338" width="12.28515625" style="508" bestFit="1" customWidth="1"/>
    <col min="14339" max="14339" width="16" style="508" bestFit="1" customWidth="1"/>
    <col min="14340" max="14340" width="9.140625" style="508"/>
    <col min="14341" max="14341" width="11.28515625" style="508" customWidth="1"/>
    <col min="14342" max="14342" width="16.42578125" style="508" customWidth="1"/>
    <col min="14343" max="14343" width="4.7109375" style="508" customWidth="1"/>
    <col min="14344" max="14344" width="9.140625" style="508"/>
    <col min="14345" max="14346" width="5.7109375" style="508" customWidth="1"/>
    <col min="14347" max="14347" width="12.28515625" style="508" bestFit="1" customWidth="1"/>
    <col min="14348" max="14348" width="16" style="508" bestFit="1" customWidth="1"/>
    <col min="14349" max="14349" width="9.140625" style="508"/>
    <col min="14350" max="14350" width="11.28515625" style="508" customWidth="1"/>
    <col min="14351" max="14351" width="16.42578125" style="508" customWidth="1"/>
    <col min="14352" max="14352" width="4.7109375" style="508" customWidth="1"/>
    <col min="14353" max="14353" width="10.140625" style="508" bestFit="1" customWidth="1"/>
    <col min="14354" max="14354" width="9.140625" style="508"/>
    <col min="14355" max="14355" width="12.28515625" style="508" bestFit="1" customWidth="1"/>
    <col min="14356" max="14356" width="16" style="508" bestFit="1" customWidth="1"/>
    <col min="14357" max="14357" width="9.140625" style="508"/>
    <col min="14358" max="14358" width="11.28515625" style="508" customWidth="1"/>
    <col min="14359" max="14359" width="16.42578125" style="508" customWidth="1"/>
    <col min="14360" max="14360" width="4.7109375" style="508" customWidth="1"/>
    <col min="14361" max="14592" width="9.140625" style="508"/>
    <col min="14593" max="14593" width="5.7109375" style="508" customWidth="1"/>
    <col min="14594" max="14594" width="12.28515625" style="508" bestFit="1" customWidth="1"/>
    <col min="14595" max="14595" width="16" style="508" bestFit="1" customWidth="1"/>
    <col min="14596" max="14596" width="9.140625" style="508"/>
    <col min="14597" max="14597" width="11.28515625" style="508" customWidth="1"/>
    <col min="14598" max="14598" width="16.42578125" style="508" customWidth="1"/>
    <col min="14599" max="14599" width="4.7109375" style="508" customWidth="1"/>
    <col min="14600" max="14600" width="9.140625" style="508"/>
    <col min="14601" max="14602" width="5.7109375" style="508" customWidth="1"/>
    <col min="14603" max="14603" width="12.28515625" style="508" bestFit="1" customWidth="1"/>
    <col min="14604" max="14604" width="16" style="508" bestFit="1" customWidth="1"/>
    <col min="14605" max="14605" width="9.140625" style="508"/>
    <col min="14606" max="14606" width="11.28515625" style="508" customWidth="1"/>
    <col min="14607" max="14607" width="16.42578125" style="508" customWidth="1"/>
    <col min="14608" max="14608" width="4.7109375" style="508" customWidth="1"/>
    <col min="14609" max="14609" width="10.140625" style="508" bestFit="1" customWidth="1"/>
    <col min="14610" max="14610" width="9.140625" style="508"/>
    <col min="14611" max="14611" width="12.28515625" style="508" bestFit="1" customWidth="1"/>
    <col min="14612" max="14612" width="16" style="508" bestFit="1" customWidth="1"/>
    <col min="14613" max="14613" width="9.140625" style="508"/>
    <col min="14614" max="14614" width="11.28515625" style="508" customWidth="1"/>
    <col min="14615" max="14615" width="16.42578125" style="508" customWidth="1"/>
    <col min="14616" max="14616" width="4.7109375" style="508" customWidth="1"/>
    <col min="14617" max="14848" width="9.140625" style="508"/>
    <col min="14849" max="14849" width="5.7109375" style="508" customWidth="1"/>
    <col min="14850" max="14850" width="12.28515625" style="508" bestFit="1" customWidth="1"/>
    <col min="14851" max="14851" width="16" style="508" bestFit="1" customWidth="1"/>
    <col min="14852" max="14852" width="9.140625" style="508"/>
    <col min="14853" max="14853" width="11.28515625" style="508" customWidth="1"/>
    <col min="14854" max="14854" width="16.42578125" style="508" customWidth="1"/>
    <col min="14855" max="14855" width="4.7109375" style="508" customWidth="1"/>
    <col min="14856" max="14856" width="9.140625" style="508"/>
    <col min="14857" max="14858" width="5.7109375" style="508" customWidth="1"/>
    <col min="14859" max="14859" width="12.28515625" style="508" bestFit="1" customWidth="1"/>
    <col min="14860" max="14860" width="16" style="508" bestFit="1" customWidth="1"/>
    <col min="14861" max="14861" width="9.140625" style="508"/>
    <col min="14862" max="14862" width="11.28515625" style="508" customWidth="1"/>
    <col min="14863" max="14863" width="16.42578125" style="508" customWidth="1"/>
    <col min="14864" max="14864" width="4.7109375" style="508" customWidth="1"/>
    <col min="14865" max="14865" width="10.140625" style="508" bestFit="1" customWidth="1"/>
    <col min="14866" max="14866" width="9.140625" style="508"/>
    <col min="14867" max="14867" width="12.28515625" style="508" bestFit="1" customWidth="1"/>
    <col min="14868" max="14868" width="16" style="508" bestFit="1" customWidth="1"/>
    <col min="14869" max="14869" width="9.140625" style="508"/>
    <col min="14870" max="14870" width="11.28515625" style="508" customWidth="1"/>
    <col min="14871" max="14871" width="16.42578125" style="508" customWidth="1"/>
    <col min="14872" max="14872" width="4.7109375" style="508" customWidth="1"/>
    <col min="14873" max="15104" width="9.140625" style="508"/>
    <col min="15105" max="15105" width="5.7109375" style="508" customWidth="1"/>
    <col min="15106" max="15106" width="12.28515625" style="508" bestFit="1" customWidth="1"/>
    <col min="15107" max="15107" width="16" style="508" bestFit="1" customWidth="1"/>
    <col min="15108" max="15108" width="9.140625" style="508"/>
    <col min="15109" max="15109" width="11.28515625" style="508" customWidth="1"/>
    <col min="15110" max="15110" width="16.42578125" style="508" customWidth="1"/>
    <col min="15111" max="15111" width="4.7109375" style="508" customWidth="1"/>
    <col min="15112" max="15112" width="9.140625" style="508"/>
    <col min="15113" max="15114" width="5.7109375" style="508" customWidth="1"/>
    <col min="15115" max="15115" width="12.28515625" style="508" bestFit="1" customWidth="1"/>
    <col min="15116" max="15116" width="16" style="508" bestFit="1" customWidth="1"/>
    <col min="15117" max="15117" width="9.140625" style="508"/>
    <col min="15118" max="15118" width="11.28515625" style="508" customWidth="1"/>
    <col min="15119" max="15119" width="16.42578125" style="508" customWidth="1"/>
    <col min="15120" max="15120" width="4.7109375" style="508" customWidth="1"/>
    <col min="15121" max="15121" width="10.140625" style="508" bestFit="1" customWidth="1"/>
    <col min="15122" max="15122" width="9.140625" style="508"/>
    <col min="15123" max="15123" width="12.28515625" style="508" bestFit="1" customWidth="1"/>
    <col min="15124" max="15124" width="16" style="508" bestFit="1" customWidth="1"/>
    <col min="15125" max="15125" width="9.140625" style="508"/>
    <col min="15126" max="15126" width="11.28515625" style="508" customWidth="1"/>
    <col min="15127" max="15127" width="16.42578125" style="508" customWidth="1"/>
    <col min="15128" max="15128" width="4.7109375" style="508" customWidth="1"/>
    <col min="15129" max="15360" width="9.140625" style="508"/>
    <col min="15361" max="15361" width="5.7109375" style="508" customWidth="1"/>
    <col min="15362" max="15362" width="12.28515625" style="508" bestFit="1" customWidth="1"/>
    <col min="15363" max="15363" width="16" style="508" bestFit="1" customWidth="1"/>
    <col min="15364" max="15364" width="9.140625" style="508"/>
    <col min="15365" max="15365" width="11.28515625" style="508" customWidth="1"/>
    <col min="15366" max="15366" width="16.42578125" style="508" customWidth="1"/>
    <col min="15367" max="15367" width="4.7109375" style="508" customWidth="1"/>
    <col min="15368" max="15368" width="9.140625" style="508"/>
    <col min="15369" max="15370" width="5.7109375" style="508" customWidth="1"/>
    <col min="15371" max="15371" width="12.28515625" style="508" bestFit="1" customWidth="1"/>
    <col min="15372" max="15372" width="16" style="508" bestFit="1" customWidth="1"/>
    <col min="15373" max="15373" width="9.140625" style="508"/>
    <col min="15374" max="15374" width="11.28515625" style="508" customWidth="1"/>
    <col min="15375" max="15375" width="16.42578125" style="508" customWidth="1"/>
    <col min="15376" max="15376" width="4.7109375" style="508" customWidth="1"/>
    <col min="15377" max="15377" width="10.140625" style="508" bestFit="1" customWidth="1"/>
    <col min="15378" max="15378" width="9.140625" style="508"/>
    <col min="15379" max="15379" width="12.28515625" style="508" bestFit="1" customWidth="1"/>
    <col min="15380" max="15380" width="16" style="508" bestFit="1" customWidth="1"/>
    <col min="15381" max="15381" width="9.140625" style="508"/>
    <col min="15382" max="15382" width="11.28515625" style="508" customWidth="1"/>
    <col min="15383" max="15383" width="16.42578125" style="508" customWidth="1"/>
    <col min="15384" max="15384" width="4.7109375" style="508" customWidth="1"/>
    <col min="15385" max="15616" width="9.140625" style="508"/>
    <col min="15617" max="15617" width="5.7109375" style="508" customWidth="1"/>
    <col min="15618" max="15618" width="12.28515625" style="508" bestFit="1" customWidth="1"/>
    <col min="15619" max="15619" width="16" style="508" bestFit="1" customWidth="1"/>
    <col min="15620" max="15620" width="9.140625" style="508"/>
    <col min="15621" max="15621" width="11.28515625" style="508" customWidth="1"/>
    <col min="15622" max="15622" width="16.42578125" style="508" customWidth="1"/>
    <col min="15623" max="15623" width="4.7109375" style="508" customWidth="1"/>
    <col min="15624" max="15624" width="9.140625" style="508"/>
    <col min="15625" max="15626" width="5.7109375" style="508" customWidth="1"/>
    <col min="15627" max="15627" width="12.28515625" style="508" bestFit="1" customWidth="1"/>
    <col min="15628" max="15628" width="16" style="508" bestFit="1" customWidth="1"/>
    <col min="15629" max="15629" width="9.140625" style="508"/>
    <col min="15630" max="15630" width="11.28515625" style="508" customWidth="1"/>
    <col min="15631" max="15631" width="16.42578125" style="508" customWidth="1"/>
    <col min="15632" max="15632" width="4.7109375" style="508" customWidth="1"/>
    <col min="15633" max="15633" width="10.140625" style="508" bestFit="1" customWidth="1"/>
    <col min="15634" max="15634" width="9.140625" style="508"/>
    <col min="15635" max="15635" width="12.28515625" style="508" bestFit="1" customWidth="1"/>
    <col min="15636" max="15636" width="16" style="508" bestFit="1" customWidth="1"/>
    <col min="15637" max="15637" width="9.140625" style="508"/>
    <col min="15638" max="15638" width="11.28515625" style="508" customWidth="1"/>
    <col min="15639" max="15639" width="16.42578125" style="508" customWidth="1"/>
    <col min="15640" max="15640" width="4.7109375" style="508" customWidth="1"/>
    <col min="15641" max="15872" width="9.140625" style="508"/>
    <col min="15873" max="15873" width="5.7109375" style="508" customWidth="1"/>
    <col min="15874" max="15874" width="12.28515625" style="508" bestFit="1" customWidth="1"/>
    <col min="15875" max="15875" width="16" style="508" bestFit="1" customWidth="1"/>
    <col min="15876" max="15876" width="9.140625" style="508"/>
    <col min="15877" max="15877" width="11.28515625" style="508" customWidth="1"/>
    <col min="15878" max="15878" width="16.42578125" style="508" customWidth="1"/>
    <col min="15879" max="15879" width="4.7109375" style="508" customWidth="1"/>
    <col min="15880" max="15880" width="9.140625" style="508"/>
    <col min="15881" max="15882" width="5.7109375" style="508" customWidth="1"/>
    <col min="15883" max="15883" width="12.28515625" style="508" bestFit="1" customWidth="1"/>
    <col min="15884" max="15884" width="16" style="508" bestFit="1" customWidth="1"/>
    <col min="15885" max="15885" width="9.140625" style="508"/>
    <col min="15886" max="15886" width="11.28515625" style="508" customWidth="1"/>
    <col min="15887" max="15887" width="16.42578125" style="508" customWidth="1"/>
    <col min="15888" max="15888" width="4.7109375" style="508" customWidth="1"/>
    <col min="15889" max="15889" width="10.140625" style="508" bestFit="1" customWidth="1"/>
    <col min="15890" max="15890" width="9.140625" style="508"/>
    <col min="15891" max="15891" width="12.28515625" style="508" bestFit="1" customWidth="1"/>
    <col min="15892" max="15892" width="16" style="508" bestFit="1" customWidth="1"/>
    <col min="15893" max="15893" width="9.140625" style="508"/>
    <col min="15894" max="15894" width="11.28515625" style="508" customWidth="1"/>
    <col min="15895" max="15895" width="16.42578125" style="508" customWidth="1"/>
    <col min="15896" max="15896" width="4.7109375" style="508" customWidth="1"/>
    <col min="15897" max="16128" width="9.140625" style="508"/>
    <col min="16129" max="16129" width="5.7109375" style="508" customWidth="1"/>
    <col min="16130" max="16130" width="12.28515625" style="508" bestFit="1" customWidth="1"/>
    <col min="16131" max="16131" width="16" style="508" bestFit="1" customWidth="1"/>
    <col min="16132" max="16132" width="9.140625" style="508"/>
    <col min="16133" max="16133" width="11.28515625" style="508" customWidth="1"/>
    <col min="16134" max="16134" width="16.42578125" style="508" customWidth="1"/>
    <col min="16135" max="16135" width="4.7109375" style="508" customWidth="1"/>
    <col min="16136" max="16136" width="9.140625" style="508"/>
    <col min="16137" max="16138" width="5.7109375" style="508" customWidth="1"/>
    <col min="16139" max="16139" width="12.28515625" style="508" bestFit="1" customWidth="1"/>
    <col min="16140" max="16140" width="16" style="508" bestFit="1" customWidth="1"/>
    <col min="16141" max="16141" width="9.140625" style="508"/>
    <col min="16142" max="16142" width="11.28515625" style="508" customWidth="1"/>
    <col min="16143" max="16143" width="16.42578125" style="508" customWidth="1"/>
    <col min="16144" max="16144" width="4.7109375" style="508" customWidth="1"/>
    <col min="16145" max="16145" width="10.140625" style="508" bestFit="1" customWidth="1"/>
    <col min="16146" max="16146" width="9.140625" style="508"/>
    <col min="16147" max="16147" width="12.28515625" style="508" bestFit="1" customWidth="1"/>
    <col min="16148" max="16148" width="16" style="508" bestFit="1" customWidth="1"/>
    <col min="16149" max="16149" width="9.140625" style="508"/>
    <col min="16150" max="16150" width="11.28515625" style="508" customWidth="1"/>
    <col min="16151" max="16151" width="16.42578125" style="508" customWidth="1"/>
    <col min="16152" max="16152" width="4.7109375" style="508" customWidth="1"/>
    <col min="16153" max="16384" width="9.140625" style="508"/>
  </cols>
  <sheetData>
    <row r="1" spans="1:23" ht="16.5" customHeight="1" thickBot="1" x14ac:dyDescent="0.3">
      <c r="C1" s="509"/>
      <c r="D1" s="510"/>
      <c r="E1" s="511" t="s">
        <v>1377</v>
      </c>
      <c r="F1" s="512">
        <f>'MCAA RECAP'!H63</f>
        <v>2043942.7216</v>
      </c>
      <c r="I1" s="546" t="s">
        <v>1390</v>
      </c>
      <c r="L1" s="509"/>
      <c r="N1" s="509"/>
      <c r="O1" s="513"/>
      <c r="R1" s="627">
        <v>5</v>
      </c>
      <c r="S1" s="624">
        <f>IF(R1=0,0,IF(R1=2,F18,IF(R1=1,O18,IF(R1=3,F37,IF(R1=4,O37,IF(R1=5,0,IF(R1=6,F57)))))))</f>
        <v>0</v>
      </c>
      <c r="T1" s="509"/>
      <c r="V1" s="509"/>
      <c r="W1" s="513"/>
    </row>
    <row r="2" spans="1:23" ht="13.5" thickBot="1" x14ac:dyDescent="0.25">
      <c r="C2" s="509"/>
      <c r="E2" s="509"/>
      <c r="F2" s="514"/>
      <c r="L2" s="509"/>
      <c r="N2" s="509"/>
      <c r="O2" s="513"/>
      <c r="R2" s="623"/>
      <c r="S2" s="625"/>
      <c r="T2" s="509"/>
      <c r="V2" s="509"/>
      <c r="W2" s="513"/>
    </row>
    <row r="3" spans="1:23" s="522" customFormat="1" ht="15.75" x14ac:dyDescent="0.25">
      <c r="A3" s="515"/>
      <c r="B3" s="516" t="s">
        <v>1654</v>
      </c>
      <c r="C3" s="517"/>
      <c r="D3" s="517"/>
      <c r="E3" s="517"/>
      <c r="F3" s="517" t="s">
        <v>296</v>
      </c>
      <c r="G3" s="516"/>
      <c r="H3" s="518" t="s">
        <v>1776</v>
      </c>
      <c r="I3" s="519"/>
      <c r="J3" s="515"/>
      <c r="K3" s="516" t="s">
        <v>1378</v>
      </c>
      <c r="L3" s="517"/>
      <c r="M3" s="517"/>
      <c r="N3" s="517"/>
      <c r="O3" s="517" t="s">
        <v>296</v>
      </c>
      <c r="P3" s="520"/>
      <c r="Q3" s="521" t="s">
        <v>1776</v>
      </c>
      <c r="R3" s="626"/>
      <c r="S3" s="626"/>
    </row>
    <row r="4" spans="1:23" x14ac:dyDescent="0.2">
      <c r="A4" s="523"/>
      <c r="H4" s="524"/>
      <c r="J4" s="523"/>
      <c r="Q4" s="524"/>
    </row>
    <row r="5" spans="1:23" ht="13.5" thickBot="1" x14ac:dyDescent="0.25">
      <c r="A5" s="523"/>
      <c r="B5" s="525" t="s">
        <v>1379</v>
      </c>
      <c r="C5" s="525" t="s">
        <v>1380</v>
      </c>
      <c r="D5" s="525" t="s">
        <v>1381</v>
      </c>
      <c r="E5" s="525" t="s">
        <v>1382</v>
      </c>
      <c r="F5" s="525" t="s">
        <v>1383</v>
      </c>
      <c r="H5" s="524"/>
      <c r="J5" s="523"/>
      <c r="K5" s="525" t="s">
        <v>1379</v>
      </c>
      <c r="L5" s="525" t="s">
        <v>1380</v>
      </c>
      <c r="M5" s="525" t="s">
        <v>1381</v>
      </c>
      <c r="N5" s="525" t="s">
        <v>1382</v>
      </c>
      <c r="O5" s="525" t="s">
        <v>1383</v>
      </c>
      <c r="Q5" s="524"/>
    </row>
    <row r="6" spans="1:23" ht="13.5" thickBot="1" x14ac:dyDescent="0.25">
      <c r="A6" s="523"/>
      <c r="B6" s="526">
        <v>0</v>
      </c>
      <c r="C6" s="526">
        <v>5000</v>
      </c>
      <c r="D6" s="526">
        <v>64.900000000000006</v>
      </c>
      <c r="E6" s="527">
        <v>2000</v>
      </c>
      <c r="F6" s="528">
        <f>IF($F$1&lt;B6,0,IF($F$1&gt;=C6,ROUNDUP(((C6-B6)/E6),0)*D6,ROUNDUP((($F$1-B6)/E6),0)*D6))</f>
        <v>194.70000000000002</v>
      </c>
      <c r="H6" s="524"/>
      <c r="J6" s="523"/>
      <c r="K6" s="526">
        <v>0</v>
      </c>
      <c r="L6" s="526">
        <v>1000</v>
      </c>
      <c r="M6" s="526">
        <v>127</v>
      </c>
      <c r="N6" s="527">
        <v>1000</v>
      </c>
      <c r="O6" s="528">
        <f>IF($F$1&lt;K6,0,IF($F$1&gt;=L6,ROUNDUP(((L6-K6)/N6),0)*M6,ROUNDUP((($F$1-K6)/N6),0)*M6))</f>
        <v>127</v>
      </c>
      <c r="Q6" s="524"/>
    </row>
    <row r="7" spans="1:23" ht="13.5" thickBot="1" x14ac:dyDescent="0.25">
      <c r="A7" s="523"/>
      <c r="B7" s="526">
        <v>5000</v>
      </c>
      <c r="C7" s="526">
        <v>10000</v>
      </c>
      <c r="D7" s="526">
        <v>2.36</v>
      </c>
      <c r="E7" s="527">
        <v>100</v>
      </c>
      <c r="F7" s="528">
        <f>IF($F$1&lt;B7,0,IF($F$1&gt;=C7,ROUNDUP(((C7-B7)/E7),0)*D7,ROUNDUP((($F$1-B7)/E7),0)*D7))</f>
        <v>118</v>
      </c>
      <c r="H7" s="524"/>
      <c r="J7" s="523"/>
      <c r="K7" s="526">
        <v>1000</v>
      </c>
      <c r="L7" s="526">
        <v>10000</v>
      </c>
      <c r="M7" s="526">
        <v>2.69</v>
      </c>
      <c r="N7" s="527">
        <v>100</v>
      </c>
      <c r="O7" s="528">
        <f>IF($F$1&lt;K7,0,IF($F$1&gt;=L7,ROUNDUP(((L7-K7)/N7),0)*M7,ROUNDUP((($F$1-K7)/N7),0)*M7))</f>
        <v>242.1</v>
      </c>
      <c r="Q7" s="524"/>
    </row>
    <row r="8" spans="1:23" ht="13.5" thickBot="1" x14ac:dyDescent="0.25">
      <c r="A8" s="523"/>
      <c r="B8" s="526">
        <v>10000</v>
      </c>
      <c r="C8" s="526">
        <v>100000</v>
      </c>
      <c r="D8" s="526">
        <v>6.61</v>
      </c>
      <c r="E8" s="527">
        <v>1000</v>
      </c>
      <c r="F8" s="528">
        <f t="shared" ref="F8:F9" si="0">IF($F$1&lt;B8,0,IF($F$1&gt;=C8,ROUNDUP(((C8-B8)/E8),0)*D8,ROUNDUP((($F$1-B8)/E8),0)*D8))</f>
        <v>594.9</v>
      </c>
      <c r="H8" s="524"/>
      <c r="J8" s="523"/>
      <c r="K8" s="526">
        <v>10000</v>
      </c>
      <c r="L8" s="526">
        <v>100000</v>
      </c>
      <c r="M8" s="526">
        <v>16.45</v>
      </c>
      <c r="N8" s="527">
        <v>1000</v>
      </c>
      <c r="O8" s="528">
        <f t="shared" ref="O8:O9" si="1">IF($F$1&lt;K8,0,IF($F$1&gt;=L8,ROUNDUP(((L8-K8)/N8),0)*M8,ROUNDUP((($F$1-K8)/N8),0)*M8))</f>
        <v>1480.5</v>
      </c>
      <c r="Q8" s="524"/>
    </row>
    <row r="9" spans="1:23" ht="13.5" thickBot="1" x14ac:dyDescent="0.25">
      <c r="A9" s="523"/>
      <c r="B9" s="526">
        <v>100000</v>
      </c>
      <c r="C9" s="526">
        <v>999999999</v>
      </c>
      <c r="D9" s="526">
        <v>2.95</v>
      </c>
      <c r="E9" s="527">
        <v>1000</v>
      </c>
      <c r="F9" s="528">
        <f t="shared" si="0"/>
        <v>5734.8</v>
      </c>
      <c r="H9" s="524"/>
      <c r="J9" s="523"/>
      <c r="K9" s="526">
        <v>100000</v>
      </c>
      <c r="L9" s="526">
        <v>999999999</v>
      </c>
      <c r="M9" s="526">
        <v>11.28</v>
      </c>
      <c r="N9" s="527">
        <v>1000</v>
      </c>
      <c r="O9" s="528">
        <f t="shared" si="1"/>
        <v>21928.32</v>
      </c>
      <c r="Q9" s="524"/>
    </row>
    <row r="10" spans="1:23" x14ac:dyDescent="0.2">
      <c r="A10" s="523"/>
      <c r="B10" s="529"/>
      <c r="C10" s="529"/>
      <c r="D10" s="529"/>
      <c r="E10" s="530"/>
      <c r="F10" s="530"/>
      <c r="H10" s="524"/>
      <c r="J10" s="523"/>
      <c r="K10" s="529"/>
      <c r="L10" s="529"/>
      <c r="M10" s="529"/>
      <c r="N10" s="530"/>
      <c r="O10" s="530"/>
      <c r="Q10" s="524"/>
    </row>
    <row r="11" spans="1:23" ht="13.5" thickBot="1" x14ac:dyDescent="0.25">
      <c r="A11" s="523"/>
      <c r="B11" s="530"/>
      <c r="C11" s="530"/>
      <c r="D11" s="530"/>
      <c r="H11" s="524"/>
      <c r="J11" s="523"/>
      <c r="K11" s="530"/>
      <c r="L11" s="530"/>
      <c r="M11" s="530"/>
      <c r="Q11" s="524"/>
    </row>
    <row r="12" spans="1:23" ht="13.5" thickBot="1" x14ac:dyDescent="0.25">
      <c r="A12" s="523"/>
      <c r="B12" s="530"/>
      <c r="C12" s="530"/>
      <c r="D12" s="530"/>
      <c r="E12" s="531" t="s">
        <v>1383</v>
      </c>
      <c r="F12" s="528">
        <f>SUM(F6:F10)</f>
        <v>6642.4000000000005</v>
      </c>
      <c r="H12" s="524"/>
      <c r="J12" s="523"/>
      <c r="K12" s="530"/>
      <c r="L12" s="530"/>
      <c r="M12" s="530"/>
      <c r="N12" s="531" t="s">
        <v>1383</v>
      </c>
      <c r="O12" s="528">
        <f>SUM(O6:O10)</f>
        <v>23777.919999999998</v>
      </c>
      <c r="Q12" s="524"/>
    </row>
    <row r="13" spans="1:23" ht="13.5" thickBot="1" x14ac:dyDescent="0.25">
      <c r="A13" s="523"/>
      <c r="B13" s="530"/>
      <c r="C13" s="530"/>
      <c r="D13" s="530"/>
      <c r="E13" s="532"/>
      <c r="G13" s="533"/>
      <c r="H13" s="524"/>
      <c r="J13" s="523"/>
      <c r="K13" s="530"/>
      <c r="L13" s="530"/>
      <c r="M13" s="530"/>
      <c r="N13" s="532"/>
      <c r="P13" s="533"/>
      <c r="Q13" s="524"/>
    </row>
    <row r="14" spans="1:23" ht="13.5" thickBot="1" x14ac:dyDescent="0.25">
      <c r="A14" s="523"/>
      <c r="B14" s="530"/>
      <c r="C14" s="530"/>
      <c r="D14" s="530"/>
      <c r="E14" s="531" t="s">
        <v>1384</v>
      </c>
      <c r="F14" s="528">
        <f>ROUNDUP(F12*G14,2)</f>
        <v>1660.6</v>
      </c>
      <c r="G14" s="534">
        <v>0.25</v>
      </c>
      <c r="H14" s="535" t="s">
        <v>1385</v>
      </c>
      <c r="I14" s="533"/>
      <c r="J14" s="523"/>
      <c r="K14" s="530"/>
      <c r="L14" s="530"/>
      <c r="M14" s="530"/>
      <c r="N14" s="531" t="s">
        <v>1384</v>
      </c>
      <c r="O14" s="528">
        <f>ROUNDUP(O12*P14,2)</f>
        <v>15455.65</v>
      </c>
      <c r="P14" s="534">
        <v>0.65</v>
      </c>
      <c r="Q14" s="535" t="s">
        <v>1385</v>
      </c>
    </row>
    <row r="15" spans="1:23" ht="13.5" thickBot="1" x14ac:dyDescent="0.25">
      <c r="A15" s="523"/>
      <c r="B15" s="530"/>
      <c r="C15" s="530"/>
      <c r="D15" s="530"/>
      <c r="E15" s="536"/>
      <c r="F15" s="530"/>
      <c r="G15" s="534"/>
      <c r="H15" s="535"/>
      <c r="I15" s="533"/>
      <c r="J15" s="523"/>
      <c r="K15" s="530"/>
      <c r="L15" s="530"/>
      <c r="M15" s="530"/>
      <c r="N15" s="536"/>
      <c r="O15" s="530"/>
      <c r="P15" s="534"/>
      <c r="Q15" s="535"/>
    </row>
    <row r="16" spans="1:23" ht="13.5" thickBot="1" x14ac:dyDescent="0.25">
      <c r="A16" s="523"/>
      <c r="B16" s="530"/>
      <c r="C16" s="530"/>
      <c r="D16" s="530"/>
      <c r="E16" s="531" t="s">
        <v>1386</v>
      </c>
      <c r="F16" s="528">
        <f>ROUNDUP(SUM(F12,F14)*G16,2)</f>
        <v>415.15</v>
      </c>
      <c r="G16" s="534">
        <v>0.05</v>
      </c>
      <c r="H16" s="535"/>
      <c r="I16" s="533"/>
      <c r="J16" s="523"/>
      <c r="K16" s="530"/>
      <c r="L16" s="530"/>
      <c r="M16" s="530"/>
      <c r="N16" s="531" t="s">
        <v>1386</v>
      </c>
      <c r="O16" s="528">
        <f>ROUNDUP(SUM(O12,O14)*P16,2)</f>
        <v>1961.68</v>
      </c>
      <c r="P16" s="534">
        <v>0.05</v>
      </c>
      <c r="Q16" s="535"/>
    </row>
    <row r="17" spans="1:17" ht="13.5" thickBot="1" x14ac:dyDescent="0.25">
      <c r="A17" s="523"/>
      <c r="B17" s="530"/>
      <c r="C17" s="530"/>
      <c r="D17" s="530"/>
      <c r="E17" s="532"/>
      <c r="H17" s="524"/>
      <c r="J17" s="523"/>
      <c r="K17" s="530"/>
      <c r="L17" s="530"/>
      <c r="M17" s="530"/>
      <c r="N17" s="532"/>
      <c r="Q17" s="524"/>
    </row>
    <row r="18" spans="1:17" ht="13.5" thickBot="1" x14ac:dyDescent="0.25">
      <c r="A18" s="523"/>
      <c r="B18" s="530"/>
      <c r="C18" s="530"/>
      <c r="D18" s="530"/>
      <c r="E18" s="531" t="s">
        <v>79</v>
      </c>
      <c r="F18" s="528">
        <f>SUM(F12,F14,F16)</f>
        <v>8718.15</v>
      </c>
      <c r="H18" s="524"/>
      <c r="J18" s="523"/>
      <c r="K18" s="530"/>
      <c r="L18" s="530"/>
      <c r="N18" s="531" t="s">
        <v>79</v>
      </c>
      <c r="O18" s="528">
        <f>SUM(O12,O14,O16)</f>
        <v>41195.25</v>
      </c>
      <c r="Q18" s="524"/>
    </row>
    <row r="19" spans="1:17" ht="13.5" thickBot="1" x14ac:dyDescent="0.25">
      <c r="A19" s="537"/>
      <c r="B19" s="538"/>
      <c r="C19" s="538"/>
      <c r="D19" s="539"/>
      <c r="E19" s="539"/>
      <c r="F19" s="539"/>
      <c r="G19" s="539"/>
      <c r="H19" s="540"/>
      <c r="J19" s="537"/>
      <c r="K19" s="539"/>
      <c r="L19" s="539"/>
      <c r="M19" s="539"/>
      <c r="N19" s="539"/>
      <c r="O19" s="539"/>
      <c r="P19" s="539"/>
      <c r="Q19" s="540"/>
    </row>
    <row r="21" spans="1:17" ht="13.5" thickBot="1" x14ac:dyDescent="0.25"/>
    <row r="22" spans="1:17" ht="15.75" x14ac:dyDescent="0.25">
      <c r="A22" s="515"/>
      <c r="B22" s="516" t="s">
        <v>1387</v>
      </c>
      <c r="C22" s="517"/>
      <c r="D22" s="517"/>
      <c r="E22" s="517"/>
      <c r="F22" s="517" t="s">
        <v>296</v>
      </c>
      <c r="G22" s="517"/>
      <c r="H22" s="518" t="s">
        <v>1776</v>
      </c>
      <c r="I22" s="519"/>
      <c r="J22" s="515"/>
      <c r="K22" s="516" t="s">
        <v>1388</v>
      </c>
      <c r="L22" s="517"/>
      <c r="M22" s="517"/>
      <c r="N22" s="517"/>
      <c r="O22" s="517"/>
      <c r="P22" s="517"/>
      <c r="Q22" s="518" t="s">
        <v>1777</v>
      </c>
    </row>
    <row r="23" spans="1:17" x14ac:dyDescent="0.2">
      <c r="A23" s="523"/>
      <c r="H23" s="524"/>
      <c r="J23" s="523"/>
      <c r="Q23" s="524"/>
    </row>
    <row r="24" spans="1:17" ht="13.5" thickBot="1" x14ac:dyDescent="0.25">
      <c r="A24" s="523"/>
      <c r="B24" s="525" t="s">
        <v>1379</v>
      </c>
      <c r="C24" s="525" t="s">
        <v>1380</v>
      </c>
      <c r="D24" s="525" t="s">
        <v>1381</v>
      </c>
      <c r="E24" s="525" t="s">
        <v>1382</v>
      </c>
      <c r="F24" s="525" t="s">
        <v>1383</v>
      </c>
      <c r="H24" s="524"/>
      <c r="J24" s="523"/>
      <c r="K24" s="525" t="s">
        <v>1379</v>
      </c>
      <c r="L24" s="525" t="s">
        <v>1380</v>
      </c>
      <c r="M24" s="525" t="s">
        <v>1381</v>
      </c>
      <c r="N24" s="525" t="s">
        <v>1382</v>
      </c>
      <c r="O24" s="525" t="s">
        <v>1383</v>
      </c>
      <c r="Q24" s="524"/>
    </row>
    <row r="25" spans="1:17" ht="13.5" thickBot="1" x14ac:dyDescent="0.25">
      <c r="A25" s="523"/>
      <c r="B25" s="526">
        <v>0</v>
      </c>
      <c r="C25" s="526">
        <v>5000</v>
      </c>
      <c r="D25" s="526">
        <v>85</v>
      </c>
      <c r="E25" s="527">
        <v>5000</v>
      </c>
      <c r="F25" s="528">
        <f>IF($F$1&lt;B25,0,IF($F$1&gt;=C25,ROUNDUP(((C25-B25)/E25),0)*D25,ROUNDUP((($F$1-B25)/E25),0)*D25))</f>
        <v>85</v>
      </c>
      <c r="H25" s="524"/>
      <c r="J25" s="523"/>
      <c r="K25" s="541">
        <v>0</v>
      </c>
      <c r="L25" s="542">
        <v>2000</v>
      </c>
      <c r="M25" s="542">
        <v>67.25</v>
      </c>
      <c r="N25" s="543">
        <v>2000</v>
      </c>
      <c r="O25" s="544">
        <f>IF($F$1&lt;K25,0,IF($F$1&gt;=L25,ROUNDUP(((L25-K25)/N25),0)*M25,ROUNDUP((($F$1-K25)/N25),0)*M25))</f>
        <v>67.25</v>
      </c>
      <c r="Q25" s="524"/>
    </row>
    <row r="26" spans="1:17" ht="13.5" thickBot="1" x14ac:dyDescent="0.25">
      <c r="A26" s="523"/>
      <c r="B26" s="526">
        <v>5000</v>
      </c>
      <c r="C26" s="526">
        <v>10000</v>
      </c>
      <c r="D26" s="526">
        <v>1.66</v>
      </c>
      <c r="E26" s="527">
        <v>100</v>
      </c>
      <c r="F26" s="528">
        <f>IF($F$1&lt;B26,0,IF($F$1&gt;=C26,ROUNDUP(((C26-B26)/E26),0)*D26,ROUNDUP((($F$1-B26)/E26),0)*D26))</f>
        <v>83</v>
      </c>
      <c r="H26" s="524"/>
      <c r="J26" s="523"/>
      <c r="K26" s="542">
        <v>2000</v>
      </c>
      <c r="L26" s="542">
        <v>25000</v>
      </c>
      <c r="M26" s="542">
        <v>11</v>
      </c>
      <c r="N26" s="543">
        <v>1000</v>
      </c>
      <c r="O26" s="544">
        <f>IF($F$1&lt;K26,0,IF($F$1&gt;=L26,ROUNDUP(((L26-K26)/N26),0)*M26,ROUNDUP((($F$1-K26)/N26),0)*M26))</f>
        <v>253</v>
      </c>
      <c r="Q26" s="524"/>
    </row>
    <row r="27" spans="1:17" ht="13.5" thickBot="1" x14ac:dyDescent="0.25">
      <c r="A27" s="523"/>
      <c r="B27" s="526">
        <v>10000</v>
      </c>
      <c r="C27" s="526">
        <v>100000</v>
      </c>
      <c r="D27" s="526">
        <v>12.34</v>
      </c>
      <c r="E27" s="527">
        <v>1000</v>
      </c>
      <c r="F27" s="528">
        <f t="shared" ref="F27:F28" si="2">IF($F$1&lt;B27,0,IF($F$1&gt;=C27,ROUNDUP(((C27-B27)/E27),0)*D27,ROUNDUP((($F$1-B27)/E27),0)*D27))</f>
        <v>1110.5999999999999</v>
      </c>
      <c r="H27" s="524"/>
      <c r="J27" s="523"/>
      <c r="K27" s="542">
        <v>25000</v>
      </c>
      <c r="L27" s="542">
        <v>50000</v>
      </c>
      <c r="M27" s="542">
        <v>9</v>
      </c>
      <c r="N27" s="543">
        <v>1000</v>
      </c>
      <c r="O27" s="544">
        <f t="shared" ref="O27:O29" si="3">IF($F$1&lt;K27,0,IF($F$1&gt;=L27,ROUNDUP(((L27-K27)/N27),0)*M27,ROUNDUP((($F$1-K27)/N27),0)*M27))</f>
        <v>225</v>
      </c>
      <c r="Q27" s="524"/>
    </row>
    <row r="28" spans="1:17" ht="13.5" thickBot="1" x14ac:dyDescent="0.25">
      <c r="A28" s="523"/>
      <c r="B28" s="526">
        <v>100000</v>
      </c>
      <c r="C28" s="526">
        <v>999999999</v>
      </c>
      <c r="D28" s="526">
        <v>8.4700000000000006</v>
      </c>
      <c r="E28" s="527">
        <v>1000</v>
      </c>
      <c r="F28" s="528">
        <f t="shared" si="2"/>
        <v>16465.68</v>
      </c>
      <c r="H28" s="524"/>
      <c r="J28" s="523"/>
      <c r="K28" s="542">
        <v>50000</v>
      </c>
      <c r="L28" s="542">
        <v>100000</v>
      </c>
      <c r="M28" s="542">
        <v>6</v>
      </c>
      <c r="N28" s="543">
        <v>1000</v>
      </c>
      <c r="O28" s="544">
        <f t="shared" si="3"/>
        <v>300</v>
      </c>
      <c r="Q28" s="524"/>
    </row>
    <row r="29" spans="1:17" ht="13.5" thickBot="1" x14ac:dyDescent="0.25">
      <c r="A29" s="523"/>
      <c r="B29" s="529"/>
      <c r="C29" s="529"/>
      <c r="D29" s="529"/>
      <c r="E29" s="530"/>
      <c r="F29" s="530"/>
      <c r="H29" s="524"/>
      <c r="J29" s="523"/>
      <c r="K29" s="542">
        <v>100000</v>
      </c>
      <c r="L29" s="542">
        <v>999999999</v>
      </c>
      <c r="M29" s="542">
        <v>4</v>
      </c>
      <c r="N29" s="543">
        <v>1000</v>
      </c>
      <c r="O29" s="544">
        <f t="shared" si="3"/>
        <v>7776</v>
      </c>
      <c r="Q29" s="524"/>
    </row>
    <row r="30" spans="1:17" ht="13.5" thickBot="1" x14ac:dyDescent="0.25">
      <c r="A30" s="523"/>
      <c r="B30" s="530"/>
      <c r="C30" s="530"/>
      <c r="D30" s="530"/>
      <c r="H30" s="524"/>
      <c r="J30" s="523"/>
      <c r="K30" s="530"/>
      <c r="L30" s="530"/>
      <c r="M30" s="530"/>
      <c r="Q30" s="524"/>
    </row>
    <row r="31" spans="1:17" ht="13.5" thickBot="1" x14ac:dyDescent="0.25">
      <c r="A31" s="523"/>
      <c r="B31" s="530"/>
      <c r="C31" s="530"/>
      <c r="D31" s="530"/>
      <c r="E31" s="531" t="s">
        <v>1383</v>
      </c>
      <c r="F31" s="528">
        <f>SUM(F25:F29)</f>
        <v>17744.28</v>
      </c>
      <c r="H31" s="524"/>
      <c r="J31" s="523"/>
      <c r="K31" s="530"/>
      <c r="L31" s="530"/>
      <c r="M31" s="530"/>
      <c r="N31" s="531" t="s">
        <v>1383</v>
      </c>
      <c r="O31" s="528">
        <f>SUM(O25:O29)</f>
        <v>8621.25</v>
      </c>
      <c r="Q31" s="524"/>
    </row>
    <row r="32" spans="1:17" ht="13.5" thickBot="1" x14ac:dyDescent="0.25">
      <c r="A32" s="523"/>
      <c r="B32" s="530"/>
      <c r="C32" s="530"/>
      <c r="D32" s="530"/>
      <c r="E32" s="532"/>
      <c r="G32" s="533"/>
      <c r="H32" s="524"/>
      <c r="J32" s="523"/>
      <c r="K32" s="530"/>
      <c r="L32" s="530"/>
      <c r="M32" s="530"/>
      <c r="N32" s="532"/>
      <c r="P32" s="533"/>
      <c r="Q32" s="524"/>
    </row>
    <row r="33" spans="1:17" ht="13.5" thickBot="1" x14ac:dyDescent="0.25">
      <c r="A33" s="523"/>
      <c r="B33" s="530"/>
      <c r="C33" s="530"/>
      <c r="D33" s="530"/>
      <c r="E33" s="531" t="s">
        <v>1384</v>
      </c>
      <c r="F33" s="528">
        <f>ROUNDUP(F31*G33,2)</f>
        <v>11533.79</v>
      </c>
      <c r="G33" s="534">
        <v>0.65</v>
      </c>
      <c r="H33" s="535" t="s">
        <v>1385</v>
      </c>
      <c r="I33" s="533"/>
      <c r="J33" s="523"/>
      <c r="K33" s="530"/>
      <c r="L33" s="530"/>
      <c r="M33" s="530"/>
      <c r="N33" s="531" t="s">
        <v>1384</v>
      </c>
      <c r="O33" s="528">
        <f>ROUNDUP(O31*P33,2)</f>
        <v>5603.8200000000006</v>
      </c>
      <c r="P33" s="545">
        <v>0.65</v>
      </c>
      <c r="Q33" s="535" t="s">
        <v>1385</v>
      </c>
    </row>
    <row r="34" spans="1:17" ht="13.5" thickBot="1" x14ac:dyDescent="0.25">
      <c r="A34" s="523"/>
      <c r="B34" s="530"/>
      <c r="C34" s="530"/>
      <c r="D34" s="530"/>
      <c r="E34" s="536"/>
      <c r="F34" s="530"/>
      <c r="G34" s="534"/>
      <c r="H34" s="535"/>
      <c r="I34" s="533"/>
      <c r="J34" s="523"/>
      <c r="K34" s="530"/>
      <c r="L34" s="530"/>
      <c r="M34" s="530"/>
      <c r="N34" s="536"/>
      <c r="O34" s="530"/>
      <c r="P34" s="534"/>
      <c r="Q34" s="535"/>
    </row>
    <row r="35" spans="1:17" ht="13.5" thickBot="1" x14ac:dyDescent="0.25">
      <c r="A35" s="523"/>
      <c r="B35" s="530"/>
      <c r="C35" s="530"/>
      <c r="D35" s="530"/>
      <c r="E35" s="531" t="s">
        <v>1386</v>
      </c>
      <c r="F35" s="528">
        <f>ROUNDUP(SUM(F31,F33)*G35,2)</f>
        <v>1463.91</v>
      </c>
      <c r="G35" s="534">
        <v>0.05</v>
      </c>
      <c r="H35" s="535"/>
      <c r="I35" s="533"/>
      <c r="J35" s="523"/>
      <c r="K35" s="530"/>
      <c r="L35" s="530"/>
      <c r="M35" s="530"/>
      <c r="N35" s="531" t="s">
        <v>1386</v>
      </c>
      <c r="O35" s="528">
        <f>ROUNDUP(SUM(O31,O33)*P35,2)</f>
        <v>711.26</v>
      </c>
      <c r="P35" s="545">
        <v>0.05</v>
      </c>
      <c r="Q35" s="535"/>
    </row>
    <row r="36" spans="1:17" ht="13.5" thickBot="1" x14ac:dyDescent="0.25">
      <c r="A36" s="523"/>
      <c r="B36" s="530"/>
      <c r="C36" s="530"/>
      <c r="D36" s="530"/>
      <c r="E36" s="532"/>
      <c r="H36" s="524"/>
      <c r="J36" s="523"/>
      <c r="K36" s="530"/>
      <c r="L36" s="530"/>
      <c r="M36" s="530"/>
      <c r="N36" s="532"/>
      <c r="Q36" s="524"/>
    </row>
    <row r="37" spans="1:17" ht="13.5" thickBot="1" x14ac:dyDescent="0.25">
      <c r="A37" s="523"/>
      <c r="B37" s="530"/>
      <c r="C37" s="530"/>
      <c r="E37" s="531" t="s">
        <v>79</v>
      </c>
      <c r="F37" s="528">
        <f>SUM(F31,F33,F35)</f>
        <v>30741.98</v>
      </c>
      <c r="H37" s="524"/>
      <c r="J37" s="523"/>
      <c r="K37" s="530"/>
      <c r="L37" s="530"/>
      <c r="N37" s="531" t="s">
        <v>79</v>
      </c>
      <c r="O37" s="528">
        <f>SUM(O31,O33,O35)</f>
        <v>14936.33</v>
      </c>
      <c r="Q37" s="524"/>
    </row>
    <row r="38" spans="1:17" ht="13.5" thickBot="1" x14ac:dyDescent="0.25">
      <c r="A38" s="537"/>
      <c r="B38" s="539"/>
      <c r="C38" s="539"/>
      <c r="D38" s="539"/>
      <c r="E38" s="539"/>
      <c r="F38" s="539"/>
      <c r="G38" s="539"/>
      <c r="H38" s="540"/>
      <c r="J38" s="537"/>
      <c r="K38" s="539"/>
      <c r="L38" s="539"/>
      <c r="M38" s="539"/>
      <c r="N38" s="539"/>
      <c r="O38" s="539"/>
      <c r="P38" s="539"/>
      <c r="Q38" s="540"/>
    </row>
    <row r="40" spans="1:17" ht="13.5" thickBot="1" x14ac:dyDescent="0.25"/>
    <row r="41" spans="1:17" ht="15.75" x14ac:dyDescent="0.25">
      <c r="A41" s="515"/>
      <c r="B41" s="516" t="s">
        <v>1567</v>
      </c>
      <c r="C41" s="517"/>
      <c r="D41" s="517"/>
      <c r="E41" s="517"/>
      <c r="F41" s="517" t="s">
        <v>296</v>
      </c>
      <c r="G41" s="516"/>
      <c r="H41" s="518" t="s">
        <v>1778</v>
      </c>
    </row>
    <row r="42" spans="1:17" x14ac:dyDescent="0.2">
      <c r="A42" s="523"/>
      <c r="H42" s="524"/>
    </row>
    <row r="43" spans="1:17" ht="13.5" thickBot="1" x14ac:dyDescent="0.25">
      <c r="A43" s="523"/>
      <c r="B43" s="525" t="s">
        <v>1379</v>
      </c>
      <c r="C43" s="525" t="s">
        <v>1380</v>
      </c>
      <c r="D43" s="525" t="s">
        <v>1381</v>
      </c>
      <c r="E43" s="525" t="s">
        <v>1382</v>
      </c>
      <c r="F43" s="525" t="s">
        <v>1383</v>
      </c>
      <c r="H43" s="524"/>
    </row>
    <row r="44" spans="1:17" ht="13.5" thickBot="1" x14ac:dyDescent="0.25">
      <c r="A44" s="523"/>
      <c r="B44" s="526">
        <v>0</v>
      </c>
      <c r="C44" s="526">
        <v>500</v>
      </c>
      <c r="D44" s="526">
        <v>45</v>
      </c>
      <c r="E44" s="527">
        <v>500</v>
      </c>
      <c r="F44" s="528">
        <f>IF($F$1&lt;B44,0,IF($F$1&gt;=C44,ROUNDUP(((C44-B44)/E44),0)*D44,ROUNDUP((($F$1-B44)/E44),0)*D44))</f>
        <v>45</v>
      </c>
      <c r="H44" s="524"/>
    </row>
    <row r="45" spans="1:17" ht="13.5" thickBot="1" x14ac:dyDescent="0.25">
      <c r="A45" s="523"/>
      <c r="B45" s="526">
        <v>501</v>
      </c>
      <c r="C45" s="526">
        <v>2000</v>
      </c>
      <c r="D45" s="526">
        <v>7</v>
      </c>
      <c r="E45" s="527">
        <v>100</v>
      </c>
      <c r="F45" s="528">
        <f>IF($F$1&lt;B45,0,IF($F$1&gt;=C45,ROUNDUP(((C45-B45)/E45),0)*D45,ROUNDUP((($F$1-B45)/E45),0)*D45))</f>
        <v>105</v>
      </c>
      <c r="H45" s="524"/>
    </row>
    <row r="46" spans="1:17" ht="13.5" thickBot="1" x14ac:dyDescent="0.25">
      <c r="A46" s="523"/>
      <c r="B46" s="526">
        <v>2001</v>
      </c>
      <c r="C46" s="526">
        <v>25000</v>
      </c>
      <c r="D46" s="526">
        <v>27</v>
      </c>
      <c r="E46" s="527">
        <v>1000</v>
      </c>
      <c r="F46" s="528">
        <f t="shared" ref="F46:F48" si="4">IF($F$1&lt;B46,0,IF($F$1&gt;=C46,ROUNDUP(((C46-B46)/E46),0)*D46,ROUNDUP((($F$1-B46)/E46),0)*D46))</f>
        <v>621</v>
      </c>
      <c r="H46" s="524"/>
    </row>
    <row r="47" spans="1:17" ht="13.5" thickBot="1" x14ac:dyDescent="0.25">
      <c r="A47" s="523"/>
      <c r="B47" s="526">
        <v>25001</v>
      </c>
      <c r="C47" s="526">
        <v>50000</v>
      </c>
      <c r="D47" s="526">
        <v>20</v>
      </c>
      <c r="E47" s="527">
        <v>1000</v>
      </c>
      <c r="F47" s="528">
        <f t="shared" si="4"/>
        <v>500</v>
      </c>
      <c r="H47" s="524"/>
    </row>
    <row r="48" spans="1:17" ht="13.5" thickBot="1" x14ac:dyDescent="0.25">
      <c r="A48" s="523"/>
      <c r="B48" s="526">
        <v>50001</v>
      </c>
      <c r="C48" s="526">
        <v>100000</v>
      </c>
      <c r="D48" s="526">
        <v>14</v>
      </c>
      <c r="E48" s="527">
        <v>1000</v>
      </c>
      <c r="F48" s="528">
        <f t="shared" si="4"/>
        <v>700</v>
      </c>
      <c r="H48" s="524"/>
    </row>
    <row r="49" spans="1:8" ht="13.5" thickBot="1" x14ac:dyDescent="0.25">
      <c r="A49" s="523"/>
      <c r="B49" s="526">
        <v>100001</v>
      </c>
      <c r="C49" s="526">
        <v>999999999</v>
      </c>
      <c r="D49" s="526">
        <v>11</v>
      </c>
      <c r="E49" s="527">
        <v>1000</v>
      </c>
      <c r="F49" s="528">
        <f t="shared" ref="F49" si="5">IF($F$1&lt;B49,0,IF($F$1&gt;=C49,ROUNDUP(((C49-B49)/E49),0)*D49,ROUNDUP((($F$1-B49)/E49),0)*D49))</f>
        <v>21384</v>
      </c>
      <c r="H49" s="524"/>
    </row>
    <row r="50" spans="1:8" ht="13.5" thickBot="1" x14ac:dyDescent="0.25">
      <c r="A50" s="523"/>
      <c r="B50" s="529"/>
      <c r="C50" s="529"/>
      <c r="D50" s="529"/>
      <c r="H50" s="524"/>
    </row>
    <row r="51" spans="1:8" ht="13.5" thickBot="1" x14ac:dyDescent="0.25">
      <c r="A51" s="523"/>
      <c r="B51" s="530"/>
      <c r="C51" s="530"/>
      <c r="D51" s="530"/>
      <c r="E51" s="531" t="s">
        <v>1383</v>
      </c>
      <c r="F51" s="528">
        <f>SUM(F44:F49)</f>
        <v>23355</v>
      </c>
      <c r="H51" s="524"/>
    </row>
    <row r="52" spans="1:8" ht="13.5" thickBot="1" x14ac:dyDescent="0.25">
      <c r="A52" s="523"/>
      <c r="B52" s="530"/>
      <c r="C52" s="530"/>
      <c r="D52" s="530"/>
      <c r="E52" s="532"/>
      <c r="G52" s="533"/>
      <c r="H52" s="524"/>
    </row>
    <row r="53" spans="1:8" ht="13.5" thickBot="1" x14ac:dyDescent="0.25">
      <c r="A53" s="523"/>
      <c r="B53" s="530"/>
      <c r="C53" s="530"/>
      <c r="D53" s="530"/>
      <c r="E53" s="531" t="s">
        <v>1384</v>
      </c>
      <c r="F53" s="528">
        <f>ROUNDUP(F51*G53,2)</f>
        <v>15180.75</v>
      </c>
      <c r="G53" s="534">
        <v>0.65</v>
      </c>
      <c r="H53" s="535" t="s">
        <v>1385</v>
      </c>
    </row>
    <row r="54" spans="1:8" ht="13.5" thickBot="1" x14ac:dyDescent="0.25">
      <c r="A54" s="523"/>
      <c r="B54" s="530"/>
      <c r="C54" s="530"/>
      <c r="D54" s="530"/>
      <c r="E54" s="536"/>
      <c r="F54" s="530"/>
      <c r="G54" s="534"/>
      <c r="H54" s="535"/>
    </row>
    <row r="55" spans="1:8" ht="13.5" thickBot="1" x14ac:dyDescent="0.25">
      <c r="A55" s="523"/>
      <c r="B55" s="530"/>
      <c r="C55" s="530"/>
      <c r="D55" s="530"/>
      <c r="E55" s="531" t="s">
        <v>1386</v>
      </c>
      <c r="F55" s="528">
        <f>ROUNDUP(SUM(F51,F53)*G55,2)</f>
        <v>1926.79</v>
      </c>
      <c r="G55" s="534">
        <v>0.05</v>
      </c>
      <c r="H55" s="535"/>
    </row>
    <row r="56" spans="1:8" ht="13.5" thickBot="1" x14ac:dyDescent="0.25">
      <c r="A56" s="523"/>
      <c r="B56" s="530"/>
      <c r="C56" s="530"/>
      <c r="D56" s="530"/>
      <c r="E56" s="532"/>
      <c r="H56" s="524"/>
    </row>
    <row r="57" spans="1:8" ht="13.5" thickBot="1" x14ac:dyDescent="0.25">
      <c r="A57" s="523"/>
      <c r="B57" s="530"/>
      <c r="C57" s="530"/>
      <c r="D57" s="530"/>
      <c r="E57" s="531" t="s">
        <v>79</v>
      </c>
      <c r="F57" s="528">
        <f>SUM(F51,F53,F55)</f>
        <v>40462.54</v>
      </c>
      <c r="H57" s="524"/>
    </row>
    <row r="58" spans="1:8" ht="13.5" thickBot="1" x14ac:dyDescent="0.25">
      <c r="A58" s="537"/>
      <c r="B58" s="538"/>
      <c r="C58" s="538"/>
      <c r="D58" s="539"/>
      <c r="E58" s="539"/>
      <c r="F58" s="539"/>
      <c r="G58" s="539"/>
      <c r="H58" s="540"/>
    </row>
  </sheetData>
  <sheetProtection algorithmName="SHA-512" hashValue="dXIupElVEcQZNUcVJ2PocS6knNlX+LEyXlQ01s5ley2CAgkj/QlODxo9e6Dl/Vk3+p9XKknLYg4T59HX4NhXTw==" saltValue="XD/11xUI1ImSdG1aIuGTqA==" spinCount="100000" sheet="1" objects="1" scenarios="1" sort="0" autoFilter="0" pivotTables="0"/>
  <pageMargins left="0.7" right="0.7" top="0.75" bottom="0.75" header="0.3" footer="0.3"/>
  <pageSetup scale="52" orientation="portrait" r:id="rId1"/>
  <headerFooter scaleWithDoc="0" alignWithMargins="0">
    <oddFooter>&amp;L&amp;D&amp;C&amp;F&amp;RPage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17" r:id="rId4" name="Group Box 1">
              <controlPr defaultSize="0" autoFill="0" autoPict="0">
                <anchor moveWithCells="1">
                  <from>
                    <xdr:col>0</xdr:col>
                    <xdr:colOff>0</xdr:colOff>
                    <xdr:row>0</xdr:row>
                    <xdr:rowOff>0</xdr:rowOff>
                  </from>
                  <to>
                    <xdr:col>17</xdr:col>
                    <xdr:colOff>0</xdr:colOff>
                    <xdr:row>58</xdr:row>
                    <xdr:rowOff>9525</xdr:rowOff>
                  </to>
                </anchor>
              </controlPr>
            </control>
          </mc:Choice>
        </mc:AlternateContent>
        <mc:AlternateContent xmlns:mc="http://schemas.openxmlformats.org/markup-compatibility/2006">
          <mc:Choice Requires="x14">
            <control shapeId="34818" r:id="rId5" name="Option Button 2">
              <controlPr defaultSize="0" autoFill="0" autoLine="0" autoPict="0">
                <anchor moveWithCells="1">
                  <from>
                    <xdr:col>9</xdr:col>
                    <xdr:colOff>0</xdr:colOff>
                    <xdr:row>1</xdr:row>
                    <xdr:rowOff>161925</xdr:rowOff>
                  </from>
                  <to>
                    <xdr:col>11</xdr:col>
                    <xdr:colOff>0</xdr:colOff>
                    <xdr:row>3</xdr:row>
                    <xdr:rowOff>9525</xdr:rowOff>
                  </to>
                </anchor>
              </controlPr>
            </control>
          </mc:Choice>
        </mc:AlternateContent>
        <mc:AlternateContent xmlns:mc="http://schemas.openxmlformats.org/markup-compatibility/2006">
          <mc:Choice Requires="x14">
            <control shapeId="34819" r:id="rId6" name="Option Button 3">
              <controlPr defaultSize="0" autoFill="0" autoLine="0" autoPict="0">
                <anchor moveWithCells="1">
                  <from>
                    <xdr:col>0</xdr:col>
                    <xdr:colOff>0</xdr:colOff>
                    <xdr:row>1</xdr:row>
                    <xdr:rowOff>161925</xdr:rowOff>
                  </from>
                  <to>
                    <xdr:col>2</xdr:col>
                    <xdr:colOff>0</xdr:colOff>
                    <xdr:row>3</xdr:row>
                    <xdr:rowOff>9525</xdr:rowOff>
                  </to>
                </anchor>
              </controlPr>
            </control>
          </mc:Choice>
        </mc:AlternateContent>
        <mc:AlternateContent xmlns:mc="http://schemas.openxmlformats.org/markup-compatibility/2006">
          <mc:Choice Requires="x14">
            <control shapeId="34820" r:id="rId7" name="Option Button 4">
              <controlPr defaultSize="0" autoFill="0" autoLine="0" autoPict="0">
                <anchor moveWithCells="1">
                  <from>
                    <xdr:col>0</xdr:col>
                    <xdr:colOff>0</xdr:colOff>
                    <xdr:row>20</xdr:row>
                    <xdr:rowOff>161925</xdr:rowOff>
                  </from>
                  <to>
                    <xdr:col>2</xdr:col>
                    <xdr:colOff>0</xdr:colOff>
                    <xdr:row>22</xdr:row>
                    <xdr:rowOff>9525</xdr:rowOff>
                  </to>
                </anchor>
              </controlPr>
            </control>
          </mc:Choice>
        </mc:AlternateContent>
        <mc:AlternateContent xmlns:mc="http://schemas.openxmlformats.org/markup-compatibility/2006">
          <mc:Choice Requires="x14">
            <control shapeId="34821" r:id="rId8" name="Option Button 5">
              <controlPr defaultSize="0" autoFill="0" autoLine="0" autoPict="0">
                <anchor moveWithCells="1">
                  <from>
                    <xdr:col>9</xdr:col>
                    <xdr:colOff>0</xdr:colOff>
                    <xdr:row>20</xdr:row>
                    <xdr:rowOff>161925</xdr:rowOff>
                  </from>
                  <to>
                    <xdr:col>11</xdr:col>
                    <xdr:colOff>0</xdr:colOff>
                    <xdr:row>22</xdr:row>
                    <xdr:rowOff>9525</xdr:rowOff>
                  </to>
                </anchor>
              </controlPr>
            </control>
          </mc:Choice>
        </mc:AlternateContent>
        <mc:AlternateContent xmlns:mc="http://schemas.openxmlformats.org/markup-compatibility/2006">
          <mc:Choice Requires="x14">
            <control shapeId="34822" r:id="rId9" name="Option Button 6">
              <controlPr defaultSize="0" autoFill="0" autoLine="0" autoPict="0">
                <anchor moveWithCells="1">
                  <from>
                    <xdr:col>7</xdr:col>
                    <xdr:colOff>400050</xdr:colOff>
                    <xdr:row>0</xdr:row>
                    <xdr:rowOff>28575</xdr:rowOff>
                  </from>
                  <to>
                    <xdr:col>10</xdr:col>
                    <xdr:colOff>209550</xdr:colOff>
                    <xdr:row>0</xdr:row>
                    <xdr:rowOff>180975</xdr:rowOff>
                  </to>
                </anchor>
              </controlPr>
            </control>
          </mc:Choice>
        </mc:AlternateContent>
        <mc:AlternateContent xmlns:mc="http://schemas.openxmlformats.org/markup-compatibility/2006">
          <mc:Choice Requires="x14">
            <control shapeId="34824" r:id="rId10" name="Option Button 8">
              <controlPr defaultSize="0" autoFill="0" autoLine="0" autoPict="0">
                <anchor moveWithCells="1">
                  <from>
                    <xdr:col>0</xdr:col>
                    <xdr:colOff>0</xdr:colOff>
                    <xdr:row>40</xdr:row>
                    <xdr:rowOff>0</xdr:rowOff>
                  </from>
                  <to>
                    <xdr:col>2</xdr:col>
                    <xdr:colOff>0</xdr:colOff>
                    <xdr:row>41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dimension ref="A1:Y177"/>
  <sheetViews>
    <sheetView workbookViewId="0">
      <selection activeCell="O148" sqref="O148:P148"/>
    </sheetView>
  </sheetViews>
  <sheetFormatPr defaultRowHeight="12.75" x14ac:dyDescent="0.2"/>
  <cols>
    <col min="1" max="1" width="3.42578125" customWidth="1"/>
    <col min="2" max="2" width="10.140625" customWidth="1"/>
    <col min="3" max="3" width="7.85546875" customWidth="1"/>
    <col min="4" max="4" width="4" customWidth="1"/>
    <col min="5" max="5" width="4.5703125" customWidth="1"/>
    <col min="6" max="6" width="12.7109375" customWidth="1"/>
    <col min="7" max="7" width="5.85546875" customWidth="1"/>
    <col min="8" max="8" width="5.42578125" customWidth="1"/>
    <col min="9" max="9" width="5" customWidth="1"/>
    <col min="10" max="10" width="4.28515625" customWidth="1"/>
    <col min="11" max="11" width="5.85546875" customWidth="1"/>
    <col min="12" max="12" width="8.140625" customWidth="1"/>
    <col min="13" max="13" width="4.28515625" customWidth="1"/>
    <col min="14" max="14" width="6.85546875" customWidth="1"/>
    <col min="15" max="15" width="11" customWidth="1"/>
    <col min="16" max="16" width="4.85546875" customWidth="1"/>
    <col min="17" max="17" width="4.5703125" customWidth="1"/>
    <col min="18" max="18" width="2.42578125" customWidth="1"/>
    <col min="20" max="20" width="10.28515625" bestFit="1" customWidth="1"/>
    <col min="22" max="22" width="11.28515625" bestFit="1" customWidth="1"/>
    <col min="23" max="23" width="10.28515625" bestFit="1" customWidth="1"/>
    <col min="257" max="257" width="3.42578125" customWidth="1"/>
    <col min="258" max="258" width="10.140625" customWidth="1"/>
    <col min="259" max="259" width="7.85546875" customWidth="1"/>
    <col min="260" max="260" width="4" customWidth="1"/>
    <col min="261" max="261" width="4.5703125" customWidth="1"/>
    <col min="262" max="262" width="11.42578125" customWidth="1"/>
    <col min="263" max="263" width="4.42578125" customWidth="1"/>
    <col min="264" max="264" width="5.42578125" customWidth="1"/>
    <col min="265" max="265" width="5" customWidth="1"/>
    <col min="266" max="266" width="4.28515625" customWidth="1"/>
    <col min="267" max="267" width="5.85546875" customWidth="1"/>
    <col min="268" max="268" width="8.140625" customWidth="1"/>
    <col min="269" max="270" width="4.28515625" customWidth="1"/>
    <col min="271" max="271" width="11" customWidth="1"/>
    <col min="272" max="272" width="4.85546875" customWidth="1"/>
    <col min="273" max="273" width="4.5703125" customWidth="1"/>
    <col min="274" max="274" width="2.42578125" customWidth="1"/>
    <col min="513" max="513" width="3.42578125" customWidth="1"/>
    <col min="514" max="514" width="10.140625" customWidth="1"/>
    <col min="515" max="515" width="7.85546875" customWidth="1"/>
    <col min="516" max="516" width="4" customWidth="1"/>
    <col min="517" max="517" width="4.5703125" customWidth="1"/>
    <col min="518" max="518" width="11.42578125" customWidth="1"/>
    <col min="519" max="519" width="4.42578125" customWidth="1"/>
    <col min="520" max="520" width="5.42578125" customWidth="1"/>
    <col min="521" max="521" width="5" customWidth="1"/>
    <col min="522" max="522" width="4.28515625" customWidth="1"/>
    <col min="523" max="523" width="5.85546875" customWidth="1"/>
    <col min="524" max="524" width="8.140625" customWidth="1"/>
    <col min="525" max="526" width="4.28515625" customWidth="1"/>
    <col min="527" max="527" width="11" customWidth="1"/>
    <col min="528" max="528" width="4.85546875" customWidth="1"/>
    <col min="529" max="529" width="4.5703125" customWidth="1"/>
    <col min="530" max="530" width="2.42578125" customWidth="1"/>
    <col min="769" max="769" width="3.42578125" customWidth="1"/>
    <col min="770" max="770" width="10.140625" customWidth="1"/>
    <col min="771" max="771" width="7.85546875" customWidth="1"/>
    <col min="772" max="772" width="4" customWidth="1"/>
    <col min="773" max="773" width="4.5703125" customWidth="1"/>
    <col min="774" max="774" width="11.42578125" customWidth="1"/>
    <col min="775" max="775" width="4.42578125" customWidth="1"/>
    <col min="776" max="776" width="5.42578125" customWidth="1"/>
    <col min="777" max="777" width="5" customWidth="1"/>
    <col min="778" max="778" width="4.28515625" customWidth="1"/>
    <col min="779" max="779" width="5.85546875" customWidth="1"/>
    <col min="780" max="780" width="8.140625" customWidth="1"/>
    <col min="781" max="782" width="4.28515625" customWidth="1"/>
    <col min="783" max="783" width="11" customWidth="1"/>
    <col min="784" max="784" width="4.85546875" customWidth="1"/>
    <col min="785" max="785" width="4.5703125" customWidth="1"/>
    <col min="786" max="786" width="2.42578125" customWidth="1"/>
    <col min="1025" max="1025" width="3.42578125" customWidth="1"/>
    <col min="1026" max="1026" width="10.140625" customWidth="1"/>
    <col min="1027" max="1027" width="7.85546875" customWidth="1"/>
    <col min="1028" max="1028" width="4" customWidth="1"/>
    <col min="1029" max="1029" width="4.5703125" customWidth="1"/>
    <col min="1030" max="1030" width="11.42578125" customWidth="1"/>
    <col min="1031" max="1031" width="4.42578125" customWidth="1"/>
    <col min="1032" max="1032" width="5.42578125" customWidth="1"/>
    <col min="1033" max="1033" width="5" customWidth="1"/>
    <col min="1034" max="1034" width="4.28515625" customWidth="1"/>
    <col min="1035" max="1035" width="5.85546875" customWidth="1"/>
    <col min="1036" max="1036" width="8.140625" customWidth="1"/>
    <col min="1037" max="1038" width="4.28515625" customWidth="1"/>
    <col min="1039" max="1039" width="11" customWidth="1"/>
    <col min="1040" max="1040" width="4.85546875" customWidth="1"/>
    <col min="1041" max="1041" width="4.5703125" customWidth="1"/>
    <col min="1042" max="1042" width="2.42578125" customWidth="1"/>
    <col min="1281" max="1281" width="3.42578125" customWidth="1"/>
    <col min="1282" max="1282" width="10.140625" customWidth="1"/>
    <col min="1283" max="1283" width="7.85546875" customWidth="1"/>
    <col min="1284" max="1284" width="4" customWidth="1"/>
    <col min="1285" max="1285" width="4.5703125" customWidth="1"/>
    <col min="1286" max="1286" width="11.42578125" customWidth="1"/>
    <col min="1287" max="1287" width="4.42578125" customWidth="1"/>
    <col min="1288" max="1288" width="5.42578125" customWidth="1"/>
    <col min="1289" max="1289" width="5" customWidth="1"/>
    <col min="1290" max="1290" width="4.28515625" customWidth="1"/>
    <col min="1291" max="1291" width="5.85546875" customWidth="1"/>
    <col min="1292" max="1292" width="8.140625" customWidth="1"/>
    <col min="1293" max="1294" width="4.28515625" customWidth="1"/>
    <col min="1295" max="1295" width="11" customWidth="1"/>
    <col min="1296" max="1296" width="4.85546875" customWidth="1"/>
    <col min="1297" max="1297" width="4.5703125" customWidth="1"/>
    <col min="1298" max="1298" width="2.42578125" customWidth="1"/>
    <col min="1537" max="1537" width="3.42578125" customWidth="1"/>
    <col min="1538" max="1538" width="10.140625" customWidth="1"/>
    <col min="1539" max="1539" width="7.85546875" customWidth="1"/>
    <col min="1540" max="1540" width="4" customWidth="1"/>
    <col min="1541" max="1541" width="4.5703125" customWidth="1"/>
    <col min="1542" max="1542" width="11.42578125" customWidth="1"/>
    <col min="1543" max="1543" width="4.42578125" customWidth="1"/>
    <col min="1544" max="1544" width="5.42578125" customWidth="1"/>
    <col min="1545" max="1545" width="5" customWidth="1"/>
    <col min="1546" max="1546" width="4.28515625" customWidth="1"/>
    <col min="1547" max="1547" width="5.85546875" customWidth="1"/>
    <col min="1548" max="1548" width="8.140625" customWidth="1"/>
    <col min="1549" max="1550" width="4.28515625" customWidth="1"/>
    <col min="1551" max="1551" width="11" customWidth="1"/>
    <col min="1552" max="1552" width="4.85546875" customWidth="1"/>
    <col min="1553" max="1553" width="4.5703125" customWidth="1"/>
    <col min="1554" max="1554" width="2.42578125" customWidth="1"/>
    <col min="1793" max="1793" width="3.42578125" customWidth="1"/>
    <col min="1794" max="1794" width="10.140625" customWidth="1"/>
    <col min="1795" max="1795" width="7.85546875" customWidth="1"/>
    <col min="1796" max="1796" width="4" customWidth="1"/>
    <col min="1797" max="1797" width="4.5703125" customWidth="1"/>
    <col min="1798" max="1798" width="11.42578125" customWidth="1"/>
    <col min="1799" max="1799" width="4.42578125" customWidth="1"/>
    <col min="1800" max="1800" width="5.42578125" customWidth="1"/>
    <col min="1801" max="1801" width="5" customWidth="1"/>
    <col min="1802" max="1802" width="4.28515625" customWidth="1"/>
    <col min="1803" max="1803" width="5.85546875" customWidth="1"/>
    <col min="1804" max="1804" width="8.140625" customWidth="1"/>
    <col min="1805" max="1806" width="4.28515625" customWidth="1"/>
    <col min="1807" max="1807" width="11" customWidth="1"/>
    <col min="1808" max="1808" width="4.85546875" customWidth="1"/>
    <col min="1809" max="1809" width="4.5703125" customWidth="1"/>
    <col min="1810" max="1810" width="2.42578125" customWidth="1"/>
    <col min="2049" max="2049" width="3.42578125" customWidth="1"/>
    <col min="2050" max="2050" width="10.140625" customWidth="1"/>
    <col min="2051" max="2051" width="7.85546875" customWidth="1"/>
    <col min="2052" max="2052" width="4" customWidth="1"/>
    <col min="2053" max="2053" width="4.5703125" customWidth="1"/>
    <col min="2054" max="2054" width="11.42578125" customWidth="1"/>
    <col min="2055" max="2055" width="4.42578125" customWidth="1"/>
    <col min="2056" max="2056" width="5.42578125" customWidth="1"/>
    <col min="2057" max="2057" width="5" customWidth="1"/>
    <col min="2058" max="2058" width="4.28515625" customWidth="1"/>
    <col min="2059" max="2059" width="5.85546875" customWidth="1"/>
    <col min="2060" max="2060" width="8.140625" customWidth="1"/>
    <col min="2061" max="2062" width="4.28515625" customWidth="1"/>
    <col min="2063" max="2063" width="11" customWidth="1"/>
    <col min="2064" max="2064" width="4.85546875" customWidth="1"/>
    <col min="2065" max="2065" width="4.5703125" customWidth="1"/>
    <col min="2066" max="2066" width="2.42578125" customWidth="1"/>
    <col min="2305" max="2305" width="3.42578125" customWidth="1"/>
    <col min="2306" max="2306" width="10.140625" customWidth="1"/>
    <col min="2307" max="2307" width="7.85546875" customWidth="1"/>
    <col min="2308" max="2308" width="4" customWidth="1"/>
    <col min="2309" max="2309" width="4.5703125" customWidth="1"/>
    <col min="2310" max="2310" width="11.42578125" customWidth="1"/>
    <col min="2311" max="2311" width="4.42578125" customWidth="1"/>
    <col min="2312" max="2312" width="5.42578125" customWidth="1"/>
    <col min="2313" max="2313" width="5" customWidth="1"/>
    <col min="2314" max="2314" width="4.28515625" customWidth="1"/>
    <col min="2315" max="2315" width="5.85546875" customWidth="1"/>
    <col min="2316" max="2316" width="8.140625" customWidth="1"/>
    <col min="2317" max="2318" width="4.28515625" customWidth="1"/>
    <col min="2319" max="2319" width="11" customWidth="1"/>
    <col min="2320" max="2320" width="4.85546875" customWidth="1"/>
    <col min="2321" max="2321" width="4.5703125" customWidth="1"/>
    <col min="2322" max="2322" width="2.42578125" customWidth="1"/>
    <col min="2561" max="2561" width="3.42578125" customWidth="1"/>
    <col min="2562" max="2562" width="10.140625" customWidth="1"/>
    <col min="2563" max="2563" width="7.85546875" customWidth="1"/>
    <col min="2564" max="2564" width="4" customWidth="1"/>
    <col min="2565" max="2565" width="4.5703125" customWidth="1"/>
    <col min="2566" max="2566" width="11.42578125" customWidth="1"/>
    <col min="2567" max="2567" width="4.42578125" customWidth="1"/>
    <col min="2568" max="2568" width="5.42578125" customWidth="1"/>
    <col min="2569" max="2569" width="5" customWidth="1"/>
    <col min="2570" max="2570" width="4.28515625" customWidth="1"/>
    <col min="2571" max="2571" width="5.85546875" customWidth="1"/>
    <col min="2572" max="2572" width="8.140625" customWidth="1"/>
    <col min="2573" max="2574" width="4.28515625" customWidth="1"/>
    <col min="2575" max="2575" width="11" customWidth="1"/>
    <col min="2576" max="2576" width="4.85546875" customWidth="1"/>
    <col min="2577" max="2577" width="4.5703125" customWidth="1"/>
    <col min="2578" max="2578" width="2.42578125" customWidth="1"/>
    <col min="2817" max="2817" width="3.42578125" customWidth="1"/>
    <col min="2818" max="2818" width="10.140625" customWidth="1"/>
    <col min="2819" max="2819" width="7.85546875" customWidth="1"/>
    <col min="2820" max="2820" width="4" customWidth="1"/>
    <col min="2821" max="2821" width="4.5703125" customWidth="1"/>
    <col min="2822" max="2822" width="11.42578125" customWidth="1"/>
    <col min="2823" max="2823" width="4.42578125" customWidth="1"/>
    <col min="2824" max="2824" width="5.42578125" customWidth="1"/>
    <col min="2825" max="2825" width="5" customWidth="1"/>
    <col min="2826" max="2826" width="4.28515625" customWidth="1"/>
    <col min="2827" max="2827" width="5.85546875" customWidth="1"/>
    <col min="2828" max="2828" width="8.140625" customWidth="1"/>
    <col min="2829" max="2830" width="4.28515625" customWidth="1"/>
    <col min="2831" max="2831" width="11" customWidth="1"/>
    <col min="2832" max="2832" width="4.85546875" customWidth="1"/>
    <col min="2833" max="2833" width="4.5703125" customWidth="1"/>
    <col min="2834" max="2834" width="2.42578125" customWidth="1"/>
    <col min="3073" max="3073" width="3.42578125" customWidth="1"/>
    <col min="3074" max="3074" width="10.140625" customWidth="1"/>
    <col min="3075" max="3075" width="7.85546875" customWidth="1"/>
    <col min="3076" max="3076" width="4" customWidth="1"/>
    <col min="3077" max="3077" width="4.5703125" customWidth="1"/>
    <col min="3078" max="3078" width="11.42578125" customWidth="1"/>
    <col min="3079" max="3079" width="4.42578125" customWidth="1"/>
    <col min="3080" max="3080" width="5.42578125" customWidth="1"/>
    <col min="3081" max="3081" width="5" customWidth="1"/>
    <col min="3082" max="3082" width="4.28515625" customWidth="1"/>
    <col min="3083" max="3083" width="5.85546875" customWidth="1"/>
    <col min="3084" max="3084" width="8.140625" customWidth="1"/>
    <col min="3085" max="3086" width="4.28515625" customWidth="1"/>
    <col min="3087" max="3087" width="11" customWidth="1"/>
    <col min="3088" max="3088" width="4.85546875" customWidth="1"/>
    <col min="3089" max="3089" width="4.5703125" customWidth="1"/>
    <col min="3090" max="3090" width="2.42578125" customWidth="1"/>
    <col min="3329" max="3329" width="3.42578125" customWidth="1"/>
    <col min="3330" max="3330" width="10.140625" customWidth="1"/>
    <col min="3331" max="3331" width="7.85546875" customWidth="1"/>
    <col min="3332" max="3332" width="4" customWidth="1"/>
    <col min="3333" max="3333" width="4.5703125" customWidth="1"/>
    <col min="3334" max="3334" width="11.42578125" customWidth="1"/>
    <col min="3335" max="3335" width="4.42578125" customWidth="1"/>
    <col min="3336" max="3336" width="5.42578125" customWidth="1"/>
    <col min="3337" max="3337" width="5" customWidth="1"/>
    <col min="3338" max="3338" width="4.28515625" customWidth="1"/>
    <col min="3339" max="3339" width="5.85546875" customWidth="1"/>
    <col min="3340" max="3340" width="8.140625" customWidth="1"/>
    <col min="3341" max="3342" width="4.28515625" customWidth="1"/>
    <col min="3343" max="3343" width="11" customWidth="1"/>
    <col min="3344" max="3344" width="4.85546875" customWidth="1"/>
    <col min="3345" max="3345" width="4.5703125" customWidth="1"/>
    <col min="3346" max="3346" width="2.42578125" customWidth="1"/>
    <col min="3585" max="3585" width="3.42578125" customWidth="1"/>
    <col min="3586" max="3586" width="10.140625" customWidth="1"/>
    <col min="3587" max="3587" width="7.85546875" customWidth="1"/>
    <col min="3588" max="3588" width="4" customWidth="1"/>
    <col min="3589" max="3589" width="4.5703125" customWidth="1"/>
    <col min="3590" max="3590" width="11.42578125" customWidth="1"/>
    <col min="3591" max="3591" width="4.42578125" customWidth="1"/>
    <col min="3592" max="3592" width="5.42578125" customWidth="1"/>
    <col min="3593" max="3593" width="5" customWidth="1"/>
    <col min="3594" max="3594" width="4.28515625" customWidth="1"/>
    <col min="3595" max="3595" width="5.85546875" customWidth="1"/>
    <col min="3596" max="3596" width="8.140625" customWidth="1"/>
    <col min="3597" max="3598" width="4.28515625" customWidth="1"/>
    <col min="3599" max="3599" width="11" customWidth="1"/>
    <col min="3600" max="3600" width="4.85546875" customWidth="1"/>
    <col min="3601" max="3601" width="4.5703125" customWidth="1"/>
    <col min="3602" max="3602" width="2.42578125" customWidth="1"/>
    <col min="3841" max="3841" width="3.42578125" customWidth="1"/>
    <col min="3842" max="3842" width="10.140625" customWidth="1"/>
    <col min="3843" max="3843" width="7.85546875" customWidth="1"/>
    <col min="3844" max="3844" width="4" customWidth="1"/>
    <col min="3845" max="3845" width="4.5703125" customWidth="1"/>
    <col min="3846" max="3846" width="11.42578125" customWidth="1"/>
    <col min="3847" max="3847" width="4.42578125" customWidth="1"/>
    <col min="3848" max="3848" width="5.42578125" customWidth="1"/>
    <col min="3849" max="3849" width="5" customWidth="1"/>
    <col min="3850" max="3850" width="4.28515625" customWidth="1"/>
    <col min="3851" max="3851" width="5.85546875" customWidth="1"/>
    <col min="3852" max="3852" width="8.140625" customWidth="1"/>
    <col min="3853" max="3854" width="4.28515625" customWidth="1"/>
    <col min="3855" max="3855" width="11" customWidth="1"/>
    <col min="3856" max="3856" width="4.85546875" customWidth="1"/>
    <col min="3857" max="3857" width="4.5703125" customWidth="1"/>
    <col min="3858" max="3858" width="2.42578125" customWidth="1"/>
    <col min="4097" max="4097" width="3.42578125" customWidth="1"/>
    <col min="4098" max="4098" width="10.140625" customWidth="1"/>
    <col min="4099" max="4099" width="7.85546875" customWidth="1"/>
    <col min="4100" max="4100" width="4" customWidth="1"/>
    <col min="4101" max="4101" width="4.5703125" customWidth="1"/>
    <col min="4102" max="4102" width="11.42578125" customWidth="1"/>
    <col min="4103" max="4103" width="4.42578125" customWidth="1"/>
    <col min="4104" max="4104" width="5.42578125" customWidth="1"/>
    <col min="4105" max="4105" width="5" customWidth="1"/>
    <col min="4106" max="4106" width="4.28515625" customWidth="1"/>
    <col min="4107" max="4107" width="5.85546875" customWidth="1"/>
    <col min="4108" max="4108" width="8.140625" customWidth="1"/>
    <col min="4109" max="4110" width="4.28515625" customWidth="1"/>
    <col min="4111" max="4111" width="11" customWidth="1"/>
    <col min="4112" max="4112" width="4.85546875" customWidth="1"/>
    <col min="4113" max="4113" width="4.5703125" customWidth="1"/>
    <col min="4114" max="4114" width="2.42578125" customWidth="1"/>
    <col min="4353" max="4353" width="3.42578125" customWidth="1"/>
    <col min="4354" max="4354" width="10.140625" customWidth="1"/>
    <col min="4355" max="4355" width="7.85546875" customWidth="1"/>
    <col min="4356" max="4356" width="4" customWidth="1"/>
    <col min="4357" max="4357" width="4.5703125" customWidth="1"/>
    <col min="4358" max="4358" width="11.42578125" customWidth="1"/>
    <col min="4359" max="4359" width="4.42578125" customWidth="1"/>
    <col min="4360" max="4360" width="5.42578125" customWidth="1"/>
    <col min="4361" max="4361" width="5" customWidth="1"/>
    <col min="4362" max="4362" width="4.28515625" customWidth="1"/>
    <col min="4363" max="4363" width="5.85546875" customWidth="1"/>
    <col min="4364" max="4364" width="8.140625" customWidth="1"/>
    <col min="4365" max="4366" width="4.28515625" customWidth="1"/>
    <col min="4367" max="4367" width="11" customWidth="1"/>
    <col min="4368" max="4368" width="4.85546875" customWidth="1"/>
    <col min="4369" max="4369" width="4.5703125" customWidth="1"/>
    <col min="4370" max="4370" width="2.42578125" customWidth="1"/>
    <col min="4609" max="4609" width="3.42578125" customWidth="1"/>
    <col min="4610" max="4610" width="10.140625" customWidth="1"/>
    <col min="4611" max="4611" width="7.85546875" customWidth="1"/>
    <col min="4612" max="4612" width="4" customWidth="1"/>
    <col min="4613" max="4613" width="4.5703125" customWidth="1"/>
    <col min="4614" max="4614" width="11.42578125" customWidth="1"/>
    <col min="4615" max="4615" width="4.42578125" customWidth="1"/>
    <col min="4616" max="4616" width="5.42578125" customWidth="1"/>
    <col min="4617" max="4617" width="5" customWidth="1"/>
    <col min="4618" max="4618" width="4.28515625" customWidth="1"/>
    <col min="4619" max="4619" width="5.85546875" customWidth="1"/>
    <col min="4620" max="4620" width="8.140625" customWidth="1"/>
    <col min="4621" max="4622" width="4.28515625" customWidth="1"/>
    <col min="4623" max="4623" width="11" customWidth="1"/>
    <col min="4624" max="4624" width="4.85546875" customWidth="1"/>
    <col min="4625" max="4625" width="4.5703125" customWidth="1"/>
    <col min="4626" max="4626" width="2.42578125" customWidth="1"/>
    <col min="4865" max="4865" width="3.42578125" customWidth="1"/>
    <col min="4866" max="4866" width="10.140625" customWidth="1"/>
    <col min="4867" max="4867" width="7.85546875" customWidth="1"/>
    <col min="4868" max="4868" width="4" customWidth="1"/>
    <col min="4869" max="4869" width="4.5703125" customWidth="1"/>
    <col min="4870" max="4870" width="11.42578125" customWidth="1"/>
    <col min="4871" max="4871" width="4.42578125" customWidth="1"/>
    <col min="4872" max="4872" width="5.42578125" customWidth="1"/>
    <col min="4873" max="4873" width="5" customWidth="1"/>
    <col min="4874" max="4874" width="4.28515625" customWidth="1"/>
    <col min="4875" max="4875" width="5.85546875" customWidth="1"/>
    <col min="4876" max="4876" width="8.140625" customWidth="1"/>
    <col min="4877" max="4878" width="4.28515625" customWidth="1"/>
    <col min="4879" max="4879" width="11" customWidth="1"/>
    <col min="4880" max="4880" width="4.85546875" customWidth="1"/>
    <col min="4881" max="4881" width="4.5703125" customWidth="1"/>
    <col min="4882" max="4882" width="2.42578125" customWidth="1"/>
    <col min="5121" max="5121" width="3.42578125" customWidth="1"/>
    <col min="5122" max="5122" width="10.140625" customWidth="1"/>
    <col min="5123" max="5123" width="7.85546875" customWidth="1"/>
    <col min="5124" max="5124" width="4" customWidth="1"/>
    <col min="5125" max="5125" width="4.5703125" customWidth="1"/>
    <col min="5126" max="5126" width="11.42578125" customWidth="1"/>
    <col min="5127" max="5127" width="4.42578125" customWidth="1"/>
    <col min="5128" max="5128" width="5.42578125" customWidth="1"/>
    <col min="5129" max="5129" width="5" customWidth="1"/>
    <col min="5130" max="5130" width="4.28515625" customWidth="1"/>
    <col min="5131" max="5131" width="5.85546875" customWidth="1"/>
    <col min="5132" max="5132" width="8.140625" customWidth="1"/>
    <col min="5133" max="5134" width="4.28515625" customWidth="1"/>
    <col min="5135" max="5135" width="11" customWidth="1"/>
    <col min="5136" max="5136" width="4.85546875" customWidth="1"/>
    <col min="5137" max="5137" width="4.5703125" customWidth="1"/>
    <col min="5138" max="5138" width="2.42578125" customWidth="1"/>
    <col min="5377" max="5377" width="3.42578125" customWidth="1"/>
    <col min="5378" max="5378" width="10.140625" customWidth="1"/>
    <col min="5379" max="5379" width="7.85546875" customWidth="1"/>
    <col min="5380" max="5380" width="4" customWidth="1"/>
    <col min="5381" max="5381" width="4.5703125" customWidth="1"/>
    <col min="5382" max="5382" width="11.42578125" customWidth="1"/>
    <col min="5383" max="5383" width="4.42578125" customWidth="1"/>
    <col min="5384" max="5384" width="5.42578125" customWidth="1"/>
    <col min="5385" max="5385" width="5" customWidth="1"/>
    <col min="5386" max="5386" width="4.28515625" customWidth="1"/>
    <col min="5387" max="5387" width="5.85546875" customWidth="1"/>
    <col min="5388" max="5388" width="8.140625" customWidth="1"/>
    <col min="5389" max="5390" width="4.28515625" customWidth="1"/>
    <col min="5391" max="5391" width="11" customWidth="1"/>
    <col min="5392" max="5392" width="4.85546875" customWidth="1"/>
    <col min="5393" max="5393" width="4.5703125" customWidth="1"/>
    <col min="5394" max="5394" width="2.42578125" customWidth="1"/>
    <col min="5633" max="5633" width="3.42578125" customWidth="1"/>
    <col min="5634" max="5634" width="10.140625" customWidth="1"/>
    <col min="5635" max="5635" width="7.85546875" customWidth="1"/>
    <col min="5636" max="5636" width="4" customWidth="1"/>
    <col min="5637" max="5637" width="4.5703125" customWidth="1"/>
    <col min="5638" max="5638" width="11.42578125" customWidth="1"/>
    <col min="5639" max="5639" width="4.42578125" customWidth="1"/>
    <col min="5640" max="5640" width="5.42578125" customWidth="1"/>
    <col min="5641" max="5641" width="5" customWidth="1"/>
    <col min="5642" max="5642" width="4.28515625" customWidth="1"/>
    <col min="5643" max="5643" width="5.85546875" customWidth="1"/>
    <col min="5644" max="5644" width="8.140625" customWidth="1"/>
    <col min="5645" max="5646" width="4.28515625" customWidth="1"/>
    <col min="5647" max="5647" width="11" customWidth="1"/>
    <col min="5648" max="5648" width="4.85546875" customWidth="1"/>
    <col min="5649" max="5649" width="4.5703125" customWidth="1"/>
    <col min="5650" max="5650" width="2.42578125" customWidth="1"/>
    <col min="5889" max="5889" width="3.42578125" customWidth="1"/>
    <col min="5890" max="5890" width="10.140625" customWidth="1"/>
    <col min="5891" max="5891" width="7.85546875" customWidth="1"/>
    <col min="5892" max="5892" width="4" customWidth="1"/>
    <col min="5893" max="5893" width="4.5703125" customWidth="1"/>
    <col min="5894" max="5894" width="11.42578125" customWidth="1"/>
    <col min="5895" max="5895" width="4.42578125" customWidth="1"/>
    <col min="5896" max="5896" width="5.42578125" customWidth="1"/>
    <col min="5897" max="5897" width="5" customWidth="1"/>
    <col min="5898" max="5898" width="4.28515625" customWidth="1"/>
    <col min="5899" max="5899" width="5.85546875" customWidth="1"/>
    <col min="5900" max="5900" width="8.140625" customWidth="1"/>
    <col min="5901" max="5902" width="4.28515625" customWidth="1"/>
    <col min="5903" max="5903" width="11" customWidth="1"/>
    <col min="5904" max="5904" width="4.85546875" customWidth="1"/>
    <col min="5905" max="5905" width="4.5703125" customWidth="1"/>
    <col min="5906" max="5906" width="2.42578125" customWidth="1"/>
    <col min="6145" max="6145" width="3.42578125" customWidth="1"/>
    <col min="6146" max="6146" width="10.140625" customWidth="1"/>
    <col min="6147" max="6147" width="7.85546875" customWidth="1"/>
    <col min="6148" max="6148" width="4" customWidth="1"/>
    <col min="6149" max="6149" width="4.5703125" customWidth="1"/>
    <col min="6150" max="6150" width="11.42578125" customWidth="1"/>
    <col min="6151" max="6151" width="4.42578125" customWidth="1"/>
    <col min="6152" max="6152" width="5.42578125" customWidth="1"/>
    <col min="6153" max="6153" width="5" customWidth="1"/>
    <col min="6154" max="6154" width="4.28515625" customWidth="1"/>
    <col min="6155" max="6155" width="5.85546875" customWidth="1"/>
    <col min="6156" max="6156" width="8.140625" customWidth="1"/>
    <col min="6157" max="6158" width="4.28515625" customWidth="1"/>
    <col min="6159" max="6159" width="11" customWidth="1"/>
    <col min="6160" max="6160" width="4.85546875" customWidth="1"/>
    <col min="6161" max="6161" width="4.5703125" customWidth="1"/>
    <col min="6162" max="6162" width="2.42578125" customWidth="1"/>
    <col min="6401" max="6401" width="3.42578125" customWidth="1"/>
    <col min="6402" max="6402" width="10.140625" customWidth="1"/>
    <col min="6403" max="6403" width="7.85546875" customWidth="1"/>
    <col min="6404" max="6404" width="4" customWidth="1"/>
    <col min="6405" max="6405" width="4.5703125" customWidth="1"/>
    <col min="6406" max="6406" width="11.42578125" customWidth="1"/>
    <col min="6407" max="6407" width="4.42578125" customWidth="1"/>
    <col min="6408" max="6408" width="5.42578125" customWidth="1"/>
    <col min="6409" max="6409" width="5" customWidth="1"/>
    <col min="6410" max="6410" width="4.28515625" customWidth="1"/>
    <col min="6411" max="6411" width="5.85546875" customWidth="1"/>
    <col min="6412" max="6412" width="8.140625" customWidth="1"/>
    <col min="6413" max="6414" width="4.28515625" customWidth="1"/>
    <col min="6415" max="6415" width="11" customWidth="1"/>
    <col min="6416" max="6416" width="4.85546875" customWidth="1"/>
    <col min="6417" max="6417" width="4.5703125" customWidth="1"/>
    <col min="6418" max="6418" width="2.42578125" customWidth="1"/>
    <col min="6657" max="6657" width="3.42578125" customWidth="1"/>
    <col min="6658" max="6658" width="10.140625" customWidth="1"/>
    <col min="6659" max="6659" width="7.85546875" customWidth="1"/>
    <col min="6660" max="6660" width="4" customWidth="1"/>
    <col min="6661" max="6661" width="4.5703125" customWidth="1"/>
    <col min="6662" max="6662" width="11.42578125" customWidth="1"/>
    <col min="6663" max="6663" width="4.42578125" customWidth="1"/>
    <col min="6664" max="6664" width="5.42578125" customWidth="1"/>
    <col min="6665" max="6665" width="5" customWidth="1"/>
    <col min="6666" max="6666" width="4.28515625" customWidth="1"/>
    <col min="6667" max="6667" width="5.85546875" customWidth="1"/>
    <col min="6668" max="6668" width="8.140625" customWidth="1"/>
    <col min="6669" max="6670" width="4.28515625" customWidth="1"/>
    <col min="6671" max="6671" width="11" customWidth="1"/>
    <col min="6672" max="6672" width="4.85546875" customWidth="1"/>
    <col min="6673" max="6673" width="4.5703125" customWidth="1"/>
    <col min="6674" max="6674" width="2.42578125" customWidth="1"/>
    <col min="6913" max="6913" width="3.42578125" customWidth="1"/>
    <col min="6914" max="6914" width="10.140625" customWidth="1"/>
    <col min="6915" max="6915" width="7.85546875" customWidth="1"/>
    <col min="6916" max="6916" width="4" customWidth="1"/>
    <col min="6917" max="6917" width="4.5703125" customWidth="1"/>
    <col min="6918" max="6918" width="11.42578125" customWidth="1"/>
    <col min="6919" max="6919" width="4.42578125" customWidth="1"/>
    <col min="6920" max="6920" width="5.42578125" customWidth="1"/>
    <col min="6921" max="6921" width="5" customWidth="1"/>
    <col min="6922" max="6922" width="4.28515625" customWidth="1"/>
    <col min="6923" max="6923" width="5.85546875" customWidth="1"/>
    <col min="6924" max="6924" width="8.140625" customWidth="1"/>
    <col min="6925" max="6926" width="4.28515625" customWidth="1"/>
    <col min="6927" max="6927" width="11" customWidth="1"/>
    <col min="6928" max="6928" width="4.85546875" customWidth="1"/>
    <col min="6929" max="6929" width="4.5703125" customWidth="1"/>
    <col min="6930" max="6930" width="2.42578125" customWidth="1"/>
    <col min="7169" max="7169" width="3.42578125" customWidth="1"/>
    <col min="7170" max="7170" width="10.140625" customWidth="1"/>
    <col min="7171" max="7171" width="7.85546875" customWidth="1"/>
    <col min="7172" max="7172" width="4" customWidth="1"/>
    <col min="7173" max="7173" width="4.5703125" customWidth="1"/>
    <col min="7174" max="7174" width="11.42578125" customWidth="1"/>
    <col min="7175" max="7175" width="4.42578125" customWidth="1"/>
    <col min="7176" max="7176" width="5.42578125" customWidth="1"/>
    <col min="7177" max="7177" width="5" customWidth="1"/>
    <col min="7178" max="7178" width="4.28515625" customWidth="1"/>
    <col min="7179" max="7179" width="5.85546875" customWidth="1"/>
    <col min="7180" max="7180" width="8.140625" customWidth="1"/>
    <col min="7181" max="7182" width="4.28515625" customWidth="1"/>
    <col min="7183" max="7183" width="11" customWidth="1"/>
    <col min="7184" max="7184" width="4.85546875" customWidth="1"/>
    <col min="7185" max="7185" width="4.5703125" customWidth="1"/>
    <col min="7186" max="7186" width="2.42578125" customWidth="1"/>
    <col min="7425" max="7425" width="3.42578125" customWidth="1"/>
    <col min="7426" max="7426" width="10.140625" customWidth="1"/>
    <col min="7427" max="7427" width="7.85546875" customWidth="1"/>
    <col min="7428" max="7428" width="4" customWidth="1"/>
    <col min="7429" max="7429" width="4.5703125" customWidth="1"/>
    <col min="7430" max="7430" width="11.42578125" customWidth="1"/>
    <col min="7431" max="7431" width="4.42578125" customWidth="1"/>
    <col min="7432" max="7432" width="5.42578125" customWidth="1"/>
    <col min="7433" max="7433" width="5" customWidth="1"/>
    <col min="7434" max="7434" width="4.28515625" customWidth="1"/>
    <col min="7435" max="7435" width="5.85546875" customWidth="1"/>
    <col min="7436" max="7436" width="8.140625" customWidth="1"/>
    <col min="7437" max="7438" width="4.28515625" customWidth="1"/>
    <col min="7439" max="7439" width="11" customWidth="1"/>
    <col min="7440" max="7440" width="4.85546875" customWidth="1"/>
    <col min="7441" max="7441" width="4.5703125" customWidth="1"/>
    <col min="7442" max="7442" width="2.42578125" customWidth="1"/>
    <col min="7681" max="7681" width="3.42578125" customWidth="1"/>
    <col min="7682" max="7682" width="10.140625" customWidth="1"/>
    <col min="7683" max="7683" width="7.85546875" customWidth="1"/>
    <col min="7684" max="7684" width="4" customWidth="1"/>
    <col min="7685" max="7685" width="4.5703125" customWidth="1"/>
    <col min="7686" max="7686" width="11.42578125" customWidth="1"/>
    <col min="7687" max="7687" width="4.42578125" customWidth="1"/>
    <col min="7688" max="7688" width="5.42578125" customWidth="1"/>
    <col min="7689" max="7689" width="5" customWidth="1"/>
    <col min="7690" max="7690" width="4.28515625" customWidth="1"/>
    <col min="7691" max="7691" width="5.85546875" customWidth="1"/>
    <col min="7692" max="7692" width="8.140625" customWidth="1"/>
    <col min="7693" max="7694" width="4.28515625" customWidth="1"/>
    <col min="7695" max="7695" width="11" customWidth="1"/>
    <col min="7696" max="7696" width="4.85546875" customWidth="1"/>
    <col min="7697" max="7697" width="4.5703125" customWidth="1"/>
    <col min="7698" max="7698" width="2.42578125" customWidth="1"/>
    <col min="7937" max="7937" width="3.42578125" customWidth="1"/>
    <col min="7938" max="7938" width="10.140625" customWidth="1"/>
    <col min="7939" max="7939" width="7.85546875" customWidth="1"/>
    <col min="7940" max="7940" width="4" customWidth="1"/>
    <col min="7941" max="7941" width="4.5703125" customWidth="1"/>
    <col min="7942" max="7942" width="11.42578125" customWidth="1"/>
    <col min="7943" max="7943" width="4.42578125" customWidth="1"/>
    <col min="7944" max="7944" width="5.42578125" customWidth="1"/>
    <col min="7945" max="7945" width="5" customWidth="1"/>
    <col min="7946" max="7946" width="4.28515625" customWidth="1"/>
    <col min="7947" max="7947" width="5.85546875" customWidth="1"/>
    <col min="7948" max="7948" width="8.140625" customWidth="1"/>
    <col min="7949" max="7950" width="4.28515625" customWidth="1"/>
    <col min="7951" max="7951" width="11" customWidth="1"/>
    <col min="7952" max="7952" width="4.85546875" customWidth="1"/>
    <col min="7953" max="7953" width="4.5703125" customWidth="1"/>
    <col min="7954" max="7954" width="2.42578125" customWidth="1"/>
    <col min="8193" max="8193" width="3.42578125" customWidth="1"/>
    <col min="8194" max="8194" width="10.140625" customWidth="1"/>
    <col min="8195" max="8195" width="7.85546875" customWidth="1"/>
    <col min="8196" max="8196" width="4" customWidth="1"/>
    <col min="8197" max="8197" width="4.5703125" customWidth="1"/>
    <col min="8198" max="8198" width="11.42578125" customWidth="1"/>
    <col min="8199" max="8199" width="4.42578125" customWidth="1"/>
    <col min="8200" max="8200" width="5.42578125" customWidth="1"/>
    <col min="8201" max="8201" width="5" customWidth="1"/>
    <col min="8202" max="8202" width="4.28515625" customWidth="1"/>
    <col min="8203" max="8203" width="5.85546875" customWidth="1"/>
    <col min="8204" max="8204" width="8.140625" customWidth="1"/>
    <col min="8205" max="8206" width="4.28515625" customWidth="1"/>
    <col min="8207" max="8207" width="11" customWidth="1"/>
    <col min="8208" max="8208" width="4.85546875" customWidth="1"/>
    <col min="8209" max="8209" width="4.5703125" customWidth="1"/>
    <col min="8210" max="8210" width="2.42578125" customWidth="1"/>
    <col min="8449" max="8449" width="3.42578125" customWidth="1"/>
    <col min="8450" max="8450" width="10.140625" customWidth="1"/>
    <col min="8451" max="8451" width="7.85546875" customWidth="1"/>
    <col min="8452" max="8452" width="4" customWidth="1"/>
    <col min="8453" max="8453" width="4.5703125" customWidth="1"/>
    <col min="8454" max="8454" width="11.42578125" customWidth="1"/>
    <col min="8455" max="8455" width="4.42578125" customWidth="1"/>
    <col min="8456" max="8456" width="5.42578125" customWidth="1"/>
    <col min="8457" max="8457" width="5" customWidth="1"/>
    <col min="8458" max="8458" width="4.28515625" customWidth="1"/>
    <col min="8459" max="8459" width="5.85546875" customWidth="1"/>
    <col min="8460" max="8460" width="8.140625" customWidth="1"/>
    <col min="8461" max="8462" width="4.28515625" customWidth="1"/>
    <col min="8463" max="8463" width="11" customWidth="1"/>
    <col min="8464" max="8464" width="4.85546875" customWidth="1"/>
    <col min="8465" max="8465" width="4.5703125" customWidth="1"/>
    <col min="8466" max="8466" width="2.42578125" customWidth="1"/>
    <col min="8705" max="8705" width="3.42578125" customWidth="1"/>
    <col min="8706" max="8706" width="10.140625" customWidth="1"/>
    <col min="8707" max="8707" width="7.85546875" customWidth="1"/>
    <col min="8708" max="8708" width="4" customWidth="1"/>
    <col min="8709" max="8709" width="4.5703125" customWidth="1"/>
    <col min="8710" max="8710" width="11.42578125" customWidth="1"/>
    <col min="8711" max="8711" width="4.42578125" customWidth="1"/>
    <col min="8712" max="8712" width="5.42578125" customWidth="1"/>
    <col min="8713" max="8713" width="5" customWidth="1"/>
    <col min="8714" max="8714" width="4.28515625" customWidth="1"/>
    <col min="8715" max="8715" width="5.85546875" customWidth="1"/>
    <col min="8716" max="8716" width="8.140625" customWidth="1"/>
    <col min="8717" max="8718" width="4.28515625" customWidth="1"/>
    <col min="8719" max="8719" width="11" customWidth="1"/>
    <col min="8720" max="8720" width="4.85546875" customWidth="1"/>
    <col min="8721" max="8721" width="4.5703125" customWidth="1"/>
    <col min="8722" max="8722" width="2.42578125" customWidth="1"/>
    <col min="8961" max="8961" width="3.42578125" customWidth="1"/>
    <col min="8962" max="8962" width="10.140625" customWidth="1"/>
    <col min="8963" max="8963" width="7.85546875" customWidth="1"/>
    <col min="8964" max="8964" width="4" customWidth="1"/>
    <col min="8965" max="8965" width="4.5703125" customWidth="1"/>
    <col min="8966" max="8966" width="11.42578125" customWidth="1"/>
    <col min="8967" max="8967" width="4.42578125" customWidth="1"/>
    <col min="8968" max="8968" width="5.42578125" customWidth="1"/>
    <col min="8969" max="8969" width="5" customWidth="1"/>
    <col min="8970" max="8970" width="4.28515625" customWidth="1"/>
    <col min="8971" max="8971" width="5.85546875" customWidth="1"/>
    <col min="8972" max="8972" width="8.140625" customWidth="1"/>
    <col min="8973" max="8974" width="4.28515625" customWidth="1"/>
    <col min="8975" max="8975" width="11" customWidth="1"/>
    <col min="8976" max="8976" width="4.85546875" customWidth="1"/>
    <col min="8977" max="8977" width="4.5703125" customWidth="1"/>
    <col min="8978" max="8978" width="2.42578125" customWidth="1"/>
    <col min="9217" max="9217" width="3.42578125" customWidth="1"/>
    <col min="9218" max="9218" width="10.140625" customWidth="1"/>
    <col min="9219" max="9219" width="7.85546875" customWidth="1"/>
    <col min="9220" max="9220" width="4" customWidth="1"/>
    <col min="9221" max="9221" width="4.5703125" customWidth="1"/>
    <col min="9222" max="9222" width="11.42578125" customWidth="1"/>
    <col min="9223" max="9223" width="4.42578125" customWidth="1"/>
    <col min="9224" max="9224" width="5.42578125" customWidth="1"/>
    <col min="9225" max="9225" width="5" customWidth="1"/>
    <col min="9226" max="9226" width="4.28515625" customWidth="1"/>
    <col min="9227" max="9227" width="5.85546875" customWidth="1"/>
    <col min="9228" max="9228" width="8.140625" customWidth="1"/>
    <col min="9229" max="9230" width="4.28515625" customWidth="1"/>
    <col min="9231" max="9231" width="11" customWidth="1"/>
    <col min="9232" max="9232" width="4.85546875" customWidth="1"/>
    <col min="9233" max="9233" width="4.5703125" customWidth="1"/>
    <col min="9234" max="9234" width="2.42578125" customWidth="1"/>
    <col min="9473" max="9473" width="3.42578125" customWidth="1"/>
    <col min="9474" max="9474" width="10.140625" customWidth="1"/>
    <col min="9475" max="9475" width="7.85546875" customWidth="1"/>
    <col min="9476" max="9476" width="4" customWidth="1"/>
    <col min="9477" max="9477" width="4.5703125" customWidth="1"/>
    <col min="9478" max="9478" width="11.42578125" customWidth="1"/>
    <col min="9479" max="9479" width="4.42578125" customWidth="1"/>
    <col min="9480" max="9480" width="5.42578125" customWidth="1"/>
    <col min="9481" max="9481" width="5" customWidth="1"/>
    <col min="9482" max="9482" width="4.28515625" customWidth="1"/>
    <col min="9483" max="9483" width="5.85546875" customWidth="1"/>
    <col min="9484" max="9484" width="8.140625" customWidth="1"/>
    <col min="9485" max="9486" width="4.28515625" customWidth="1"/>
    <col min="9487" max="9487" width="11" customWidth="1"/>
    <col min="9488" max="9488" width="4.85546875" customWidth="1"/>
    <col min="9489" max="9489" width="4.5703125" customWidth="1"/>
    <col min="9490" max="9490" width="2.42578125" customWidth="1"/>
    <col min="9729" max="9729" width="3.42578125" customWidth="1"/>
    <col min="9730" max="9730" width="10.140625" customWidth="1"/>
    <col min="9731" max="9731" width="7.85546875" customWidth="1"/>
    <col min="9732" max="9732" width="4" customWidth="1"/>
    <col min="9733" max="9733" width="4.5703125" customWidth="1"/>
    <col min="9734" max="9734" width="11.42578125" customWidth="1"/>
    <col min="9735" max="9735" width="4.42578125" customWidth="1"/>
    <col min="9736" max="9736" width="5.42578125" customWidth="1"/>
    <col min="9737" max="9737" width="5" customWidth="1"/>
    <col min="9738" max="9738" width="4.28515625" customWidth="1"/>
    <col min="9739" max="9739" width="5.85546875" customWidth="1"/>
    <col min="9740" max="9740" width="8.140625" customWidth="1"/>
    <col min="9741" max="9742" width="4.28515625" customWidth="1"/>
    <col min="9743" max="9743" width="11" customWidth="1"/>
    <col min="9744" max="9744" width="4.85546875" customWidth="1"/>
    <col min="9745" max="9745" width="4.5703125" customWidth="1"/>
    <col min="9746" max="9746" width="2.42578125" customWidth="1"/>
    <col min="9985" max="9985" width="3.42578125" customWidth="1"/>
    <col min="9986" max="9986" width="10.140625" customWidth="1"/>
    <col min="9987" max="9987" width="7.85546875" customWidth="1"/>
    <col min="9988" max="9988" width="4" customWidth="1"/>
    <col min="9989" max="9989" width="4.5703125" customWidth="1"/>
    <col min="9990" max="9990" width="11.42578125" customWidth="1"/>
    <col min="9991" max="9991" width="4.42578125" customWidth="1"/>
    <col min="9992" max="9992" width="5.42578125" customWidth="1"/>
    <col min="9993" max="9993" width="5" customWidth="1"/>
    <col min="9994" max="9994" width="4.28515625" customWidth="1"/>
    <col min="9995" max="9995" width="5.85546875" customWidth="1"/>
    <col min="9996" max="9996" width="8.140625" customWidth="1"/>
    <col min="9997" max="9998" width="4.28515625" customWidth="1"/>
    <col min="9999" max="9999" width="11" customWidth="1"/>
    <col min="10000" max="10000" width="4.85546875" customWidth="1"/>
    <col min="10001" max="10001" width="4.5703125" customWidth="1"/>
    <col min="10002" max="10002" width="2.42578125" customWidth="1"/>
    <col min="10241" max="10241" width="3.42578125" customWidth="1"/>
    <col min="10242" max="10242" width="10.140625" customWidth="1"/>
    <col min="10243" max="10243" width="7.85546875" customWidth="1"/>
    <col min="10244" max="10244" width="4" customWidth="1"/>
    <col min="10245" max="10245" width="4.5703125" customWidth="1"/>
    <col min="10246" max="10246" width="11.42578125" customWidth="1"/>
    <col min="10247" max="10247" width="4.42578125" customWidth="1"/>
    <col min="10248" max="10248" width="5.42578125" customWidth="1"/>
    <col min="10249" max="10249" width="5" customWidth="1"/>
    <col min="10250" max="10250" width="4.28515625" customWidth="1"/>
    <col min="10251" max="10251" width="5.85546875" customWidth="1"/>
    <col min="10252" max="10252" width="8.140625" customWidth="1"/>
    <col min="10253" max="10254" width="4.28515625" customWidth="1"/>
    <col min="10255" max="10255" width="11" customWidth="1"/>
    <col min="10256" max="10256" width="4.85546875" customWidth="1"/>
    <col min="10257" max="10257" width="4.5703125" customWidth="1"/>
    <col min="10258" max="10258" width="2.42578125" customWidth="1"/>
    <col min="10497" max="10497" width="3.42578125" customWidth="1"/>
    <col min="10498" max="10498" width="10.140625" customWidth="1"/>
    <col min="10499" max="10499" width="7.85546875" customWidth="1"/>
    <col min="10500" max="10500" width="4" customWidth="1"/>
    <col min="10501" max="10501" width="4.5703125" customWidth="1"/>
    <col min="10502" max="10502" width="11.42578125" customWidth="1"/>
    <col min="10503" max="10503" width="4.42578125" customWidth="1"/>
    <col min="10504" max="10504" width="5.42578125" customWidth="1"/>
    <col min="10505" max="10505" width="5" customWidth="1"/>
    <col min="10506" max="10506" width="4.28515625" customWidth="1"/>
    <col min="10507" max="10507" width="5.85546875" customWidth="1"/>
    <col min="10508" max="10508" width="8.140625" customWidth="1"/>
    <col min="10509" max="10510" width="4.28515625" customWidth="1"/>
    <col min="10511" max="10511" width="11" customWidth="1"/>
    <col min="10512" max="10512" width="4.85546875" customWidth="1"/>
    <col min="10513" max="10513" width="4.5703125" customWidth="1"/>
    <col min="10514" max="10514" width="2.42578125" customWidth="1"/>
    <col min="10753" max="10753" width="3.42578125" customWidth="1"/>
    <col min="10754" max="10754" width="10.140625" customWidth="1"/>
    <col min="10755" max="10755" width="7.85546875" customWidth="1"/>
    <col min="10756" max="10756" width="4" customWidth="1"/>
    <col min="10757" max="10757" width="4.5703125" customWidth="1"/>
    <col min="10758" max="10758" width="11.42578125" customWidth="1"/>
    <col min="10759" max="10759" width="4.42578125" customWidth="1"/>
    <col min="10760" max="10760" width="5.42578125" customWidth="1"/>
    <col min="10761" max="10761" width="5" customWidth="1"/>
    <col min="10762" max="10762" width="4.28515625" customWidth="1"/>
    <col min="10763" max="10763" width="5.85546875" customWidth="1"/>
    <col min="10764" max="10764" width="8.140625" customWidth="1"/>
    <col min="10765" max="10766" width="4.28515625" customWidth="1"/>
    <col min="10767" max="10767" width="11" customWidth="1"/>
    <col min="10768" max="10768" width="4.85546875" customWidth="1"/>
    <col min="10769" max="10769" width="4.5703125" customWidth="1"/>
    <col min="10770" max="10770" width="2.42578125" customWidth="1"/>
    <col min="11009" max="11009" width="3.42578125" customWidth="1"/>
    <col min="11010" max="11010" width="10.140625" customWidth="1"/>
    <col min="11011" max="11011" width="7.85546875" customWidth="1"/>
    <col min="11012" max="11012" width="4" customWidth="1"/>
    <col min="11013" max="11013" width="4.5703125" customWidth="1"/>
    <col min="11014" max="11014" width="11.42578125" customWidth="1"/>
    <col min="11015" max="11015" width="4.42578125" customWidth="1"/>
    <col min="11016" max="11016" width="5.42578125" customWidth="1"/>
    <col min="11017" max="11017" width="5" customWidth="1"/>
    <col min="11018" max="11018" width="4.28515625" customWidth="1"/>
    <col min="11019" max="11019" width="5.85546875" customWidth="1"/>
    <col min="11020" max="11020" width="8.140625" customWidth="1"/>
    <col min="11021" max="11022" width="4.28515625" customWidth="1"/>
    <col min="11023" max="11023" width="11" customWidth="1"/>
    <col min="11024" max="11024" width="4.85546875" customWidth="1"/>
    <col min="11025" max="11025" width="4.5703125" customWidth="1"/>
    <col min="11026" max="11026" width="2.42578125" customWidth="1"/>
    <col min="11265" max="11265" width="3.42578125" customWidth="1"/>
    <col min="11266" max="11266" width="10.140625" customWidth="1"/>
    <col min="11267" max="11267" width="7.85546875" customWidth="1"/>
    <col min="11268" max="11268" width="4" customWidth="1"/>
    <col min="11269" max="11269" width="4.5703125" customWidth="1"/>
    <col min="11270" max="11270" width="11.42578125" customWidth="1"/>
    <col min="11271" max="11271" width="4.42578125" customWidth="1"/>
    <col min="11272" max="11272" width="5.42578125" customWidth="1"/>
    <col min="11273" max="11273" width="5" customWidth="1"/>
    <col min="11274" max="11274" width="4.28515625" customWidth="1"/>
    <col min="11275" max="11275" width="5.85546875" customWidth="1"/>
    <col min="11276" max="11276" width="8.140625" customWidth="1"/>
    <col min="11277" max="11278" width="4.28515625" customWidth="1"/>
    <col min="11279" max="11279" width="11" customWidth="1"/>
    <col min="11280" max="11280" width="4.85546875" customWidth="1"/>
    <col min="11281" max="11281" width="4.5703125" customWidth="1"/>
    <col min="11282" max="11282" width="2.42578125" customWidth="1"/>
    <col min="11521" max="11521" width="3.42578125" customWidth="1"/>
    <col min="11522" max="11522" width="10.140625" customWidth="1"/>
    <col min="11523" max="11523" width="7.85546875" customWidth="1"/>
    <col min="11524" max="11524" width="4" customWidth="1"/>
    <col min="11525" max="11525" width="4.5703125" customWidth="1"/>
    <col min="11526" max="11526" width="11.42578125" customWidth="1"/>
    <col min="11527" max="11527" width="4.42578125" customWidth="1"/>
    <col min="11528" max="11528" width="5.42578125" customWidth="1"/>
    <col min="11529" max="11529" width="5" customWidth="1"/>
    <col min="11530" max="11530" width="4.28515625" customWidth="1"/>
    <col min="11531" max="11531" width="5.85546875" customWidth="1"/>
    <col min="11532" max="11532" width="8.140625" customWidth="1"/>
    <col min="11533" max="11534" width="4.28515625" customWidth="1"/>
    <col min="11535" max="11535" width="11" customWidth="1"/>
    <col min="11536" max="11536" width="4.85546875" customWidth="1"/>
    <col min="11537" max="11537" width="4.5703125" customWidth="1"/>
    <col min="11538" max="11538" width="2.42578125" customWidth="1"/>
    <col min="11777" max="11777" width="3.42578125" customWidth="1"/>
    <col min="11778" max="11778" width="10.140625" customWidth="1"/>
    <col min="11779" max="11779" width="7.85546875" customWidth="1"/>
    <col min="11780" max="11780" width="4" customWidth="1"/>
    <col min="11781" max="11781" width="4.5703125" customWidth="1"/>
    <col min="11782" max="11782" width="11.42578125" customWidth="1"/>
    <col min="11783" max="11783" width="4.42578125" customWidth="1"/>
    <col min="11784" max="11784" width="5.42578125" customWidth="1"/>
    <col min="11785" max="11785" width="5" customWidth="1"/>
    <col min="11786" max="11786" width="4.28515625" customWidth="1"/>
    <col min="11787" max="11787" width="5.85546875" customWidth="1"/>
    <col min="11788" max="11788" width="8.140625" customWidth="1"/>
    <col min="11789" max="11790" width="4.28515625" customWidth="1"/>
    <col min="11791" max="11791" width="11" customWidth="1"/>
    <col min="11792" max="11792" width="4.85546875" customWidth="1"/>
    <col min="11793" max="11793" width="4.5703125" customWidth="1"/>
    <col min="11794" max="11794" width="2.42578125" customWidth="1"/>
    <col min="12033" max="12033" width="3.42578125" customWidth="1"/>
    <col min="12034" max="12034" width="10.140625" customWidth="1"/>
    <col min="12035" max="12035" width="7.85546875" customWidth="1"/>
    <col min="12036" max="12036" width="4" customWidth="1"/>
    <col min="12037" max="12037" width="4.5703125" customWidth="1"/>
    <col min="12038" max="12038" width="11.42578125" customWidth="1"/>
    <col min="12039" max="12039" width="4.42578125" customWidth="1"/>
    <col min="12040" max="12040" width="5.42578125" customWidth="1"/>
    <col min="12041" max="12041" width="5" customWidth="1"/>
    <col min="12042" max="12042" width="4.28515625" customWidth="1"/>
    <col min="12043" max="12043" width="5.85546875" customWidth="1"/>
    <col min="12044" max="12044" width="8.140625" customWidth="1"/>
    <col min="12045" max="12046" width="4.28515625" customWidth="1"/>
    <col min="12047" max="12047" width="11" customWidth="1"/>
    <col min="12048" max="12048" width="4.85546875" customWidth="1"/>
    <col min="12049" max="12049" width="4.5703125" customWidth="1"/>
    <col min="12050" max="12050" width="2.42578125" customWidth="1"/>
    <col min="12289" max="12289" width="3.42578125" customWidth="1"/>
    <col min="12290" max="12290" width="10.140625" customWidth="1"/>
    <col min="12291" max="12291" width="7.85546875" customWidth="1"/>
    <col min="12292" max="12292" width="4" customWidth="1"/>
    <col min="12293" max="12293" width="4.5703125" customWidth="1"/>
    <col min="12294" max="12294" width="11.42578125" customWidth="1"/>
    <col min="12295" max="12295" width="4.42578125" customWidth="1"/>
    <col min="12296" max="12296" width="5.42578125" customWidth="1"/>
    <col min="12297" max="12297" width="5" customWidth="1"/>
    <col min="12298" max="12298" width="4.28515625" customWidth="1"/>
    <col min="12299" max="12299" width="5.85546875" customWidth="1"/>
    <col min="12300" max="12300" width="8.140625" customWidth="1"/>
    <col min="12301" max="12302" width="4.28515625" customWidth="1"/>
    <col min="12303" max="12303" width="11" customWidth="1"/>
    <col min="12304" max="12304" width="4.85546875" customWidth="1"/>
    <col min="12305" max="12305" width="4.5703125" customWidth="1"/>
    <col min="12306" max="12306" width="2.42578125" customWidth="1"/>
    <col min="12545" max="12545" width="3.42578125" customWidth="1"/>
    <col min="12546" max="12546" width="10.140625" customWidth="1"/>
    <col min="12547" max="12547" width="7.85546875" customWidth="1"/>
    <col min="12548" max="12548" width="4" customWidth="1"/>
    <col min="12549" max="12549" width="4.5703125" customWidth="1"/>
    <col min="12550" max="12550" width="11.42578125" customWidth="1"/>
    <col min="12551" max="12551" width="4.42578125" customWidth="1"/>
    <col min="12552" max="12552" width="5.42578125" customWidth="1"/>
    <col min="12553" max="12553" width="5" customWidth="1"/>
    <col min="12554" max="12554" width="4.28515625" customWidth="1"/>
    <col min="12555" max="12555" width="5.85546875" customWidth="1"/>
    <col min="12556" max="12556" width="8.140625" customWidth="1"/>
    <col min="12557" max="12558" width="4.28515625" customWidth="1"/>
    <col min="12559" max="12559" width="11" customWidth="1"/>
    <col min="12560" max="12560" width="4.85546875" customWidth="1"/>
    <col min="12561" max="12561" width="4.5703125" customWidth="1"/>
    <col min="12562" max="12562" width="2.42578125" customWidth="1"/>
    <col min="12801" max="12801" width="3.42578125" customWidth="1"/>
    <col min="12802" max="12802" width="10.140625" customWidth="1"/>
    <col min="12803" max="12803" width="7.85546875" customWidth="1"/>
    <col min="12804" max="12804" width="4" customWidth="1"/>
    <col min="12805" max="12805" width="4.5703125" customWidth="1"/>
    <col min="12806" max="12806" width="11.42578125" customWidth="1"/>
    <col min="12807" max="12807" width="4.42578125" customWidth="1"/>
    <col min="12808" max="12808" width="5.42578125" customWidth="1"/>
    <col min="12809" max="12809" width="5" customWidth="1"/>
    <col min="12810" max="12810" width="4.28515625" customWidth="1"/>
    <col min="12811" max="12811" width="5.85546875" customWidth="1"/>
    <col min="12812" max="12812" width="8.140625" customWidth="1"/>
    <col min="12813" max="12814" width="4.28515625" customWidth="1"/>
    <col min="12815" max="12815" width="11" customWidth="1"/>
    <col min="12816" max="12816" width="4.85546875" customWidth="1"/>
    <col min="12817" max="12817" width="4.5703125" customWidth="1"/>
    <col min="12818" max="12818" width="2.42578125" customWidth="1"/>
    <col min="13057" max="13057" width="3.42578125" customWidth="1"/>
    <col min="13058" max="13058" width="10.140625" customWidth="1"/>
    <col min="13059" max="13059" width="7.85546875" customWidth="1"/>
    <col min="13060" max="13060" width="4" customWidth="1"/>
    <col min="13061" max="13061" width="4.5703125" customWidth="1"/>
    <col min="13062" max="13062" width="11.42578125" customWidth="1"/>
    <col min="13063" max="13063" width="4.42578125" customWidth="1"/>
    <col min="13064" max="13064" width="5.42578125" customWidth="1"/>
    <col min="13065" max="13065" width="5" customWidth="1"/>
    <col min="13066" max="13066" width="4.28515625" customWidth="1"/>
    <col min="13067" max="13067" width="5.85546875" customWidth="1"/>
    <col min="13068" max="13068" width="8.140625" customWidth="1"/>
    <col min="13069" max="13070" width="4.28515625" customWidth="1"/>
    <col min="13071" max="13071" width="11" customWidth="1"/>
    <col min="13072" max="13072" width="4.85546875" customWidth="1"/>
    <col min="13073" max="13073" width="4.5703125" customWidth="1"/>
    <col min="13074" max="13074" width="2.42578125" customWidth="1"/>
    <col min="13313" max="13313" width="3.42578125" customWidth="1"/>
    <col min="13314" max="13314" width="10.140625" customWidth="1"/>
    <col min="13315" max="13315" width="7.85546875" customWidth="1"/>
    <col min="13316" max="13316" width="4" customWidth="1"/>
    <col min="13317" max="13317" width="4.5703125" customWidth="1"/>
    <col min="13318" max="13318" width="11.42578125" customWidth="1"/>
    <col min="13319" max="13319" width="4.42578125" customWidth="1"/>
    <col min="13320" max="13320" width="5.42578125" customWidth="1"/>
    <col min="13321" max="13321" width="5" customWidth="1"/>
    <col min="13322" max="13322" width="4.28515625" customWidth="1"/>
    <col min="13323" max="13323" width="5.85546875" customWidth="1"/>
    <col min="13324" max="13324" width="8.140625" customWidth="1"/>
    <col min="13325" max="13326" width="4.28515625" customWidth="1"/>
    <col min="13327" max="13327" width="11" customWidth="1"/>
    <col min="13328" max="13328" width="4.85546875" customWidth="1"/>
    <col min="13329" max="13329" width="4.5703125" customWidth="1"/>
    <col min="13330" max="13330" width="2.42578125" customWidth="1"/>
    <col min="13569" max="13569" width="3.42578125" customWidth="1"/>
    <col min="13570" max="13570" width="10.140625" customWidth="1"/>
    <col min="13571" max="13571" width="7.85546875" customWidth="1"/>
    <col min="13572" max="13572" width="4" customWidth="1"/>
    <col min="13573" max="13573" width="4.5703125" customWidth="1"/>
    <col min="13574" max="13574" width="11.42578125" customWidth="1"/>
    <col min="13575" max="13575" width="4.42578125" customWidth="1"/>
    <col min="13576" max="13576" width="5.42578125" customWidth="1"/>
    <col min="13577" max="13577" width="5" customWidth="1"/>
    <col min="13578" max="13578" width="4.28515625" customWidth="1"/>
    <col min="13579" max="13579" width="5.85546875" customWidth="1"/>
    <col min="13580" max="13580" width="8.140625" customWidth="1"/>
    <col min="13581" max="13582" width="4.28515625" customWidth="1"/>
    <col min="13583" max="13583" width="11" customWidth="1"/>
    <col min="13584" max="13584" width="4.85546875" customWidth="1"/>
    <col min="13585" max="13585" width="4.5703125" customWidth="1"/>
    <col min="13586" max="13586" width="2.42578125" customWidth="1"/>
    <col min="13825" max="13825" width="3.42578125" customWidth="1"/>
    <col min="13826" max="13826" width="10.140625" customWidth="1"/>
    <col min="13827" max="13827" width="7.85546875" customWidth="1"/>
    <col min="13828" max="13828" width="4" customWidth="1"/>
    <col min="13829" max="13829" width="4.5703125" customWidth="1"/>
    <col min="13830" max="13830" width="11.42578125" customWidth="1"/>
    <col min="13831" max="13831" width="4.42578125" customWidth="1"/>
    <col min="13832" max="13832" width="5.42578125" customWidth="1"/>
    <col min="13833" max="13833" width="5" customWidth="1"/>
    <col min="13834" max="13834" width="4.28515625" customWidth="1"/>
    <col min="13835" max="13835" width="5.85546875" customWidth="1"/>
    <col min="13836" max="13836" width="8.140625" customWidth="1"/>
    <col min="13837" max="13838" width="4.28515625" customWidth="1"/>
    <col min="13839" max="13839" width="11" customWidth="1"/>
    <col min="13840" max="13840" width="4.85546875" customWidth="1"/>
    <col min="13841" max="13841" width="4.5703125" customWidth="1"/>
    <col min="13842" max="13842" width="2.42578125" customWidth="1"/>
    <col min="14081" max="14081" width="3.42578125" customWidth="1"/>
    <col min="14082" max="14082" width="10.140625" customWidth="1"/>
    <col min="14083" max="14083" width="7.85546875" customWidth="1"/>
    <col min="14084" max="14084" width="4" customWidth="1"/>
    <col min="14085" max="14085" width="4.5703125" customWidth="1"/>
    <col min="14086" max="14086" width="11.42578125" customWidth="1"/>
    <col min="14087" max="14087" width="4.42578125" customWidth="1"/>
    <col min="14088" max="14088" width="5.42578125" customWidth="1"/>
    <col min="14089" max="14089" width="5" customWidth="1"/>
    <col min="14090" max="14090" width="4.28515625" customWidth="1"/>
    <col min="14091" max="14091" width="5.85546875" customWidth="1"/>
    <col min="14092" max="14092" width="8.140625" customWidth="1"/>
    <col min="14093" max="14094" width="4.28515625" customWidth="1"/>
    <col min="14095" max="14095" width="11" customWidth="1"/>
    <col min="14096" max="14096" width="4.85546875" customWidth="1"/>
    <col min="14097" max="14097" width="4.5703125" customWidth="1"/>
    <col min="14098" max="14098" width="2.42578125" customWidth="1"/>
    <col min="14337" max="14337" width="3.42578125" customWidth="1"/>
    <col min="14338" max="14338" width="10.140625" customWidth="1"/>
    <col min="14339" max="14339" width="7.85546875" customWidth="1"/>
    <col min="14340" max="14340" width="4" customWidth="1"/>
    <col min="14341" max="14341" width="4.5703125" customWidth="1"/>
    <col min="14342" max="14342" width="11.42578125" customWidth="1"/>
    <col min="14343" max="14343" width="4.42578125" customWidth="1"/>
    <col min="14344" max="14344" width="5.42578125" customWidth="1"/>
    <col min="14345" max="14345" width="5" customWidth="1"/>
    <col min="14346" max="14346" width="4.28515625" customWidth="1"/>
    <col min="14347" max="14347" width="5.85546875" customWidth="1"/>
    <col min="14348" max="14348" width="8.140625" customWidth="1"/>
    <col min="14349" max="14350" width="4.28515625" customWidth="1"/>
    <col min="14351" max="14351" width="11" customWidth="1"/>
    <col min="14352" max="14352" width="4.85546875" customWidth="1"/>
    <col min="14353" max="14353" width="4.5703125" customWidth="1"/>
    <col min="14354" max="14354" width="2.42578125" customWidth="1"/>
    <col min="14593" max="14593" width="3.42578125" customWidth="1"/>
    <col min="14594" max="14594" width="10.140625" customWidth="1"/>
    <col min="14595" max="14595" width="7.85546875" customWidth="1"/>
    <col min="14596" max="14596" width="4" customWidth="1"/>
    <col min="14597" max="14597" width="4.5703125" customWidth="1"/>
    <col min="14598" max="14598" width="11.42578125" customWidth="1"/>
    <col min="14599" max="14599" width="4.42578125" customWidth="1"/>
    <col min="14600" max="14600" width="5.42578125" customWidth="1"/>
    <col min="14601" max="14601" width="5" customWidth="1"/>
    <col min="14602" max="14602" width="4.28515625" customWidth="1"/>
    <col min="14603" max="14603" width="5.85546875" customWidth="1"/>
    <col min="14604" max="14604" width="8.140625" customWidth="1"/>
    <col min="14605" max="14606" width="4.28515625" customWidth="1"/>
    <col min="14607" max="14607" width="11" customWidth="1"/>
    <col min="14608" max="14608" width="4.85546875" customWidth="1"/>
    <col min="14609" max="14609" width="4.5703125" customWidth="1"/>
    <col min="14610" max="14610" width="2.42578125" customWidth="1"/>
    <col min="14849" max="14849" width="3.42578125" customWidth="1"/>
    <col min="14850" max="14850" width="10.140625" customWidth="1"/>
    <col min="14851" max="14851" width="7.85546875" customWidth="1"/>
    <col min="14852" max="14852" width="4" customWidth="1"/>
    <col min="14853" max="14853" width="4.5703125" customWidth="1"/>
    <col min="14854" max="14854" width="11.42578125" customWidth="1"/>
    <col min="14855" max="14855" width="4.42578125" customWidth="1"/>
    <col min="14856" max="14856" width="5.42578125" customWidth="1"/>
    <col min="14857" max="14857" width="5" customWidth="1"/>
    <col min="14858" max="14858" width="4.28515625" customWidth="1"/>
    <col min="14859" max="14859" width="5.85546875" customWidth="1"/>
    <col min="14860" max="14860" width="8.140625" customWidth="1"/>
    <col min="14861" max="14862" width="4.28515625" customWidth="1"/>
    <col min="14863" max="14863" width="11" customWidth="1"/>
    <col min="14864" max="14864" width="4.85546875" customWidth="1"/>
    <col min="14865" max="14865" width="4.5703125" customWidth="1"/>
    <col min="14866" max="14866" width="2.42578125" customWidth="1"/>
    <col min="15105" max="15105" width="3.42578125" customWidth="1"/>
    <col min="15106" max="15106" width="10.140625" customWidth="1"/>
    <col min="15107" max="15107" width="7.85546875" customWidth="1"/>
    <col min="15108" max="15108" width="4" customWidth="1"/>
    <col min="15109" max="15109" width="4.5703125" customWidth="1"/>
    <col min="15110" max="15110" width="11.42578125" customWidth="1"/>
    <col min="15111" max="15111" width="4.42578125" customWidth="1"/>
    <col min="15112" max="15112" width="5.42578125" customWidth="1"/>
    <col min="15113" max="15113" width="5" customWidth="1"/>
    <col min="15114" max="15114" width="4.28515625" customWidth="1"/>
    <col min="15115" max="15115" width="5.85546875" customWidth="1"/>
    <col min="15116" max="15116" width="8.140625" customWidth="1"/>
    <col min="15117" max="15118" width="4.28515625" customWidth="1"/>
    <col min="15119" max="15119" width="11" customWidth="1"/>
    <col min="15120" max="15120" width="4.85546875" customWidth="1"/>
    <col min="15121" max="15121" width="4.5703125" customWidth="1"/>
    <col min="15122" max="15122" width="2.42578125" customWidth="1"/>
    <col min="15361" max="15361" width="3.42578125" customWidth="1"/>
    <col min="15362" max="15362" width="10.140625" customWidth="1"/>
    <col min="15363" max="15363" width="7.85546875" customWidth="1"/>
    <col min="15364" max="15364" width="4" customWidth="1"/>
    <col min="15365" max="15365" width="4.5703125" customWidth="1"/>
    <col min="15366" max="15366" width="11.42578125" customWidth="1"/>
    <col min="15367" max="15367" width="4.42578125" customWidth="1"/>
    <col min="15368" max="15368" width="5.42578125" customWidth="1"/>
    <col min="15369" max="15369" width="5" customWidth="1"/>
    <col min="15370" max="15370" width="4.28515625" customWidth="1"/>
    <col min="15371" max="15371" width="5.85546875" customWidth="1"/>
    <col min="15372" max="15372" width="8.140625" customWidth="1"/>
    <col min="15373" max="15374" width="4.28515625" customWidth="1"/>
    <col min="15375" max="15375" width="11" customWidth="1"/>
    <col min="15376" max="15376" width="4.85546875" customWidth="1"/>
    <col min="15377" max="15377" width="4.5703125" customWidth="1"/>
    <col min="15378" max="15378" width="2.42578125" customWidth="1"/>
    <col min="15617" max="15617" width="3.42578125" customWidth="1"/>
    <col min="15618" max="15618" width="10.140625" customWidth="1"/>
    <col min="15619" max="15619" width="7.85546875" customWidth="1"/>
    <col min="15620" max="15620" width="4" customWidth="1"/>
    <col min="15621" max="15621" width="4.5703125" customWidth="1"/>
    <col min="15622" max="15622" width="11.42578125" customWidth="1"/>
    <col min="15623" max="15623" width="4.42578125" customWidth="1"/>
    <col min="15624" max="15624" width="5.42578125" customWidth="1"/>
    <col min="15625" max="15625" width="5" customWidth="1"/>
    <col min="15626" max="15626" width="4.28515625" customWidth="1"/>
    <col min="15627" max="15627" width="5.85546875" customWidth="1"/>
    <col min="15628" max="15628" width="8.140625" customWidth="1"/>
    <col min="15629" max="15630" width="4.28515625" customWidth="1"/>
    <col min="15631" max="15631" width="11" customWidth="1"/>
    <col min="15632" max="15632" width="4.85546875" customWidth="1"/>
    <col min="15633" max="15633" width="4.5703125" customWidth="1"/>
    <col min="15634" max="15634" width="2.42578125" customWidth="1"/>
    <col min="15873" max="15873" width="3.42578125" customWidth="1"/>
    <col min="15874" max="15874" width="10.140625" customWidth="1"/>
    <col min="15875" max="15875" width="7.85546875" customWidth="1"/>
    <col min="15876" max="15876" width="4" customWidth="1"/>
    <col min="15877" max="15877" width="4.5703125" customWidth="1"/>
    <col min="15878" max="15878" width="11.42578125" customWidth="1"/>
    <col min="15879" max="15879" width="4.42578125" customWidth="1"/>
    <col min="15880" max="15880" width="5.42578125" customWidth="1"/>
    <col min="15881" max="15881" width="5" customWidth="1"/>
    <col min="15882" max="15882" width="4.28515625" customWidth="1"/>
    <col min="15883" max="15883" width="5.85546875" customWidth="1"/>
    <col min="15884" max="15884" width="8.140625" customWidth="1"/>
    <col min="15885" max="15886" width="4.28515625" customWidth="1"/>
    <col min="15887" max="15887" width="11" customWidth="1"/>
    <col min="15888" max="15888" width="4.85546875" customWidth="1"/>
    <col min="15889" max="15889" width="4.5703125" customWidth="1"/>
    <col min="15890" max="15890" width="2.42578125" customWidth="1"/>
    <col min="16129" max="16129" width="3.42578125" customWidth="1"/>
    <col min="16130" max="16130" width="10.140625" customWidth="1"/>
    <col min="16131" max="16131" width="7.85546875" customWidth="1"/>
    <col min="16132" max="16132" width="4" customWidth="1"/>
    <col min="16133" max="16133" width="4.5703125" customWidth="1"/>
    <col min="16134" max="16134" width="11.42578125" customWidth="1"/>
    <col min="16135" max="16135" width="4.42578125" customWidth="1"/>
    <col min="16136" max="16136" width="5.42578125" customWidth="1"/>
    <col min="16137" max="16137" width="5" customWidth="1"/>
    <col min="16138" max="16138" width="4.28515625" customWidth="1"/>
    <col min="16139" max="16139" width="5.85546875" customWidth="1"/>
    <col min="16140" max="16140" width="8.140625" customWidth="1"/>
    <col min="16141" max="16142" width="4.28515625" customWidth="1"/>
    <col min="16143" max="16143" width="11" customWidth="1"/>
    <col min="16144" max="16144" width="4.85546875" customWidth="1"/>
    <col min="16145" max="16145" width="4.5703125" customWidth="1"/>
    <col min="16146" max="16146" width="2.42578125" customWidth="1"/>
  </cols>
  <sheetData>
    <row r="1" spans="1:18" ht="6.75" customHeight="1" x14ac:dyDescent="0.2">
      <c r="A1" s="315"/>
      <c r="B1" s="316"/>
      <c r="C1" s="316"/>
      <c r="D1" s="316"/>
      <c r="E1" s="316"/>
      <c r="F1" s="316"/>
      <c r="G1" s="316"/>
      <c r="H1" s="316"/>
      <c r="I1" s="316"/>
      <c r="J1" s="316"/>
      <c r="K1" s="316"/>
      <c r="L1" s="316"/>
      <c r="M1" s="316"/>
      <c r="N1" s="316"/>
      <c r="O1" s="316"/>
      <c r="P1" s="316"/>
      <c r="Q1" s="316"/>
      <c r="R1" s="317"/>
    </row>
    <row r="2" spans="1:18" ht="15.75" x14ac:dyDescent="0.25">
      <c r="A2" s="962" t="s">
        <v>1150</v>
      </c>
      <c r="B2" s="963"/>
      <c r="C2" s="963"/>
      <c r="D2" s="963"/>
      <c r="E2" s="963"/>
      <c r="F2" s="963"/>
      <c r="G2" s="963"/>
      <c r="H2" s="963"/>
      <c r="I2" s="963"/>
      <c r="J2" s="963"/>
      <c r="K2" s="963"/>
      <c r="L2" s="963"/>
      <c r="M2" s="963"/>
      <c r="N2" s="963"/>
      <c r="O2" s="964"/>
      <c r="P2" s="965" t="s">
        <v>1151</v>
      </c>
      <c r="Q2" s="966"/>
      <c r="R2" s="318"/>
    </row>
    <row r="3" spans="1:18" ht="15" x14ac:dyDescent="0.2">
      <c r="A3" s="969" t="s">
        <v>1152</v>
      </c>
      <c r="B3" s="970"/>
      <c r="C3" s="970"/>
      <c r="D3" s="970"/>
      <c r="E3" s="970"/>
      <c r="F3" s="970"/>
      <c r="G3" s="970"/>
      <c r="H3" s="970"/>
      <c r="I3" s="970"/>
      <c r="J3" s="970"/>
      <c r="K3" s="970"/>
      <c r="L3" s="970"/>
      <c r="M3" s="970"/>
      <c r="N3" s="970"/>
      <c r="O3" s="971"/>
      <c r="P3" s="967"/>
      <c r="Q3" s="968"/>
      <c r="R3" s="318"/>
    </row>
    <row r="4" spans="1:18" ht="12.75" customHeight="1" x14ac:dyDescent="0.2">
      <c r="A4" s="972" t="s">
        <v>1153</v>
      </c>
      <c r="B4" s="876"/>
      <c r="C4" s="876"/>
      <c r="D4" s="876"/>
      <c r="E4" s="876"/>
      <c r="F4" s="876"/>
      <c r="G4" s="876"/>
      <c r="H4" s="876"/>
      <c r="I4" s="876"/>
      <c r="J4" s="876"/>
      <c r="K4" s="876"/>
      <c r="L4" s="876"/>
      <c r="M4" s="876"/>
      <c r="N4" s="876"/>
      <c r="O4" s="876"/>
      <c r="R4" s="318"/>
    </row>
    <row r="5" spans="1:18" ht="9.75" customHeight="1" x14ac:dyDescent="0.2">
      <c r="A5" s="973" t="s">
        <v>1154</v>
      </c>
      <c r="B5" s="974"/>
      <c r="C5" s="974"/>
      <c r="D5" s="974"/>
      <c r="E5" s="974"/>
      <c r="F5" s="974"/>
      <c r="G5" s="974"/>
      <c r="H5" s="974"/>
      <c r="I5" s="974"/>
      <c r="J5" s="974"/>
      <c r="K5" s="974"/>
      <c r="L5" s="974"/>
      <c r="M5" s="974"/>
      <c r="N5" s="974"/>
      <c r="O5" s="974"/>
      <c r="R5" s="318"/>
    </row>
    <row r="6" spans="1:18" ht="9.75" customHeight="1" x14ac:dyDescent="0.2">
      <c r="A6" s="973" t="s">
        <v>1155</v>
      </c>
      <c r="B6" s="974"/>
      <c r="C6" s="974"/>
      <c r="D6" s="974"/>
      <c r="E6" s="974"/>
      <c r="F6" s="974"/>
      <c r="G6" s="974"/>
      <c r="H6" s="974"/>
      <c r="I6" s="974"/>
      <c r="J6" s="974"/>
      <c r="K6" s="974"/>
      <c r="L6" s="974"/>
      <c r="M6" s="974"/>
      <c r="N6" s="974"/>
      <c r="O6" s="974"/>
      <c r="R6" s="318"/>
    </row>
    <row r="7" spans="1:18" ht="9.75" customHeight="1" thickBot="1" x14ac:dyDescent="0.25">
      <c r="A7" s="987" t="s">
        <v>1156</v>
      </c>
      <c r="B7" s="988"/>
      <c r="C7" s="988"/>
      <c r="D7" s="988"/>
      <c r="E7" s="988"/>
      <c r="F7" s="988"/>
      <c r="G7" s="988"/>
      <c r="H7" s="988"/>
      <c r="I7" s="988"/>
      <c r="J7" s="988"/>
      <c r="K7" s="988"/>
      <c r="L7" s="988"/>
      <c r="M7" s="988"/>
      <c r="N7" s="988"/>
      <c r="O7" s="988"/>
      <c r="R7" s="318"/>
    </row>
    <row r="8" spans="1:18" ht="20.25" customHeight="1" thickBot="1" x14ac:dyDescent="0.25">
      <c r="A8" s="166"/>
      <c r="B8" s="319"/>
      <c r="C8" s="319"/>
      <c r="D8" s="320" t="s">
        <v>1157</v>
      </c>
      <c r="E8" s="989" t="str">
        <f>Info_Job_Name</f>
        <v>ENFRA - Columbia Gorge</v>
      </c>
      <c r="F8" s="990"/>
      <c r="G8" s="990"/>
      <c r="H8" s="990"/>
      <c r="I8" s="990"/>
      <c r="J8" s="321"/>
      <c r="K8" s="319"/>
      <c r="L8" s="320" t="s">
        <v>1158</v>
      </c>
      <c r="M8" s="990" t="s">
        <v>1159</v>
      </c>
      <c r="N8" s="990"/>
      <c r="O8" s="990"/>
      <c r="P8" s="990"/>
      <c r="Q8" s="322"/>
      <c r="R8" s="323"/>
    </row>
    <row r="9" spans="1:18" x14ac:dyDescent="0.2">
      <c r="A9" s="324" t="s">
        <v>1160</v>
      </c>
      <c r="B9" s="4" t="s">
        <v>1161</v>
      </c>
      <c r="C9" s="4"/>
      <c r="R9" s="318"/>
    </row>
    <row r="10" spans="1:18" x14ac:dyDescent="0.2">
      <c r="A10" s="325"/>
      <c r="D10" s="25" t="s">
        <v>1162</v>
      </c>
      <c r="E10" s="991" t="s">
        <v>1163</v>
      </c>
      <c r="F10" s="992"/>
      <c r="G10" s="992"/>
      <c r="H10" s="992"/>
      <c r="I10" s="993"/>
      <c r="J10" s="326"/>
      <c r="L10" s="25" t="s">
        <v>1164</v>
      </c>
      <c r="N10" s="994" t="s">
        <v>1165</v>
      </c>
      <c r="O10" s="995"/>
      <c r="P10" s="995"/>
      <c r="Q10" s="996"/>
      <c r="R10" s="318"/>
    </row>
    <row r="11" spans="1:18" x14ac:dyDescent="0.2">
      <c r="A11" s="325"/>
      <c r="D11" s="25"/>
      <c r="E11" s="975"/>
      <c r="F11" s="976"/>
      <c r="G11" s="976"/>
      <c r="H11" s="976"/>
      <c r="I11" s="977"/>
      <c r="J11" s="326"/>
      <c r="L11" s="25"/>
      <c r="N11" s="994"/>
      <c r="O11" s="995"/>
      <c r="P11" s="995"/>
      <c r="Q11" s="996"/>
      <c r="R11" s="318"/>
    </row>
    <row r="12" spans="1:18" x14ac:dyDescent="0.2">
      <c r="A12" s="325"/>
      <c r="D12" s="25" t="s">
        <v>1166</v>
      </c>
      <c r="E12" s="991" t="s">
        <v>1167</v>
      </c>
      <c r="F12" s="992"/>
      <c r="G12" s="992"/>
      <c r="H12" s="992"/>
      <c r="I12" s="993"/>
      <c r="J12" s="326"/>
      <c r="L12" s="25" t="s">
        <v>1168</v>
      </c>
      <c r="N12" s="994" t="s">
        <v>8</v>
      </c>
      <c r="O12" s="995"/>
      <c r="P12" s="995"/>
      <c r="Q12" s="996"/>
      <c r="R12" s="318"/>
    </row>
    <row r="13" spans="1:18" x14ac:dyDescent="0.2">
      <c r="A13" s="325"/>
      <c r="D13" s="25"/>
      <c r="E13" s="975"/>
      <c r="F13" s="976"/>
      <c r="G13" s="976"/>
      <c r="H13" s="976"/>
      <c r="I13" s="977"/>
      <c r="J13" s="326"/>
      <c r="L13" s="25"/>
      <c r="N13" s="994"/>
      <c r="O13" s="995"/>
      <c r="P13" s="995"/>
      <c r="Q13" s="996"/>
      <c r="R13" s="318"/>
    </row>
    <row r="14" spans="1:18" x14ac:dyDescent="0.2">
      <c r="A14" s="325"/>
      <c r="D14" s="25"/>
      <c r="E14" s="975" t="s">
        <v>1169</v>
      </c>
      <c r="F14" s="976"/>
      <c r="G14" s="976"/>
      <c r="H14" s="976"/>
      <c r="I14" s="977"/>
      <c r="J14" s="326"/>
      <c r="L14" s="25" t="s">
        <v>1170</v>
      </c>
      <c r="N14" s="978" t="s">
        <v>1171</v>
      </c>
      <c r="O14" s="979"/>
      <c r="P14" s="979"/>
      <c r="Q14" s="980"/>
      <c r="R14" s="318"/>
    </row>
    <row r="15" spans="1:18" x14ac:dyDescent="0.2">
      <c r="A15" s="325"/>
      <c r="D15" s="25"/>
      <c r="E15" s="975"/>
      <c r="F15" s="976"/>
      <c r="G15" s="976"/>
      <c r="H15" s="976"/>
      <c r="I15" s="977"/>
      <c r="J15" s="326"/>
      <c r="L15" s="25" t="s">
        <v>1172</v>
      </c>
      <c r="N15" s="978"/>
      <c r="O15" s="979"/>
      <c r="P15" s="979"/>
      <c r="Q15" s="980"/>
      <c r="R15" s="318"/>
    </row>
    <row r="16" spans="1:18" x14ac:dyDescent="0.2">
      <c r="A16" s="325"/>
      <c r="D16" s="25" t="s">
        <v>1173</v>
      </c>
      <c r="E16" s="975" t="s">
        <v>1817</v>
      </c>
      <c r="F16" s="976"/>
      <c r="G16" s="976"/>
      <c r="H16" s="976"/>
      <c r="I16" s="977"/>
      <c r="J16" s="326"/>
      <c r="L16" s="25" t="s">
        <v>1174</v>
      </c>
      <c r="N16" s="984">
        <f>'Crew Mix'!Q11</f>
        <v>0.6</v>
      </c>
      <c r="O16" s="985"/>
      <c r="P16" s="985"/>
      <c r="Q16" s="986"/>
      <c r="R16" s="318"/>
    </row>
    <row r="17" spans="1:25" x14ac:dyDescent="0.2">
      <c r="A17" s="325"/>
      <c r="D17" s="25"/>
      <c r="E17" s="981"/>
      <c r="F17" s="982"/>
      <c r="G17" s="982"/>
      <c r="H17" s="982"/>
      <c r="I17" s="983"/>
      <c r="J17" s="326"/>
      <c r="L17" s="25" t="s">
        <v>1175</v>
      </c>
      <c r="N17" s="984"/>
      <c r="O17" s="985"/>
      <c r="P17" s="985"/>
      <c r="Q17" s="986"/>
      <c r="R17" s="318"/>
    </row>
    <row r="18" spans="1:25" x14ac:dyDescent="0.2">
      <c r="A18" s="325"/>
      <c r="D18" s="25"/>
      <c r="R18" s="318"/>
      <c r="Y18" s="327">
        <v>1</v>
      </c>
    </row>
    <row r="19" spans="1:25" x14ac:dyDescent="0.2">
      <c r="A19" s="325"/>
      <c r="D19" s="25" t="s">
        <v>1176</v>
      </c>
      <c r="E19" s="83"/>
      <c r="R19" s="318"/>
    </row>
    <row r="20" spans="1:25" x14ac:dyDescent="0.2">
      <c r="A20" s="325"/>
      <c r="R20" s="318"/>
    </row>
    <row r="21" spans="1:25" x14ac:dyDescent="0.2">
      <c r="A21" s="325"/>
      <c r="I21" s="328" t="s">
        <v>1177</v>
      </c>
      <c r="J21" s="946"/>
      <c r="K21" s="925"/>
      <c r="L21" s="925"/>
      <c r="M21" s="947"/>
      <c r="N21" s="946"/>
      <c r="O21" s="925"/>
      <c r="P21" s="925"/>
      <c r="Q21" s="947"/>
      <c r="R21" s="318"/>
    </row>
    <row r="22" spans="1:25" x14ac:dyDescent="0.2">
      <c r="A22" s="325"/>
      <c r="J22" s="946"/>
      <c r="K22" s="925"/>
      <c r="L22" s="925"/>
      <c r="M22" s="947"/>
      <c r="N22" s="946"/>
      <c r="O22" s="925"/>
      <c r="P22" s="925"/>
      <c r="Q22" s="947"/>
      <c r="R22" s="318"/>
    </row>
    <row r="23" spans="1:25" x14ac:dyDescent="0.2">
      <c r="A23" s="324" t="s">
        <v>1178</v>
      </c>
      <c r="B23" s="4" t="s">
        <v>1179</v>
      </c>
      <c r="C23" s="4"/>
      <c r="R23" s="318"/>
    </row>
    <row r="24" spans="1:25" x14ac:dyDescent="0.2">
      <c r="A24" s="325"/>
      <c r="D24" s="919" t="s">
        <v>1180</v>
      </c>
      <c r="E24" s="919"/>
      <c r="F24" s="919"/>
      <c r="G24" s="919" t="s">
        <v>1181</v>
      </c>
      <c r="H24" s="919"/>
      <c r="I24" s="919"/>
      <c r="J24" s="919"/>
      <c r="K24" s="919"/>
      <c r="L24" s="919"/>
      <c r="M24" s="919" t="s">
        <v>1182</v>
      </c>
      <c r="N24" s="919"/>
      <c r="O24" s="919"/>
      <c r="P24" s="919"/>
      <c r="Q24" s="919"/>
      <c r="R24" s="318"/>
    </row>
    <row r="25" spans="1:25" x14ac:dyDescent="0.2">
      <c r="A25" s="325"/>
      <c r="C25" s="25" t="s">
        <v>1183</v>
      </c>
      <c r="D25" s="959" t="s">
        <v>1184</v>
      </c>
      <c r="E25" s="959"/>
      <c r="F25" s="959"/>
      <c r="G25" s="959"/>
      <c r="H25" s="959" t="s">
        <v>1184</v>
      </c>
      <c r="I25" s="959"/>
      <c r="J25" s="959"/>
      <c r="K25" s="959"/>
      <c r="L25" s="959"/>
      <c r="M25" s="960"/>
      <c r="N25" s="960"/>
      <c r="O25" s="960"/>
      <c r="P25" s="960"/>
      <c r="Q25" s="960"/>
      <c r="R25" s="318"/>
    </row>
    <row r="26" spans="1:25" x14ac:dyDescent="0.2">
      <c r="A26" s="325"/>
      <c r="C26" s="25"/>
      <c r="D26" s="959"/>
      <c r="E26" s="959"/>
      <c r="F26" s="959"/>
      <c r="G26" s="959"/>
      <c r="H26" s="959"/>
      <c r="I26" s="959"/>
      <c r="J26" s="959"/>
      <c r="K26" s="959"/>
      <c r="L26" s="959"/>
      <c r="M26" s="960"/>
      <c r="N26" s="960"/>
      <c r="O26" s="960"/>
      <c r="P26" s="960"/>
      <c r="Q26" s="960"/>
      <c r="R26" s="318"/>
    </row>
    <row r="27" spans="1:25" x14ac:dyDescent="0.2">
      <c r="A27" s="325"/>
      <c r="C27" s="25" t="s">
        <v>1185</v>
      </c>
      <c r="D27" s="959" t="s">
        <v>1186</v>
      </c>
      <c r="E27" s="959"/>
      <c r="F27" s="959"/>
      <c r="G27" s="959"/>
      <c r="H27" s="959" t="s">
        <v>1186</v>
      </c>
      <c r="I27" s="959"/>
      <c r="J27" s="959"/>
      <c r="K27" s="959"/>
      <c r="L27" s="959"/>
      <c r="M27" s="960"/>
      <c r="N27" s="960"/>
      <c r="O27" s="960"/>
      <c r="P27" s="960"/>
      <c r="Q27" s="960"/>
      <c r="R27" s="318"/>
    </row>
    <row r="28" spans="1:25" x14ac:dyDescent="0.2">
      <c r="A28" s="325"/>
      <c r="C28" s="25"/>
      <c r="D28" s="959"/>
      <c r="E28" s="959"/>
      <c r="F28" s="959"/>
      <c r="G28" s="959"/>
      <c r="H28" s="959"/>
      <c r="I28" s="959"/>
      <c r="J28" s="959"/>
      <c r="K28" s="959"/>
      <c r="L28" s="959"/>
      <c r="M28" s="960"/>
      <c r="N28" s="960"/>
      <c r="O28" s="960"/>
      <c r="P28" s="960"/>
      <c r="Q28" s="960"/>
      <c r="R28" s="318"/>
    </row>
    <row r="29" spans="1:25" x14ac:dyDescent="0.2">
      <c r="A29" s="325"/>
      <c r="C29" s="25" t="s">
        <v>1187</v>
      </c>
      <c r="D29" s="959" t="s">
        <v>1188</v>
      </c>
      <c r="E29" s="959"/>
      <c r="F29" s="959"/>
      <c r="G29" s="959"/>
      <c r="H29" s="959" t="s">
        <v>1188</v>
      </c>
      <c r="I29" s="959"/>
      <c r="J29" s="959"/>
      <c r="K29" s="959"/>
      <c r="L29" s="959"/>
      <c r="M29" s="960"/>
      <c r="N29" s="960"/>
      <c r="O29" s="960"/>
      <c r="P29" s="960"/>
      <c r="Q29" s="960"/>
      <c r="R29" s="318"/>
    </row>
    <row r="30" spans="1:25" x14ac:dyDescent="0.2">
      <c r="A30" s="325"/>
      <c r="C30" s="25"/>
      <c r="D30" s="959"/>
      <c r="E30" s="959"/>
      <c r="F30" s="959"/>
      <c r="G30" s="959"/>
      <c r="H30" s="959"/>
      <c r="I30" s="959"/>
      <c r="J30" s="959"/>
      <c r="K30" s="959"/>
      <c r="L30" s="959"/>
      <c r="M30" s="960"/>
      <c r="N30" s="960"/>
      <c r="O30" s="960"/>
      <c r="P30" s="960"/>
      <c r="Q30" s="960"/>
      <c r="R30" s="318"/>
    </row>
    <row r="31" spans="1:25" x14ac:dyDescent="0.2">
      <c r="A31" s="325"/>
      <c r="C31" s="25" t="s">
        <v>1189</v>
      </c>
      <c r="D31" s="951" t="s">
        <v>1289</v>
      </c>
      <c r="E31" s="951"/>
      <c r="F31" s="951"/>
      <c r="G31" s="951"/>
      <c r="H31" s="951" t="s">
        <v>1289</v>
      </c>
      <c r="I31" s="951"/>
      <c r="J31" s="951"/>
      <c r="K31" s="951"/>
      <c r="L31" s="951"/>
      <c r="M31" s="935"/>
      <c r="N31" s="935"/>
      <c r="O31" s="935"/>
      <c r="P31" s="935"/>
      <c r="Q31" s="935"/>
      <c r="R31" s="318"/>
    </row>
    <row r="32" spans="1:25" x14ac:dyDescent="0.2">
      <c r="A32" s="325"/>
      <c r="R32" s="318"/>
    </row>
    <row r="33" spans="1:23" x14ac:dyDescent="0.2">
      <c r="A33" s="324" t="s">
        <v>1190</v>
      </c>
      <c r="B33" s="4" t="s">
        <v>1191</v>
      </c>
      <c r="R33" s="318"/>
    </row>
    <row r="34" spans="1:23" x14ac:dyDescent="0.2">
      <c r="A34" s="325"/>
      <c r="R34" s="318"/>
    </row>
    <row r="35" spans="1:23" x14ac:dyDescent="0.2">
      <c r="A35" s="325"/>
      <c r="D35" s="25" t="s">
        <v>1192</v>
      </c>
      <c r="E35" s="952" t="str">
        <f>Info_Job_Name</f>
        <v>ENFRA - Columbia Gorge</v>
      </c>
      <c r="F35" s="953"/>
      <c r="G35" s="953"/>
      <c r="H35" s="954"/>
      <c r="L35" s="25" t="s">
        <v>1193</v>
      </c>
      <c r="M35" s="955">
        <f>Info_Schedule_Start_Date</f>
        <v>45839</v>
      </c>
      <c r="N35" s="956"/>
      <c r="O35" s="956"/>
      <c r="P35" s="956"/>
      <c r="Q35" s="957"/>
      <c r="R35" s="318"/>
    </row>
    <row r="36" spans="1:23" x14ac:dyDescent="0.2">
      <c r="A36" s="325"/>
      <c r="D36" s="25" t="s">
        <v>1194</v>
      </c>
      <c r="E36" s="905">
        <f>Info_Total_Bid</f>
        <v>2055185</v>
      </c>
      <c r="F36" s="906"/>
      <c r="G36" s="906"/>
      <c r="H36" s="958"/>
      <c r="L36" s="25" t="s">
        <v>1195</v>
      </c>
      <c r="M36" s="955">
        <f>Info_Schedule_End_Date</f>
        <v>46204</v>
      </c>
      <c r="N36" s="956"/>
      <c r="O36" s="956"/>
      <c r="P36" s="956"/>
      <c r="Q36" s="957"/>
      <c r="R36" s="318"/>
    </row>
    <row r="37" spans="1:23" x14ac:dyDescent="0.2">
      <c r="A37" s="325"/>
      <c r="R37" s="318"/>
    </row>
    <row r="38" spans="1:23" x14ac:dyDescent="0.2">
      <c r="A38" s="325"/>
      <c r="R38" s="318"/>
    </row>
    <row r="39" spans="1:23" x14ac:dyDescent="0.2">
      <c r="A39" s="325"/>
      <c r="H39" s="25" t="s">
        <v>1196</v>
      </c>
      <c r="I39" s="329"/>
      <c r="R39" s="318"/>
    </row>
    <row r="40" spans="1:23" x14ac:dyDescent="0.2">
      <c r="A40" s="325"/>
      <c r="R40" s="318"/>
      <c r="V40" s="754"/>
      <c r="W40" s="754"/>
    </row>
    <row r="41" spans="1:23" x14ac:dyDescent="0.2">
      <c r="A41" s="325"/>
      <c r="B41" s="330" t="s">
        <v>1197</v>
      </c>
      <c r="O41" s="331" t="s">
        <v>1198</v>
      </c>
      <c r="R41" s="756"/>
    </row>
    <row r="42" spans="1:23" x14ac:dyDescent="0.2">
      <c r="A42" s="325"/>
      <c r="B42" s="938"/>
      <c r="C42" s="939"/>
      <c r="D42" s="939"/>
      <c r="E42" s="939"/>
      <c r="F42" s="939"/>
      <c r="G42" s="939"/>
      <c r="H42" s="939"/>
      <c r="I42" s="940"/>
      <c r="K42" s="508" t="s">
        <v>1530</v>
      </c>
      <c r="L42" s="941">
        <v>5535</v>
      </c>
      <c r="M42" s="942"/>
      <c r="N42" s="943">
        <f>IF('MCAA RECAP'!$I$23=0,0,ROUND((SUM('MCAA RECAP'!$I$23*0.6)+SUM('MCAA RECAP'!$H$52*0.6)+SUM('MCAA RECAP'!$H$51*0.6))*R42,0))</f>
        <v>0</v>
      </c>
      <c r="O42" s="944"/>
      <c r="P42" s="944"/>
      <c r="Q42" s="945"/>
      <c r="R42" s="757">
        <f>IF('MCAA RECAP'!$D$27=0,0,('MCAA RECAP'!$D$27)/'MCAA RECAP'!$G$18)</f>
        <v>0</v>
      </c>
      <c r="T42" s="755"/>
    </row>
    <row r="43" spans="1:23" x14ac:dyDescent="0.2">
      <c r="A43" s="325"/>
      <c r="B43" s="938"/>
      <c r="C43" s="939"/>
      <c r="D43" s="939"/>
      <c r="E43" s="939"/>
      <c r="F43" s="939"/>
      <c r="G43" s="939"/>
      <c r="H43" s="939"/>
      <c r="I43" s="940"/>
      <c r="K43" s="508" t="s">
        <v>1570</v>
      </c>
      <c r="L43" s="941">
        <v>5606</v>
      </c>
      <c r="M43" s="942"/>
      <c r="N43" s="943">
        <f>SUM('MCAA RECAP'!$H$48*0.25*0.6)</f>
        <v>9122.8979999999992</v>
      </c>
      <c r="O43" s="944"/>
      <c r="P43" s="944"/>
      <c r="Q43" s="945"/>
      <c r="R43" s="756"/>
    </row>
    <row r="44" spans="1:23" x14ac:dyDescent="0.2">
      <c r="A44" s="325"/>
      <c r="B44" s="938"/>
      <c r="C44" s="939"/>
      <c r="D44" s="939"/>
      <c r="E44" s="939"/>
      <c r="F44" s="939"/>
      <c r="G44" s="939"/>
      <c r="H44" s="939"/>
      <c r="I44" s="940"/>
      <c r="K44" s="508" t="s">
        <v>70</v>
      </c>
      <c r="L44" s="941">
        <v>5537</v>
      </c>
      <c r="M44" s="942"/>
      <c r="N44" s="943">
        <f>IF(SUM('MCAA RECAP'!I22:I23)=0,0,ROUND(((('MCAA RECAP'!$I$23*0.6)+SUM('MCAA RECAP'!$H$52*0.6))*R44)+('MCAA RECAP'!I22*0.6)+('MCAA RECAP'!H50*0.6),0))</f>
        <v>332646</v>
      </c>
      <c r="O44" s="944"/>
      <c r="P44" s="944"/>
      <c r="Q44" s="945"/>
      <c r="R44" s="757">
        <f>IF('MCAA RECAP'!$D$27=0,1,('MCAA RECAP'!$G$18-'MCAA RECAP'!$D$27)/'MCAA RECAP'!$G$18)</f>
        <v>1</v>
      </c>
      <c r="T44" s="755"/>
    </row>
    <row r="45" spans="1:23" x14ac:dyDescent="0.2">
      <c r="A45" s="325"/>
      <c r="K45" s="508" t="s">
        <v>1753</v>
      </c>
      <c r="L45" s="946">
        <v>5183</v>
      </c>
      <c r="M45" s="947"/>
      <c r="N45" s="948">
        <f>ROUND(SUM('MCAA RECAP'!I21,'MCAA RECAP'!H49)*0.6,2)</f>
        <v>0</v>
      </c>
      <c r="O45" s="949"/>
      <c r="P45" s="949"/>
      <c r="Q45" s="950"/>
      <c r="R45" s="318"/>
    </row>
    <row r="46" spans="1:23" x14ac:dyDescent="0.2">
      <c r="A46" s="325"/>
      <c r="L46" s="946"/>
      <c r="M46" s="947"/>
      <c r="N46" s="948"/>
      <c r="O46" s="949"/>
      <c r="P46" s="949"/>
      <c r="Q46" s="950"/>
      <c r="R46" s="318"/>
    </row>
    <row r="47" spans="1:23" x14ac:dyDescent="0.2">
      <c r="A47" s="324" t="s">
        <v>1199</v>
      </c>
      <c r="B47" s="4" t="s">
        <v>1200</v>
      </c>
      <c r="R47" s="318"/>
    </row>
    <row r="48" spans="1:23" x14ac:dyDescent="0.2">
      <c r="A48" s="325"/>
      <c r="R48" s="318"/>
    </row>
    <row r="49" spans="1:25" x14ac:dyDescent="0.2">
      <c r="A49" s="325"/>
      <c r="B49" s="330" t="s">
        <v>1201</v>
      </c>
      <c r="R49" s="318"/>
    </row>
    <row r="50" spans="1:25" x14ac:dyDescent="0.2">
      <c r="A50" s="325"/>
      <c r="B50" s="936" t="s">
        <v>1202</v>
      </c>
      <c r="C50" s="936"/>
      <c r="D50" s="332"/>
      <c r="F50" s="901" t="s">
        <v>1203</v>
      </c>
      <c r="G50" s="901"/>
      <c r="H50" s="901"/>
      <c r="I50" s="901"/>
      <c r="J50" s="901"/>
      <c r="K50" s="332"/>
      <c r="R50" s="318"/>
      <c r="Y50" s="327">
        <v>3</v>
      </c>
    </row>
    <row r="51" spans="1:25" x14ac:dyDescent="0.2">
      <c r="A51" s="325"/>
      <c r="B51" s="936" t="s">
        <v>1204</v>
      </c>
      <c r="C51" s="936"/>
      <c r="D51" s="332"/>
      <c r="F51" s="901" t="s">
        <v>1205</v>
      </c>
      <c r="G51" s="901"/>
      <c r="H51" s="901"/>
      <c r="I51" s="901"/>
      <c r="J51" s="901"/>
      <c r="K51" s="123"/>
      <c r="L51" s="922"/>
      <c r="M51" s="922"/>
      <c r="N51" s="922"/>
      <c r="O51" s="922"/>
      <c r="P51" s="922"/>
      <c r="R51" s="318"/>
    </row>
    <row r="52" spans="1:25" x14ac:dyDescent="0.2">
      <c r="A52" s="325"/>
      <c r="L52" s="333"/>
      <c r="M52" s="333"/>
      <c r="N52" s="333"/>
      <c r="O52" s="333"/>
      <c r="P52" s="333"/>
      <c r="R52" s="318"/>
    </row>
    <row r="53" spans="1:25" x14ac:dyDescent="0.2">
      <c r="A53" s="325"/>
      <c r="R53" s="318"/>
    </row>
    <row r="54" spans="1:25" x14ac:dyDescent="0.2">
      <c r="A54" s="324" t="s">
        <v>1206</v>
      </c>
      <c r="B54" s="4" t="s">
        <v>1207</v>
      </c>
      <c r="R54" s="318"/>
      <c r="Y54" s="327">
        <v>1</v>
      </c>
    </row>
    <row r="55" spans="1:25" x14ac:dyDescent="0.2">
      <c r="A55" s="325"/>
      <c r="B55" t="s">
        <v>1208</v>
      </c>
      <c r="G55" s="123"/>
      <c r="I55" s="123"/>
      <c r="L55" s="334" t="s">
        <v>1209</v>
      </c>
      <c r="R55" s="318"/>
    </row>
    <row r="56" spans="1:25" x14ac:dyDescent="0.2">
      <c r="A56" s="325"/>
      <c r="R56" s="318"/>
    </row>
    <row r="57" spans="1:25" x14ac:dyDescent="0.2">
      <c r="A57" s="325"/>
      <c r="B57" s="937" t="s">
        <v>1210</v>
      </c>
      <c r="C57" s="937"/>
      <c r="D57" s="937"/>
      <c r="E57" s="937"/>
      <c r="F57" s="937"/>
      <c r="G57" s="937" t="s">
        <v>1211</v>
      </c>
      <c r="H57" s="937"/>
      <c r="I57" s="937"/>
      <c r="K57" t="s">
        <v>1212</v>
      </c>
      <c r="R57" s="318"/>
    </row>
    <row r="58" spans="1:25" x14ac:dyDescent="0.2">
      <c r="A58" s="325"/>
      <c r="B58" s="935"/>
      <c r="C58" s="935"/>
      <c r="D58" s="935"/>
      <c r="E58" s="935"/>
      <c r="F58" s="935"/>
      <c r="G58" s="935"/>
      <c r="H58" s="935"/>
      <c r="I58" s="935"/>
      <c r="K58" s="144"/>
      <c r="L58" t="s">
        <v>1213</v>
      </c>
      <c r="N58" s="144"/>
      <c r="O58" t="s">
        <v>1214</v>
      </c>
      <c r="R58" s="318"/>
    </row>
    <row r="59" spans="1:25" x14ac:dyDescent="0.2">
      <c r="A59" s="325"/>
      <c r="B59" s="935"/>
      <c r="C59" s="935"/>
      <c r="D59" s="935"/>
      <c r="E59" s="935"/>
      <c r="F59" s="935"/>
      <c r="G59" s="935"/>
      <c r="H59" s="935"/>
      <c r="I59" s="935"/>
      <c r="K59" s="144"/>
      <c r="L59" t="s">
        <v>1213</v>
      </c>
      <c r="N59" s="144"/>
      <c r="O59" t="s">
        <v>1214</v>
      </c>
      <c r="R59" s="318"/>
    </row>
    <row r="60" spans="1:25" x14ac:dyDescent="0.2">
      <c r="A60" s="325"/>
      <c r="B60" s="935"/>
      <c r="C60" s="935"/>
      <c r="D60" s="935"/>
      <c r="E60" s="935"/>
      <c r="F60" s="935"/>
      <c r="G60" s="935"/>
      <c r="H60" s="935"/>
      <c r="I60" s="935"/>
      <c r="K60" s="144"/>
      <c r="L60" t="s">
        <v>1213</v>
      </c>
      <c r="N60" s="144"/>
      <c r="O60" t="s">
        <v>1214</v>
      </c>
      <c r="R60" s="318"/>
    </row>
    <row r="61" spans="1:25" ht="6.75" customHeight="1" thickBot="1" x14ac:dyDescent="0.25">
      <c r="A61" s="335"/>
      <c r="B61" s="336"/>
      <c r="C61" s="336"/>
      <c r="D61" s="336"/>
      <c r="E61" s="336"/>
      <c r="F61" s="336"/>
      <c r="G61" s="336"/>
      <c r="H61" s="336"/>
      <c r="I61" s="336"/>
      <c r="J61" s="336"/>
      <c r="K61" s="336"/>
      <c r="L61" s="336"/>
      <c r="M61" s="336"/>
      <c r="N61" s="336"/>
      <c r="O61" s="336"/>
      <c r="P61" s="336"/>
      <c r="Q61" s="336"/>
      <c r="R61" s="337"/>
    </row>
    <row r="62" spans="1:25" ht="13.5" customHeight="1" thickBot="1" x14ac:dyDescent="0.25"/>
    <row r="63" spans="1:25" ht="15.75" x14ac:dyDescent="0.25">
      <c r="A63" s="912" t="s">
        <v>1215</v>
      </c>
      <c r="B63" s="913"/>
      <c r="C63" s="913"/>
      <c r="D63" s="913"/>
      <c r="E63" s="913"/>
      <c r="F63" s="913"/>
      <c r="G63" s="913"/>
      <c r="H63" s="913"/>
      <c r="I63" s="913"/>
      <c r="J63" s="913"/>
      <c r="K63" s="913"/>
      <c r="L63" s="913"/>
      <c r="M63" s="913"/>
      <c r="N63" s="913"/>
      <c r="O63" s="913"/>
      <c r="P63" s="914" t="s">
        <v>1216</v>
      </c>
      <c r="Q63" s="914"/>
      <c r="R63" s="915"/>
    </row>
    <row r="64" spans="1:25" x14ac:dyDescent="0.2">
      <c r="A64" s="325"/>
      <c r="R64" s="318"/>
    </row>
    <row r="65" spans="1:18" x14ac:dyDescent="0.2">
      <c r="A65" s="325"/>
      <c r="F65" s="338" t="s">
        <v>1217</v>
      </c>
      <c r="G65" s="636" t="s">
        <v>1652</v>
      </c>
      <c r="H65" s="635"/>
      <c r="I65" s="635"/>
      <c r="J65" s="635"/>
      <c r="K65" s="635"/>
      <c r="L65" s="635"/>
      <c r="M65" s="629"/>
      <c r="R65" s="318"/>
    </row>
    <row r="66" spans="1:18" x14ac:dyDescent="0.2">
      <c r="A66" s="325"/>
      <c r="F66" s="338" t="s">
        <v>1166</v>
      </c>
      <c r="G66" s="636" t="s">
        <v>1575</v>
      </c>
      <c r="H66" s="635"/>
      <c r="I66" s="635"/>
      <c r="J66" s="635"/>
      <c r="K66" s="635"/>
      <c r="L66" s="635"/>
      <c r="M66" s="637"/>
      <c r="R66" s="318"/>
    </row>
    <row r="67" spans="1:18" x14ac:dyDescent="0.2">
      <c r="A67" s="325"/>
      <c r="F67" s="338" t="s">
        <v>1185</v>
      </c>
      <c r="G67" s="909" t="s">
        <v>1251</v>
      </c>
      <c r="H67" s="910"/>
      <c r="I67" s="910"/>
      <c r="J67" s="910"/>
      <c r="K67" s="910"/>
      <c r="L67" s="910"/>
      <c r="M67" s="629"/>
      <c r="R67" s="318"/>
    </row>
    <row r="68" spans="1:18" x14ac:dyDescent="0.2">
      <c r="A68" s="325"/>
      <c r="F68" s="338"/>
      <c r="G68" s="909"/>
      <c r="H68" s="910"/>
      <c r="I68" s="910"/>
      <c r="J68" s="910"/>
      <c r="K68" s="910"/>
      <c r="L68" s="910"/>
      <c r="M68" s="629"/>
      <c r="R68" s="318"/>
    </row>
    <row r="69" spans="1:18" x14ac:dyDescent="0.2">
      <c r="A69" s="325"/>
      <c r="F69" s="338" t="s">
        <v>1218</v>
      </c>
      <c r="G69" s="923" t="s">
        <v>1653</v>
      </c>
      <c r="H69" s="924"/>
      <c r="I69" s="925"/>
      <c r="J69" s="925"/>
      <c r="K69" s="925"/>
      <c r="L69" s="925"/>
      <c r="M69" s="628"/>
      <c r="R69" s="318"/>
    </row>
    <row r="70" spans="1:18" x14ac:dyDescent="0.2">
      <c r="A70" s="325"/>
      <c r="R70" s="318"/>
    </row>
    <row r="71" spans="1:18" x14ac:dyDescent="0.2">
      <c r="A71" s="325"/>
      <c r="R71" s="318"/>
    </row>
    <row r="72" spans="1:18" x14ac:dyDescent="0.2">
      <c r="A72" s="926" t="s">
        <v>1219</v>
      </c>
      <c r="B72" s="927"/>
      <c r="C72" s="927"/>
      <c r="D72" s="927"/>
      <c r="E72" s="927"/>
      <c r="F72" s="927"/>
      <c r="G72" s="927"/>
      <c r="H72" s="927"/>
      <c r="I72" s="927"/>
      <c r="J72" s="927"/>
      <c r="K72" s="927"/>
      <c r="L72" s="927"/>
      <c r="M72" s="927"/>
      <c r="N72" s="927"/>
      <c r="O72" s="927"/>
      <c r="P72" s="927"/>
      <c r="Q72" s="927"/>
      <c r="R72" s="928"/>
    </row>
    <row r="73" spans="1:18" ht="12.75" customHeight="1" x14ac:dyDescent="0.2">
      <c r="A73" s="929" t="s">
        <v>1220</v>
      </c>
      <c r="B73" s="930"/>
      <c r="C73" s="930"/>
      <c r="D73" s="930"/>
      <c r="E73" s="930"/>
      <c r="F73" s="930"/>
      <c r="G73" s="930"/>
      <c r="H73" s="930"/>
      <c r="I73" s="930"/>
      <c r="J73" s="930"/>
      <c r="K73" s="930"/>
      <c r="L73" s="930"/>
      <c r="M73" s="930"/>
      <c r="N73" s="930"/>
      <c r="O73" s="930"/>
      <c r="P73" s="930"/>
      <c r="Q73" s="930"/>
      <c r="R73" s="931"/>
    </row>
    <row r="74" spans="1:18" ht="12.75" customHeight="1" x14ac:dyDescent="0.2">
      <c r="A74" s="932" t="s">
        <v>1221</v>
      </c>
      <c r="B74" s="933"/>
      <c r="C74" s="933"/>
      <c r="D74" s="933"/>
      <c r="E74" s="933"/>
      <c r="F74" s="933"/>
      <c r="G74" s="933"/>
      <c r="H74" s="933"/>
      <c r="I74" s="933"/>
      <c r="J74" s="933"/>
      <c r="K74" s="933"/>
      <c r="L74" s="933"/>
      <c r="M74" s="933"/>
      <c r="N74" s="933"/>
      <c r="O74" s="933"/>
      <c r="P74" s="933"/>
      <c r="Q74" s="933"/>
      <c r="R74" s="934"/>
    </row>
    <row r="75" spans="1:18" ht="12.75" customHeight="1" x14ac:dyDescent="0.2">
      <c r="A75" s="918" t="s">
        <v>1222</v>
      </c>
      <c r="B75" s="919"/>
      <c r="C75" s="919"/>
      <c r="D75" s="919"/>
      <c r="E75" s="919"/>
      <c r="F75" s="919"/>
      <c r="G75" s="919"/>
      <c r="H75" s="919"/>
      <c r="I75" s="919"/>
      <c r="J75" s="919"/>
      <c r="K75" s="919"/>
      <c r="L75" s="919"/>
      <c r="M75" s="919"/>
      <c r="N75" s="919"/>
      <c r="O75" s="919"/>
      <c r="P75" s="919"/>
      <c r="Q75" s="919"/>
      <c r="R75" s="920"/>
    </row>
    <row r="76" spans="1:18" ht="12.75" customHeight="1" x14ac:dyDescent="0.2">
      <c r="A76" s="918" t="s">
        <v>1223</v>
      </c>
      <c r="B76" s="919"/>
      <c r="C76" s="919"/>
      <c r="D76" s="919"/>
      <c r="E76" s="919"/>
      <c r="F76" s="919"/>
      <c r="G76" s="919"/>
      <c r="H76" s="919"/>
      <c r="I76" s="919"/>
      <c r="J76" s="919"/>
      <c r="K76" s="919"/>
      <c r="L76" s="919"/>
      <c r="M76" s="919"/>
      <c r="N76" s="919"/>
      <c r="O76" s="919"/>
      <c r="P76" s="919"/>
      <c r="Q76" s="919"/>
      <c r="R76" s="920"/>
    </row>
    <row r="77" spans="1:18" ht="12.75" customHeight="1" x14ac:dyDescent="0.2">
      <c r="A77" s="918" t="s">
        <v>1224</v>
      </c>
      <c r="B77" s="919"/>
      <c r="C77" s="919"/>
      <c r="D77" s="919"/>
      <c r="E77" s="919"/>
      <c r="F77" s="919"/>
      <c r="G77" s="919"/>
      <c r="H77" s="919"/>
      <c r="I77" s="919"/>
      <c r="J77" s="919"/>
      <c r="K77" s="919"/>
      <c r="L77" s="919"/>
      <c r="M77" s="919"/>
      <c r="N77" s="919"/>
      <c r="O77" s="919"/>
      <c r="P77" s="919"/>
      <c r="Q77" s="919"/>
      <c r="R77" s="920"/>
    </row>
    <row r="78" spans="1:18" ht="12.75" customHeight="1" x14ac:dyDescent="0.2">
      <c r="A78" s="918" t="s">
        <v>1225</v>
      </c>
      <c r="B78" s="919"/>
      <c r="C78" s="919"/>
      <c r="D78" s="919"/>
      <c r="E78" s="919"/>
      <c r="F78" s="919"/>
      <c r="G78" s="919"/>
      <c r="H78" s="919"/>
      <c r="I78" s="919"/>
      <c r="J78" s="919"/>
      <c r="K78" s="919"/>
      <c r="L78" s="919"/>
      <c r="M78" s="919"/>
      <c r="N78" s="919"/>
      <c r="O78" s="919"/>
      <c r="P78" s="919"/>
      <c r="Q78" s="919"/>
      <c r="R78" s="920"/>
    </row>
    <row r="79" spans="1:18" ht="12.75" customHeight="1" x14ac:dyDescent="0.2">
      <c r="A79" s="918" t="s">
        <v>1226</v>
      </c>
      <c r="B79" s="919"/>
      <c r="C79" s="919"/>
      <c r="D79" s="919"/>
      <c r="E79" s="919"/>
      <c r="F79" s="919"/>
      <c r="G79" s="919"/>
      <c r="H79" s="919"/>
      <c r="I79" s="919"/>
      <c r="J79" s="919"/>
      <c r="K79" s="919"/>
      <c r="L79" s="919"/>
      <c r="M79" s="919"/>
      <c r="N79" s="919"/>
      <c r="O79" s="919"/>
      <c r="P79" s="919"/>
      <c r="Q79" s="919"/>
      <c r="R79" s="920"/>
    </row>
    <row r="80" spans="1:18" x14ac:dyDescent="0.2">
      <c r="A80" s="325"/>
      <c r="R80" s="318"/>
    </row>
    <row r="81" spans="1:18" x14ac:dyDescent="0.2">
      <c r="A81" s="325"/>
      <c r="R81" s="318"/>
    </row>
    <row r="82" spans="1:18" x14ac:dyDescent="0.2">
      <c r="A82" s="325"/>
      <c r="C82" s="25" t="s">
        <v>1227</v>
      </c>
      <c r="D82" s="921"/>
      <c r="E82" s="921"/>
      <c r="F82" s="921"/>
      <c r="G82" t="s">
        <v>1228</v>
      </c>
      <c r="H82" s="339"/>
      <c r="I82" s="919" t="s">
        <v>1229</v>
      </c>
      <c r="J82" s="919"/>
      <c r="K82" s="922"/>
      <c r="L82" s="922"/>
      <c r="M82" s="922"/>
      <c r="R82" s="318"/>
    </row>
    <row r="83" spans="1:18" x14ac:dyDescent="0.2">
      <c r="A83" s="325"/>
      <c r="R83" s="318"/>
    </row>
    <row r="84" spans="1:18" x14ac:dyDescent="0.2">
      <c r="A84" s="325"/>
      <c r="R84" s="318"/>
    </row>
    <row r="85" spans="1:18" x14ac:dyDescent="0.2">
      <c r="A85" s="325"/>
      <c r="F85" s="916"/>
      <c r="G85" s="916"/>
      <c r="H85" s="916"/>
      <c r="I85" s="916"/>
      <c r="J85" s="916"/>
      <c r="R85" s="318"/>
    </row>
    <row r="86" spans="1:18" x14ac:dyDescent="0.2">
      <c r="A86" s="325"/>
      <c r="F86" s="334" t="s">
        <v>1230</v>
      </c>
      <c r="R86" s="318"/>
    </row>
    <row r="87" spans="1:18" x14ac:dyDescent="0.2">
      <c r="A87" s="325"/>
      <c r="R87" s="318"/>
    </row>
    <row r="88" spans="1:18" x14ac:dyDescent="0.2">
      <c r="A88" s="325"/>
      <c r="F88" s="916" t="s">
        <v>1399</v>
      </c>
      <c r="G88" s="916"/>
      <c r="H88" s="916"/>
      <c r="I88" s="916"/>
      <c r="J88" s="916"/>
      <c r="R88" s="318"/>
    </row>
    <row r="89" spans="1:18" x14ac:dyDescent="0.2">
      <c r="A89" s="325"/>
      <c r="F89" s="334" t="s">
        <v>1231</v>
      </c>
      <c r="R89" s="318"/>
    </row>
    <row r="90" spans="1:18" x14ac:dyDescent="0.2">
      <c r="A90" s="325"/>
      <c r="R90" s="318"/>
    </row>
    <row r="91" spans="1:18" x14ac:dyDescent="0.2">
      <c r="A91" s="325"/>
      <c r="F91" s="916" t="s">
        <v>1184</v>
      </c>
      <c r="G91" s="916"/>
      <c r="H91" s="916"/>
      <c r="I91" s="916"/>
      <c r="J91" s="916"/>
      <c r="R91" s="318"/>
    </row>
    <row r="92" spans="1:18" x14ac:dyDescent="0.2">
      <c r="A92" s="325"/>
      <c r="F92" s="334" t="s">
        <v>1232</v>
      </c>
      <c r="R92" s="318"/>
    </row>
    <row r="93" spans="1:18" x14ac:dyDescent="0.2">
      <c r="A93" s="325"/>
      <c r="R93" s="318"/>
    </row>
    <row r="94" spans="1:18" x14ac:dyDescent="0.2">
      <c r="A94" s="325"/>
      <c r="G94" s="340" t="s">
        <v>1233</v>
      </c>
      <c r="R94" s="318"/>
    </row>
    <row r="95" spans="1:18" x14ac:dyDescent="0.2">
      <c r="A95" s="325"/>
      <c r="R95" s="318"/>
    </row>
    <row r="96" spans="1:18" x14ac:dyDescent="0.2">
      <c r="A96" s="325"/>
      <c r="H96" s="83" t="s">
        <v>1234</v>
      </c>
      <c r="R96" s="318"/>
    </row>
    <row r="97" spans="1:18" x14ac:dyDescent="0.2">
      <c r="A97" s="325"/>
      <c r="H97" s="83" t="s">
        <v>1235</v>
      </c>
      <c r="R97" s="318"/>
    </row>
    <row r="98" spans="1:18" x14ac:dyDescent="0.2">
      <c r="A98" s="325"/>
      <c r="R98" s="318"/>
    </row>
    <row r="99" spans="1:18" x14ac:dyDescent="0.2">
      <c r="A99" s="325"/>
      <c r="R99" s="318"/>
    </row>
    <row r="100" spans="1:18" x14ac:dyDescent="0.2">
      <c r="A100" s="325"/>
      <c r="R100" s="318"/>
    </row>
    <row r="101" spans="1:18" x14ac:dyDescent="0.2">
      <c r="A101" s="325"/>
      <c r="H101" s="341" t="s">
        <v>1236</v>
      </c>
      <c r="R101" s="318"/>
    </row>
    <row r="102" spans="1:18" x14ac:dyDescent="0.2">
      <c r="A102" s="325"/>
      <c r="R102" s="318"/>
    </row>
    <row r="103" spans="1:18" x14ac:dyDescent="0.2">
      <c r="A103" s="325"/>
      <c r="R103" s="318"/>
    </row>
    <row r="104" spans="1:18" x14ac:dyDescent="0.2">
      <c r="A104" s="325"/>
      <c r="R104" s="318"/>
    </row>
    <row r="105" spans="1:18" x14ac:dyDescent="0.2">
      <c r="A105" s="325"/>
      <c r="R105" s="318"/>
    </row>
    <row r="106" spans="1:18" x14ac:dyDescent="0.2">
      <c r="A106" s="325"/>
      <c r="R106" s="318"/>
    </row>
    <row r="107" spans="1:18" x14ac:dyDescent="0.2">
      <c r="A107" s="325"/>
      <c r="R107" s="318"/>
    </row>
    <row r="108" spans="1:18" x14ac:dyDescent="0.2">
      <c r="A108" s="325"/>
      <c r="F108" s="917" t="s">
        <v>1237</v>
      </c>
      <c r="G108" s="917"/>
      <c r="H108" s="917"/>
      <c r="I108" s="917"/>
      <c r="J108" s="917"/>
      <c r="K108" s="917"/>
      <c r="L108" s="917"/>
      <c r="R108" s="318"/>
    </row>
    <row r="109" spans="1:18" x14ac:dyDescent="0.2">
      <c r="A109" s="325"/>
      <c r="F109" s="917"/>
      <c r="G109" s="917"/>
      <c r="H109" s="917"/>
      <c r="I109" s="917"/>
      <c r="J109" s="917"/>
      <c r="K109" s="917"/>
      <c r="L109" s="917"/>
      <c r="R109" s="318"/>
    </row>
    <row r="110" spans="1:18" x14ac:dyDescent="0.2">
      <c r="A110" s="325"/>
      <c r="F110" s="908" t="s">
        <v>1238</v>
      </c>
      <c r="G110" s="908"/>
      <c r="H110" s="908"/>
      <c r="I110" s="909"/>
      <c r="J110" s="910"/>
      <c r="K110" s="910"/>
      <c r="L110" s="911"/>
      <c r="R110" s="318"/>
    </row>
    <row r="111" spans="1:18" x14ac:dyDescent="0.2">
      <c r="A111" s="325"/>
      <c r="F111" s="908" t="s">
        <v>1239</v>
      </c>
      <c r="G111" s="908"/>
      <c r="H111" s="908"/>
      <c r="I111" s="909"/>
      <c r="J111" s="910"/>
      <c r="K111" s="910"/>
      <c r="L111" s="911"/>
      <c r="R111" s="318"/>
    </row>
    <row r="112" spans="1:18" x14ac:dyDescent="0.2">
      <c r="A112" s="325"/>
      <c r="F112" s="908" t="s">
        <v>1240</v>
      </c>
      <c r="G112" s="908"/>
      <c r="H112" s="908"/>
      <c r="I112" s="909"/>
      <c r="J112" s="910"/>
      <c r="K112" s="910"/>
      <c r="L112" s="911"/>
      <c r="R112" s="318"/>
    </row>
    <row r="113" spans="1:25" x14ac:dyDescent="0.2">
      <c r="A113" s="325"/>
      <c r="R113" s="318"/>
    </row>
    <row r="114" spans="1:25" x14ac:dyDescent="0.2">
      <c r="A114" s="325"/>
      <c r="R114" s="318"/>
    </row>
    <row r="115" spans="1:25" x14ac:dyDescent="0.2">
      <c r="A115" s="325"/>
      <c r="R115" s="318"/>
    </row>
    <row r="116" spans="1:25" x14ac:dyDescent="0.2">
      <c r="A116" s="325"/>
      <c r="R116" s="318"/>
    </row>
    <row r="117" spans="1:25" x14ac:dyDescent="0.2">
      <c r="A117" s="325"/>
      <c r="R117" s="318"/>
    </row>
    <row r="118" spans="1:25" x14ac:dyDescent="0.2">
      <c r="A118" s="325"/>
      <c r="R118" s="318"/>
    </row>
    <row r="119" spans="1:25" x14ac:dyDescent="0.2">
      <c r="A119" s="325"/>
      <c r="R119" s="318"/>
    </row>
    <row r="120" spans="1:25" ht="13.5" thickBot="1" x14ac:dyDescent="0.25">
      <c r="A120" s="335"/>
      <c r="B120" s="336"/>
      <c r="C120" s="336"/>
      <c r="D120" s="336"/>
      <c r="E120" s="336"/>
      <c r="F120" s="336"/>
      <c r="G120" s="336"/>
      <c r="H120" s="336"/>
      <c r="I120" s="336"/>
      <c r="J120" s="336"/>
      <c r="K120" s="336"/>
      <c r="L120" s="336"/>
      <c r="M120" s="336"/>
      <c r="N120" s="336"/>
      <c r="O120" s="336"/>
      <c r="P120" s="336"/>
      <c r="Q120" s="336"/>
      <c r="R120" s="337"/>
    </row>
    <row r="121" spans="1:25" ht="13.5" thickBot="1" x14ac:dyDescent="0.25"/>
    <row r="122" spans="1:25" ht="16.5" thickBot="1" x14ac:dyDescent="0.3">
      <c r="A122" s="912" t="s">
        <v>1241</v>
      </c>
      <c r="B122" s="913"/>
      <c r="C122" s="913"/>
      <c r="D122" s="913"/>
      <c r="E122" s="913"/>
      <c r="F122" s="913"/>
      <c r="G122" s="913"/>
      <c r="H122" s="913"/>
      <c r="I122" s="913"/>
      <c r="J122" s="913"/>
      <c r="K122" s="913"/>
      <c r="L122" s="913"/>
      <c r="M122" s="913"/>
      <c r="N122" s="913"/>
      <c r="O122" s="913"/>
      <c r="P122" s="914" t="s">
        <v>1242</v>
      </c>
      <c r="Q122" s="914"/>
      <c r="R122" s="915"/>
    </row>
    <row r="123" spans="1:25" ht="13.5" thickBot="1" x14ac:dyDescent="0.25">
      <c r="A123" s="315"/>
      <c r="B123" s="316"/>
      <c r="C123" s="342" t="s">
        <v>1243</v>
      </c>
      <c r="D123" s="898"/>
      <c r="E123" s="899"/>
      <c r="F123" s="899"/>
      <c r="G123" s="899"/>
      <c r="H123" s="899"/>
      <c r="I123" s="900"/>
      <c r="J123" s="343"/>
      <c r="K123" s="344"/>
      <c r="L123" s="344"/>
      <c r="M123" s="901" t="s">
        <v>1244</v>
      </c>
      <c r="N123" s="901"/>
      <c r="O123" s="901"/>
      <c r="R123" s="318"/>
      <c r="T123" s="332"/>
      <c r="Y123" s="327">
        <v>1</v>
      </c>
    </row>
    <row r="124" spans="1:25" ht="13.5" thickBot="1" x14ac:dyDescent="0.25">
      <c r="A124" s="335"/>
      <c r="B124" s="336"/>
      <c r="C124" s="345" t="s">
        <v>1245</v>
      </c>
      <c r="D124" s="902" t="s">
        <v>1246</v>
      </c>
      <c r="E124" s="903"/>
      <c r="F124" s="903"/>
      <c r="G124" s="903"/>
      <c r="H124" s="903"/>
      <c r="I124" s="904"/>
      <c r="J124" s="346"/>
      <c r="K124" s="347"/>
      <c r="L124" s="347"/>
      <c r="M124" s="901" t="s">
        <v>1247</v>
      </c>
      <c r="N124" s="901"/>
      <c r="O124" s="901"/>
      <c r="R124" s="318"/>
      <c r="T124" s="332"/>
    </row>
    <row r="125" spans="1:25" x14ac:dyDescent="0.2">
      <c r="A125" s="325"/>
      <c r="R125" s="318"/>
    </row>
    <row r="126" spans="1:25" x14ac:dyDescent="0.2">
      <c r="A126" s="348" t="s">
        <v>1160</v>
      </c>
      <c r="B126" s="4" t="s">
        <v>1161</v>
      </c>
      <c r="R126" s="318"/>
    </row>
    <row r="127" spans="1:25" x14ac:dyDescent="0.2">
      <c r="A127" s="349"/>
      <c r="D127" s="25" t="s">
        <v>1248</v>
      </c>
      <c r="E127" s="894" t="s">
        <v>1163</v>
      </c>
      <c r="F127" s="894"/>
      <c r="G127" s="894"/>
      <c r="H127" s="894"/>
      <c r="I127" s="894"/>
      <c r="N127" s="25" t="s">
        <v>1194</v>
      </c>
      <c r="O127" s="905">
        <f>Info_Total_Bid</f>
        <v>2055185</v>
      </c>
      <c r="P127" s="906"/>
      <c r="Q127" s="906"/>
      <c r="R127" s="907"/>
    </row>
    <row r="128" spans="1:25" x14ac:dyDescent="0.2">
      <c r="A128" s="349"/>
      <c r="D128" s="25" t="s">
        <v>1249</v>
      </c>
      <c r="E128" s="894" t="s">
        <v>1184</v>
      </c>
      <c r="F128" s="894"/>
      <c r="G128" s="894"/>
      <c r="H128" s="894"/>
      <c r="I128" s="894"/>
      <c r="L128" s="350" t="s">
        <v>316</v>
      </c>
      <c r="M128" s="350"/>
      <c r="N128" s="350"/>
      <c r="O128" s="350"/>
      <c r="R128" s="318"/>
    </row>
    <row r="129" spans="1:25" x14ac:dyDescent="0.2">
      <c r="A129" s="349"/>
      <c r="D129" s="25" t="s">
        <v>1250</v>
      </c>
      <c r="E129" s="894" t="s">
        <v>1251</v>
      </c>
      <c r="F129" s="894"/>
      <c r="G129" s="894"/>
      <c r="H129" s="894"/>
      <c r="I129" s="894"/>
      <c r="L129" s="123"/>
      <c r="M129" s="351" t="s">
        <v>463</v>
      </c>
      <c r="R129" s="318"/>
    </row>
    <row r="130" spans="1:25" x14ac:dyDescent="0.2">
      <c r="A130" s="349"/>
      <c r="D130" s="25" t="s">
        <v>1252</v>
      </c>
      <c r="E130" s="894" t="s">
        <v>1253</v>
      </c>
      <c r="F130" s="894"/>
      <c r="G130" s="894"/>
      <c r="H130" s="894"/>
      <c r="I130" s="894"/>
      <c r="L130" s="123"/>
      <c r="M130" s="351" t="s">
        <v>1254</v>
      </c>
      <c r="R130" s="318"/>
      <c r="Y130" s="327">
        <v>2</v>
      </c>
    </row>
    <row r="131" spans="1:25" x14ac:dyDescent="0.2">
      <c r="A131" s="349"/>
      <c r="D131" s="25" t="s">
        <v>1255</v>
      </c>
      <c r="E131" s="894" t="s">
        <v>8</v>
      </c>
      <c r="F131" s="894"/>
      <c r="G131" s="894"/>
      <c r="H131" s="894"/>
      <c r="I131" s="894"/>
      <c r="J131" s="347"/>
      <c r="L131" s="123"/>
      <c r="M131" s="351" t="s">
        <v>1256</v>
      </c>
      <c r="R131" s="318"/>
    </row>
    <row r="132" spans="1:25" x14ac:dyDescent="0.2">
      <c r="A132" s="349"/>
      <c r="R132" s="318"/>
    </row>
    <row r="133" spans="1:25" x14ac:dyDescent="0.2">
      <c r="A133" s="348" t="s">
        <v>1178</v>
      </c>
      <c r="B133" s="4" t="s">
        <v>1257</v>
      </c>
      <c r="I133" s="895" t="s">
        <v>1258</v>
      </c>
      <c r="J133" s="896"/>
      <c r="K133" s="896"/>
      <c r="L133" s="896"/>
      <c r="M133" s="896"/>
      <c r="N133" s="896"/>
      <c r="O133" s="896"/>
      <c r="P133" s="896"/>
      <c r="Q133" s="896"/>
      <c r="R133" s="897"/>
    </row>
    <row r="134" spans="1:25" x14ac:dyDescent="0.2">
      <c r="A134" s="349"/>
      <c r="R134" s="318"/>
    </row>
    <row r="135" spans="1:25" x14ac:dyDescent="0.2">
      <c r="A135" s="348" t="s">
        <v>1190</v>
      </c>
      <c r="B135" s="4" t="s">
        <v>1259</v>
      </c>
      <c r="R135" s="318"/>
    </row>
    <row r="136" spans="1:25" x14ac:dyDescent="0.2">
      <c r="A136" s="349"/>
      <c r="R136" s="318"/>
    </row>
    <row r="137" spans="1:25" x14ac:dyDescent="0.2">
      <c r="A137" s="349"/>
      <c r="H137" s="334"/>
      <c r="P137" s="334"/>
      <c r="R137" s="318"/>
      <c r="T137" s="334"/>
      <c r="U137" s="334"/>
      <c r="V137" s="334"/>
    </row>
    <row r="138" spans="1:25" ht="24.75" customHeight="1" x14ac:dyDescent="0.2">
      <c r="A138" s="349"/>
      <c r="B138" s="877" t="s">
        <v>1261</v>
      </c>
      <c r="C138" s="877"/>
      <c r="D138" s="877"/>
      <c r="E138" s="877"/>
      <c r="F138" s="618" t="s">
        <v>1262</v>
      </c>
      <c r="G138" s="619" t="s">
        <v>1553</v>
      </c>
      <c r="H138" s="891" t="s">
        <v>1554</v>
      </c>
      <c r="I138" s="877"/>
      <c r="J138" s="877"/>
      <c r="K138" s="877" t="s">
        <v>1263</v>
      </c>
      <c r="L138" s="877"/>
      <c r="M138" s="893" t="s">
        <v>1555</v>
      </c>
      <c r="N138" s="893"/>
      <c r="O138" s="891" t="s">
        <v>1556</v>
      </c>
      <c r="P138" s="877"/>
      <c r="R138" s="318"/>
      <c r="T138" s="334"/>
      <c r="U138" s="334"/>
      <c r="V138" s="334"/>
    </row>
    <row r="139" spans="1:25" x14ac:dyDescent="0.2">
      <c r="A139" s="349"/>
      <c r="B139" s="892" t="s">
        <v>1571</v>
      </c>
      <c r="C139" s="892"/>
      <c r="D139" s="892"/>
      <c r="E139" s="892"/>
      <c r="F139" s="352">
        <v>5535</v>
      </c>
      <c r="G139" s="353">
        <v>1</v>
      </c>
      <c r="H139" s="886">
        <f>IF('MCAA RECAP'!$G$18=0,0,ROUND(('MCAA RECAP'!$G$18+'MCAA RECAP'!$F$52)*R139,0))</f>
        <v>0</v>
      </c>
      <c r="I139" s="886"/>
      <c r="J139" s="886"/>
      <c r="K139" s="887">
        <f>N42</f>
        <v>0</v>
      </c>
      <c r="L139" s="887"/>
      <c r="M139" s="888">
        <v>2.9700000000000001E-2</v>
      </c>
      <c r="N139" s="889"/>
      <c r="O139" s="878">
        <f>K139*M139</f>
        <v>0</v>
      </c>
      <c r="P139" s="879"/>
      <c r="R139" s="757">
        <f>('MCAA RECAP'!$D$27)/'MCAA RECAP'!$G$18</f>
        <v>0</v>
      </c>
    </row>
    <row r="140" spans="1:25" x14ac:dyDescent="0.2">
      <c r="A140" s="349"/>
      <c r="B140" s="865" t="s">
        <v>1396</v>
      </c>
      <c r="C140" s="865"/>
      <c r="D140" s="865"/>
      <c r="E140" s="865"/>
      <c r="F140" s="352">
        <v>5606</v>
      </c>
      <c r="G140" s="353">
        <v>0.25</v>
      </c>
      <c r="H140" s="886">
        <f>'MCAA RECAP'!F48*G140</f>
        <v>135.13</v>
      </c>
      <c r="I140" s="886"/>
      <c r="J140" s="886"/>
      <c r="K140" s="887">
        <f>N43</f>
        <v>9122.8979999999992</v>
      </c>
      <c r="L140" s="887"/>
      <c r="M140" s="888">
        <v>3.8999999999999998E-3</v>
      </c>
      <c r="N140" s="889"/>
      <c r="O140" s="878">
        <f t="shared" ref="O140:O141" si="0">K140*M140</f>
        <v>35.579302199999994</v>
      </c>
      <c r="P140" s="879"/>
      <c r="R140" s="756"/>
    </row>
    <row r="141" spans="1:25" x14ac:dyDescent="0.2">
      <c r="A141" s="349"/>
      <c r="B141" s="865" t="s">
        <v>1552</v>
      </c>
      <c r="C141" s="865"/>
      <c r="D141" s="865"/>
      <c r="E141" s="865"/>
      <c r="F141" s="352">
        <v>5537</v>
      </c>
      <c r="G141" s="353">
        <v>1</v>
      </c>
      <c r="H141" s="886">
        <f>IF(SUM('MCAA RECAP'!F18:G18)=0,0,ROUND(('MCAA RECAP'!$G$18+'MCAA RECAP'!$F$52)*R141,0)+SUM('MCAA RECAP'!F18,'MCAA RECAP'!F50))</f>
        <v>5607</v>
      </c>
      <c r="I141" s="886"/>
      <c r="J141" s="886"/>
      <c r="K141" s="887">
        <f>N44</f>
        <v>332646</v>
      </c>
      <c r="L141" s="887"/>
      <c r="M141" s="888">
        <v>2.24E-2</v>
      </c>
      <c r="N141" s="889"/>
      <c r="O141" s="878">
        <f t="shared" si="0"/>
        <v>7451.2704000000003</v>
      </c>
      <c r="P141" s="879"/>
      <c r="R141" s="758">
        <f>('MCAA RECAP'!$G$18-'MCAA RECAP'!$D$27)/'MCAA RECAP'!$G$18</f>
        <v>1</v>
      </c>
      <c r="S141" s="354"/>
    </row>
    <row r="142" spans="1:25" x14ac:dyDescent="0.2">
      <c r="A142" s="349"/>
      <c r="B142" s="865" t="s">
        <v>16</v>
      </c>
      <c r="C142" s="865"/>
      <c r="D142" s="865"/>
      <c r="E142" s="865"/>
      <c r="F142" s="352">
        <v>5183</v>
      </c>
      <c r="G142" s="353">
        <v>1</v>
      </c>
      <c r="H142" s="886">
        <f>SUM('MCAA RECAP'!E18,'MCAA RECAP'!F49)</f>
        <v>0</v>
      </c>
      <c r="I142" s="886"/>
      <c r="J142" s="886"/>
      <c r="K142" s="887">
        <f>N45</f>
        <v>0</v>
      </c>
      <c r="L142" s="887"/>
      <c r="M142" s="888">
        <v>1.32E-2</v>
      </c>
      <c r="N142" s="889"/>
      <c r="O142" s="878">
        <f t="shared" ref="O142" si="1">K142*M142</f>
        <v>0</v>
      </c>
      <c r="P142" s="879"/>
      <c r="R142" s="318"/>
    </row>
    <row r="143" spans="1:25" x14ac:dyDescent="0.2">
      <c r="A143" s="349"/>
      <c r="B143" s="865"/>
      <c r="C143" s="865"/>
      <c r="D143" s="865"/>
      <c r="E143" s="865"/>
      <c r="F143" s="352"/>
      <c r="G143" s="353"/>
      <c r="H143" s="886"/>
      <c r="I143" s="886"/>
      <c r="J143" s="886"/>
      <c r="K143" s="890"/>
      <c r="L143" s="890"/>
      <c r="M143" s="888"/>
      <c r="N143" s="889"/>
      <c r="O143" s="878"/>
      <c r="P143" s="879"/>
      <c r="R143" s="318"/>
    </row>
    <row r="144" spans="1:25" x14ac:dyDescent="0.2">
      <c r="A144" s="349"/>
      <c r="B144" s="83"/>
      <c r="C144" s="83"/>
      <c r="D144" s="83"/>
      <c r="E144" s="83"/>
      <c r="F144" s="83"/>
      <c r="G144" s="632"/>
      <c r="H144" s="633" t="s">
        <v>1572</v>
      </c>
      <c r="I144" s="633"/>
      <c r="J144" s="633"/>
      <c r="K144" s="961">
        <f>SUM(K139:L143)</f>
        <v>341768.89799999999</v>
      </c>
      <c r="L144" s="961"/>
      <c r="M144" s="634"/>
      <c r="N144" s="634"/>
      <c r="O144" s="630"/>
      <c r="P144" s="631"/>
      <c r="R144" s="318"/>
    </row>
    <row r="145" spans="1:25" x14ac:dyDescent="0.2">
      <c r="A145" s="349"/>
      <c r="N145" s="25" t="s">
        <v>1264</v>
      </c>
      <c r="O145" s="878">
        <f>ROUND(SUM(O139:O143),2)</f>
        <v>7486.85</v>
      </c>
      <c r="P145" s="879"/>
      <c r="R145" s="318"/>
    </row>
    <row r="146" spans="1:25" ht="14.25" x14ac:dyDescent="0.2">
      <c r="A146" s="349"/>
      <c r="B146" s="159" t="s">
        <v>1265</v>
      </c>
      <c r="N146" s="25" t="s">
        <v>1266</v>
      </c>
      <c r="O146" s="880">
        <f>'Crew Mix'!Q11</f>
        <v>0.6</v>
      </c>
      <c r="P146" s="881"/>
      <c r="R146" s="318"/>
    </row>
    <row r="147" spans="1:25" ht="14.25" x14ac:dyDescent="0.2">
      <c r="A147" s="349"/>
      <c r="B147" s="159" t="s">
        <v>1267</v>
      </c>
      <c r="N147" s="355" t="s">
        <v>1268</v>
      </c>
      <c r="O147" s="878">
        <f>ROUND(SUM(O145*O146),2)</f>
        <v>4492.1099999999997</v>
      </c>
      <c r="P147" s="879"/>
      <c r="R147" s="318"/>
    </row>
    <row r="148" spans="1:25" ht="14.25" x14ac:dyDescent="0.2">
      <c r="A148" s="349"/>
      <c r="B148" s="159" t="s">
        <v>1269</v>
      </c>
      <c r="N148" s="25" t="s">
        <v>1270</v>
      </c>
      <c r="O148" s="882">
        <v>0.89</v>
      </c>
      <c r="P148" s="883"/>
      <c r="R148" s="318"/>
    </row>
    <row r="149" spans="1:25" ht="15" x14ac:dyDescent="0.25">
      <c r="A149" s="349"/>
      <c r="B149" s="159" t="s">
        <v>1573</v>
      </c>
      <c r="N149" s="25" t="s">
        <v>1271</v>
      </c>
      <c r="O149" s="878">
        <f>O147*O148</f>
        <v>3997.9778999999999</v>
      </c>
      <c r="P149" s="879"/>
      <c r="R149" s="318"/>
    </row>
    <row r="150" spans="1:25" ht="15.75" thickBot="1" x14ac:dyDescent="0.3">
      <c r="A150" s="349"/>
      <c r="B150" s="158"/>
      <c r="C150" s="4"/>
      <c r="D150" s="4"/>
      <c r="M150" s="25" t="s">
        <v>1272</v>
      </c>
      <c r="N150" s="726">
        <f>'Crew Mix'!W11-1</f>
        <v>-0.16900000000000004</v>
      </c>
      <c r="O150" s="884">
        <f>SUM(O149*N150)</f>
        <v>-675.65826510000011</v>
      </c>
      <c r="P150" s="885"/>
      <c r="R150" s="318"/>
    </row>
    <row r="151" spans="1:25" ht="13.5" thickBot="1" x14ac:dyDescent="0.25">
      <c r="A151" s="349"/>
      <c r="N151" s="250" t="s">
        <v>1273</v>
      </c>
      <c r="O151" s="874">
        <f>SUM(O149:O150)</f>
        <v>3322.3196349</v>
      </c>
      <c r="P151" s="875"/>
      <c r="R151" s="318"/>
    </row>
    <row r="152" spans="1:25" x14ac:dyDescent="0.2">
      <c r="A152" s="349"/>
      <c r="R152" s="318"/>
    </row>
    <row r="153" spans="1:25" x14ac:dyDescent="0.2">
      <c r="A153" s="348" t="s">
        <v>1199</v>
      </c>
      <c r="B153" s="4" t="s">
        <v>1274</v>
      </c>
      <c r="J153" t="s">
        <v>8</v>
      </c>
      <c r="R153" s="318"/>
    </row>
    <row r="154" spans="1:25" x14ac:dyDescent="0.2">
      <c r="A154" s="349"/>
      <c r="R154" s="318"/>
    </row>
    <row r="155" spans="1:25" x14ac:dyDescent="0.2">
      <c r="A155" s="348" t="s">
        <v>1206</v>
      </c>
      <c r="B155" s="4" t="s">
        <v>1259</v>
      </c>
      <c r="R155" s="318"/>
    </row>
    <row r="156" spans="1:25" x14ac:dyDescent="0.2">
      <c r="A156" s="349"/>
      <c r="R156" s="318"/>
    </row>
    <row r="157" spans="1:25" x14ac:dyDescent="0.2">
      <c r="A157" s="349"/>
      <c r="B157" s="334" t="s">
        <v>1275</v>
      </c>
      <c r="R157" s="318"/>
      <c r="Y157" s="327">
        <v>1</v>
      </c>
    </row>
    <row r="158" spans="1:25" x14ac:dyDescent="0.2">
      <c r="A158" s="349"/>
      <c r="R158" s="318"/>
    </row>
    <row r="159" spans="1:25" x14ac:dyDescent="0.2">
      <c r="A159" s="356"/>
      <c r="B159" s="876" t="s">
        <v>1261</v>
      </c>
      <c r="C159" s="876"/>
      <c r="D159" s="876"/>
      <c r="E159" s="876"/>
      <c r="F159" s="876"/>
      <c r="G159" s="334"/>
      <c r="H159" s="334"/>
      <c r="I159" s="876" t="s">
        <v>1276</v>
      </c>
      <c r="J159" s="876"/>
      <c r="K159" s="876"/>
      <c r="L159" s="876"/>
      <c r="M159" s="876" t="s">
        <v>39</v>
      </c>
      <c r="N159" s="876"/>
      <c r="P159" s="334"/>
      <c r="Q159" s="334"/>
      <c r="R159" s="357"/>
      <c r="S159" s="334"/>
      <c r="T159" s="334"/>
      <c r="U159" s="334"/>
      <c r="V159" s="334"/>
      <c r="W159" s="334"/>
    </row>
    <row r="160" spans="1:25" x14ac:dyDescent="0.2">
      <c r="A160" s="356"/>
      <c r="B160" s="877"/>
      <c r="C160" s="877"/>
      <c r="D160" s="877"/>
      <c r="E160" s="877"/>
      <c r="F160" s="877"/>
      <c r="G160" s="876" t="s">
        <v>1262</v>
      </c>
      <c r="H160" s="876"/>
      <c r="I160" s="876" t="s">
        <v>1277</v>
      </c>
      <c r="J160" s="876"/>
      <c r="K160" s="876"/>
      <c r="L160" s="876"/>
      <c r="M160" s="877" t="s">
        <v>1278</v>
      </c>
      <c r="N160" s="877"/>
      <c r="O160" s="877" t="s">
        <v>1260</v>
      </c>
      <c r="P160" s="877"/>
      <c r="Q160" s="334"/>
      <c r="R160" s="318"/>
      <c r="T160" s="334"/>
      <c r="U160" s="334"/>
      <c r="V160" s="334"/>
      <c r="W160" s="334"/>
    </row>
    <row r="161" spans="1:21" x14ac:dyDescent="0.2">
      <c r="A161" s="349"/>
      <c r="B161" s="865" t="s">
        <v>1279</v>
      </c>
      <c r="C161" s="865"/>
      <c r="D161" s="865"/>
      <c r="E161" s="865"/>
      <c r="F161" s="865"/>
      <c r="G161" s="865">
        <v>98884</v>
      </c>
      <c r="H161" s="865"/>
      <c r="I161" s="866">
        <f>K144</f>
        <v>341768.89799999999</v>
      </c>
      <c r="J161" s="866"/>
      <c r="K161" s="866"/>
      <c r="L161" s="866"/>
      <c r="M161" s="870">
        <v>3.59</v>
      </c>
      <c r="N161" s="871"/>
      <c r="O161" s="859">
        <f>SUM(M161*I161/1000)</f>
        <v>1226.9503438199999</v>
      </c>
      <c r="P161" s="859"/>
      <c r="Q161" s="358"/>
      <c r="R161" s="318"/>
      <c r="T161" s="359"/>
      <c r="U161" s="359"/>
    </row>
    <row r="162" spans="1:21" x14ac:dyDescent="0.2">
      <c r="A162" s="349"/>
      <c r="B162" s="865" t="s">
        <v>8</v>
      </c>
      <c r="C162" s="865"/>
      <c r="D162" s="865"/>
      <c r="E162" s="865"/>
      <c r="F162" s="865"/>
      <c r="G162" s="865"/>
      <c r="H162" s="865"/>
      <c r="I162" s="866"/>
      <c r="J162" s="866"/>
      <c r="K162" s="866"/>
      <c r="L162" s="866"/>
      <c r="M162" s="872" t="s">
        <v>8</v>
      </c>
      <c r="N162" s="873"/>
      <c r="O162" s="859"/>
      <c r="P162" s="859"/>
      <c r="Q162" s="358"/>
      <c r="R162" s="318"/>
      <c r="T162" s="359"/>
      <c r="U162" s="359"/>
    </row>
    <row r="163" spans="1:21" x14ac:dyDescent="0.2">
      <c r="A163" s="349"/>
      <c r="B163" s="865" t="s">
        <v>1280</v>
      </c>
      <c r="C163" s="865"/>
      <c r="D163" s="865"/>
      <c r="E163" s="865"/>
      <c r="F163" s="865"/>
      <c r="G163" s="865">
        <v>98884</v>
      </c>
      <c r="H163" s="865"/>
      <c r="I163" s="866">
        <f>K144</f>
        <v>341768.89799999999</v>
      </c>
      <c r="J163" s="866"/>
      <c r="K163" s="866"/>
      <c r="L163" s="866"/>
      <c r="M163" s="870">
        <v>8.59</v>
      </c>
      <c r="N163" s="871"/>
      <c r="O163" s="859">
        <f>SUM(M163*I163/1000)</f>
        <v>2935.7948338199999</v>
      </c>
      <c r="P163" s="859"/>
      <c r="Q163" s="358"/>
      <c r="R163" s="318"/>
      <c r="T163" s="359"/>
      <c r="U163" s="359"/>
    </row>
    <row r="164" spans="1:21" x14ac:dyDescent="0.2">
      <c r="A164" s="349"/>
      <c r="B164" s="865"/>
      <c r="C164" s="865"/>
      <c r="D164" s="865"/>
      <c r="E164" s="865"/>
      <c r="F164" s="865"/>
      <c r="G164" s="865"/>
      <c r="H164" s="865"/>
      <c r="I164" s="866"/>
      <c r="J164" s="866"/>
      <c r="K164" s="866"/>
      <c r="L164" s="866"/>
      <c r="M164" s="867"/>
      <c r="N164" s="868"/>
      <c r="O164" s="859"/>
      <c r="P164" s="859"/>
      <c r="Q164" s="358"/>
      <c r="R164" s="318"/>
      <c r="T164" s="359"/>
      <c r="U164" s="359"/>
    </row>
    <row r="165" spans="1:21" x14ac:dyDescent="0.2">
      <c r="A165" s="349"/>
      <c r="B165" s="865" t="s">
        <v>1281</v>
      </c>
      <c r="C165" s="865"/>
      <c r="D165" s="865"/>
      <c r="E165" s="865"/>
      <c r="F165" s="865"/>
      <c r="G165" s="865" t="s">
        <v>8</v>
      </c>
      <c r="H165" s="865"/>
      <c r="I165" s="866">
        <v>0</v>
      </c>
      <c r="J165" s="866"/>
      <c r="K165" s="866"/>
      <c r="L165" s="866"/>
      <c r="M165" s="867">
        <v>0</v>
      </c>
      <c r="N165" s="868"/>
      <c r="O165" s="859">
        <v>0</v>
      </c>
      <c r="P165" s="859"/>
      <c r="Q165" s="358"/>
      <c r="R165" s="318"/>
      <c r="T165" s="359"/>
      <c r="U165" s="359"/>
    </row>
    <row r="166" spans="1:21" x14ac:dyDescent="0.2">
      <c r="A166" s="349"/>
      <c r="B166" s="869" t="s">
        <v>1397</v>
      </c>
      <c r="C166" s="869"/>
      <c r="D166" s="869"/>
      <c r="E166" s="869"/>
      <c r="F166" s="869"/>
      <c r="G166" s="865"/>
      <c r="H166" s="865"/>
      <c r="I166" s="866"/>
      <c r="J166" s="866"/>
      <c r="K166" s="866"/>
      <c r="L166" s="866"/>
      <c r="M166" s="867"/>
      <c r="N166" s="868"/>
      <c r="O166" s="859"/>
      <c r="P166" s="859"/>
      <c r="Q166" s="358"/>
      <c r="R166" s="318"/>
      <c r="T166" s="359"/>
      <c r="U166" s="359"/>
    </row>
    <row r="167" spans="1:21" x14ac:dyDescent="0.2">
      <c r="A167" s="349"/>
      <c r="N167" s="360" t="s">
        <v>1282</v>
      </c>
      <c r="O167" s="859">
        <f>SUM(O161:O166)</f>
        <v>4162.7451776399994</v>
      </c>
      <c r="P167" s="859"/>
      <c r="R167" s="318"/>
      <c r="T167" s="359"/>
      <c r="U167" s="359"/>
    </row>
    <row r="168" spans="1:21" x14ac:dyDescent="0.2">
      <c r="A168" s="349"/>
      <c r="N168" s="361" t="s">
        <v>1283</v>
      </c>
      <c r="O168" s="859"/>
      <c r="P168" s="859"/>
      <c r="R168" s="318"/>
      <c r="T168" s="359"/>
      <c r="U168" s="359"/>
    </row>
    <row r="169" spans="1:21" x14ac:dyDescent="0.2">
      <c r="A169" s="349"/>
      <c r="N169" s="361" t="s">
        <v>1284</v>
      </c>
      <c r="O169" s="859">
        <f>SUM(O167:O168)</f>
        <v>4162.7451776399994</v>
      </c>
      <c r="P169" s="859"/>
      <c r="R169" s="318"/>
      <c r="T169" s="359"/>
      <c r="U169" s="359"/>
    </row>
    <row r="170" spans="1:21" x14ac:dyDescent="0.2">
      <c r="A170" s="349"/>
      <c r="R170" s="318"/>
    </row>
    <row r="171" spans="1:21" ht="13.5" thickBot="1" x14ac:dyDescent="0.25">
      <c r="A171" s="349"/>
      <c r="R171" s="318"/>
    </row>
    <row r="172" spans="1:21" ht="13.5" thickBot="1" x14ac:dyDescent="0.25">
      <c r="A172" s="349"/>
      <c r="N172" s="362" t="s">
        <v>1285</v>
      </c>
      <c r="O172" s="860">
        <f>SUM(O151+O169)</f>
        <v>7485.0648125399994</v>
      </c>
      <c r="P172" s="861"/>
      <c r="R172" s="318"/>
      <c r="T172" s="359"/>
      <c r="U172" s="359"/>
    </row>
    <row r="173" spans="1:21" ht="13.5" thickBot="1" x14ac:dyDescent="0.25">
      <c r="A173" s="349"/>
      <c r="R173" s="318"/>
    </row>
    <row r="174" spans="1:21" ht="15.75" thickBot="1" x14ac:dyDescent="0.25">
      <c r="A174" s="349"/>
      <c r="N174" s="250" t="s">
        <v>1286</v>
      </c>
      <c r="O174" s="860">
        <f>SUM(O172)</f>
        <v>7485.0648125399994</v>
      </c>
      <c r="P174" s="861"/>
      <c r="Q174" s="47" t="s">
        <v>1287</v>
      </c>
      <c r="R174" s="318"/>
      <c r="T174" s="359"/>
      <c r="U174" s="359"/>
    </row>
    <row r="175" spans="1:21" x14ac:dyDescent="0.2">
      <c r="A175" s="349"/>
      <c r="R175" s="318"/>
    </row>
    <row r="176" spans="1:21" x14ac:dyDescent="0.2">
      <c r="A176" s="862" t="s">
        <v>1288</v>
      </c>
      <c r="B176" s="863"/>
      <c r="C176" s="863"/>
      <c r="D176" s="863"/>
      <c r="E176" s="863"/>
      <c r="F176" s="863"/>
      <c r="G176" s="863"/>
      <c r="H176" s="863"/>
      <c r="I176" s="863"/>
      <c r="J176" s="863"/>
      <c r="K176" s="863"/>
      <c r="L176" s="863"/>
      <c r="M176" s="863"/>
      <c r="N176" s="863"/>
      <c r="O176" s="863"/>
      <c r="P176" s="863"/>
      <c r="Q176" s="863"/>
      <c r="R176" s="864"/>
    </row>
    <row r="177" spans="1:18" ht="13.5" thickBot="1" x14ac:dyDescent="0.25">
      <c r="A177" s="335"/>
      <c r="B177" s="336"/>
      <c r="C177" s="336"/>
      <c r="D177" s="336"/>
      <c r="E177" s="336"/>
      <c r="F177" s="336"/>
      <c r="G177" s="336"/>
      <c r="H177" s="336"/>
      <c r="I177" s="336"/>
      <c r="J177" s="336"/>
      <c r="K177" s="336"/>
      <c r="L177" s="336"/>
      <c r="M177" s="336"/>
      <c r="N177" s="336"/>
      <c r="O177" s="336"/>
      <c r="P177" s="336"/>
      <c r="Q177" s="336"/>
      <c r="R177" s="337"/>
    </row>
  </sheetData>
  <sheetProtection algorithmName="SHA-512" hashValue="uFabMHc2gL39/zDvozRsLz72ktIa3LEhpG9nibcmb+oOuQTZTbG9+tcf/DxgpPYJqaBEFXNal3f6O5wcvnAdIw==" saltValue="QWR50GwQtQOpNdNemhFP8A==" spinCount="100000" sheet="1" objects="1" scenarios="1" sort="0" autoFilter="0" pivotTables="0"/>
  <mergeCells count="186">
    <mergeCell ref="K144:L144"/>
    <mergeCell ref="A2:O2"/>
    <mergeCell ref="P2:Q3"/>
    <mergeCell ref="A3:O3"/>
    <mergeCell ref="A4:O4"/>
    <mergeCell ref="A5:O5"/>
    <mergeCell ref="A6:O6"/>
    <mergeCell ref="E14:I15"/>
    <mergeCell ref="N14:Q15"/>
    <mergeCell ref="E16:I17"/>
    <mergeCell ref="N16:Q17"/>
    <mergeCell ref="J21:M21"/>
    <mergeCell ref="N21:Q21"/>
    <mergeCell ref="A7:O7"/>
    <mergeCell ref="E8:I8"/>
    <mergeCell ref="M8:P8"/>
    <mergeCell ref="E10:I11"/>
    <mergeCell ref="N10:Q11"/>
    <mergeCell ref="E12:I13"/>
    <mergeCell ref="N12:Q13"/>
    <mergeCell ref="D27:G28"/>
    <mergeCell ref="H27:L28"/>
    <mergeCell ref="M27:Q28"/>
    <mergeCell ref="D29:G30"/>
    <mergeCell ref="H29:L30"/>
    <mergeCell ref="M29:Q30"/>
    <mergeCell ref="J22:M22"/>
    <mergeCell ref="N22:Q22"/>
    <mergeCell ref="D24:F24"/>
    <mergeCell ref="G24:L24"/>
    <mergeCell ref="M24:Q24"/>
    <mergeCell ref="D25:G26"/>
    <mergeCell ref="H25:L26"/>
    <mergeCell ref="M25:Q26"/>
    <mergeCell ref="B42:I42"/>
    <mergeCell ref="L42:M42"/>
    <mergeCell ref="N42:Q42"/>
    <mergeCell ref="B43:I43"/>
    <mergeCell ref="L43:M43"/>
    <mergeCell ref="N43:Q43"/>
    <mergeCell ref="D31:G31"/>
    <mergeCell ref="H31:L31"/>
    <mergeCell ref="M31:Q31"/>
    <mergeCell ref="E35:H35"/>
    <mergeCell ref="M35:Q35"/>
    <mergeCell ref="E36:H36"/>
    <mergeCell ref="M36:Q36"/>
    <mergeCell ref="B50:C50"/>
    <mergeCell ref="F50:J50"/>
    <mergeCell ref="B51:C51"/>
    <mergeCell ref="F51:J51"/>
    <mergeCell ref="L51:P51"/>
    <mergeCell ref="B57:F57"/>
    <mergeCell ref="G57:I57"/>
    <mergeCell ref="B44:I44"/>
    <mergeCell ref="L44:M44"/>
    <mergeCell ref="N44:Q44"/>
    <mergeCell ref="L45:M45"/>
    <mergeCell ref="N45:Q45"/>
    <mergeCell ref="L46:M46"/>
    <mergeCell ref="N46:Q46"/>
    <mergeCell ref="A63:O63"/>
    <mergeCell ref="P63:R63"/>
    <mergeCell ref="G67:L67"/>
    <mergeCell ref="G68:L68"/>
    <mergeCell ref="B58:F58"/>
    <mergeCell ref="G58:I58"/>
    <mergeCell ref="B59:F59"/>
    <mergeCell ref="G59:I59"/>
    <mergeCell ref="B60:F60"/>
    <mergeCell ref="G60:I60"/>
    <mergeCell ref="A77:R77"/>
    <mergeCell ref="A78:R78"/>
    <mergeCell ref="A79:R79"/>
    <mergeCell ref="D82:F82"/>
    <mergeCell ref="I82:J82"/>
    <mergeCell ref="K82:M82"/>
    <mergeCell ref="G69:L69"/>
    <mergeCell ref="A72:R72"/>
    <mergeCell ref="A73:R73"/>
    <mergeCell ref="A74:R74"/>
    <mergeCell ref="A75:R75"/>
    <mergeCell ref="A76:R76"/>
    <mergeCell ref="F111:H111"/>
    <mergeCell ref="I111:L111"/>
    <mergeCell ref="F112:H112"/>
    <mergeCell ref="I112:L112"/>
    <mergeCell ref="A122:O122"/>
    <mergeCell ref="P122:R122"/>
    <mergeCell ref="F85:J85"/>
    <mergeCell ref="F88:J88"/>
    <mergeCell ref="F91:J91"/>
    <mergeCell ref="F108:L109"/>
    <mergeCell ref="F110:H110"/>
    <mergeCell ref="I110:L110"/>
    <mergeCell ref="E128:I128"/>
    <mergeCell ref="E129:I129"/>
    <mergeCell ref="E130:I130"/>
    <mergeCell ref="E131:I131"/>
    <mergeCell ref="I133:R133"/>
    <mergeCell ref="D123:I123"/>
    <mergeCell ref="M123:O123"/>
    <mergeCell ref="D124:I124"/>
    <mergeCell ref="M124:O124"/>
    <mergeCell ref="E127:I127"/>
    <mergeCell ref="O127:R127"/>
    <mergeCell ref="B138:E138"/>
    <mergeCell ref="H138:J138"/>
    <mergeCell ref="K138:L138"/>
    <mergeCell ref="O138:P138"/>
    <mergeCell ref="B139:E139"/>
    <mergeCell ref="H139:J139"/>
    <mergeCell ref="K139:L139"/>
    <mergeCell ref="M139:N139"/>
    <mergeCell ref="O139:P139"/>
    <mergeCell ref="M138:N138"/>
    <mergeCell ref="B140:E140"/>
    <mergeCell ref="H140:J140"/>
    <mergeCell ref="K140:L140"/>
    <mergeCell ref="M140:N140"/>
    <mergeCell ref="O140:P140"/>
    <mergeCell ref="B141:E141"/>
    <mergeCell ref="H141:J141"/>
    <mergeCell ref="K141:L141"/>
    <mergeCell ref="M141:N141"/>
    <mergeCell ref="O141:P141"/>
    <mergeCell ref="B142:E142"/>
    <mergeCell ref="H142:J142"/>
    <mergeCell ref="K142:L142"/>
    <mergeCell ref="M142:N142"/>
    <mergeCell ref="O142:P142"/>
    <mergeCell ref="B143:E143"/>
    <mergeCell ref="H143:J143"/>
    <mergeCell ref="K143:L143"/>
    <mergeCell ref="M143:N143"/>
    <mergeCell ref="O143:P143"/>
    <mergeCell ref="O151:P151"/>
    <mergeCell ref="B159:F160"/>
    <mergeCell ref="I159:L159"/>
    <mergeCell ref="M159:N159"/>
    <mergeCell ref="G160:H160"/>
    <mergeCell ref="I160:L160"/>
    <mergeCell ref="M160:N160"/>
    <mergeCell ref="O160:P160"/>
    <mergeCell ref="O145:P145"/>
    <mergeCell ref="O146:P146"/>
    <mergeCell ref="O147:P147"/>
    <mergeCell ref="O148:P148"/>
    <mergeCell ref="O149:P149"/>
    <mergeCell ref="O150:P150"/>
    <mergeCell ref="B161:F161"/>
    <mergeCell ref="G161:H161"/>
    <mergeCell ref="I161:L161"/>
    <mergeCell ref="M161:N161"/>
    <mergeCell ref="O161:P161"/>
    <mergeCell ref="B162:F162"/>
    <mergeCell ref="G162:H162"/>
    <mergeCell ref="I162:L162"/>
    <mergeCell ref="M162:N162"/>
    <mergeCell ref="O162:P162"/>
    <mergeCell ref="B163:F163"/>
    <mergeCell ref="G163:H163"/>
    <mergeCell ref="I163:L163"/>
    <mergeCell ref="M163:N163"/>
    <mergeCell ref="O163:P163"/>
    <mergeCell ref="B164:F164"/>
    <mergeCell ref="G164:H164"/>
    <mergeCell ref="I164:L164"/>
    <mergeCell ref="M164:N164"/>
    <mergeCell ref="O164:P164"/>
    <mergeCell ref="O167:P167"/>
    <mergeCell ref="O168:P168"/>
    <mergeCell ref="O169:P169"/>
    <mergeCell ref="O172:P172"/>
    <mergeCell ref="O174:P174"/>
    <mergeCell ref="A176:R176"/>
    <mergeCell ref="B165:F165"/>
    <mergeCell ref="G165:H165"/>
    <mergeCell ref="I165:L165"/>
    <mergeCell ref="M165:N165"/>
    <mergeCell ref="O165:P165"/>
    <mergeCell ref="B166:F166"/>
    <mergeCell ref="G166:H166"/>
    <mergeCell ref="I166:L166"/>
    <mergeCell ref="M166:N166"/>
    <mergeCell ref="O166:P166"/>
  </mergeCells>
  <hyperlinks>
    <hyperlink ref="D31" r:id="rId1" xr:uid="{00000000-0004-0000-0900-000000000000}"/>
    <hyperlink ref="H31" r:id="rId2" display="pkramer@arcticsheetmetal.com" xr:uid="{00000000-0004-0000-0900-000001000000}"/>
    <hyperlink ref="G69" r:id="rId3" xr:uid="{00000000-0004-0000-0900-000002000000}"/>
  </hyperlinks>
  <printOptions horizontalCentered="1"/>
  <pageMargins left="0" right="0" top="0.17" bottom="0.25" header="7.0000000000000007E-2" footer="0"/>
  <pageSetup scale="93" fitToHeight="3" orientation="portrait" r:id="rId4"/>
  <headerFooter alignWithMargins="0">
    <oddFooter>&amp;L&amp;F&amp;CPage &amp;P of &amp;N&amp;RACS SOP Doc - EST-02</oddFooter>
  </headerFooter>
  <rowBreaks count="2" manualBreakCount="2">
    <brk id="61" max="17" man="1"/>
    <brk id="120" max="17" man="1"/>
  </rowBreaks>
  <drawing r:id="rId5"/>
  <legacyDrawing r:id="rId6"/>
  <mc:AlternateContent xmlns:mc="http://schemas.openxmlformats.org/markup-compatibility/2006">
    <mc:Choice Requires="x14">
      <controls>
        <mc:AlternateContent xmlns:mc="http://schemas.openxmlformats.org/markup-compatibility/2006">
          <mc:Choice Requires="x14">
            <control shapeId="21505" r:id="rId7" name="Option Button 1">
              <controlPr defaultSize="0" autoFill="0" autoLine="0" autoPict="0" macro="[0]!OptionButton4_Click">
                <anchor moveWithCells="1">
                  <from>
                    <xdr:col>15</xdr:col>
                    <xdr:colOff>95250</xdr:colOff>
                    <xdr:row>121</xdr:row>
                    <xdr:rowOff>180975</xdr:rowOff>
                  </from>
                  <to>
                    <xdr:col>16</xdr:col>
                    <xdr:colOff>76200</xdr:colOff>
                    <xdr:row>123</xdr:row>
                    <xdr:rowOff>19050</xdr:rowOff>
                  </to>
                </anchor>
              </controlPr>
            </control>
          </mc:Choice>
        </mc:AlternateContent>
        <mc:AlternateContent xmlns:mc="http://schemas.openxmlformats.org/markup-compatibility/2006">
          <mc:Choice Requires="x14">
            <control shapeId="21506" r:id="rId8" name="Option Button 2">
              <controlPr defaultSize="0" autoFill="0" autoLine="0" autoPict="0">
                <anchor moveWithCells="1">
                  <from>
                    <xdr:col>15</xdr:col>
                    <xdr:colOff>95250</xdr:colOff>
                    <xdr:row>122</xdr:row>
                    <xdr:rowOff>142875</xdr:rowOff>
                  </from>
                  <to>
                    <xdr:col>16</xdr:col>
                    <xdr:colOff>76200</xdr:colOff>
                    <xdr:row>124</xdr:row>
                    <xdr:rowOff>19050</xdr:rowOff>
                  </to>
                </anchor>
              </controlPr>
            </control>
          </mc:Choice>
        </mc:AlternateContent>
        <mc:AlternateContent xmlns:mc="http://schemas.openxmlformats.org/markup-compatibility/2006">
          <mc:Choice Requires="x14">
            <control shapeId="21507" r:id="rId9" name="Group Box 3">
              <controlPr defaultSize="0" autoFill="0" autoPict="0" altText="">
                <anchor moveWithCells="1">
                  <from>
                    <xdr:col>15</xdr:col>
                    <xdr:colOff>0</xdr:colOff>
                    <xdr:row>121</xdr:row>
                    <xdr:rowOff>0</xdr:rowOff>
                  </from>
                  <to>
                    <xdr:col>18</xdr:col>
                    <xdr:colOff>0</xdr:colOff>
                    <xdr:row>124</xdr:row>
                    <xdr:rowOff>38100</xdr:rowOff>
                  </to>
                </anchor>
              </controlPr>
            </control>
          </mc:Choice>
        </mc:AlternateContent>
        <mc:AlternateContent xmlns:mc="http://schemas.openxmlformats.org/markup-compatibility/2006">
          <mc:Choice Requires="x14">
            <control shapeId="21508" r:id="rId10" name="Group Box 4">
              <controlPr defaultSize="0" autoFill="0" autoPict="0">
                <anchor moveWithCells="1">
                  <from>
                    <xdr:col>11</xdr:col>
                    <xdr:colOff>295275</xdr:colOff>
                    <xdr:row>127</xdr:row>
                    <xdr:rowOff>152400</xdr:rowOff>
                  </from>
                  <to>
                    <xdr:col>12</xdr:col>
                    <xdr:colOff>57150</xdr:colOff>
                    <xdr:row>131</xdr:row>
                    <xdr:rowOff>28575</xdr:rowOff>
                  </to>
                </anchor>
              </controlPr>
            </control>
          </mc:Choice>
        </mc:AlternateContent>
        <mc:AlternateContent xmlns:mc="http://schemas.openxmlformats.org/markup-compatibility/2006">
          <mc:Choice Requires="x14">
            <control shapeId="21509" r:id="rId11" name="Option Button 5">
              <controlPr defaultSize="0" autoFill="0" autoLine="0" autoPict="0">
                <anchor moveWithCells="1">
                  <from>
                    <xdr:col>11</xdr:col>
                    <xdr:colOff>352425</xdr:colOff>
                    <xdr:row>127</xdr:row>
                    <xdr:rowOff>123825</xdr:rowOff>
                  </from>
                  <to>
                    <xdr:col>12</xdr:col>
                    <xdr:colOff>114300</xdr:colOff>
                    <xdr:row>129</xdr:row>
                    <xdr:rowOff>38100</xdr:rowOff>
                  </to>
                </anchor>
              </controlPr>
            </control>
          </mc:Choice>
        </mc:AlternateContent>
        <mc:AlternateContent xmlns:mc="http://schemas.openxmlformats.org/markup-compatibility/2006">
          <mc:Choice Requires="x14">
            <control shapeId="21510" r:id="rId12" name="Option Button 6">
              <controlPr defaultSize="0" autoFill="0" autoLine="0" autoPict="0">
                <anchor moveWithCells="1">
                  <from>
                    <xdr:col>11</xdr:col>
                    <xdr:colOff>352425</xdr:colOff>
                    <xdr:row>128</xdr:row>
                    <xdr:rowOff>114300</xdr:rowOff>
                  </from>
                  <to>
                    <xdr:col>12</xdr:col>
                    <xdr:colOff>114300</xdr:colOff>
                    <xdr:row>130</xdr:row>
                    <xdr:rowOff>28575</xdr:rowOff>
                  </to>
                </anchor>
              </controlPr>
            </control>
          </mc:Choice>
        </mc:AlternateContent>
        <mc:AlternateContent xmlns:mc="http://schemas.openxmlformats.org/markup-compatibility/2006">
          <mc:Choice Requires="x14">
            <control shapeId="21511" r:id="rId13" name="Option Button 7">
              <controlPr defaultSize="0" autoFill="0" autoLine="0" autoPict="0">
                <anchor moveWithCells="1">
                  <from>
                    <xdr:col>11</xdr:col>
                    <xdr:colOff>352425</xdr:colOff>
                    <xdr:row>129</xdr:row>
                    <xdr:rowOff>123825</xdr:rowOff>
                  </from>
                  <to>
                    <xdr:col>12</xdr:col>
                    <xdr:colOff>114300</xdr:colOff>
                    <xdr:row>131</xdr:row>
                    <xdr:rowOff>38100</xdr:rowOff>
                  </to>
                </anchor>
              </controlPr>
            </control>
          </mc:Choice>
        </mc:AlternateContent>
        <mc:AlternateContent xmlns:mc="http://schemas.openxmlformats.org/markup-compatibility/2006">
          <mc:Choice Requires="x14">
            <control shapeId="21512" r:id="rId14" name="Group Box 8">
              <controlPr defaultSize="0" autoFill="0" autoPict="0">
                <anchor moveWithCells="1">
                  <from>
                    <xdr:col>11</xdr:col>
                    <xdr:colOff>504825</xdr:colOff>
                    <xdr:row>155</xdr:row>
                    <xdr:rowOff>95250</xdr:rowOff>
                  </from>
                  <to>
                    <xdr:col>14</xdr:col>
                    <xdr:colOff>171450</xdr:colOff>
                    <xdr:row>157</xdr:row>
                    <xdr:rowOff>114300</xdr:rowOff>
                  </to>
                </anchor>
              </controlPr>
            </control>
          </mc:Choice>
        </mc:AlternateContent>
        <mc:AlternateContent xmlns:mc="http://schemas.openxmlformats.org/markup-compatibility/2006">
          <mc:Choice Requires="x14">
            <control shapeId="21513" r:id="rId15" name="Option Button 9">
              <controlPr defaultSize="0" autoFill="0" autoLine="0" autoPict="0">
                <anchor moveWithCells="1">
                  <from>
                    <xdr:col>11</xdr:col>
                    <xdr:colOff>533400</xdr:colOff>
                    <xdr:row>155</xdr:row>
                    <xdr:rowOff>104775</xdr:rowOff>
                  </from>
                  <to>
                    <xdr:col>13</xdr:col>
                    <xdr:colOff>104775</xdr:colOff>
                    <xdr:row>157</xdr:row>
                    <xdr:rowOff>104775</xdr:rowOff>
                  </to>
                </anchor>
              </controlPr>
            </control>
          </mc:Choice>
        </mc:AlternateContent>
        <mc:AlternateContent xmlns:mc="http://schemas.openxmlformats.org/markup-compatibility/2006">
          <mc:Choice Requires="x14">
            <control shapeId="21514" r:id="rId16" name="Option Button 10">
              <controlPr defaultSize="0" autoFill="0" autoLine="0" autoPict="0">
                <anchor moveWithCells="1">
                  <from>
                    <xdr:col>13</xdr:col>
                    <xdr:colOff>200025</xdr:colOff>
                    <xdr:row>155</xdr:row>
                    <xdr:rowOff>104775</xdr:rowOff>
                  </from>
                  <to>
                    <xdr:col>14</xdr:col>
                    <xdr:colOff>142875</xdr:colOff>
                    <xdr:row>157</xdr:row>
                    <xdr:rowOff>104775</xdr:rowOff>
                  </to>
                </anchor>
              </controlPr>
            </control>
          </mc:Choice>
        </mc:AlternateContent>
        <mc:AlternateContent xmlns:mc="http://schemas.openxmlformats.org/markup-compatibility/2006">
          <mc:Choice Requires="x14">
            <control shapeId="21515" r:id="rId17" name="Group Box 11">
              <controlPr defaultSize="0" autoFill="0" autoPict="0">
                <anchor moveWithCells="1">
                  <from>
                    <xdr:col>5</xdr:col>
                    <xdr:colOff>514350</xdr:colOff>
                    <xdr:row>53</xdr:row>
                    <xdr:rowOff>85725</xdr:rowOff>
                  </from>
                  <to>
                    <xdr:col>7</xdr:col>
                    <xdr:colOff>304800</xdr:colOff>
                    <xdr:row>55</xdr:row>
                    <xdr:rowOff>76200</xdr:rowOff>
                  </to>
                </anchor>
              </controlPr>
            </control>
          </mc:Choice>
        </mc:AlternateContent>
        <mc:AlternateContent xmlns:mc="http://schemas.openxmlformats.org/markup-compatibility/2006">
          <mc:Choice Requires="x14">
            <control shapeId="21516" r:id="rId18" name="Option Button 12">
              <controlPr defaultSize="0" autoFill="0" autoLine="0" autoPict="0">
                <anchor moveWithCells="1">
                  <from>
                    <xdr:col>5</xdr:col>
                    <xdr:colOff>552450</xdr:colOff>
                    <xdr:row>53</xdr:row>
                    <xdr:rowOff>123825</xdr:rowOff>
                  </from>
                  <to>
                    <xdr:col>6</xdr:col>
                    <xdr:colOff>342900</xdr:colOff>
                    <xdr:row>55</xdr:row>
                    <xdr:rowOff>19050</xdr:rowOff>
                  </to>
                </anchor>
              </controlPr>
            </control>
          </mc:Choice>
        </mc:AlternateContent>
        <mc:AlternateContent xmlns:mc="http://schemas.openxmlformats.org/markup-compatibility/2006">
          <mc:Choice Requires="x14">
            <control shapeId="21517" r:id="rId19" name="Option Button 13">
              <controlPr defaultSize="0" autoFill="0" autoLine="0" autoPict="0">
                <anchor moveWithCells="1">
                  <from>
                    <xdr:col>6</xdr:col>
                    <xdr:colOff>266700</xdr:colOff>
                    <xdr:row>53</xdr:row>
                    <xdr:rowOff>123825</xdr:rowOff>
                  </from>
                  <to>
                    <xdr:col>7</xdr:col>
                    <xdr:colOff>257175</xdr:colOff>
                    <xdr:row>55</xdr:row>
                    <xdr:rowOff>19050</xdr:rowOff>
                  </to>
                </anchor>
              </controlPr>
            </control>
          </mc:Choice>
        </mc:AlternateContent>
        <mc:AlternateContent xmlns:mc="http://schemas.openxmlformats.org/markup-compatibility/2006">
          <mc:Choice Requires="x14">
            <control shapeId="21518" r:id="rId20" name="Group Box 14">
              <controlPr defaultSize="0" autoFill="0" autoPict="0">
                <anchor moveWithCells="1">
                  <from>
                    <xdr:col>4</xdr:col>
                    <xdr:colOff>0</xdr:colOff>
                    <xdr:row>17</xdr:row>
                    <xdr:rowOff>66675</xdr:rowOff>
                  </from>
                  <to>
                    <xdr:col>14</xdr:col>
                    <xdr:colOff>390525</xdr:colOff>
                    <xdr:row>19</xdr:row>
                    <xdr:rowOff>95250</xdr:rowOff>
                  </to>
                </anchor>
              </controlPr>
            </control>
          </mc:Choice>
        </mc:AlternateContent>
        <mc:AlternateContent xmlns:mc="http://schemas.openxmlformats.org/markup-compatibility/2006">
          <mc:Choice Requires="x14">
            <control shapeId="21519" r:id="rId21" name="Option Button 15">
              <controlPr defaultSize="0" autoFill="0" autoLine="0" autoPict="0">
                <anchor moveWithCells="1">
                  <from>
                    <xdr:col>4</xdr:col>
                    <xdr:colOff>142875</xdr:colOff>
                    <xdr:row>17</xdr:row>
                    <xdr:rowOff>123825</xdr:rowOff>
                  </from>
                  <to>
                    <xdr:col>5</xdr:col>
                    <xdr:colOff>800100</xdr:colOff>
                    <xdr:row>19</xdr:row>
                    <xdr:rowOff>19050</xdr:rowOff>
                  </to>
                </anchor>
              </controlPr>
            </control>
          </mc:Choice>
        </mc:AlternateContent>
        <mc:AlternateContent xmlns:mc="http://schemas.openxmlformats.org/markup-compatibility/2006">
          <mc:Choice Requires="x14">
            <control shapeId="21520" r:id="rId22" name="Option Button 16">
              <controlPr defaultSize="0" autoFill="0" autoLine="0" autoPict="0">
                <anchor moveWithCells="1">
                  <from>
                    <xdr:col>6</xdr:col>
                    <xdr:colOff>142875</xdr:colOff>
                    <xdr:row>17</xdr:row>
                    <xdr:rowOff>123825</xdr:rowOff>
                  </from>
                  <to>
                    <xdr:col>9</xdr:col>
                    <xdr:colOff>19050</xdr:colOff>
                    <xdr:row>19</xdr:row>
                    <xdr:rowOff>19050</xdr:rowOff>
                  </to>
                </anchor>
              </controlPr>
            </control>
          </mc:Choice>
        </mc:AlternateContent>
        <mc:AlternateContent xmlns:mc="http://schemas.openxmlformats.org/markup-compatibility/2006">
          <mc:Choice Requires="x14">
            <control shapeId="21521" r:id="rId23" name="Option Button 17">
              <controlPr defaultSize="0" autoFill="0" autoLine="0" autoPict="0">
                <anchor moveWithCells="1">
                  <from>
                    <xdr:col>9</xdr:col>
                    <xdr:colOff>133350</xdr:colOff>
                    <xdr:row>17</xdr:row>
                    <xdr:rowOff>123825</xdr:rowOff>
                  </from>
                  <to>
                    <xdr:col>12</xdr:col>
                    <xdr:colOff>66675</xdr:colOff>
                    <xdr:row>19</xdr:row>
                    <xdr:rowOff>19050</xdr:rowOff>
                  </to>
                </anchor>
              </controlPr>
            </control>
          </mc:Choice>
        </mc:AlternateContent>
        <mc:AlternateContent xmlns:mc="http://schemas.openxmlformats.org/markup-compatibility/2006">
          <mc:Choice Requires="x14">
            <control shapeId="21522" r:id="rId24" name="Option Button 18">
              <controlPr defaultSize="0" autoFill="0" autoLine="0" autoPict="0">
                <anchor moveWithCells="1">
                  <from>
                    <xdr:col>13</xdr:col>
                    <xdr:colOff>28575</xdr:colOff>
                    <xdr:row>17</xdr:row>
                    <xdr:rowOff>123825</xdr:rowOff>
                  </from>
                  <to>
                    <xdr:col>14</xdr:col>
                    <xdr:colOff>428625</xdr:colOff>
                    <xdr:row>19</xdr:row>
                    <xdr:rowOff>19050</xdr:rowOff>
                  </to>
                </anchor>
              </controlPr>
            </control>
          </mc:Choice>
        </mc:AlternateContent>
        <mc:AlternateContent xmlns:mc="http://schemas.openxmlformats.org/markup-compatibility/2006">
          <mc:Choice Requires="x14">
            <control shapeId="21523" r:id="rId25" name="Group Box 19">
              <controlPr defaultSize="0" autoFill="0" autoPict="0">
                <anchor moveWithCells="1">
                  <from>
                    <xdr:col>0</xdr:col>
                    <xdr:colOff>200025</xdr:colOff>
                    <xdr:row>48</xdr:row>
                    <xdr:rowOff>9525</xdr:rowOff>
                  </from>
                  <to>
                    <xdr:col>15</xdr:col>
                    <xdr:colOff>57150</xdr:colOff>
                    <xdr:row>52</xdr:row>
                    <xdr:rowOff>0</xdr:rowOff>
                  </to>
                </anchor>
              </controlPr>
            </control>
          </mc:Choice>
        </mc:AlternateContent>
        <mc:AlternateContent xmlns:mc="http://schemas.openxmlformats.org/markup-compatibility/2006">
          <mc:Choice Requires="x14">
            <control shapeId="21524" r:id="rId26" name="Option Button 20">
              <controlPr defaultSize="0" autoFill="0" autoLine="0" autoPict="0">
                <anchor moveWithCells="1">
                  <from>
                    <xdr:col>3</xdr:col>
                    <xdr:colOff>0</xdr:colOff>
                    <xdr:row>48</xdr:row>
                    <xdr:rowOff>133350</xdr:rowOff>
                  </from>
                  <to>
                    <xdr:col>4</xdr:col>
                    <xdr:colOff>38100</xdr:colOff>
                    <xdr:row>50</xdr:row>
                    <xdr:rowOff>28575</xdr:rowOff>
                  </to>
                </anchor>
              </controlPr>
            </control>
          </mc:Choice>
        </mc:AlternateContent>
        <mc:AlternateContent xmlns:mc="http://schemas.openxmlformats.org/markup-compatibility/2006">
          <mc:Choice Requires="x14">
            <control shapeId="21525" r:id="rId27" name="Option Button 21">
              <controlPr defaultSize="0" autoFill="0" autoLine="0" autoPict="0">
                <anchor moveWithCells="1">
                  <from>
                    <xdr:col>3</xdr:col>
                    <xdr:colOff>0</xdr:colOff>
                    <xdr:row>49</xdr:row>
                    <xdr:rowOff>142875</xdr:rowOff>
                  </from>
                  <to>
                    <xdr:col>4</xdr:col>
                    <xdr:colOff>38100</xdr:colOff>
                    <xdr:row>51</xdr:row>
                    <xdr:rowOff>38100</xdr:rowOff>
                  </to>
                </anchor>
              </controlPr>
            </control>
          </mc:Choice>
        </mc:AlternateContent>
        <mc:AlternateContent xmlns:mc="http://schemas.openxmlformats.org/markup-compatibility/2006">
          <mc:Choice Requires="x14">
            <control shapeId="21526" r:id="rId28" name="Option Button 22">
              <controlPr defaultSize="0" autoFill="0" autoLine="0" autoPict="0">
                <anchor moveWithCells="1">
                  <from>
                    <xdr:col>10</xdr:col>
                    <xdr:colOff>0</xdr:colOff>
                    <xdr:row>48</xdr:row>
                    <xdr:rowOff>133350</xdr:rowOff>
                  </from>
                  <to>
                    <xdr:col>10</xdr:col>
                    <xdr:colOff>304800</xdr:colOff>
                    <xdr:row>50</xdr:row>
                    <xdr:rowOff>28575</xdr:rowOff>
                  </to>
                </anchor>
              </controlPr>
            </control>
          </mc:Choice>
        </mc:AlternateContent>
        <mc:AlternateContent xmlns:mc="http://schemas.openxmlformats.org/markup-compatibility/2006">
          <mc:Choice Requires="x14">
            <control shapeId="21527" r:id="rId29" name="Option Button 23">
              <controlPr defaultSize="0" autoFill="0" autoLine="0" autoPict="0">
                <anchor moveWithCells="1">
                  <from>
                    <xdr:col>10</xdr:col>
                    <xdr:colOff>0</xdr:colOff>
                    <xdr:row>49</xdr:row>
                    <xdr:rowOff>133350</xdr:rowOff>
                  </from>
                  <to>
                    <xdr:col>10</xdr:col>
                    <xdr:colOff>304800</xdr:colOff>
                    <xdr:row>51</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H19"/>
  <sheetViews>
    <sheetView workbookViewId="0">
      <selection activeCell="C10" sqref="C10"/>
    </sheetView>
  </sheetViews>
  <sheetFormatPr defaultColWidth="9.140625" defaultRowHeight="12.75" x14ac:dyDescent="0.2"/>
  <cols>
    <col min="1" max="1" width="22.5703125" style="97" bestFit="1" customWidth="1"/>
    <col min="2" max="2" width="10" style="97" customWidth="1"/>
    <col min="3" max="3" width="15.5703125" style="97" customWidth="1"/>
    <col min="4" max="4" width="7.42578125" style="97" bestFit="1" customWidth="1"/>
    <col min="5" max="5" width="15.7109375" style="97" bestFit="1" customWidth="1"/>
    <col min="6" max="7" width="9.140625" style="97"/>
    <col min="8" max="8" width="12.28515625" style="97" bestFit="1" customWidth="1"/>
    <col min="9" max="16384" width="9.140625" style="97"/>
  </cols>
  <sheetData>
    <row r="1" spans="1:5" ht="15.75" x14ac:dyDescent="0.25">
      <c r="A1" s="858" t="s">
        <v>105</v>
      </c>
      <c r="B1" s="858"/>
      <c r="C1" s="858"/>
      <c r="D1" s="858"/>
      <c r="E1" s="858"/>
    </row>
    <row r="2" spans="1:5" ht="15.75" x14ac:dyDescent="0.25">
      <c r="A2" s="67"/>
      <c r="B2" s="68" t="s">
        <v>106</v>
      </c>
      <c r="C2" s="69">
        <f>SUM('MCAA RECAP'!H63,'MCAA RECAP'!H64,'MCAA RECAP'!H65,'MCAA RECAP'!H67)</f>
        <v>2043942.7216</v>
      </c>
      <c r="D2" s="70"/>
      <c r="E2" s="71"/>
    </row>
    <row r="3" spans="1:5" x14ac:dyDescent="0.2">
      <c r="A3" s="72"/>
      <c r="B3" s="73" t="s">
        <v>107</v>
      </c>
      <c r="C3" s="74" t="s">
        <v>108</v>
      </c>
      <c r="D3" s="73"/>
      <c r="E3" s="75" t="s">
        <v>109</v>
      </c>
    </row>
    <row r="4" spans="1:5" x14ac:dyDescent="0.2">
      <c r="A4" s="68" t="s">
        <v>110</v>
      </c>
      <c r="B4" s="98">
        <v>500000</v>
      </c>
      <c r="C4" s="99">
        <v>14.4</v>
      </c>
      <c r="D4" s="76"/>
      <c r="E4" s="77">
        <f>ROUNDUP(IF($C$2&lt;=B4,$C$2/1000*C4,B4/1000*C4),0)</f>
        <v>7200</v>
      </c>
    </row>
    <row r="5" spans="1:5" x14ac:dyDescent="0.2">
      <c r="A5" s="68" t="s">
        <v>111</v>
      </c>
      <c r="B5" s="100">
        <v>2000000</v>
      </c>
      <c r="C5" s="101">
        <v>8.6999999999999993</v>
      </c>
      <c r="D5" s="78"/>
      <c r="E5" s="77">
        <f>ROUNDUP(IF($C$2&lt;=B4,0,IF($C$2&lt;=B5+B4,($C$2-B4)/1000*C5,(B5/1000*C5))),0)</f>
        <v>13433</v>
      </c>
    </row>
    <row r="6" spans="1:5" x14ac:dyDescent="0.2">
      <c r="A6" s="68" t="s">
        <v>111</v>
      </c>
      <c r="B6" s="100">
        <v>2500000</v>
      </c>
      <c r="C6" s="101">
        <v>6.9</v>
      </c>
      <c r="D6" s="78"/>
      <c r="E6" s="77">
        <f>ROUNDUP(IF($C$2&lt;=B5+B4,0,IF($C$2&lt;=B6+B5+B4,($C$2-B5-B4)/1000*C6,(B6/1000*C6))),0)</f>
        <v>0</v>
      </c>
    </row>
    <row r="7" spans="1:5" x14ac:dyDescent="0.2">
      <c r="A7" s="68" t="s">
        <v>111</v>
      </c>
      <c r="B7" s="100">
        <v>2500000</v>
      </c>
      <c r="C7" s="101">
        <v>6.3</v>
      </c>
      <c r="D7" s="78"/>
      <c r="E7" s="77">
        <f>ROUNDUP(IF($C$2&lt;=B6+B5+B4,0,IF($C$2&lt;=B7+B6+B5+B4,($C$2-B6-B5-B4)/1000*C7,(B7/1000*C7))),0)</f>
        <v>0</v>
      </c>
    </row>
    <row r="8" spans="1:5" ht="13.5" thickBot="1" x14ac:dyDescent="0.25">
      <c r="A8" s="68" t="s">
        <v>112</v>
      </c>
      <c r="B8" s="102">
        <v>7500000</v>
      </c>
      <c r="C8" s="103">
        <v>5.76</v>
      </c>
      <c r="D8" s="79"/>
      <c r="E8" s="77">
        <f>ROUNDUP(IF($C$2&lt;=B7+B6+B5+B4,0,($C$2-B7-B6-B5-B4)/1000*C8),0)</f>
        <v>0</v>
      </c>
    </row>
    <row r="9" spans="1:5" ht="13.5" thickBot="1" x14ac:dyDescent="0.25">
      <c r="A9" s="80" t="s">
        <v>113</v>
      </c>
      <c r="B9" s="78"/>
      <c r="C9" s="78"/>
      <c r="D9" s="78"/>
      <c r="E9" s="81">
        <f>SUM(E4:E8)</f>
        <v>20633</v>
      </c>
    </row>
    <row r="10" spans="1:5" x14ac:dyDescent="0.2">
      <c r="A10" s="80" t="s">
        <v>114</v>
      </c>
      <c r="B10" s="72"/>
      <c r="C10" s="104">
        <f>ROUNDUP(('Crew Mix'!I7-'Crew Mix'!I5)/30,0)</f>
        <v>13</v>
      </c>
      <c r="D10" s="80" t="s">
        <v>115</v>
      </c>
      <c r="E10" s="72"/>
    </row>
    <row r="18" spans="8:8" x14ac:dyDescent="0.2">
      <c r="H18" s="105"/>
    </row>
    <row r="19" spans="8:8" x14ac:dyDescent="0.2">
      <c r="H19" s="105"/>
    </row>
  </sheetData>
  <sheetProtection algorithmName="SHA-512" hashValue="VaUQnstuLWthTVsSMshEFCmm4vtQTE/HZiJIwFY5VLQXFAu88Hb/8+iLItKKyYPO8qNDWIV/tY8M4BCi5o7fXQ==" saltValue="vmJ0VAGGXRjog3Hfixztwg==" spinCount="100000" sheet="1" objects="1" scenarios="1" sort="0" autoFilter="0" pivotTables="0"/>
  <mergeCells count="1">
    <mergeCell ref="A1:E1"/>
  </mergeCells>
  <pageMargins left="0.7" right="0.7" top="0.75" bottom="0.75" header="0.3" footer="0.3"/>
  <pageSetup orientation="portrait" r:id="rId1"/>
  <headerFooter scaleWithDoc="0" alignWithMargins="0">
    <oddFooter>&amp;L&amp;D&amp;C&amp;F&amp;RPage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pageSetUpPr fitToPage="1"/>
  </sheetPr>
  <dimension ref="A3:L110"/>
  <sheetViews>
    <sheetView workbookViewId="0"/>
  </sheetViews>
  <sheetFormatPr defaultRowHeight="12.75" x14ac:dyDescent="0.2"/>
  <cols>
    <col min="1" max="1" width="40.42578125" bestFit="1" customWidth="1"/>
    <col min="2" max="5" width="19" style="25" customWidth="1"/>
    <col min="6" max="6" width="14.28515625" style="25" bestFit="1" customWidth="1"/>
    <col min="7" max="7" width="10.42578125" style="240" customWidth="1"/>
    <col min="8" max="8" width="16.7109375" style="25" customWidth="1"/>
    <col min="9" max="9" width="20.5703125" customWidth="1"/>
    <col min="10" max="12" width="17.85546875" customWidth="1"/>
  </cols>
  <sheetData>
    <row r="3" spans="1:12" x14ac:dyDescent="0.2">
      <c r="G3" s="25" t="s">
        <v>1067</v>
      </c>
      <c r="H3" s="246">
        <f>'MCAA RECAP'!H70</f>
        <v>2055185</v>
      </c>
    </row>
    <row r="4" spans="1:12" ht="22.5" x14ac:dyDescent="0.3">
      <c r="C4" s="229" t="s">
        <v>1053</v>
      </c>
      <c r="G4" s="230" t="s">
        <v>1068</v>
      </c>
      <c r="H4" s="247">
        <f>H3-(E40+E66+E92)</f>
        <v>775921.65999999992</v>
      </c>
    </row>
    <row r="5" spans="1:12" ht="23.25" thickBot="1" x14ac:dyDescent="0.35">
      <c r="A5" s="214" t="s">
        <v>17</v>
      </c>
      <c r="C5" s="609" t="s">
        <v>1540</v>
      </c>
    </row>
    <row r="6" spans="1:12" ht="32.25" customHeight="1" thickTop="1" thickBot="1" x14ac:dyDescent="0.25">
      <c r="I6" s="25"/>
      <c r="J6" s="997" t="s">
        <v>1312</v>
      </c>
      <c r="K6" s="998"/>
      <c r="L6" s="999"/>
    </row>
    <row r="7" spans="1:12" ht="69.75" thickBot="1" x14ac:dyDescent="0.35">
      <c r="A7" s="215" t="s">
        <v>0</v>
      </c>
      <c r="B7" s="231" t="s">
        <v>1050</v>
      </c>
      <c r="C7" s="231" t="s">
        <v>1051</v>
      </c>
      <c r="D7" s="232" t="s">
        <v>298</v>
      </c>
      <c r="E7" s="245" t="s">
        <v>1304</v>
      </c>
      <c r="F7" s="232" t="s">
        <v>1290</v>
      </c>
      <c r="G7" s="241" t="s">
        <v>1066</v>
      </c>
      <c r="H7" s="245" t="s">
        <v>1307</v>
      </c>
      <c r="I7" s="407" t="s">
        <v>1311</v>
      </c>
      <c r="J7" s="412" t="s">
        <v>1309</v>
      </c>
      <c r="K7" s="412" t="s">
        <v>1308</v>
      </c>
      <c r="L7" s="412" t="s">
        <v>1310</v>
      </c>
    </row>
    <row r="8" spans="1:12" x14ac:dyDescent="0.2">
      <c r="A8" s="216" t="str">
        <f>IF(TakeOff!$D$9="","",TakeOff!$D$9)</f>
        <v>CAE</v>
      </c>
      <c r="B8" s="233">
        <f>TakeOff!$K$36*CrewRate_SMShop_Straight</f>
        <v>0</v>
      </c>
      <c r="C8" s="233">
        <f>TakeOff!$H$36*CrewRate_SMField_Straight</f>
        <v>0</v>
      </c>
      <c r="D8" s="234">
        <f>TakeOff!$M$36</f>
        <v>0</v>
      </c>
      <c r="E8" s="234">
        <f>SUM(B8:D8)</f>
        <v>0</v>
      </c>
      <c r="F8" s="234">
        <f t="shared" ref="F8:F39" si="0">IF(OCIP_Req=1,OCIP_Deduct_Total*(C8/SUM($C$40,$C$66,$C$92)),0)</f>
        <v>0</v>
      </c>
      <c r="G8" s="242">
        <f t="shared" ref="G8:G27" si="1">IF(E8=0,0,E8/($E$40+$E$66+$E$92))</f>
        <v>0</v>
      </c>
      <c r="H8" s="234">
        <f t="shared" ref="H8:H27" si="2">G8*$H$4</f>
        <v>0</v>
      </c>
      <c r="I8" s="408">
        <f>E8+H8</f>
        <v>0</v>
      </c>
      <c r="J8" s="413">
        <f>$G8*'MCAA RECAP'!$J$130</f>
        <v>0</v>
      </c>
      <c r="K8" s="413">
        <f>$G8*SUM('MCAA RECAP'!$H$48:$H$52)</f>
        <v>0</v>
      </c>
      <c r="L8" s="413">
        <f>$G8*SUM('MCAA RECAP'!$J$45)</f>
        <v>0</v>
      </c>
    </row>
    <row r="9" spans="1:12" x14ac:dyDescent="0.2">
      <c r="A9" s="217" t="str">
        <f>IF(TakeOff!$D$40="","",TakeOff!$D$40)</f>
        <v>Package 1 Fan deck room</v>
      </c>
      <c r="B9" s="235">
        <f>TakeOff!$K$70*CrewRate_SMShop_Straight</f>
        <v>6390</v>
      </c>
      <c r="C9" s="235">
        <f>TakeOff!$H$70*CrewRate_SMField_Straight</f>
        <v>89047.799999999988</v>
      </c>
      <c r="D9" s="236">
        <f>TakeOff!$M$70</f>
        <v>699689</v>
      </c>
      <c r="E9" s="236">
        <f t="shared" ref="E9:E27" si="3">SUM(B9:D9)</f>
        <v>795126.8</v>
      </c>
      <c r="F9" s="236">
        <f t="shared" si="0"/>
        <v>0</v>
      </c>
      <c r="G9" s="243">
        <f t="shared" si="1"/>
        <v>0.62155052453859894</v>
      </c>
      <c r="H9" s="236">
        <f t="shared" si="2"/>
        <v>482274.51477386034</v>
      </c>
      <c r="I9" s="409">
        <f t="shared" ref="I9:I27" si="4">E9+H9</f>
        <v>1277401.3147738604</v>
      </c>
      <c r="J9" s="414">
        <f>$G9*'MCAA RECAP'!$J$130</f>
        <v>0</v>
      </c>
      <c r="K9" s="414">
        <f>$G9*SUM('MCAA RECAP'!$H$48:$H$52)</f>
        <v>87476.438057790598</v>
      </c>
      <c r="L9" s="414">
        <f>$G9*SUM('MCAA RECAP'!$J$45)</f>
        <v>0</v>
      </c>
    </row>
    <row r="10" spans="1:12" x14ac:dyDescent="0.2">
      <c r="A10" s="217" t="str">
        <f>IF(TakeOff!$D$74="","",TakeOff!$D$74)</f>
        <v>Package 1 Boiler room</v>
      </c>
      <c r="B10" s="235">
        <f>TakeOff!$K$101*CrewRate_SMShop_Straight</f>
        <v>852</v>
      </c>
      <c r="C10" s="235">
        <f>TakeOff!$H$101*CrewRate_SMField_Straight</f>
        <v>5255.28</v>
      </c>
      <c r="D10" s="236">
        <f>TakeOff!$M$101</f>
        <v>15400</v>
      </c>
      <c r="E10" s="236">
        <f t="shared" si="3"/>
        <v>21507.279999999999</v>
      </c>
      <c r="F10" s="236">
        <f t="shared" si="0"/>
        <v>0</v>
      </c>
      <c r="G10" s="243">
        <f t="shared" si="1"/>
        <v>1.6812238205778644E-2</v>
      </c>
      <c r="H10" s="236">
        <f t="shared" si="2"/>
        <v>13044.979776943186</v>
      </c>
      <c r="I10" s="409">
        <f t="shared" si="4"/>
        <v>34552.259776943189</v>
      </c>
      <c r="J10" s="414">
        <f>$G10*'MCAA RECAP'!$J$130</f>
        <v>0</v>
      </c>
      <c r="K10" s="414">
        <f>$G10*SUM('MCAA RECAP'!$H$48:$H$52)</f>
        <v>2366.1386419267446</v>
      </c>
      <c r="L10" s="414">
        <f>$G10*SUM('MCAA RECAP'!$J$45)</f>
        <v>0</v>
      </c>
    </row>
    <row r="11" spans="1:12" x14ac:dyDescent="0.2">
      <c r="A11" s="217" t="str">
        <f>IF(TakeOff!$D$105="","",TakeOff!$D$105)</f>
        <v xml:space="preserve">Package 1 ED Penthouse </v>
      </c>
      <c r="B11" s="235">
        <f>TakeOff!$K$134*CrewRate_SMShop_Straight</f>
        <v>45752.399999999994</v>
      </c>
      <c r="C11" s="235">
        <f>TakeOff!$H$134*CrewRate_SMField_Straight</f>
        <v>191185.13999999998</v>
      </c>
      <c r="D11" s="236">
        <f>TakeOff!$M$134</f>
        <v>35000</v>
      </c>
      <c r="E11" s="236">
        <f t="shared" si="3"/>
        <v>271937.53999999998</v>
      </c>
      <c r="F11" s="236">
        <f t="shared" si="0"/>
        <v>0</v>
      </c>
      <c r="G11" s="243">
        <f t="shared" si="1"/>
        <v>0.21257354252018193</v>
      </c>
      <c r="H11" s="236">
        <f t="shared" si="2"/>
        <v>164940.41598434013</v>
      </c>
      <c r="I11" s="409">
        <f t="shared" si="4"/>
        <v>436877.95598434011</v>
      </c>
      <c r="J11" s="414">
        <f>$G11*'MCAA RECAP'!$J$130</f>
        <v>0</v>
      </c>
      <c r="K11" s="414">
        <f>$G11*SUM('MCAA RECAP'!$H$48:$H$52)</f>
        <v>29917.401065336937</v>
      </c>
      <c r="L11" s="414">
        <f>$G11*SUM('MCAA RECAP'!$J$45)</f>
        <v>0</v>
      </c>
    </row>
    <row r="12" spans="1:12" x14ac:dyDescent="0.2">
      <c r="A12" s="217" t="str">
        <f>IF(TakeOff!$D$138="","",TakeOff!$D$138)</f>
        <v>Pakcage 1 Small mech room penthouse</v>
      </c>
      <c r="B12" s="235">
        <f>TakeOff!$K$169*CrewRate_SMShop_Straight</f>
        <v>2875.5</v>
      </c>
      <c r="C12" s="235">
        <f>TakeOff!$H$169*CrewRate_SMField_Straight</f>
        <v>62868.719999999994</v>
      </c>
      <c r="D12" s="236">
        <f>TakeOff!$M$169</f>
        <v>22490</v>
      </c>
      <c r="E12" s="236">
        <f t="shared" si="3"/>
        <v>88234.22</v>
      </c>
      <c r="F12" s="236">
        <f t="shared" si="0"/>
        <v>0</v>
      </c>
      <c r="G12" s="243">
        <f t="shared" si="1"/>
        <v>6.8972679229594741E-2</v>
      </c>
      <c r="H12" s="236">
        <f t="shared" si="2"/>
        <v>53517.395762474669</v>
      </c>
      <c r="I12" s="409">
        <f t="shared" si="4"/>
        <v>141751.61576247466</v>
      </c>
      <c r="J12" s="414">
        <f>$G12*'MCAA RECAP'!$J$130</f>
        <v>0</v>
      </c>
      <c r="K12" s="414">
        <f>$G12*SUM('MCAA RECAP'!$H$48:$H$52)</f>
        <v>9707.1502059891172</v>
      </c>
      <c r="L12" s="414">
        <f>$G12*SUM('MCAA RECAP'!$J$45)</f>
        <v>0</v>
      </c>
    </row>
    <row r="13" spans="1:12" x14ac:dyDescent="0.2">
      <c r="A13" s="217" t="str">
        <f>IF(TakeOff!$D$173="","",TakeOff!$D$173)</f>
        <v xml:space="preserve">Package 1 DOAS and temp ducting </v>
      </c>
      <c r="B13" s="235">
        <f>TakeOff!$K$200*CrewRate_SMShop_Straight</f>
        <v>532.5</v>
      </c>
      <c r="C13" s="235">
        <f>TakeOff!$H$200*CrewRate_SMField_Straight</f>
        <v>19464</v>
      </c>
      <c r="D13" s="236">
        <f>TakeOff!$M$200</f>
        <v>5500</v>
      </c>
      <c r="E13" s="236">
        <f t="shared" si="3"/>
        <v>25496.5</v>
      </c>
      <c r="F13" s="236">
        <f t="shared" si="0"/>
        <v>0</v>
      </c>
      <c r="G13" s="243">
        <f t="shared" si="1"/>
        <v>1.9930611003048049E-2</v>
      </c>
      <c r="H13" s="236">
        <f t="shared" si="2"/>
        <v>15464.592774299306</v>
      </c>
      <c r="I13" s="409">
        <f t="shared" si="4"/>
        <v>40961.092774299308</v>
      </c>
      <c r="J13" s="414">
        <f>$G13*'MCAA RECAP'!$J$130</f>
        <v>0</v>
      </c>
      <c r="K13" s="414">
        <f>$G13*SUM('MCAA RECAP'!$H$48:$H$52)</f>
        <v>2805.015505628106</v>
      </c>
      <c r="L13" s="414">
        <f>$G13*SUM('MCAA RECAP'!$J$45)</f>
        <v>0</v>
      </c>
    </row>
    <row r="14" spans="1:12" x14ac:dyDescent="0.2">
      <c r="A14" s="217" t="str">
        <f>IF(TakeOff!$D$204="","",TakeOff!$D$204)</f>
        <v>Package 1 piping   HI Steve!!!</v>
      </c>
      <c r="B14" s="235">
        <f>TakeOff!$K$231*CrewRate_SMShop_Straight</f>
        <v>0</v>
      </c>
      <c r="C14" s="235">
        <f>TakeOff!$H$231*CrewRate_SMField_Straight</f>
        <v>0</v>
      </c>
      <c r="D14" s="236">
        <f>TakeOff!$M$231</f>
        <v>0</v>
      </c>
      <c r="E14" s="236">
        <f t="shared" si="3"/>
        <v>0</v>
      </c>
      <c r="F14" s="236">
        <f t="shared" si="0"/>
        <v>0</v>
      </c>
      <c r="G14" s="243">
        <f t="shared" si="1"/>
        <v>0</v>
      </c>
      <c r="H14" s="236">
        <f t="shared" si="2"/>
        <v>0</v>
      </c>
      <c r="I14" s="409">
        <f t="shared" si="4"/>
        <v>0</v>
      </c>
      <c r="J14" s="414">
        <f>$G14*'MCAA RECAP'!$J$130</f>
        <v>0</v>
      </c>
      <c r="K14" s="414">
        <f>$G14*SUM('MCAA RECAP'!$H$48:$H$52)</f>
        <v>0</v>
      </c>
      <c r="L14" s="414">
        <f>$G14*SUM('MCAA RECAP'!$J$45)</f>
        <v>0</v>
      </c>
    </row>
    <row r="15" spans="1:12" x14ac:dyDescent="0.2">
      <c r="A15" s="217" t="str">
        <f>IF(TakeOff!$D$235="","",TakeOff!$D$235)</f>
        <v>Package 2 Piping</v>
      </c>
      <c r="B15" s="235">
        <f>TakeOff!$K$262*CrewRate_SMShop_Straight</f>
        <v>0</v>
      </c>
      <c r="C15" s="235">
        <f>TakeOff!$H$262*CrewRate_SMField_Straight</f>
        <v>0</v>
      </c>
      <c r="D15" s="236">
        <f>TakeOff!$M$262</f>
        <v>76961</v>
      </c>
      <c r="E15" s="236">
        <f t="shared" si="3"/>
        <v>76961</v>
      </c>
      <c r="F15" s="236">
        <f t="shared" si="0"/>
        <v>0</v>
      </c>
      <c r="G15" s="243">
        <f t="shared" si="1"/>
        <v>6.0160404502797679E-2</v>
      </c>
      <c r="H15" s="236">
        <f t="shared" si="2"/>
        <v>46679.760928082243</v>
      </c>
      <c r="I15" s="409">
        <f t="shared" si="4"/>
        <v>123640.76092808225</v>
      </c>
      <c r="J15" s="414">
        <f>$G15*'MCAA RECAP'!$J$130</f>
        <v>0</v>
      </c>
      <c r="K15" s="414">
        <f>$G15*SUM('MCAA RECAP'!$H$48:$H$52)</f>
        <v>8466.9189233284833</v>
      </c>
      <c r="L15" s="414">
        <f>$G15*SUM('MCAA RECAP'!$J$45)</f>
        <v>0</v>
      </c>
    </row>
    <row r="16" spans="1:12" x14ac:dyDescent="0.2">
      <c r="A16" s="217" t="str">
        <f>IF(TakeOff!$D$266="","",TakeOff!$D$266)</f>
        <v/>
      </c>
      <c r="B16" s="235">
        <f>TakeOff!$K$293*CrewRate_SMShop_Straight</f>
        <v>0</v>
      </c>
      <c r="C16" s="235">
        <f>TakeOff!$H$293*CrewRate_SMField_Straight</f>
        <v>0</v>
      </c>
      <c r="D16" s="236">
        <f>TakeOff!$M$293</f>
        <v>0</v>
      </c>
      <c r="E16" s="236">
        <f t="shared" si="3"/>
        <v>0</v>
      </c>
      <c r="F16" s="236">
        <f t="shared" si="0"/>
        <v>0</v>
      </c>
      <c r="G16" s="243">
        <f t="shared" si="1"/>
        <v>0</v>
      </c>
      <c r="H16" s="236">
        <f t="shared" si="2"/>
        <v>0</v>
      </c>
      <c r="I16" s="409">
        <f t="shared" si="4"/>
        <v>0</v>
      </c>
      <c r="J16" s="414">
        <f>$G16*'MCAA RECAP'!$J$130</f>
        <v>0</v>
      </c>
      <c r="K16" s="414">
        <f>$G16*SUM('MCAA RECAP'!$H$48:$H$52)</f>
        <v>0</v>
      </c>
      <c r="L16" s="414">
        <f>$G16*SUM('MCAA RECAP'!$J$45)</f>
        <v>0</v>
      </c>
    </row>
    <row r="17" spans="1:12" x14ac:dyDescent="0.2">
      <c r="A17" s="217" t="str">
        <f>IF(TakeOff!$D$297="","",TakeOff!$D$297)</f>
        <v/>
      </c>
      <c r="B17" s="235">
        <f>TakeOff!$K$324*CrewRate_SMShop_Straight</f>
        <v>0</v>
      </c>
      <c r="C17" s="235">
        <f>TakeOff!$H$324*CrewRate_SMField_Straight</f>
        <v>0</v>
      </c>
      <c r="D17" s="236">
        <f>TakeOff!$M$324</f>
        <v>0</v>
      </c>
      <c r="E17" s="236">
        <f t="shared" si="3"/>
        <v>0</v>
      </c>
      <c r="F17" s="236">
        <f t="shared" si="0"/>
        <v>0</v>
      </c>
      <c r="G17" s="243">
        <f t="shared" si="1"/>
        <v>0</v>
      </c>
      <c r="H17" s="236">
        <f t="shared" si="2"/>
        <v>0</v>
      </c>
      <c r="I17" s="409">
        <f t="shared" si="4"/>
        <v>0</v>
      </c>
      <c r="J17" s="414">
        <f>$G17*'MCAA RECAP'!$J$130</f>
        <v>0</v>
      </c>
      <c r="K17" s="414">
        <f>$G17*SUM('MCAA RECAP'!$H$48:$H$52)</f>
        <v>0</v>
      </c>
      <c r="L17" s="414">
        <f>$G17*SUM('MCAA RECAP'!$J$45)</f>
        <v>0</v>
      </c>
    </row>
    <row r="18" spans="1:12" x14ac:dyDescent="0.2">
      <c r="A18" s="217" t="str">
        <f>IF(TakeOff!$D$328="","",TakeOff!$D$328)</f>
        <v/>
      </c>
      <c r="B18" s="235">
        <f>TakeOff!$K$355*CrewRate_SMShop_Straight</f>
        <v>0</v>
      </c>
      <c r="C18" s="235">
        <f>TakeOff!$H$355*CrewRate_SMField_Straight</f>
        <v>0</v>
      </c>
      <c r="D18" s="236">
        <f>TakeOff!$M$355</f>
        <v>0</v>
      </c>
      <c r="E18" s="236">
        <f t="shared" si="3"/>
        <v>0</v>
      </c>
      <c r="F18" s="236">
        <f t="shared" si="0"/>
        <v>0</v>
      </c>
      <c r="G18" s="243">
        <f t="shared" si="1"/>
        <v>0</v>
      </c>
      <c r="H18" s="236">
        <f t="shared" si="2"/>
        <v>0</v>
      </c>
      <c r="I18" s="409">
        <f t="shared" si="4"/>
        <v>0</v>
      </c>
      <c r="J18" s="414">
        <f>$G18*'MCAA RECAP'!$J$130</f>
        <v>0</v>
      </c>
      <c r="K18" s="414">
        <f>$G18*SUM('MCAA RECAP'!$H$48:$H$52)</f>
        <v>0</v>
      </c>
      <c r="L18" s="414">
        <f>$G18*SUM('MCAA RECAP'!$J$45)</f>
        <v>0</v>
      </c>
    </row>
    <row r="19" spans="1:12" x14ac:dyDescent="0.2">
      <c r="A19" s="217" t="str">
        <f>IF(TakeOff!$D$359="","",TakeOff!$D$359)</f>
        <v/>
      </c>
      <c r="B19" s="235">
        <f>TakeOff!$K$386*CrewRate_SMShop_Straight</f>
        <v>0</v>
      </c>
      <c r="C19" s="235">
        <f>TakeOff!$H$386*CrewRate_SMField_Straight</f>
        <v>0</v>
      </c>
      <c r="D19" s="236">
        <f>TakeOff!$M$386</f>
        <v>0</v>
      </c>
      <c r="E19" s="236">
        <f t="shared" si="3"/>
        <v>0</v>
      </c>
      <c r="F19" s="236">
        <f t="shared" si="0"/>
        <v>0</v>
      </c>
      <c r="G19" s="243">
        <f t="shared" si="1"/>
        <v>0</v>
      </c>
      <c r="H19" s="236">
        <f t="shared" si="2"/>
        <v>0</v>
      </c>
      <c r="I19" s="409">
        <f t="shared" si="4"/>
        <v>0</v>
      </c>
      <c r="J19" s="414">
        <f>$G19*'MCAA RECAP'!$J$130</f>
        <v>0</v>
      </c>
      <c r="K19" s="414">
        <f>$G19*SUM('MCAA RECAP'!$H$48:$H$52)</f>
        <v>0</v>
      </c>
      <c r="L19" s="414">
        <f>$G19*SUM('MCAA RECAP'!$J$45)</f>
        <v>0</v>
      </c>
    </row>
    <row r="20" spans="1:12" x14ac:dyDescent="0.2">
      <c r="A20" s="217" t="str">
        <f>IF(TakeOff!$D$390="","",TakeOff!$D$390)</f>
        <v/>
      </c>
      <c r="B20" s="235">
        <f>TakeOff!$K$417*CrewRate_SMShop_Straight</f>
        <v>0</v>
      </c>
      <c r="C20" s="235">
        <f>TakeOff!$H$417*CrewRate_SMField_Straight</f>
        <v>0</v>
      </c>
      <c r="D20" s="236">
        <f>TakeOff!$M$417</f>
        <v>0</v>
      </c>
      <c r="E20" s="236">
        <f t="shared" si="3"/>
        <v>0</v>
      </c>
      <c r="F20" s="236">
        <f t="shared" si="0"/>
        <v>0</v>
      </c>
      <c r="G20" s="243">
        <f t="shared" si="1"/>
        <v>0</v>
      </c>
      <c r="H20" s="236">
        <f t="shared" si="2"/>
        <v>0</v>
      </c>
      <c r="I20" s="409">
        <f t="shared" si="4"/>
        <v>0</v>
      </c>
      <c r="J20" s="414">
        <f>$G20*'MCAA RECAP'!$J$130</f>
        <v>0</v>
      </c>
      <c r="K20" s="414">
        <f>$G20*SUM('MCAA RECAP'!$H$48:$H$52)</f>
        <v>0</v>
      </c>
      <c r="L20" s="414">
        <f>$G20*SUM('MCAA RECAP'!$J$45)</f>
        <v>0</v>
      </c>
    </row>
    <row r="21" spans="1:12" x14ac:dyDescent="0.2">
      <c r="A21" s="217" t="str">
        <f>IF(TakeOff!$D$421="","",TakeOff!$D$421)</f>
        <v/>
      </c>
      <c r="B21" s="235">
        <f>TakeOff!$K$448*CrewRate_SMShop_Straight</f>
        <v>0</v>
      </c>
      <c r="C21" s="235">
        <f>TakeOff!$H$448*CrewRate_SMField_Straight</f>
        <v>0</v>
      </c>
      <c r="D21" s="236">
        <f>TakeOff!$M$448</f>
        <v>0</v>
      </c>
      <c r="E21" s="236">
        <f t="shared" si="3"/>
        <v>0</v>
      </c>
      <c r="F21" s="236">
        <f t="shared" si="0"/>
        <v>0</v>
      </c>
      <c r="G21" s="243">
        <f t="shared" si="1"/>
        <v>0</v>
      </c>
      <c r="H21" s="236">
        <f t="shared" si="2"/>
        <v>0</v>
      </c>
      <c r="I21" s="409">
        <f t="shared" si="4"/>
        <v>0</v>
      </c>
      <c r="J21" s="414">
        <f>$G21*'MCAA RECAP'!$J$130</f>
        <v>0</v>
      </c>
      <c r="K21" s="414">
        <f>$G21*SUM('MCAA RECAP'!$H$48:$H$52)</f>
        <v>0</v>
      </c>
      <c r="L21" s="414">
        <f>$G21*SUM('MCAA RECAP'!$J$45)</f>
        <v>0</v>
      </c>
    </row>
    <row r="22" spans="1:12" x14ac:dyDescent="0.2">
      <c r="A22" s="217" t="str">
        <f>IF(TakeOff!$D$452="","",TakeOff!$D$452)</f>
        <v/>
      </c>
      <c r="B22" s="235">
        <f>TakeOff!$K$479*CrewRate_SMShop_Straight</f>
        <v>0</v>
      </c>
      <c r="C22" s="235">
        <f>TakeOff!$H$479*CrewRate_SMField_Straight</f>
        <v>0</v>
      </c>
      <c r="D22" s="236">
        <f>TakeOff!$M$479</f>
        <v>0</v>
      </c>
      <c r="E22" s="236">
        <f t="shared" si="3"/>
        <v>0</v>
      </c>
      <c r="F22" s="236">
        <f t="shared" si="0"/>
        <v>0</v>
      </c>
      <c r="G22" s="243">
        <f t="shared" si="1"/>
        <v>0</v>
      </c>
      <c r="H22" s="236">
        <f t="shared" si="2"/>
        <v>0</v>
      </c>
      <c r="I22" s="409">
        <f t="shared" si="4"/>
        <v>0</v>
      </c>
      <c r="J22" s="414">
        <f>$G22*'MCAA RECAP'!$J$130</f>
        <v>0</v>
      </c>
      <c r="K22" s="414">
        <f>$G22*SUM('MCAA RECAP'!$H$48:$H$52)</f>
        <v>0</v>
      </c>
      <c r="L22" s="414">
        <f>$G22*SUM('MCAA RECAP'!$J$45)</f>
        <v>0</v>
      </c>
    </row>
    <row r="23" spans="1:12" x14ac:dyDescent="0.2">
      <c r="A23" s="217" t="str">
        <f>IF(TakeOff!$D$483="","",TakeOff!$D$483)</f>
        <v/>
      </c>
      <c r="B23" s="235">
        <f>TakeOff!$K$510*CrewRate_SMShop_Straight</f>
        <v>0</v>
      </c>
      <c r="C23" s="235">
        <f>TakeOff!$H$510*CrewRate_SMField_Straight</f>
        <v>0</v>
      </c>
      <c r="D23" s="236">
        <f>TakeOff!$M$510</f>
        <v>0</v>
      </c>
      <c r="E23" s="236">
        <f t="shared" si="3"/>
        <v>0</v>
      </c>
      <c r="F23" s="236">
        <f t="shared" si="0"/>
        <v>0</v>
      </c>
      <c r="G23" s="243">
        <f t="shared" si="1"/>
        <v>0</v>
      </c>
      <c r="H23" s="236">
        <f t="shared" si="2"/>
        <v>0</v>
      </c>
      <c r="I23" s="409">
        <f t="shared" si="4"/>
        <v>0</v>
      </c>
      <c r="J23" s="414">
        <f>$G23*'MCAA RECAP'!$J$130</f>
        <v>0</v>
      </c>
      <c r="K23" s="414">
        <f>$G23*SUM('MCAA RECAP'!$H$48:$H$52)</f>
        <v>0</v>
      </c>
      <c r="L23" s="414">
        <f>$G23*SUM('MCAA RECAP'!$J$45)</f>
        <v>0</v>
      </c>
    </row>
    <row r="24" spans="1:12" x14ac:dyDescent="0.2">
      <c r="A24" s="217" t="str">
        <f>IF(TakeOff!$D$514="","",TakeOff!$D$514)</f>
        <v/>
      </c>
      <c r="B24" s="235">
        <f>TakeOff!$K$541*CrewRate_SMShop_Straight</f>
        <v>0</v>
      </c>
      <c r="C24" s="235">
        <f>TakeOff!$H$541*CrewRate_SMField_Straight</f>
        <v>0</v>
      </c>
      <c r="D24" s="236">
        <f>TakeOff!$M$541</f>
        <v>0</v>
      </c>
      <c r="E24" s="236">
        <f t="shared" si="3"/>
        <v>0</v>
      </c>
      <c r="F24" s="236">
        <f t="shared" si="0"/>
        <v>0</v>
      </c>
      <c r="G24" s="243">
        <f t="shared" si="1"/>
        <v>0</v>
      </c>
      <c r="H24" s="236">
        <f t="shared" si="2"/>
        <v>0</v>
      </c>
      <c r="I24" s="409">
        <f t="shared" si="4"/>
        <v>0</v>
      </c>
      <c r="J24" s="414">
        <f>$G24*'MCAA RECAP'!$J$130</f>
        <v>0</v>
      </c>
      <c r="K24" s="414">
        <f>$G24*SUM('MCAA RECAP'!$H$48:$H$52)</f>
        <v>0</v>
      </c>
      <c r="L24" s="414">
        <f>$G24*SUM('MCAA RECAP'!$J$45)</f>
        <v>0</v>
      </c>
    </row>
    <row r="25" spans="1:12" x14ac:dyDescent="0.2">
      <c r="A25" s="217" t="str">
        <f>IF(TakeOff!$D$545="","",TakeOff!$D$545)</f>
        <v/>
      </c>
      <c r="B25" s="235">
        <f>TakeOff!$K$572*CrewRate_SMShop_Straight</f>
        <v>0</v>
      </c>
      <c r="C25" s="235">
        <f>TakeOff!$H$572*CrewRate_SMField_Straight</f>
        <v>0</v>
      </c>
      <c r="D25" s="236">
        <f>TakeOff!$M$572</f>
        <v>0</v>
      </c>
      <c r="E25" s="236">
        <f t="shared" si="3"/>
        <v>0</v>
      </c>
      <c r="F25" s="236">
        <f t="shared" si="0"/>
        <v>0</v>
      </c>
      <c r="G25" s="243">
        <f t="shared" si="1"/>
        <v>0</v>
      </c>
      <c r="H25" s="236">
        <f t="shared" si="2"/>
        <v>0</v>
      </c>
      <c r="I25" s="409">
        <f t="shared" si="4"/>
        <v>0</v>
      </c>
      <c r="J25" s="414">
        <f>$G25*'MCAA RECAP'!$J$130</f>
        <v>0</v>
      </c>
      <c r="K25" s="414">
        <f>$G25*SUM('MCAA RECAP'!$H$48:$H$52)</f>
        <v>0</v>
      </c>
      <c r="L25" s="414">
        <f>$G25*SUM('MCAA RECAP'!$J$45)</f>
        <v>0</v>
      </c>
    </row>
    <row r="26" spans="1:12" x14ac:dyDescent="0.2">
      <c r="A26" s="217" t="str">
        <f>IF(TakeOff!$D$576="","",TakeOff!$D$576)</f>
        <v/>
      </c>
      <c r="B26" s="235">
        <f>TakeOff!$K$603*CrewRate_SMShop_Straight</f>
        <v>0</v>
      </c>
      <c r="C26" s="235">
        <f>TakeOff!$H$603*CrewRate_SMField_Straight</f>
        <v>0</v>
      </c>
      <c r="D26" s="236">
        <f>TakeOff!$M$603</f>
        <v>0</v>
      </c>
      <c r="E26" s="236">
        <f t="shared" si="3"/>
        <v>0</v>
      </c>
      <c r="F26" s="236">
        <f t="shared" si="0"/>
        <v>0</v>
      </c>
      <c r="G26" s="243">
        <f t="shared" si="1"/>
        <v>0</v>
      </c>
      <c r="H26" s="236">
        <f t="shared" si="2"/>
        <v>0</v>
      </c>
      <c r="I26" s="409">
        <f t="shared" si="4"/>
        <v>0</v>
      </c>
      <c r="J26" s="414">
        <f>$G26*'MCAA RECAP'!$J$130</f>
        <v>0</v>
      </c>
      <c r="K26" s="414">
        <f>$G26*SUM('MCAA RECAP'!$H$48:$H$52)</f>
        <v>0</v>
      </c>
      <c r="L26" s="414">
        <f>$G26*SUM('MCAA RECAP'!$J$45)</f>
        <v>0</v>
      </c>
    </row>
    <row r="27" spans="1:12" x14ac:dyDescent="0.2">
      <c r="A27" s="217" t="str">
        <f>IF(TakeOff!$D$607="","",TakeOff!$D$607)</f>
        <v/>
      </c>
      <c r="B27" s="235">
        <f>TakeOff!$K$634*CrewRate_SMShop_Straight</f>
        <v>0</v>
      </c>
      <c r="C27" s="235">
        <f>TakeOff!$H$634*CrewRate_SMField_Straight</f>
        <v>0</v>
      </c>
      <c r="D27" s="236">
        <f>TakeOff!$M$634</f>
        <v>0</v>
      </c>
      <c r="E27" s="236">
        <f t="shared" si="3"/>
        <v>0</v>
      </c>
      <c r="F27" s="236">
        <f t="shared" si="0"/>
        <v>0</v>
      </c>
      <c r="G27" s="243">
        <f t="shared" si="1"/>
        <v>0</v>
      </c>
      <c r="H27" s="236">
        <f t="shared" si="2"/>
        <v>0</v>
      </c>
      <c r="I27" s="409">
        <f t="shared" si="4"/>
        <v>0</v>
      </c>
      <c r="J27" s="414">
        <f>$G27*'MCAA RECAP'!$J$130</f>
        <v>0</v>
      </c>
      <c r="K27" s="414">
        <f>$G27*SUM('MCAA RECAP'!$H$48:$H$52)</f>
        <v>0</v>
      </c>
      <c r="L27" s="414">
        <f>$G27*SUM('MCAA RECAP'!$J$45)</f>
        <v>0</v>
      </c>
    </row>
    <row r="28" spans="1:12" x14ac:dyDescent="0.2">
      <c r="A28" s="217" t="str">
        <f>IF(TakeOff!$D$638="","",TakeOff!$D$638)</f>
        <v/>
      </c>
      <c r="B28" s="235">
        <f>TakeOff!$K$665*CrewRate_SMShop_Straight</f>
        <v>0</v>
      </c>
      <c r="C28" s="235">
        <f>TakeOff!$H$665*CrewRate_SMField_Straight</f>
        <v>0</v>
      </c>
      <c r="D28" s="236">
        <f>TakeOff!$M$665</f>
        <v>0</v>
      </c>
      <c r="E28" s="236">
        <f t="shared" ref="E28:E39" si="5">SUM(B28:D28)</f>
        <v>0</v>
      </c>
      <c r="F28" s="236">
        <f t="shared" si="0"/>
        <v>0</v>
      </c>
      <c r="G28" s="243">
        <f t="shared" ref="G28:G39" si="6">IF(E28=0,0,E28/($E$40+$E$66+$E$92))</f>
        <v>0</v>
      </c>
      <c r="H28" s="236">
        <f t="shared" ref="H28:H39" si="7">G28*$H$4</f>
        <v>0</v>
      </c>
      <c r="I28" s="409">
        <f t="shared" ref="I28:I39" si="8">E28+H28</f>
        <v>0</v>
      </c>
      <c r="J28" s="414">
        <f>$G28*'MCAA RECAP'!$J$130</f>
        <v>0</v>
      </c>
      <c r="K28" s="414">
        <f>$G28*SUM('MCAA RECAP'!$H$48:$H$52)</f>
        <v>0</v>
      </c>
      <c r="L28" s="414">
        <f>$G28*SUM('MCAA RECAP'!$J$45)</f>
        <v>0</v>
      </c>
    </row>
    <row r="29" spans="1:12" x14ac:dyDescent="0.2">
      <c r="A29" s="217" t="str">
        <f>IF(TakeOff!$D$669="","",TakeOff!$D$669)</f>
        <v/>
      </c>
      <c r="B29" s="235">
        <f>TakeOff!$K$696*CrewRate_SMShop_Straight</f>
        <v>0</v>
      </c>
      <c r="C29" s="235">
        <f>TakeOff!$H$696*CrewRate_SMField_Straight</f>
        <v>0</v>
      </c>
      <c r="D29" s="236">
        <f>TakeOff!$M$696</f>
        <v>0</v>
      </c>
      <c r="E29" s="236">
        <f t="shared" si="5"/>
        <v>0</v>
      </c>
      <c r="F29" s="236">
        <f t="shared" si="0"/>
        <v>0</v>
      </c>
      <c r="G29" s="243">
        <f t="shared" si="6"/>
        <v>0</v>
      </c>
      <c r="H29" s="236">
        <f t="shared" si="7"/>
        <v>0</v>
      </c>
      <c r="I29" s="409">
        <f t="shared" si="8"/>
        <v>0</v>
      </c>
      <c r="J29" s="414">
        <f>$G29*'MCAA RECAP'!$J$130</f>
        <v>0</v>
      </c>
      <c r="K29" s="414">
        <f>$G29*SUM('MCAA RECAP'!$H$48:$H$52)</f>
        <v>0</v>
      </c>
      <c r="L29" s="414">
        <f>$G29*SUM('MCAA RECAP'!$J$45)</f>
        <v>0</v>
      </c>
    </row>
    <row r="30" spans="1:12" x14ac:dyDescent="0.2">
      <c r="A30" s="217" t="str">
        <f>IF(TakeOff!$D$700="","",TakeOff!$D$700)</f>
        <v/>
      </c>
      <c r="B30" s="235">
        <f>TakeOff!$K$727*CrewRate_SMShop_Straight</f>
        <v>0</v>
      </c>
      <c r="C30" s="235">
        <f>TakeOff!$H$727*CrewRate_SMField_Straight</f>
        <v>0</v>
      </c>
      <c r="D30" s="236">
        <f>TakeOff!$M$727</f>
        <v>0</v>
      </c>
      <c r="E30" s="236">
        <f t="shared" si="5"/>
        <v>0</v>
      </c>
      <c r="F30" s="236">
        <f t="shared" si="0"/>
        <v>0</v>
      </c>
      <c r="G30" s="243">
        <f t="shared" si="6"/>
        <v>0</v>
      </c>
      <c r="H30" s="236">
        <f t="shared" si="7"/>
        <v>0</v>
      </c>
      <c r="I30" s="409">
        <f t="shared" si="8"/>
        <v>0</v>
      </c>
      <c r="J30" s="414">
        <f>$G30*'MCAA RECAP'!$J$130</f>
        <v>0</v>
      </c>
      <c r="K30" s="414">
        <f>$G30*SUM('MCAA RECAP'!$H$48:$H$52)</f>
        <v>0</v>
      </c>
      <c r="L30" s="414">
        <f>$G30*SUM('MCAA RECAP'!$J$45)</f>
        <v>0</v>
      </c>
    </row>
    <row r="31" spans="1:12" x14ac:dyDescent="0.2">
      <c r="A31" s="217" t="str">
        <f>IF(TakeOff!$D$731="","",TakeOff!$D$731)</f>
        <v/>
      </c>
      <c r="B31" s="235">
        <f>TakeOff!$K$758*CrewRate_SMShop_Straight</f>
        <v>0</v>
      </c>
      <c r="C31" s="235">
        <f>TakeOff!$H$758*CrewRate_SMField_Straight</f>
        <v>0</v>
      </c>
      <c r="D31" s="236">
        <f>TakeOff!$M$758</f>
        <v>0</v>
      </c>
      <c r="E31" s="236">
        <f t="shared" si="5"/>
        <v>0</v>
      </c>
      <c r="F31" s="236">
        <f t="shared" si="0"/>
        <v>0</v>
      </c>
      <c r="G31" s="243">
        <f t="shared" si="6"/>
        <v>0</v>
      </c>
      <c r="H31" s="236">
        <f t="shared" si="7"/>
        <v>0</v>
      </c>
      <c r="I31" s="409">
        <f t="shared" si="8"/>
        <v>0</v>
      </c>
      <c r="J31" s="414">
        <f>$G31*'MCAA RECAP'!$J$130</f>
        <v>0</v>
      </c>
      <c r="K31" s="414">
        <f>$G31*SUM('MCAA RECAP'!$H$48:$H$52)</f>
        <v>0</v>
      </c>
      <c r="L31" s="414">
        <f>$G31*SUM('MCAA RECAP'!$J$45)</f>
        <v>0</v>
      </c>
    </row>
    <row r="32" spans="1:12" x14ac:dyDescent="0.2">
      <c r="A32" s="217" t="str">
        <f>IF(TakeOff!$D$762="","",TakeOff!$D$762)</f>
        <v/>
      </c>
      <c r="B32" s="235">
        <f>TakeOff!$K$789*CrewRate_SMShop_Straight</f>
        <v>0</v>
      </c>
      <c r="C32" s="235">
        <f>TakeOff!$H$789*CrewRate_SMField_Straight</f>
        <v>0</v>
      </c>
      <c r="D32" s="236">
        <f>TakeOff!$M$789</f>
        <v>0</v>
      </c>
      <c r="E32" s="236">
        <f t="shared" si="5"/>
        <v>0</v>
      </c>
      <c r="F32" s="236">
        <f t="shared" si="0"/>
        <v>0</v>
      </c>
      <c r="G32" s="243">
        <f t="shared" si="6"/>
        <v>0</v>
      </c>
      <c r="H32" s="236">
        <f t="shared" si="7"/>
        <v>0</v>
      </c>
      <c r="I32" s="409">
        <f t="shared" si="8"/>
        <v>0</v>
      </c>
      <c r="J32" s="414">
        <f>$G32*'MCAA RECAP'!$J$130</f>
        <v>0</v>
      </c>
      <c r="K32" s="414">
        <f>$G32*SUM('MCAA RECAP'!$H$48:$H$52)</f>
        <v>0</v>
      </c>
      <c r="L32" s="414">
        <f>$G32*SUM('MCAA RECAP'!$J$45)</f>
        <v>0</v>
      </c>
    </row>
    <row r="33" spans="1:12" x14ac:dyDescent="0.2">
      <c r="A33" s="217" t="str">
        <f>IF(TakeOff!$D$793="","",TakeOff!$D$793)</f>
        <v/>
      </c>
      <c r="B33" s="235">
        <f>TakeOff!$K$820*CrewRate_SMShop_Straight</f>
        <v>0</v>
      </c>
      <c r="C33" s="235">
        <f>TakeOff!$H$820*CrewRate_SMField_Straight</f>
        <v>0</v>
      </c>
      <c r="D33" s="236">
        <f>TakeOff!$M$820</f>
        <v>0</v>
      </c>
      <c r="E33" s="236">
        <f t="shared" si="5"/>
        <v>0</v>
      </c>
      <c r="F33" s="236">
        <f t="shared" si="0"/>
        <v>0</v>
      </c>
      <c r="G33" s="243">
        <f t="shared" si="6"/>
        <v>0</v>
      </c>
      <c r="H33" s="236">
        <f t="shared" si="7"/>
        <v>0</v>
      </c>
      <c r="I33" s="409">
        <f t="shared" si="8"/>
        <v>0</v>
      </c>
      <c r="J33" s="414">
        <f>$G33*'MCAA RECAP'!$J$130</f>
        <v>0</v>
      </c>
      <c r="K33" s="414">
        <f>$G33*SUM('MCAA RECAP'!$H$48:$H$52)</f>
        <v>0</v>
      </c>
      <c r="L33" s="414">
        <f>$G33*SUM('MCAA RECAP'!$J$45)</f>
        <v>0</v>
      </c>
    </row>
    <row r="34" spans="1:12" x14ac:dyDescent="0.2">
      <c r="A34" s="217" t="str">
        <f>IF(TakeOff!$D$824="","",TakeOff!$D$824)</f>
        <v/>
      </c>
      <c r="B34" s="235">
        <f>TakeOff!$K$851*CrewRate_SMShop_Straight</f>
        <v>0</v>
      </c>
      <c r="C34" s="235">
        <f>TakeOff!$H$851*CrewRate_SMField_Straight</f>
        <v>0</v>
      </c>
      <c r="D34" s="236">
        <f>TakeOff!$M$851</f>
        <v>0</v>
      </c>
      <c r="E34" s="236">
        <f t="shared" si="5"/>
        <v>0</v>
      </c>
      <c r="F34" s="236">
        <f t="shared" si="0"/>
        <v>0</v>
      </c>
      <c r="G34" s="243">
        <f t="shared" si="6"/>
        <v>0</v>
      </c>
      <c r="H34" s="236">
        <f t="shared" si="7"/>
        <v>0</v>
      </c>
      <c r="I34" s="409">
        <f t="shared" si="8"/>
        <v>0</v>
      </c>
      <c r="J34" s="414">
        <f>$G34*'MCAA RECAP'!$J$130</f>
        <v>0</v>
      </c>
      <c r="K34" s="414">
        <f>$G34*SUM('MCAA RECAP'!$H$48:$H$52)</f>
        <v>0</v>
      </c>
      <c r="L34" s="414">
        <f>$G34*SUM('MCAA RECAP'!$J$45)</f>
        <v>0</v>
      </c>
    </row>
    <row r="35" spans="1:12" x14ac:dyDescent="0.2">
      <c r="A35" s="217" t="str">
        <f>IF(TakeOff!$D$855="","",TakeOff!$D$855)</f>
        <v/>
      </c>
      <c r="B35" s="235">
        <f>TakeOff!$K$882*CrewRate_SMShop_Straight</f>
        <v>0</v>
      </c>
      <c r="C35" s="235">
        <f>TakeOff!$H$882*CrewRate_SMField_Straight</f>
        <v>0</v>
      </c>
      <c r="D35" s="236">
        <f>TakeOff!$M$882</f>
        <v>0</v>
      </c>
      <c r="E35" s="236">
        <f t="shared" si="5"/>
        <v>0</v>
      </c>
      <c r="F35" s="236">
        <f t="shared" si="0"/>
        <v>0</v>
      </c>
      <c r="G35" s="243">
        <f t="shared" si="6"/>
        <v>0</v>
      </c>
      <c r="H35" s="236">
        <f t="shared" si="7"/>
        <v>0</v>
      </c>
      <c r="I35" s="409">
        <f t="shared" si="8"/>
        <v>0</v>
      </c>
      <c r="J35" s="414">
        <f>$G35*'MCAA RECAP'!$J$130</f>
        <v>0</v>
      </c>
      <c r="K35" s="414">
        <f>$G35*SUM('MCAA RECAP'!$H$48:$H$52)</f>
        <v>0</v>
      </c>
      <c r="L35" s="414">
        <f>$G35*SUM('MCAA RECAP'!$J$45)</f>
        <v>0</v>
      </c>
    </row>
    <row r="36" spans="1:12" x14ac:dyDescent="0.2">
      <c r="A36" s="217" t="str">
        <f>IF(TakeOff!$D$886="","",TakeOff!$D$886)</f>
        <v/>
      </c>
      <c r="B36" s="235">
        <f>TakeOff!$K$913*CrewRate_SMShop_Straight</f>
        <v>0</v>
      </c>
      <c r="C36" s="235">
        <f>TakeOff!$H$913*CrewRate_SMField_Straight</f>
        <v>0</v>
      </c>
      <c r="D36" s="236">
        <f>TakeOff!$M$913</f>
        <v>0</v>
      </c>
      <c r="E36" s="236">
        <f t="shared" si="5"/>
        <v>0</v>
      </c>
      <c r="F36" s="236">
        <f t="shared" si="0"/>
        <v>0</v>
      </c>
      <c r="G36" s="243">
        <f t="shared" si="6"/>
        <v>0</v>
      </c>
      <c r="H36" s="236">
        <f t="shared" si="7"/>
        <v>0</v>
      </c>
      <c r="I36" s="409">
        <f t="shared" si="8"/>
        <v>0</v>
      </c>
      <c r="J36" s="414">
        <f>$G36*'MCAA RECAP'!$J$130</f>
        <v>0</v>
      </c>
      <c r="K36" s="414">
        <f>$G36*SUM('MCAA RECAP'!$H$48:$H$52)</f>
        <v>0</v>
      </c>
      <c r="L36" s="414">
        <f>$G36*SUM('MCAA RECAP'!$J$45)</f>
        <v>0</v>
      </c>
    </row>
    <row r="37" spans="1:12" x14ac:dyDescent="0.2">
      <c r="A37" s="217" t="str">
        <f>IF(TakeOff!$D$917="","",TakeOff!$D$917)</f>
        <v/>
      </c>
      <c r="B37" s="235">
        <f>TakeOff!$K$944*CrewRate_SMShop_Straight</f>
        <v>0</v>
      </c>
      <c r="C37" s="235">
        <f>TakeOff!$H$944*CrewRate_SMField_Straight</f>
        <v>0</v>
      </c>
      <c r="D37" s="236">
        <f>TakeOff!$M$944</f>
        <v>0</v>
      </c>
      <c r="E37" s="236">
        <f t="shared" si="5"/>
        <v>0</v>
      </c>
      <c r="F37" s="236">
        <f t="shared" si="0"/>
        <v>0</v>
      </c>
      <c r="G37" s="243">
        <f t="shared" si="6"/>
        <v>0</v>
      </c>
      <c r="H37" s="236">
        <f t="shared" si="7"/>
        <v>0</v>
      </c>
      <c r="I37" s="409">
        <f t="shared" si="8"/>
        <v>0</v>
      </c>
      <c r="J37" s="414">
        <f>$G37*'MCAA RECAP'!$J$130</f>
        <v>0</v>
      </c>
      <c r="K37" s="414">
        <f>$G37*SUM('MCAA RECAP'!$H$48:$H$52)</f>
        <v>0</v>
      </c>
      <c r="L37" s="414">
        <f>$G37*SUM('MCAA RECAP'!$J$45)</f>
        <v>0</v>
      </c>
    </row>
    <row r="38" spans="1:12" x14ac:dyDescent="0.2">
      <c r="A38" s="217" t="str">
        <f>IF(TakeOff!$D$948="","",TakeOff!$D$948)</f>
        <v/>
      </c>
      <c r="B38" s="235">
        <f>TakeOff!$K$975*CrewRate_SMShop_Straight</f>
        <v>0</v>
      </c>
      <c r="C38" s="235">
        <f>TakeOff!$H$975*CrewRate_SMField_Straight</f>
        <v>0</v>
      </c>
      <c r="D38" s="236">
        <f>TakeOff!$M$975</f>
        <v>0</v>
      </c>
      <c r="E38" s="236">
        <f t="shared" si="5"/>
        <v>0</v>
      </c>
      <c r="F38" s="236">
        <f t="shared" si="0"/>
        <v>0</v>
      </c>
      <c r="G38" s="243">
        <f t="shared" si="6"/>
        <v>0</v>
      </c>
      <c r="H38" s="236">
        <f t="shared" si="7"/>
        <v>0</v>
      </c>
      <c r="I38" s="409">
        <f t="shared" si="8"/>
        <v>0</v>
      </c>
      <c r="J38" s="414">
        <f>$G38*'MCAA RECAP'!$J$130</f>
        <v>0</v>
      </c>
      <c r="K38" s="414">
        <f>$G38*SUM('MCAA RECAP'!$H$48:$H$52)</f>
        <v>0</v>
      </c>
      <c r="L38" s="414">
        <f>$G38*SUM('MCAA RECAP'!$J$45)</f>
        <v>0</v>
      </c>
    </row>
    <row r="39" spans="1:12" ht="13.5" thickBot="1" x14ac:dyDescent="0.25">
      <c r="A39" s="217" t="str">
        <f>IF(TakeOff!$D$979="","",TakeOff!$D$979)</f>
        <v/>
      </c>
      <c r="B39" s="235">
        <f>TakeOff!$K$1006*CrewRate_SMShop_Straight</f>
        <v>0</v>
      </c>
      <c r="C39" s="235">
        <f>TakeOff!$H$1006*CrewRate_SMField_Straight</f>
        <v>0</v>
      </c>
      <c r="D39" s="236">
        <f>TakeOff!$M$1006</f>
        <v>0</v>
      </c>
      <c r="E39" s="236">
        <f t="shared" si="5"/>
        <v>0</v>
      </c>
      <c r="F39" s="236">
        <f t="shared" si="0"/>
        <v>0</v>
      </c>
      <c r="G39" s="243">
        <f t="shared" si="6"/>
        <v>0</v>
      </c>
      <c r="H39" s="236">
        <f t="shared" si="7"/>
        <v>0</v>
      </c>
      <c r="I39" s="409">
        <f t="shared" si="8"/>
        <v>0</v>
      </c>
      <c r="J39" s="414">
        <f>$G39*'MCAA RECAP'!$J$130</f>
        <v>0</v>
      </c>
      <c r="K39" s="414">
        <f>$G39*SUM('MCAA RECAP'!$H$48:$H$52)</f>
        <v>0</v>
      </c>
      <c r="L39" s="414">
        <f>$G39*SUM('MCAA RECAP'!$J$45)</f>
        <v>0</v>
      </c>
    </row>
    <row r="40" spans="1:12" ht="13.5" thickBot="1" x14ac:dyDescent="0.25">
      <c r="A40" s="228" t="s">
        <v>1065</v>
      </c>
      <c r="B40" s="239">
        <f>SUM(B8:B39)</f>
        <v>56402.399999999994</v>
      </c>
      <c r="C40" s="239">
        <f>SUM(C8:C39)</f>
        <v>367820.93999999994</v>
      </c>
      <c r="D40" s="239">
        <f>SUM(D8:D39)</f>
        <v>855040</v>
      </c>
      <c r="E40" s="239">
        <f>SUM(E8:E39)</f>
        <v>1279263.3400000001</v>
      </c>
      <c r="F40" s="239">
        <f>SUM(F8:F39)</f>
        <v>0</v>
      </c>
      <c r="G40" s="244">
        <f>IF(E40=0,0,E40/($E$40+$E$66+$E$92))</f>
        <v>1</v>
      </c>
      <c r="H40" s="239">
        <f>SUM(H8:H39)</f>
        <v>775921.65999999992</v>
      </c>
      <c r="I40" s="411">
        <f>SUM(I8:I39)</f>
        <v>2055184.9999999998</v>
      </c>
      <c r="J40" s="416">
        <f>SUM(J8:J39)</f>
        <v>0</v>
      </c>
      <c r="K40" s="416">
        <f>SUM(K8:K39)</f>
        <v>140739.0624</v>
      </c>
      <c r="L40" s="416">
        <f>SUM(L8:L39)</f>
        <v>0</v>
      </c>
    </row>
    <row r="41" spans="1:12" x14ac:dyDescent="0.2">
      <c r="A41" s="121"/>
      <c r="I41" s="25"/>
      <c r="J41" s="25"/>
      <c r="K41" s="25"/>
      <c r="L41" s="25"/>
    </row>
    <row r="42" spans="1:12" x14ac:dyDescent="0.2">
      <c r="A42" s="121"/>
      <c r="I42" s="25"/>
      <c r="J42" s="25"/>
      <c r="K42" s="25"/>
      <c r="L42" s="25"/>
    </row>
    <row r="43" spans="1:12" ht="20.25" thickBot="1" x14ac:dyDescent="0.35">
      <c r="A43" s="214" t="s">
        <v>16</v>
      </c>
      <c r="I43" s="25"/>
      <c r="J43" s="25"/>
      <c r="K43" s="25"/>
      <c r="L43" s="25"/>
    </row>
    <row r="44" spans="1:12" ht="32.25" customHeight="1" thickTop="1" thickBot="1" x14ac:dyDescent="0.25">
      <c r="I44" s="25"/>
      <c r="J44" s="997" t="s">
        <v>1312</v>
      </c>
      <c r="K44" s="998"/>
      <c r="L44" s="999"/>
    </row>
    <row r="45" spans="1:12" ht="69.75" thickBot="1" x14ac:dyDescent="0.35">
      <c r="A45" s="215" t="s">
        <v>0</v>
      </c>
      <c r="B45" s="231" t="s">
        <v>1050</v>
      </c>
      <c r="C45" s="231" t="s">
        <v>1051</v>
      </c>
      <c r="D45" s="232" t="s">
        <v>298</v>
      </c>
      <c r="E45" s="245" t="s">
        <v>1305</v>
      </c>
      <c r="F45" s="232" t="s">
        <v>1290</v>
      </c>
      <c r="G45" s="241" t="s">
        <v>1066</v>
      </c>
      <c r="H45" s="245" t="s">
        <v>1307</v>
      </c>
      <c r="I45" s="407" t="s">
        <v>1311</v>
      </c>
      <c r="J45" s="412" t="s">
        <v>1309</v>
      </c>
      <c r="K45" s="412" t="s">
        <v>1308</v>
      </c>
      <c r="L45" s="412" t="s">
        <v>1310</v>
      </c>
    </row>
    <row r="46" spans="1:12" x14ac:dyDescent="0.2">
      <c r="A46" s="216"/>
      <c r="B46" s="233"/>
      <c r="C46" s="233"/>
      <c r="D46" s="234"/>
      <c r="E46" s="234"/>
      <c r="F46" s="234">
        <f t="shared" ref="F46:F65" si="9">IF(OCIP_Req=1,OCIP_Deduct_Total*(C46/SUM($C$40,$C$66,$C$92)),0)</f>
        <v>0</v>
      </c>
      <c r="G46" s="242">
        <f>IF(E46=0,0,E46/($E$40+$E$66+$E$92))</f>
        <v>0</v>
      </c>
      <c r="H46" s="234">
        <f t="shared" ref="H46:H65" si="10">G46*$H$4</f>
        <v>0</v>
      </c>
      <c r="I46" s="408">
        <f>E46+H46</f>
        <v>0</v>
      </c>
      <c r="J46" s="413">
        <f>$G46*'MCAA RECAP'!$J$130</f>
        <v>0</v>
      </c>
      <c r="K46" s="413">
        <f>$G46*SUM('MCAA RECAP'!$H$48:$H$52)</f>
        <v>0</v>
      </c>
      <c r="L46" s="413">
        <f>$G46*SUM('MCAA RECAP'!$J$45)</f>
        <v>0</v>
      </c>
    </row>
    <row r="47" spans="1:12" x14ac:dyDescent="0.2">
      <c r="A47" s="217"/>
      <c r="B47" s="235"/>
      <c r="C47" s="235"/>
      <c r="D47" s="236"/>
      <c r="E47" s="236"/>
      <c r="F47" s="236">
        <f t="shared" si="9"/>
        <v>0</v>
      </c>
      <c r="G47" s="243">
        <f t="shared" ref="G47:G66" si="11">IF(E47=0,0,E47/($E$40+$E$66+$E$92))</f>
        <v>0</v>
      </c>
      <c r="H47" s="236">
        <f t="shared" si="10"/>
        <v>0</v>
      </c>
      <c r="I47" s="409">
        <f t="shared" ref="I47:I65" si="12">E47+H47</f>
        <v>0</v>
      </c>
      <c r="J47" s="414">
        <f>$G47*'MCAA RECAP'!$J$130</f>
        <v>0</v>
      </c>
      <c r="K47" s="414">
        <f>$G47*SUM('MCAA RECAP'!$H$48:$H$52)</f>
        <v>0</v>
      </c>
      <c r="L47" s="414">
        <f>$G47*SUM('MCAA RECAP'!$J$45)</f>
        <v>0</v>
      </c>
    </row>
    <row r="48" spans="1:12" x14ac:dyDescent="0.2">
      <c r="A48" s="217"/>
      <c r="B48" s="235"/>
      <c r="C48" s="235"/>
      <c r="D48" s="236"/>
      <c r="E48" s="236"/>
      <c r="F48" s="236">
        <f t="shared" si="9"/>
        <v>0</v>
      </c>
      <c r="G48" s="243">
        <f t="shared" si="11"/>
        <v>0</v>
      </c>
      <c r="H48" s="236">
        <f t="shared" si="10"/>
        <v>0</v>
      </c>
      <c r="I48" s="409">
        <f t="shared" si="12"/>
        <v>0</v>
      </c>
      <c r="J48" s="414">
        <f>$G48*'MCAA RECAP'!$J$130</f>
        <v>0</v>
      </c>
      <c r="K48" s="414">
        <f>$G48*SUM('MCAA RECAP'!$H$48:$H$52)</f>
        <v>0</v>
      </c>
      <c r="L48" s="414">
        <f>$G48*SUM('MCAA RECAP'!$J$45)</f>
        <v>0</v>
      </c>
    </row>
    <row r="49" spans="1:12" x14ac:dyDescent="0.2">
      <c r="A49" s="217"/>
      <c r="B49" s="235"/>
      <c r="C49" s="235"/>
      <c r="D49" s="236"/>
      <c r="E49" s="236"/>
      <c r="F49" s="236">
        <f t="shared" si="9"/>
        <v>0</v>
      </c>
      <c r="G49" s="243">
        <f t="shared" si="11"/>
        <v>0</v>
      </c>
      <c r="H49" s="236">
        <f t="shared" si="10"/>
        <v>0</v>
      </c>
      <c r="I49" s="409">
        <f t="shared" si="12"/>
        <v>0</v>
      </c>
      <c r="J49" s="414">
        <f>$G49*'MCAA RECAP'!$J$130</f>
        <v>0</v>
      </c>
      <c r="K49" s="414">
        <f>$G49*SUM('MCAA RECAP'!$H$48:$H$52)</f>
        <v>0</v>
      </c>
      <c r="L49" s="414">
        <f>$G49*SUM('MCAA RECAP'!$J$45)</f>
        <v>0</v>
      </c>
    </row>
    <row r="50" spans="1:12" x14ac:dyDescent="0.2">
      <c r="A50" s="217"/>
      <c r="B50" s="235"/>
      <c r="C50" s="235"/>
      <c r="D50" s="236"/>
      <c r="E50" s="236"/>
      <c r="F50" s="236">
        <f t="shared" si="9"/>
        <v>0</v>
      </c>
      <c r="G50" s="243">
        <f t="shared" si="11"/>
        <v>0</v>
      </c>
      <c r="H50" s="236">
        <f t="shared" si="10"/>
        <v>0</v>
      </c>
      <c r="I50" s="409">
        <f t="shared" si="12"/>
        <v>0</v>
      </c>
      <c r="J50" s="414">
        <f>$G50*'MCAA RECAP'!$J$130</f>
        <v>0</v>
      </c>
      <c r="K50" s="414">
        <f>$G50*SUM('MCAA RECAP'!$H$48:$H$52)</f>
        <v>0</v>
      </c>
      <c r="L50" s="414">
        <f>$G50*SUM('MCAA RECAP'!$J$45)</f>
        <v>0</v>
      </c>
    </row>
    <row r="51" spans="1:12" x14ac:dyDescent="0.2">
      <c r="A51" s="217"/>
      <c r="B51" s="235"/>
      <c r="C51" s="235"/>
      <c r="D51" s="236"/>
      <c r="E51" s="236"/>
      <c r="F51" s="236">
        <f t="shared" si="9"/>
        <v>0</v>
      </c>
      <c r="G51" s="243">
        <f t="shared" si="11"/>
        <v>0</v>
      </c>
      <c r="H51" s="236">
        <f t="shared" si="10"/>
        <v>0</v>
      </c>
      <c r="I51" s="409">
        <f t="shared" si="12"/>
        <v>0</v>
      </c>
      <c r="J51" s="414">
        <f>$G51*'MCAA RECAP'!$J$130</f>
        <v>0</v>
      </c>
      <c r="K51" s="414">
        <f>$G51*SUM('MCAA RECAP'!$H$48:$H$52)</f>
        <v>0</v>
      </c>
      <c r="L51" s="414">
        <f>$G51*SUM('MCAA RECAP'!$J$45)</f>
        <v>0</v>
      </c>
    </row>
    <row r="52" spans="1:12" x14ac:dyDescent="0.2">
      <c r="A52" s="217"/>
      <c r="B52" s="235"/>
      <c r="C52" s="235"/>
      <c r="D52" s="236"/>
      <c r="E52" s="236"/>
      <c r="F52" s="236">
        <f t="shared" si="9"/>
        <v>0</v>
      </c>
      <c r="G52" s="243">
        <f t="shared" si="11"/>
        <v>0</v>
      </c>
      <c r="H52" s="236">
        <f t="shared" si="10"/>
        <v>0</v>
      </c>
      <c r="I52" s="409">
        <f t="shared" si="12"/>
        <v>0</v>
      </c>
      <c r="J52" s="414">
        <f>$G52*'MCAA RECAP'!$J$130</f>
        <v>0</v>
      </c>
      <c r="K52" s="414">
        <f>$G52*SUM('MCAA RECAP'!$H$48:$H$52)</f>
        <v>0</v>
      </c>
      <c r="L52" s="414">
        <f>$G52*SUM('MCAA RECAP'!$J$45)</f>
        <v>0</v>
      </c>
    </row>
    <row r="53" spans="1:12" x14ac:dyDescent="0.2">
      <c r="A53" s="217"/>
      <c r="B53" s="235"/>
      <c r="C53" s="235"/>
      <c r="D53" s="236"/>
      <c r="E53" s="236"/>
      <c r="F53" s="236">
        <f t="shared" si="9"/>
        <v>0</v>
      </c>
      <c r="G53" s="243">
        <f t="shared" si="11"/>
        <v>0</v>
      </c>
      <c r="H53" s="236">
        <f t="shared" si="10"/>
        <v>0</v>
      </c>
      <c r="I53" s="409">
        <f t="shared" si="12"/>
        <v>0</v>
      </c>
      <c r="J53" s="414">
        <f>$G53*'MCAA RECAP'!$J$130</f>
        <v>0</v>
      </c>
      <c r="K53" s="414">
        <f>$G53*SUM('MCAA RECAP'!$H$48:$H$52)</f>
        <v>0</v>
      </c>
      <c r="L53" s="414">
        <f>$G53*SUM('MCAA RECAP'!$J$45)</f>
        <v>0</v>
      </c>
    </row>
    <row r="54" spans="1:12" x14ac:dyDescent="0.2">
      <c r="A54" s="217"/>
      <c r="B54" s="235"/>
      <c r="C54" s="235"/>
      <c r="D54" s="236"/>
      <c r="E54" s="236"/>
      <c r="F54" s="236">
        <f t="shared" si="9"/>
        <v>0</v>
      </c>
      <c r="G54" s="243">
        <f t="shared" si="11"/>
        <v>0</v>
      </c>
      <c r="H54" s="236">
        <f t="shared" si="10"/>
        <v>0</v>
      </c>
      <c r="I54" s="409">
        <f t="shared" si="12"/>
        <v>0</v>
      </c>
      <c r="J54" s="414">
        <f>$G54*'MCAA RECAP'!$J$130</f>
        <v>0</v>
      </c>
      <c r="K54" s="414">
        <f>$G54*SUM('MCAA RECAP'!$H$48:$H$52)</f>
        <v>0</v>
      </c>
      <c r="L54" s="414">
        <f>$G54*SUM('MCAA RECAP'!$J$45)</f>
        <v>0</v>
      </c>
    </row>
    <row r="55" spans="1:12" x14ac:dyDescent="0.2">
      <c r="A55" s="217"/>
      <c r="B55" s="235"/>
      <c r="C55" s="235"/>
      <c r="D55" s="236"/>
      <c r="E55" s="236"/>
      <c r="F55" s="236">
        <f t="shared" si="9"/>
        <v>0</v>
      </c>
      <c r="G55" s="243">
        <f t="shared" si="11"/>
        <v>0</v>
      </c>
      <c r="H55" s="236">
        <f t="shared" si="10"/>
        <v>0</v>
      </c>
      <c r="I55" s="409">
        <f t="shared" si="12"/>
        <v>0</v>
      </c>
      <c r="J55" s="414">
        <f>$G55*'MCAA RECAP'!$J$130</f>
        <v>0</v>
      </c>
      <c r="K55" s="414">
        <f>$G55*SUM('MCAA RECAP'!$H$48:$H$52)</f>
        <v>0</v>
      </c>
      <c r="L55" s="414">
        <f>$G55*SUM('MCAA RECAP'!$J$45)</f>
        <v>0</v>
      </c>
    </row>
    <row r="56" spans="1:12" x14ac:dyDescent="0.2">
      <c r="A56" s="217"/>
      <c r="B56" s="235"/>
      <c r="C56" s="235"/>
      <c r="D56" s="236"/>
      <c r="E56" s="236"/>
      <c r="F56" s="236">
        <f t="shared" si="9"/>
        <v>0</v>
      </c>
      <c r="G56" s="243">
        <f t="shared" si="11"/>
        <v>0</v>
      </c>
      <c r="H56" s="236">
        <f t="shared" si="10"/>
        <v>0</v>
      </c>
      <c r="I56" s="409">
        <f t="shared" si="12"/>
        <v>0</v>
      </c>
      <c r="J56" s="414">
        <f>$G56*'MCAA RECAP'!$J$130</f>
        <v>0</v>
      </c>
      <c r="K56" s="414">
        <f>$G56*SUM('MCAA RECAP'!$H$48:$H$52)</f>
        <v>0</v>
      </c>
      <c r="L56" s="414">
        <f>$G56*SUM('MCAA RECAP'!$J$45)</f>
        <v>0</v>
      </c>
    </row>
    <row r="57" spans="1:12" x14ac:dyDescent="0.2">
      <c r="A57" s="217"/>
      <c r="B57" s="235"/>
      <c r="C57" s="235"/>
      <c r="D57" s="236"/>
      <c r="E57" s="236"/>
      <c r="F57" s="236">
        <f t="shared" si="9"/>
        <v>0</v>
      </c>
      <c r="G57" s="243">
        <f t="shared" si="11"/>
        <v>0</v>
      </c>
      <c r="H57" s="236">
        <f t="shared" si="10"/>
        <v>0</v>
      </c>
      <c r="I57" s="409">
        <f t="shared" si="12"/>
        <v>0</v>
      </c>
      <c r="J57" s="414">
        <f>$G57*'MCAA RECAP'!$J$130</f>
        <v>0</v>
      </c>
      <c r="K57" s="414">
        <f>$G57*SUM('MCAA RECAP'!$H$48:$H$52)</f>
        <v>0</v>
      </c>
      <c r="L57" s="414">
        <f>$G57*SUM('MCAA RECAP'!$J$45)</f>
        <v>0</v>
      </c>
    </row>
    <row r="58" spans="1:12" x14ac:dyDescent="0.2">
      <c r="A58" s="217"/>
      <c r="B58" s="235"/>
      <c r="C58" s="235"/>
      <c r="D58" s="236"/>
      <c r="E58" s="236"/>
      <c r="F58" s="236">
        <f t="shared" si="9"/>
        <v>0</v>
      </c>
      <c r="G58" s="243">
        <f t="shared" si="11"/>
        <v>0</v>
      </c>
      <c r="H58" s="236">
        <f t="shared" si="10"/>
        <v>0</v>
      </c>
      <c r="I58" s="409">
        <f t="shared" si="12"/>
        <v>0</v>
      </c>
      <c r="J58" s="414">
        <f>$G58*'MCAA RECAP'!$J$130</f>
        <v>0</v>
      </c>
      <c r="K58" s="414">
        <f>$G58*SUM('MCAA RECAP'!$H$48:$H$52)</f>
        <v>0</v>
      </c>
      <c r="L58" s="414">
        <f>$G58*SUM('MCAA RECAP'!$J$45)</f>
        <v>0</v>
      </c>
    </row>
    <row r="59" spans="1:12" x14ac:dyDescent="0.2">
      <c r="A59" s="217"/>
      <c r="B59" s="235"/>
      <c r="C59" s="235"/>
      <c r="D59" s="236"/>
      <c r="E59" s="236"/>
      <c r="F59" s="236">
        <f t="shared" si="9"/>
        <v>0</v>
      </c>
      <c r="G59" s="243">
        <f t="shared" si="11"/>
        <v>0</v>
      </c>
      <c r="H59" s="236">
        <f t="shared" si="10"/>
        <v>0</v>
      </c>
      <c r="I59" s="409">
        <f t="shared" si="12"/>
        <v>0</v>
      </c>
      <c r="J59" s="414">
        <f>$G59*'MCAA RECAP'!$J$130</f>
        <v>0</v>
      </c>
      <c r="K59" s="414">
        <f>$G59*SUM('MCAA RECAP'!$H$48:$H$52)</f>
        <v>0</v>
      </c>
      <c r="L59" s="414">
        <f>$G59*SUM('MCAA RECAP'!$J$45)</f>
        <v>0</v>
      </c>
    </row>
    <row r="60" spans="1:12" x14ac:dyDescent="0.2">
      <c r="A60" s="217"/>
      <c r="B60" s="235"/>
      <c r="C60" s="235"/>
      <c r="D60" s="236"/>
      <c r="E60" s="236"/>
      <c r="F60" s="236">
        <f t="shared" si="9"/>
        <v>0</v>
      </c>
      <c r="G60" s="243">
        <f t="shared" si="11"/>
        <v>0</v>
      </c>
      <c r="H60" s="236">
        <f t="shared" si="10"/>
        <v>0</v>
      </c>
      <c r="I60" s="409">
        <f t="shared" si="12"/>
        <v>0</v>
      </c>
      <c r="J60" s="414">
        <f>$G60*'MCAA RECAP'!$J$130</f>
        <v>0</v>
      </c>
      <c r="K60" s="414">
        <f>$G60*SUM('MCAA RECAP'!$H$48:$H$52)</f>
        <v>0</v>
      </c>
      <c r="L60" s="414">
        <f>$G60*SUM('MCAA RECAP'!$J$45)</f>
        <v>0</v>
      </c>
    </row>
    <row r="61" spans="1:12" x14ac:dyDescent="0.2">
      <c r="A61" s="217"/>
      <c r="B61" s="235"/>
      <c r="C61" s="235"/>
      <c r="D61" s="236"/>
      <c r="E61" s="236"/>
      <c r="F61" s="236">
        <f t="shared" si="9"/>
        <v>0</v>
      </c>
      <c r="G61" s="243">
        <f t="shared" si="11"/>
        <v>0</v>
      </c>
      <c r="H61" s="236">
        <f t="shared" si="10"/>
        <v>0</v>
      </c>
      <c r="I61" s="409">
        <f t="shared" si="12"/>
        <v>0</v>
      </c>
      <c r="J61" s="414">
        <f>$G61*'MCAA RECAP'!$J$130</f>
        <v>0</v>
      </c>
      <c r="K61" s="414">
        <f>$G61*SUM('MCAA RECAP'!$H$48:$H$52)</f>
        <v>0</v>
      </c>
      <c r="L61" s="414">
        <f>$G61*SUM('MCAA RECAP'!$J$45)</f>
        <v>0</v>
      </c>
    </row>
    <row r="62" spans="1:12" x14ac:dyDescent="0.2">
      <c r="A62" s="217"/>
      <c r="B62" s="235"/>
      <c r="C62" s="235"/>
      <c r="D62" s="236"/>
      <c r="E62" s="236"/>
      <c r="F62" s="236">
        <f t="shared" si="9"/>
        <v>0</v>
      </c>
      <c r="G62" s="243">
        <f t="shared" si="11"/>
        <v>0</v>
      </c>
      <c r="H62" s="236">
        <f t="shared" si="10"/>
        <v>0</v>
      </c>
      <c r="I62" s="409">
        <f t="shared" si="12"/>
        <v>0</v>
      </c>
      <c r="J62" s="414">
        <f>$G62*'MCAA RECAP'!$J$130</f>
        <v>0</v>
      </c>
      <c r="K62" s="414">
        <f>$G62*SUM('MCAA RECAP'!$H$48:$H$52)</f>
        <v>0</v>
      </c>
      <c r="L62" s="414">
        <f>$G62*SUM('MCAA RECAP'!$J$45)</f>
        <v>0</v>
      </c>
    </row>
    <row r="63" spans="1:12" x14ac:dyDescent="0.2">
      <c r="A63" s="217"/>
      <c r="B63" s="235"/>
      <c r="C63" s="235"/>
      <c r="D63" s="236"/>
      <c r="E63" s="236"/>
      <c r="F63" s="236">
        <f t="shared" si="9"/>
        <v>0</v>
      </c>
      <c r="G63" s="243">
        <f t="shared" si="11"/>
        <v>0</v>
      </c>
      <c r="H63" s="236">
        <f t="shared" si="10"/>
        <v>0</v>
      </c>
      <c r="I63" s="409">
        <f t="shared" si="12"/>
        <v>0</v>
      </c>
      <c r="J63" s="414">
        <f>$G63*'MCAA RECAP'!$J$130</f>
        <v>0</v>
      </c>
      <c r="K63" s="414">
        <f>$G63*SUM('MCAA RECAP'!$H$48:$H$52)</f>
        <v>0</v>
      </c>
      <c r="L63" s="414">
        <f>$G63*SUM('MCAA RECAP'!$J$45)</f>
        <v>0</v>
      </c>
    </row>
    <row r="64" spans="1:12" x14ac:dyDescent="0.2">
      <c r="A64" s="217"/>
      <c r="B64" s="235"/>
      <c r="C64" s="235"/>
      <c r="D64" s="236"/>
      <c r="E64" s="236"/>
      <c r="F64" s="236">
        <f t="shared" si="9"/>
        <v>0</v>
      </c>
      <c r="G64" s="243">
        <f t="shared" si="11"/>
        <v>0</v>
      </c>
      <c r="H64" s="236">
        <f t="shared" si="10"/>
        <v>0</v>
      </c>
      <c r="I64" s="409">
        <f t="shared" si="12"/>
        <v>0</v>
      </c>
      <c r="J64" s="414">
        <f>$G64*'MCAA RECAP'!$J$130</f>
        <v>0</v>
      </c>
      <c r="K64" s="414">
        <f>$G64*SUM('MCAA RECAP'!$H$48:$H$52)</f>
        <v>0</v>
      </c>
      <c r="L64" s="414">
        <f>$G64*SUM('MCAA RECAP'!$J$45)</f>
        <v>0</v>
      </c>
    </row>
    <row r="65" spans="1:12" ht="13.5" thickBot="1" x14ac:dyDescent="0.25">
      <c r="A65" s="218"/>
      <c r="B65" s="237"/>
      <c r="C65" s="237"/>
      <c r="D65" s="238"/>
      <c r="E65" s="238"/>
      <c r="F65" s="238">
        <f t="shared" si="9"/>
        <v>0</v>
      </c>
      <c r="G65" s="244">
        <f t="shared" si="11"/>
        <v>0</v>
      </c>
      <c r="H65" s="238">
        <f t="shared" si="10"/>
        <v>0</v>
      </c>
      <c r="I65" s="410">
        <f t="shared" si="12"/>
        <v>0</v>
      </c>
      <c r="J65" s="415">
        <f>$G65*'MCAA RECAP'!$J$130</f>
        <v>0</v>
      </c>
      <c r="K65" s="415">
        <f>$G65*SUM('MCAA RECAP'!$H$48:$H$52)</f>
        <v>0</v>
      </c>
      <c r="L65" s="415">
        <f>$G65*SUM('MCAA RECAP'!$J$45)</f>
        <v>0</v>
      </c>
    </row>
    <row r="66" spans="1:12" ht="13.5" thickBot="1" x14ac:dyDescent="0.25">
      <c r="A66" s="228" t="s">
        <v>1065</v>
      </c>
      <c r="B66" s="239">
        <f>SUM(B46:B65)</f>
        <v>0</v>
      </c>
      <c r="C66" s="239">
        <f>SUM(C46:C65)</f>
        <v>0</v>
      </c>
      <c r="D66" s="239">
        <f>SUM(D46:D65)</f>
        <v>0</v>
      </c>
      <c r="E66" s="239">
        <f>SUM(E46:E65)</f>
        <v>0</v>
      </c>
      <c r="F66" s="387"/>
      <c r="G66" s="244">
        <f t="shared" si="11"/>
        <v>0</v>
      </c>
      <c r="H66" s="239">
        <f>SUM(H46:H65)</f>
        <v>0</v>
      </c>
      <c r="I66" s="411">
        <f>SUM(I46:I65)</f>
        <v>0</v>
      </c>
      <c r="J66" s="416">
        <f>SUM(J46:J65)</f>
        <v>0</v>
      </c>
      <c r="K66" s="416">
        <f>SUM(K46:K65)</f>
        <v>0</v>
      </c>
      <c r="L66" s="416">
        <f>SUM(L46:L65)</f>
        <v>0</v>
      </c>
    </row>
    <row r="67" spans="1:12" x14ac:dyDescent="0.2">
      <c r="A67" s="121"/>
      <c r="I67" s="25"/>
      <c r="J67" s="25"/>
      <c r="K67" s="25"/>
      <c r="L67" s="25"/>
    </row>
    <row r="68" spans="1:12" x14ac:dyDescent="0.2">
      <c r="A68" s="121"/>
      <c r="I68" s="25"/>
      <c r="J68" s="25"/>
      <c r="K68" s="25"/>
      <c r="L68" s="25"/>
    </row>
    <row r="69" spans="1:12" ht="20.25" thickBot="1" x14ac:dyDescent="0.35">
      <c r="A69" s="214" t="s">
        <v>1052</v>
      </c>
      <c r="I69" s="25"/>
      <c r="J69" s="25"/>
      <c r="K69" s="25"/>
      <c r="L69" s="25"/>
    </row>
    <row r="70" spans="1:12" ht="32.25" customHeight="1" thickTop="1" thickBot="1" x14ac:dyDescent="0.25">
      <c r="I70" s="25"/>
      <c r="J70" s="997" t="s">
        <v>1312</v>
      </c>
      <c r="K70" s="998"/>
      <c r="L70" s="999"/>
    </row>
    <row r="71" spans="1:12" ht="69.75" thickBot="1" x14ac:dyDescent="0.35">
      <c r="A71" s="215" t="s">
        <v>0</v>
      </c>
      <c r="B71" s="231" t="s">
        <v>1050</v>
      </c>
      <c r="C71" s="231" t="s">
        <v>1051</v>
      </c>
      <c r="D71" s="232" t="s">
        <v>298</v>
      </c>
      <c r="E71" s="245" t="s">
        <v>1306</v>
      </c>
      <c r="F71" s="232" t="s">
        <v>1290</v>
      </c>
      <c r="G71" s="241" t="s">
        <v>1066</v>
      </c>
      <c r="H71" s="245" t="s">
        <v>1307</v>
      </c>
      <c r="I71" s="407" t="s">
        <v>1311</v>
      </c>
      <c r="J71" s="412" t="s">
        <v>1309</v>
      </c>
      <c r="K71" s="412" t="s">
        <v>1308</v>
      </c>
      <c r="L71" s="412" t="s">
        <v>1310</v>
      </c>
    </row>
    <row r="72" spans="1:12" x14ac:dyDescent="0.2">
      <c r="A72" s="216"/>
      <c r="B72" s="233"/>
      <c r="C72" s="233"/>
      <c r="D72" s="234"/>
      <c r="E72" s="234">
        <f>SUM(B72:D72)</f>
        <v>0</v>
      </c>
      <c r="F72" s="234">
        <f t="shared" ref="F72:F91" si="13">IF(OCIP_Req=1,OCIP_Deduct_Total*(C72/SUM($C$40,$C$66,$C$92)),0)</f>
        <v>0</v>
      </c>
      <c r="G72" s="242">
        <f>IF(E72=0,0,E72/($E$40+$E$66+$E$92))</f>
        <v>0</v>
      </c>
      <c r="H72" s="234">
        <f t="shared" ref="H72:H91" si="14">G72*$H$4</f>
        <v>0</v>
      </c>
      <c r="I72" s="408">
        <f>E72+H72</f>
        <v>0</v>
      </c>
      <c r="J72" s="413">
        <f>$G72*'MCAA RECAP'!$J$130</f>
        <v>0</v>
      </c>
      <c r="K72" s="413">
        <f>$G72*SUM('MCAA RECAP'!$H$48:$H$52)</f>
        <v>0</v>
      </c>
      <c r="L72" s="413">
        <f>$G72*SUM('MCAA RECAP'!$J$45)</f>
        <v>0</v>
      </c>
    </row>
    <row r="73" spans="1:12" x14ac:dyDescent="0.2">
      <c r="A73" s="217"/>
      <c r="B73" s="235"/>
      <c r="C73" s="235"/>
      <c r="D73" s="236"/>
      <c r="E73" s="236">
        <f t="shared" ref="E73:E91" si="15">SUM(B73:D73)</f>
        <v>0</v>
      </c>
      <c r="F73" s="236">
        <f t="shared" si="13"/>
        <v>0</v>
      </c>
      <c r="G73" s="243">
        <f t="shared" ref="G73:G92" si="16">IF(E73=0,0,E73/($E$40+$E$66+$E$92))</f>
        <v>0</v>
      </c>
      <c r="H73" s="236">
        <f t="shared" si="14"/>
        <v>0</v>
      </c>
      <c r="I73" s="409">
        <f t="shared" ref="I73:I91" si="17">E73+H73</f>
        <v>0</v>
      </c>
      <c r="J73" s="414">
        <f>$G73*'MCAA RECAP'!$J$130</f>
        <v>0</v>
      </c>
      <c r="K73" s="414">
        <f>$G73*SUM('MCAA RECAP'!$H$48:$H$52)</f>
        <v>0</v>
      </c>
      <c r="L73" s="414">
        <f>$G73*SUM('MCAA RECAP'!$J$45)</f>
        <v>0</v>
      </c>
    </row>
    <row r="74" spans="1:12" x14ac:dyDescent="0.2">
      <c r="A74" s="217"/>
      <c r="B74" s="235"/>
      <c r="C74" s="235"/>
      <c r="D74" s="236"/>
      <c r="E74" s="236">
        <f t="shared" si="15"/>
        <v>0</v>
      </c>
      <c r="F74" s="236">
        <f t="shared" si="13"/>
        <v>0</v>
      </c>
      <c r="G74" s="243">
        <f t="shared" si="16"/>
        <v>0</v>
      </c>
      <c r="H74" s="236">
        <f t="shared" si="14"/>
        <v>0</v>
      </c>
      <c r="I74" s="409">
        <f t="shared" si="17"/>
        <v>0</v>
      </c>
      <c r="J74" s="414">
        <f>$G74*'MCAA RECAP'!$J$130</f>
        <v>0</v>
      </c>
      <c r="K74" s="414">
        <f>$G74*SUM('MCAA RECAP'!$H$48:$H$52)</f>
        <v>0</v>
      </c>
      <c r="L74" s="414">
        <f>$G74*SUM('MCAA RECAP'!$J$45)</f>
        <v>0</v>
      </c>
    </row>
    <row r="75" spans="1:12" x14ac:dyDescent="0.2">
      <c r="A75" s="217"/>
      <c r="B75" s="235"/>
      <c r="C75" s="235"/>
      <c r="D75" s="236"/>
      <c r="E75" s="236">
        <f t="shared" si="15"/>
        <v>0</v>
      </c>
      <c r="F75" s="236">
        <f t="shared" si="13"/>
        <v>0</v>
      </c>
      <c r="G75" s="243">
        <f t="shared" si="16"/>
        <v>0</v>
      </c>
      <c r="H75" s="236">
        <f t="shared" si="14"/>
        <v>0</v>
      </c>
      <c r="I75" s="409">
        <f t="shared" si="17"/>
        <v>0</v>
      </c>
      <c r="J75" s="414">
        <f>$G75*'MCAA RECAP'!$J$130</f>
        <v>0</v>
      </c>
      <c r="K75" s="414">
        <f>$G75*SUM('MCAA RECAP'!$H$48:$H$52)</f>
        <v>0</v>
      </c>
      <c r="L75" s="414">
        <f>$G75*SUM('MCAA RECAP'!$J$45)</f>
        <v>0</v>
      </c>
    </row>
    <row r="76" spans="1:12" x14ac:dyDescent="0.2">
      <c r="A76" s="217"/>
      <c r="B76" s="235"/>
      <c r="C76" s="235"/>
      <c r="D76" s="236"/>
      <c r="E76" s="236">
        <f t="shared" si="15"/>
        <v>0</v>
      </c>
      <c r="F76" s="236">
        <f t="shared" si="13"/>
        <v>0</v>
      </c>
      <c r="G76" s="243">
        <f t="shared" si="16"/>
        <v>0</v>
      </c>
      <c r="H76" s="236">
        <f t="shared" si="14"/>
        <v>0</v>
      </c>
      <c r="I76" s="409">
        <f t="shared" si="17"/>
        <v>0</v>
      </c>
      <c r="J76" s="414">
        <f>$G76*'MCAA RECAP'!$J$130</f>
        <v>0</v>
      </c>
      <c r="K76" s="414">
        <f>$G76*SUM('MCAA RECAP'!$H$48:$H$52)</f>
        <v>0</v>
      </c>
      <c r="L76" s="414">
        <f>$G76*SUM('MCAA RECAP'!$J$45)</f>
        <v>0</v>
      </c>
    </row>
    <row r="77" spans="1:12" x14ac:dyDescent="0.2">
      <c r="A77" s="217"/>
      <c r="B77" s="235"/>
      <c r="C77" s="235"/>
      <c r="D77" s="236"/>
      <c r="E77" s="236">
        <f t="shared" si="15"/>
        <v>0</v>
      </c>
      <c r="F77" s="236">
        <f t="shared" si="13"/>
        <v>0</v>
      </c>
      <c r="G77" s="243">
        <f t="shared" si="16"/>
        <v>0</v>
      </c>
      <c r="H77" s="236">
        <f t="shared" si="14"/>
        <v>0</v>
      </c>
      <c r="I77" s="409">
        <f t="shared" si="17"/>
        <v>0</v>
      </c>
      <c r="J77" s="414">
        <f>$G77*'MCAA RECAP'!$J$130</f>
        <v>0</v>
      </c>
      <c r="K77" s="414">
        <f>$G77*SUM('MCAA RECAP'!$H$48:$H$52)</f>
        <v>0</v>
      </c>
      <c r="L77" s="414">
        <f>$G77*SUM('MCAA RECAP'!$J$45)</f>
        <v>0</v>
      </c>
    </row>
    <row r="78" spans="1:12" x14ac:dyDescent="0.2">
      <c r="A78" s="217"/>
      <c r="B78" s="235"/>
      <c r="C78" s="235"/>
      <c r="D78" s="236"/>
      <c r="E78" s="236">
        <f t="shared" si="15"/>
        <v>0</v>
      </c>
      <c r="F78" s="236">
        <f t="shared" si="13"/>
        <v>0</v>
      </c>
      <c r="G78" s="243">
        <f t="shared" si="16"/>
        <v>0</v>
      </c>
      <c r="H78" s="236">
        <f t="shared" si="14"/>
        <v>0</v>
      </c>
      <c r="I78" s="409">
        <f t="shared" si="17"/>
        <v>0</v>
      </c>
      <c r="J78" s="414">
        <f>$G78*'MCAA RECAP'!$J$130</f>
        <v>0</v>
      </c>
      <c r="K78" s="414">
        <f>$G78*SUM('MCAA RECAP'!$H$48:$H$52)</f>
        <v>0</v>
      </c>
      <c r="L78" s="414">
        <f>$G78*SUM('MCAA RECAP'!$J$45)</f>
        <v>0</v>
      </c>
    </row>
    <row r="79" spans="1:12" x14ac:dyDescent="0.2">
      <c r="A79" s="217"/>
      <c r="B79" s="235"/>
      <c r="C79" s="235"/>
      <c r="D79" s="236"/>
      <c r="E79" s="236">
        <f t="shared" si="15"/>
        <v>0</v>
      </c>
      <c r="F79" s="236">
        <f t="shared" si="13"/>
        <v>0</v>
      </c>
      <c r="G79" s="243">
        <f t="shared" si="16"/>
        <v>0</v>
      </c>
      <c r="H79" s="236">
        <f t="shared" si="14"/>
        <v>0</v>
      </c>
      <c r="I79" s="409">
        <f t="shared" si="17"/>
        <v>0</v>
      </c>
      <c r="J79" s="414">
        <f>$G79*'MCAA RECAP'!$J$130</f>
        <v>0</v>
      </c>
      <c r="K79" s="414">
        <f>$G79*SUM('MCAA RECAP'!$H$48:$H$52)</f>
        <v>0</v>
      </c>
      <c r="L79" s="414">
        <f>$G79*SUM('MCAA RECAP'!$J$45)</f>
        <v>0</v>
      </c>
    </row>
    <row r="80" spans="1:12" x14ac:dyDescent="0.2">
      <c r="A80" s="217"/>
      <c r="B80" s="235"/>
      <c r="C80" s="235"/>
      <c r="D80" s="236"/>
      <c r="E80" s="236">
        <f t="shared" si="15"/>
        <v>0</v>
      </c>
      <c r="F80" s="236">
        <f t="shared" si="13"/>
        <v>0</v>
      </c>
      <c r="G80" s="243">
        <f t="shared" si="16"/>
        <v>0</v>
      </c>
      <c r="H80" s="236">
        <f t="shared" si="14"/>
        <v>0</v>
      </c>
      <c r="I80" s="409">
        <f t="shared" si="17"/>
        <v>0</v>
      </c>
      <c r="J80" s="414">
        <f>$G80*'MCAA RECAP'!$J$130</f>
        <v>0</v>
      </c>
      <c r="K80" s="414">
        <f>$G80*SUM('MCAA RECAP'!$H$48:$H$52)</f>
        <v>0</v>
      </c>
      <c r="L80" s="414">
        <f>$G80*SUM('MCAA RECAP'!$J$45)</f>
        <v>0</v>
      </c>
    </row>
    <row r="81" spans="1:12" x14ac:dyDescent="0.2">
      <c r="A81" s="217"/>
      <c r="B81" s="235"/>
      <c r="C81" s="235"/>
      <c r="D81" s="236"/>
      <c r="E81" s="236">
        <f t="shared" si="15"/>
        <v>0</v>
      </c>
      <c r="F81" s="236">
        <f t="shared" si="13"/>
        <v>0</v>
      </c>
      <c r="G81" s="243">
        <f t="shared" si="16"/>
        <v>0</v>
      </c>
      <c r="H81" s="236">
        <f t="shared" si="14"/>
        <v>0</v>
      </c>
      <c r="I81" s="409">
        <f t="shared" si="17"/>
        <v>0</v>
      </c>
      <c r="J81" s="414">
        <f>$G81*'MCAA RECAP'!$J$130</f>
        <v>0</v>
      </c>
      <c r="K81" s="414">
        <f>$G81*SUM('MCAA RECAP'!$H$48:$H$52)</f>
        <v>0</v>
      </c>
      <c r="L81" s="414">
        <f>$G81*SUM('MCAA RECAP'!$J$45)</f>
        <v>0</v>
      </c>
    </row>
    <row r="82" spans="1:12" x14ac:dyDescent="0.2">
      <c r="A82" s="217"/>
      <c r="B82" s="235"/>
      <c r="C82" s="235"/>
      <c r="D82" s="236"/>
      <c r="E82" s="236">
        <f t="shared" si="15"/>
        <v>0</v>
      </c>
      <c r="F82" s="236">
        <f t="shared" si="13"/>
        <v>0</v>
      </c>
      <c r="G82" s="243">
        <f t="shared" si="16"/>
        <v>0</v>
      </c>
      <c r="H82" s="236">
        <f t="shared" si="14"/>
        <v>0</v>
      </c>
      <c r="I82" s="409">
        <f t="shared" si="17"/>
        <v>0</v>
      </c>
      <c r="J82" s="414">
        <f>$G82*'MCAA RECAP'!$J$130</f>
        <v>0</v>
      </c>
      <c r="K82" s="414">
        <f>$G82*SUM('MCAA RECAP'!$H$48:$H$52)</f>
        <v>0</v>
      </c>
      <c r="L82" s="414">
        <f>$G82*SUM('MCAA RECAP'!$J$45)</f>
        <v>0</v>
      </c>
    </row>
    <row r="83" spans="1:12" x14ac:dyDescent="0.2">
      <c r="A83" s="217"/>
      <c r="B83" s="235"/>
      <c r="C83" s="235"/>
      <c r="D83" s="236"/>
      <c r="E83" s="236">
        <f t="shared" si="15"/>
        <v>0</v>
      </c>
      <c r="F83" s="236">
        <f t="shared" si="13"/>
        <v>0</v>
      </c>
      <c r="G83" s="243">
        <f t="shared" si="16"/>
        <v>0</v>
      </c>
      <c r="H83" s="236">
        <f t="shared" si="14"/>
        <v>0</v>
      </c>
      <c r="I83" s="409">
        <f t="shared" si="17"/>
        <v>0</v>
      </c>
      <c r="J83" s="414">
        <f>$G83*'MCAA RECAP'!$J$130</f>
        <v>0</v>
      </c>
      <c r="K83" s="414">
        <f>$G83*SUM('MCAA RECAP'!$H$48:$H$52)</f>
        <v>0</v>
      </c>
      <c r="L83" s="414">
        <f>$G83*SUM('MCAA RECAP'!$J$45)</f>
        <v>0</v>
      </c>
    </row>
    <row r="84" spans="1:12" x14ac:dyDescent="0.2">
      <c r="A84" s="217"/>
      <c r="B84" s="235"/>
      <c r="C84" s="235"/>
      <c r="D84" s="236"/>
      <c r="E84" s="236">
        <f t="shared" si="15"/>
        <v>0</v>
      </c>
      <c r="F84" s="236">
        <f t="shared" si="13"/>
        <v>0</v>
      </c>
      <c r="G84" s="243">
        <f t="shared" si="16"/>
        <v>0</v>
      </c>
      <c r="H84" s="236">
        <f t="shared" si="14"/>
        <v>0</v>
      </c>
      <c r="I84" s="409">
        <f t="shared" si="17"/>
        <v>0</v>
      </c>
      <c r="J84" s="414">
        <f>$G84*'MCAA RECAP'!$J$130</f>
        <v>0</v>
      </c>
      <c r="K84" s="414">
        <f>$G84*SUM('MCAA RECAP'!$H$48:$H$52)</f>
        <v>0</v>
      </c>
      <c r="L84" s="414">
        <f>$G84*SUM('MCAA RECAP'!$J$45)</f>
        <v>0</v>
      </c>
    </row>
    <row r="85" spans="1:12" x14ac:dyDescent="0.2">
      <c r="A85" s="217"/>
      <c r="B85" s="235"/>
      <c r="C85" s="235"/>
      <c r="D85" s="236"/>
      <c r="E85" s="236">
        <f t="shared" si="15"/>
        <v>0</v>
      </c>
      <c r="F85" s="236">
        <f t="shared" si="13"/>
        <v>0</v>
      </c>
      <c r="G85" s="243">
        <f t="shared" si="16"/>
        <v>0</v>
      </c>
      <c r="H85" s="236">
        <f t="shared" si="14"/>
        <v>0</v>
      </c>
      <c r="I85" s="409">
        <f t="shared" si="17"/>
        <v>0</v>
      </c>
      <c r="J85" s="414">
        <f>$G85*'MCAA RECAP'!$J$130</f>
        <v>0</v>
      </c>
      <c r="K85" s="414">
        <f>$G85*SUM('MCAA RECAP'!$H$48:$H$52)</f>
        <v>0</v>
      </c>
      <c r="L85" s="414">
        <f>$G85*SUM('MCAA RECAP'!$J$45)</f>
        <v>0</v>
      </c>
    </row>
    <row r="86" spans="1:12" x14ac:dyDescent="0.2">
      <c r="A86" s="217"/>
      <c r="B86" s="235"/>
      <c r="C86" s="235"/>
      <c r="D86" s="236"/>
      <c r="E86" s="236">
        <f t="shared" si="15"/>
        <v>0</v>
      </c>
      <c r="F86" s="236">
        <f t="shared" si="13"/>
        <v>0</v>
      </c>
      <c r="G86" s="243">
        <f t="shared" si="16"/>
        <v>0</v>
      </c>
      <c r="H86" s="236">
        <f t="shared" si="14"/>
        <v>0</v>
      </c>
      <c r="I86" s="409">
        <f t="shared" si="17"/>
        <v>0</v>
      </c>
      <c r="J86" s="414">
        <f>$G86*'MCAA RECAP'!$J$130</f>
        <v>0</v>
      </c>
      <c r="K86" s="414">
        <f>$G86*SUM('MCAA RECAP'!$H$48:$H$52)</f>
        <v>0</v>
      </c>
      <c r="L86" s="414">
        <f>$G86*SUM('MCAA RECAP'!$J$45)</f>
        <v>0</v>
      </c>
    </row>
    <row r="87" spans="1:12" x14ac:dyDescent="0.2">
      <c r="A87" s="217"/>
      <c r="B87" s="235"/>
      <c r="C87" s="235"/>
      <c r="D87" s="236"/>
      <c r="E87" s="236">
        <f t="shared" si="15"/>
        <v>0</v>
      </c>
      <c r="F87" s="236">
        <f t="shared" si="13"/>
        <v>0</v>
      </c>
      <c r="G87" s="243">
        <f t="shared" si="16"/>
        <v>0</v>
      </c>
      <c r="H87" s="236">
        <f t="shared" si="14"/>
        <v>0</v>
      </c>
      <c r="I87" s="409">
        <f t="shared" si="17"/>
        <v>0</v>
      </c>
      <c r="J87" s="414">
        <f>$G87*'MCAA RECAP'!$J$130</f>
        <v>0</v>
      </c>
      <c r="K87" s="414">
        <f>$G87*SUM('MCAA RECAP'!$H$48:$H$52)</f>
        <v>0</v>
      </c>
      <c r="L87" s="414">
        <f>$G87*SUM('MCAA RECAP'!$J$45)</f>
        <v>0</v>
      </c>
    </row>
    <row r="88" spans="1:12" x14ac:dyDescent="0.2">
      <c r="A88" s="217"/>
      <c r="B88" s="235"/>
      <c r="C88" s="235"/>
      <c r="D88" s="236"/>
      <c r="E88" s="236">
        <f t="shared" si="15"/>
        <v>0</v>
      </c>
      <c r="F88" s="236">
        <f t="shared" si="13"/>
        <v>0</v>
      </c>
      <c r="G88" s="243">
        <f t="shared" si="16"/>
        <v>0</v>
      </c>
      <c r="H88" s="236">
        <f t="shared" si="14"/>
        <v>0</v>
      </c>
      <c r="I88" s="409">
        <f t="shared" si="17"/>
        <v>0</v>
      </c>
      <c r="J88" s="414">
        <f>$G88*'MCAA RECAP'!$J$130</f>
        <v>0</v>
      </c>
      <c r="K88" s="414">
        <f>$G88*SUM('MCAA RECAP'!$H$48:$H$52)</f>
        <v>0</v>
      </c>
      <c r="L88" s="414">
        <f>$G88*SUM('MCAA RECAP'!$J$45)</f>
        <v>0</v>
      </c>
    </row>
    <row r="89" spans="1:12" x14ac:dyDescent="0.2">
      <c r="A89" s="217"/>
      <c r="B89" s="235"/>
      <c r="C89" s="235"/>
      <c r="D89" s="236"/>
      <c r="E89" s="236">
        <f t="shared" si="15"/>
        <v>0</v>
      </c>
      <c r="F89" s="236">
        <f t="shared" si="13"/>
        <v>0</v>
      </c>
      <c r="G89" s="243">
        <f t="shared" si="16"/>
        <v>0</v>
      </c>
      <c r="H89" s="236">
        <f t="shared" si="14"/>
        <v>0</v>
      </c>
      <c r="I89" s="409">
        <f t="shared" si="17"/>
        <v>0</v>
      </c>
      <c r="J89" s="414">
        <f>$G89*'MCAA RECAP'!$J$130</f>
        <v>0</v>
      </c>
      <c r="K89" s="414">
        <f>$G89*SUM('MCAA RECAP'!$H$48:$H$52)</f>
        <v>0</v>
      </c>
      <c r="L89" s="414">
        <f>$G89*SUM('MCAA RECAP'!$J$45)</f>
        <v>0</v>
      </c>
    </row>
    <row r="90" spans="1:12" x14ac:dyDescent="0.2">
      <c r="A90" s="217"/>
      <c r="B90" s="235"/>
      <c r="C90" s="235"/>
      <c r="D90" s="236"/>
      <c r="E90" s="236">
        <f t="shared" si="15"/>
        <v>0</v>
      </c>
      <c r="F90" s="236">
        <f t="shared" si="13"/>
        <v>0</v>
      </c>
      <c r="G90" s="243">
        <f t="shared" si="16"/>
        <v>0</v>
      </c>
      <c r="H90" s="236">
        <f t="shared" si="14"/>
        <v>0</v>
      </c>
      <c r="I90" s="409">
        <f t="shared" si="17"/>
        <v>0</v>
      </c>
      <c r="J90" s="414">
        <f>$G90*'MCAA RECAP'!$J$130</f>
        <v>0</v>
      </c>
      <c r="K90" s="414">
        <f>$G90*SUM('MCAA RECAP'!$H$48:$H$52)</f>
        <v>0</v>
      </c>
      <c r="L90" s="414">
        <f>$G90*SUM('MCAA RECAP'!$J$45)</f>
        <v>0</v>
      </c>
    </row>
    <row r="91" spans="1:12" ht="13.5" thickBot="1" x14ac:dyDescent="0.25">
      <c r="A91" s="218"/>
      <c r="B91" s="237"/>
      <c r="C91" s="237"/>
      <c r="D91" s="238"/>
      <c r="E91" s="238">
        <f t="shared" si="15"/>
        <v>0</v>
      </c>
      <c r="F91" s="238">
        <f t="shared" si="13"/>
        <v>0</v>
      </c>
      <c r="G91" s="244">
        <f t="shared" si="16"/>
        <v>0</v>
      </c>
      <c r="H91" s="238">
        <f t="shared" si="14"/>
        <v>0</v>
      </c>
      <c r="I91" s="410">
        <f t="shared" si="17"/>
        <v>0</v>
      </c>
      <c r="J91" s="415">
        <f>$G91*'MCAA RECAP'!$J$130</f>
        <v>0</v>
      </c>
      <c r="K91" s="415">
        <f>$G91*SUM('MCAA RECAP'!$H$48:$H$52)</f>
        <v>0</v>
      </c>
      <c r="L91" s="415">
        <f>$G91*SUM('MCAA RECAP'!$J$45)</f>
        <v>0</v>
      </c>
    </row>
    <row r="92" spans="1:12" ht="13.5" thickBot="1" x14ac:dyDescent="0.25">
      <c r="A92" s="228" t="s">
        <v>1065</v>
      </c>
      <c r="B92" s="239">
        <f>SUM(B72:B91)</f>
        <v>0</v>
      </c>
      <c r="C92" s="239">
        <f>SUM(C72:C91)</f>
        <v>0</v>
      </c>
      <c r="D92" s="239">
        <f>SUM(D72:D91)</f>
        <v>0</v>
      </c>
      <c r="E92" s="239">
        <f>SUM(E72:E91)</f>
        <v>0</v>
      </c>
      <c r="F92" s="387"/>
      <c r="G92" s="244">
        <f t="shared" si="16"/>
        <v>0</v>
      </c>
      <c r="H92" s="239">
        <f>SUM(H72:H91)</f>
        <v>0</v>
      </c>
      <c r="I92" s="411">
        <f>SUM(I72:I91)</f>
        <v>0</v>
      </c>
      <c r="J92" s="416">
        <f>SUM(J72:J91)</f>
        <v>0</v>
      </c>
      <c r="K92" s="416">
        <f>SUM(K72:K91)</f>
        <v>0</v>
      </c>
      <c r="L92" s="416">
        <f>SUM(L72:L91)</f>
        <v>0</v>
      </c>
    </row>
    <row r="93" spans="1:12" x14ac:dyDescent="0.2">
      <c r="A93" s="121"/>
    </row>
    <row r="94" spans="1:12" x14ac:dyDescent="0.2">
      <c r="A94" s="121"/>
    </row>
    <row r="95" spans="1:12" x14ac:dyDescent="0.2">
      <c r="A95" s="121"/>
    </row>
    <row r="96" spans="1:12" x14ac:dyDescent="0.2">
      <c r="A96" s="121"/>
    </row>
    <row r="97" spans="1:1" x14ac:dyDescent="0.2">
      <c r="A97" s="121"/>
    </row>
    <row r="98" spans="1:1" x14ac:dyDescent="0.2">
      <c r="A98" s="121"/>
    </row>
    <row r="99" spans="1:1" x14ac:dyDescent="0.2">
      <c r="A99" s="121"/>
    </row>
    <row r="100" spans="1:1" x14ac:dyDescent="0.2">
      <c r="A100" s="121"/>
    </row>
    <row r="101" spans="1:1" x14ac:dyDescent="0.2">
      <c r="A101" s="121"/>
    </row>
    <row r="102" spans="1:1" x14ac:dyDescent="0.2">
      <c r="A102" s="121"/>
    </row>
    <row r="103" spans="1:1" x14ac:dyDescent="0.2">
      <c r="A103" s="121"/>
    </row>
    <row r="104" spans="1:1" x14ac:dyDescent="0.2">
      <c r="A104" s="121"/>
    </row>
    <row r="105" spans="1:1" x14ac:dyDescent="0.2">
      <c r="A105" s="121"/>
    </row>
    <row r="106" spans="1:1" x14ac:dyDescent="0.2">
      <c r="A106" s="121"/>
    </row>
    <row r="107" spans="1:1" x14ac:dyDescent="0.2">
      <c r="A107" s="121"/>
    </row>
    <row r="108" spans="1:1" x14ac:dyDescent="0.2">
      <c r="A108" s="121"/>
    </row>
    <row r="109" spans="1:1" x14ac:dyDescent="0.2">
      <c r="A109" s="121"/>
    </row>
    <row r="110" spans="1:1" x14ac:dyDescent="0.2">
      <c r="A110" s="121"/>
    </row>
  </sheetData>
  <sheetProtection algorithmName="SHA-512" hashValue="kMnzMHzQ4ddoUvN+Bcxai5HZ8r6p21op0ABli4iRJEiQikRqwPYit9YZtyJvqGxYbbuZJoumdLahaQpNBuFsYg==" saltValue="q4H81gmyG5TXoJUyc8A4qw==" spinCount="100000" sheet="1" objects="1" scenarios="1" sort="0" autoFilter="0" pivotTables="0"/>
  <mergeCells count="3">
    <mergeCell ref="J6:L6"/>
    <mergeCell ref="J44:L44"/>
    <mergeCell ref="J70:L70"/>
  </mergeCells>
  <printOptions horizontalCentered="1"/>
  <pageMargins left="0.7" right="0.7" top="0.75" bottom="0.75" header="0.3" footer="0.3"/>
  <pageSetup scale="70" fitToHeight="0" orientation="landscape" r:id="rId1"/>
  <headerFooter scaleWithDoc="0" alignWithMargins="0">
    <oddFooter>&amp;L&amp;D&amp;C&amp;F&amp;RPage &amp;P of &amp;N</oddFooter>
  </headerFooter>
  <rowBreaks count="2" manualBreakCount="2">
    <brk id="42" max="8" man="1"/>
    <brk id="68" max="8" man="1"/>
  </rowBreaks>
  <ignoredErrors>
    <ignoredError sqref="E8:E27 E66:E70 G40:G44 G46:G70 E72:E91 G72:G92 G8:G27" formula="1"/>
  </ignoredError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pageSetUpPr fitToPage="1"/>
  </sheetPr>
  <dimension ref="B1:I69"/>
  <sheetViews>
    <sheetView workbookViewId="0"/>
  </sheetViews>
  <sheetFormatPr defaultRowHeight="12.75" x14ac:dyDescent="0.2"/>
  <cols>
    <col min="1" max="1" width="2.28515625" customWidth="1"/>
    <col min="2" max="2" width="9.140625" style="123" bestFit="1" customWidth="1"/>
    <col min="3" max="3" width="15.85546875" style="123" bestFit="1" customWidth="1"/>
    <col min="4" max="4" width="70.7109375" style="123" bestFit="1" customWidth="1"/>
    <col min="5" max="5" width="5.28515625" style="123" bestFit="1" customWidth="1"/>
    <col min="6" max="6" width="5.42578125" style="123" bestFit="1" customWidth="1"/>
    <col min="7" max="7" width="12" style="123" bestFit="1" customWidth="1"/>
    <col min="8" max="8" width="46.85546875" style="123" bestFit="1" customWidth="1"/>
    <col min="9" max="9" width="25.28515625" style="123" bestFit="1" customWidth="1"/>
  </cols>
  <sheetData>
    <row r="1" spans="2:9" ht="13.5" thickBot="1" x14ac:dyDescent="0.25">
      <c r="B1"/>
      <c r="C1"/>
      <c r="D1"/>
      <c r="E1"/>
      <c r="F1"/>
      <c r="G1"/>
      <c r="H1"/>
      <c r="I1"/>
    </row>
    <row r="2" spans="2:9" ht="43.5" customHeight="1" thickBot="1" x14ac:dyDescent="0.35">
      <c r="B2" s="1000" t="s">
        <v>116</v>
      </c>
      <c r="C2" s="1001"/>
      <c r="D2"/>
      <c r="E2"/>
      <c r="F2" s="1002" t="s">
        <v>117</v>
      </c>
      <c r="G2" s="1003"/>
      <c r="H2" s="1004"/>
      <c r="I2"/>
    </row>
    <row r="3" spans="2:9" ht="13.5" thickBot="1" x14ac:dyDescent="0.25">
      <c r="B3"/>
      <c r="C3"/>
      <c r="D3"/>
      <c r="E3"/>
      <c r="F3"/>
      <c r="G3"/>
      <c r="H3"/>
      <c r="I3"/>
    </row>
    <row r="4" spans="2:9" hidden="1" x14ac:dyDescent="0.2">
      <c r="B4"/>
      <c r="C4" t="s">
        <v>125</v>
      </c>
      <c r="D4"/>
      <c r="E4"/>
      <c r="F4"/>
      <c r="G4"/>
      <c r="H4"/>
      <c r="I4"/>
    </row>
    <row r="5" spans="2:9" ht="13.5" hidden="1" thickBot="1" x14ac:dyDescent="0.25">
      <c r="B5"/>
      <c r="C5" t="s">
        <v>126</v>
      </c>
      <c r="D5"/>
      <c r="E5"/>
      <c r="F5"/>
      <c r="G5"/>
      <c r="H5"/>
      <c r="I5"/>
    </row>
    <row r="6" spans="2:9" ht="21" thickBot="1" x14ac:dyDescent="0.25">
      <c r="B6" s="151" t="s">
        <v>123</v>
      </c>
      <c r="C6" s="152" t="s">
        <v>124</v>
      </c>
      <c r="D6" s="153" t="s">
        <v>118</v>
      </c>
      <c r="E6" s="154" t="s">
        <v>127</v>
      </c>
      <c r="F6" s="154" t="s">
        <v>128</v>
      </c>
      <c r="G6" s="154" t="s">
        <v>119</v>
      </c>
      <c r="H6" s="155" t="s">
        <v>120</v>
      </c>
      <c r="I6" s="155" t="s">
        <v>121</v>
      </c>
    </row>
    <row r="7" spans="2:9" ht="20.25" x14ac:dyDescent="0.2">
      <c r="B7" s="132">
        <v>1</v>
      </c>
      <c r="C7" s="133"/>
      <c r="D7" s="134"/>
      <c r="E7" s="135"/>
      <c r="F7" s="135"/>
      <c r="G7" s="136"/>
      <c r="H7" s="136"/>
      <c r="I7" s="137"/>
    </row>
    <row r="8" spans="2:9" ht="16.5" customHeight="1" x14ac:dyDescent="0.2">
      <c r="B8" s="138">
        <v>2</v>
      </c>
      <c r="C8" s="139"/>
      <c r="D8" s="140"/>
      <c r="E8" s="139"/>
      <c r="F8" s="139"/>
      <c r="G8" s="139" t="s">
        <v>8</v>
      </c>
      <c r="H8" s="141"/>
      <c r="I8" s="142"/>
    </row>
    <row r="9" spans="2:9" ht="16.5" customHeight="1" x14ac:dyDescent="0.2">
      <c r="B9" s="138">
        <v>3</v>
      </c>
      <c r="C9" s="139"/>
      <c r="D9" s="140"/>
      <c r="E9" s="139"/>
      <c r="F9" s="139"/>
      <c r="G9" s="139" t="s">
        <v>8</v>
      </c>
      <c r="H9" s="141"/>
      <c r="I9" s="142"/>
    </row>
    <row r="10" spans="2:9" ht="16.5" customHeight="1" x14ac:dyDescent="0.2">
      <c r="B10" s="138">
        <v>4</v>
      </c>
      <c r="C10" s="139"/>
      <c r="D10" s="140"/>
      <c r="E10" s="139"/>
      <c r="F10" s="139"/>
      <c r="G10" s="139" t="s">
        <v>8</v>
      </c>
      <c r="H10" s="141"/>
      <c r="I10" s="142"/>
    </row>
    <row r="11" spans="2:9" ht="16.5" customHeight="1" x14ac:dyDescent="0.2">
      <c r="B11" s="138">
        <v>5</v>
      </c>
      <c r="C11" s="139"/>
      <c r="D11" s="140"/>
      <c r="E11" s="139"/>
      <c r="F11" s="139"/>
      <c r="G11" s="139" t="s">
        <v>8</v>
      </c>
      <c r="H11" s="141"/>
      <c r="I11" s="142"/>
    </row>
    <row r="12" spans="2:9" ht="16.5" customHeight="1" x14ac:dyDescent="0.2">
      <c r="B12" s="138">
        <v>6</v>
      </c>
      <c r="C12" s="139"/>
      <c r="D12" s="140"/>
      <c r="E12" s="139"/>
      <c r="F12" s="139"/>
      <c r="G12" s="139" t="s">
        <v>8</v>
      </c>
      <c r="H12" s="141"/>
      <c r="I12" s="142"/>
    </row>
    <row r="13" spans="2:9" ht="16.5" customHeight="1" x14ac:dyDescent="0.2">
      <c r="B13" s="138">
        <v>7</v>
      </c>
      <c r="C13" s="139"/>
      <c r="D13" s="140"/>
      <c r="E13" s="139"/>
      <c r="F13" s="139"/>
      <c r="G13" s="139" t="s">
        <v>8</v>
      </c>
      <c r="H13" s="141"/>
      <c r="I13" s="142"/>
    </row>
    <row r="14" spans="2:9" ht="16.5" customHeight="1" x14ac:dyDescent="0.2">
      <c r="B14" s="138">
        <v>8</v>
      </c>
      <c r="C14" s="139"/>
      <c r="D14" s="140"/>
      <c r="E14" s="139"/>
      <c r="F14" s="139"/>
      <c r="G14" s="139" t="s">
        <v>8</v>
      </c>
      <c r="H14" s="141"/>
      <c r="I14" s="142"/>
    </row>
    <row r="15" spans="2:9" ht="16.5" customHeight="1" x14ac:dyDescent="0.2">
      <c r="B15" s="138">
        <v>9</v>
      </c>
      <c r="C15" s="139"/>
      <c r="D15" s="140"/>
      <c r="E15" s="139"/>
      <c r="F15" s="139"/>
      <c r="G15" s="139" t="s">
        <v>8</v>
      </c>
      <c r="H15" s="141"/>
      <c r="I15" s="142"/>
    </row>
    <row r="16" spans="2:9" ht="16.5" customHeight="1" x14ac:dyDescent="0.2">
      <c r="B16" s="138">
        <v>10</v>
      </c>
      <c r="C16" s="139"/>
      <c r="D16" s="140"/>
      <c r="E16" s="139"/>
      <c r="F16" s="139"/>
      <c r="G16" s="139" t="s">
        <v>8</v>
      </c>
      <c r="H16" s="141"/>
      <c r="I16" s="142"/>
    </row>
    <row r="17" spans="2:9" ht="16.5" customHeight="1" x14ac:dyDescent="0.2">
      <c r="B17" s="138">
        <v>11</v>
      </c>
      <c r="C17" s="139"/>
      <c r="D17" s="140"/>
      <c r="E17" s="139"/>
      <c r="F17" s="139"/>
      <c r="G17" s="139" t="s">
        <v>8</v>
      </c>
      <c r="H17" s="141"/>
      <c r="I17" s="142"/>
    </row>
    <row r="18" spans="2:9" ht="16.5" customHeight="1" x14ac:dyDescent="0.2">
      <c r="B18" s="138">
        <v>12</v>
      </c>
      <c r="C18" s="139"/>
      <c r="D18" s="140"/>
      <c r="E18" s="139"/>
      <c r="F18" s="139"/>
      <c r="G18" s="139" t="s">
        <v>8</v>
      </c>
      <c r="H18" s="141"/>
      <c r="I18" s="142"/>
    </row>
    <row r="19" spans="2:9" ht="16.5" customHeight="1" x14ac:dyDescent="0.2">
      <c r="B19" s="138">
        <v>13</v>
      </c>
      <c r="C19" s="139"/>
      <c r="D19" s="140"/>
      <c r="E19" s="139"/>
      <c r="F19" s="139"/>
      <c r="G19" s="139" t="s">
        <v>8</v>
      </c>
      <c r="H19" s="141"/>
      <c r="I19" s="142"/>
    </row>
    <row r="20" spans="2:9" ht="16.5" customHeight="1" x14ac:dyDescent="0.2">
      <c r="B20" s="138">
        <v>14</v>
      </c>
      <c r="C20" s="139"/>
      <c r="D20" s="140"/>
      <c r="E20" s="139"/>
      <c r="F20" s="139"/>
      <c r="G20" s="139" t="s">
        <v>8</v>
      </c>
      <c r="H20" s="141"/>
      <c r="I20" s="142"/>
    </row>
    <row r="21" spans="2:9" ht="16.5" customHeight="1" x14ac:dyDescent="0.2">
      <c r="B21" s="138">
        <v>15</v>
      </c>
      <c r="C21" s="139"/>
      <c r="D21" s="140"/>
      <c r="E21" s="139"/>
      <c r="F21" s="139"/>
      <c r="G21" s="139" t="s">
        <v>8</v>
      </c>
      <c r="H21" s="141"/>
      <c r="I21" s="142"/>
    </row>
    <row r="22" spans="2:9" ht="16.5" customHeight="1" x14ac:dyDescent="0.2">
      <c r="B22" s="138">
        <v>16</v>
      </c>
      <c r="C22" s="139"/>
      <c r="D22" s="140"/>
      <c r="E22" s="139"/>
      <c r="F22" s="139"/>
      <c r="G22" s="139" t="s">
        <v>8</v>
      </c>
      <c r="H22" s="141"/>
      <c r="I22" s="142"/>
    </row>
    <row r="23" spans="2:9" ht="16.5" customHeight="1" x14ac:dyDescent="0.2">
      <c r="B23" s="138">
        <v>17</v>
      </c>
      <c r="C23" s="139"/>
      <c r="D23" s="140"/>
      <c r="E23" s="139"/>
      <c r="F23" s="139"/>
      <c r="G23" s="139" t="s">
        <v>8</v>
      </c>
      <c r="H23" s="141"/>
      <c r="I23" s="142"/>
    </row>
    <row r="24" spans="2:9" ht="16.5" customHeight="1" x14ac:dyDescent="0.2">
      <c r="B24" s="138">
        <v>18</v>
      </c>
      <c r="C24" s="139"/>
      <c r="D24" s="140"/>
      <c r="E24" s="139"/>
      <c r="F24" s="139"/>
      <c r="G24" s="139" t="s">
        <v>8</v>
      </c>
      <c r="H24" s="141"/>
      <c r="I24" s="142"/>
    </row>
    <row r="25" spans="2:9" ht="16.5" customHeight="1" x14ac:dyDescent="0.2">
      <c r="B25" s="138">
        <v>19</v>
      </c>
      <c r="C25" s="139"/>
      <c r="D25" s="140"/>
      <c r="E25" s="139"/>
      <c r="F25" s="139"/>
      <c r="G25" s="139" t="s">
        <v>8</v>
      </c>
      <c r="H25" s="141"/>
      <c r="I25" s="142"/>
    </row>
    <row r="26" spans="2:9" ht="16.5" customHeight="1" x14ac:dyDescent="0.2">
      <c r="B26" s="138">
        <v>20</v>
      </c>
      <c r="C26" s="139"/>
      <c r="D26" s="140"/>
      <c r="E26" s="139"/>
      <c r="F26" s="139"/>
      <c r="G26" s="139" t="s">
        <v>8</v>
      </c>
      <c r="H26" s="141"/>
      <c r="I26" s="142"/>
    </row>
    <row r="27" spans="2:9" ht="16.5" customHeight="1" x14ac:dyDescent="0.2">
      <c r="B27" s="138">
        <v>21</v>
      </c>
      <c r="C27" s="139"/>
      <c r="D27" s="140"/>
      <c r="E27" s="139"/>
      <c r="F27" s="139"/>
      <c r="G27" s="139" t="s">
        <v>8</v>
      </c>
      <c r="H27" s="141"/>
      <c r="I27" s="142"/>
    </row>
    <row r="28" spans="2:9" ht="16.5" customHeight="1" x14ac:dyDescent="0.2">
      <c r="B28" s="138">
        <v>22</v>
      </c>
      <c r="C28" s="139"/>
      <c r="D28" s="140"/>
      <c r="E28" s="139"/>
      <c r="F28" s="139"/>
      <c r="G28" s="139" t="s">
        <v>8</v>
      </c>
      <c r="H28" s="141"/>
      <c r="I28" s="142"/>
    </row>
    <row r="29" spans="2:9" ht="16.5" customHeight="1" x14ac:dyDescent="0.2">
      <c r="B29" s="138">
        <v>23</v>
      </c>
      <c r="C29" s="139"/>
      <c r="D29" s="140"/>
      <c r="E29" s="139"/>
      <c r="F29" s="139"/>
      <c r="G29" s="139" t="s">
        <v>8</v>
      </c>
      <c r="H29" s="141"/>
      <c r="I29" s="142"/>
    </row>
    <row r="30" spans="2:9" ht="16.5" customHeight="1" x14ac:dyDescent="0.2">
      <c r="B30" s="138">
        <v>24</v>
      </c>
      <c r="C30" s="139"/>
      <c r="D30" s="140"/>
      <c r="E30" s="139"/>
      <c r="F30" s="139"/>
      <c r="G30" s="139" t="s">
        <v>8</v>
      </c>
      <c r="H30" s="141"/>
      <c r="I30" s="142"/>
    </row>
    <row r="31" spans="2:9" ht="16.5" customHeight="1" x14ac:dyDescent="0.2">
      <c r="B31" s="138">
        <v>25</v>
      </c>
      <c r="C31" s="139"/>
      <c r="D31" s="140"/>
      <c r="E31" s="139"/>
      <c r="F31" s="139"/>
      <c r="G31" s="139" t="s">
        <v>8</v>
      </c>
      <c r="H31" s="141"/>
      <c r="I31" s="142"/>
    </row>
    <row r="32" spans="2:9" ht="16.5" customHeight="1" x14ac:dyDescent="0.2">
      <c r="B32" s="138">
        <v>26</v>
      </c>
      <c r="C32" s="139"/>
      <c r="D32" s="140"/>
      <c r="E32" s="139"/>
      <c r="F32" s="139"/>
      <c r="G32" s="139" t="s">
        <v>8</v>
      </c>
      <c r="H32" s="141"/>
      <c r="I32" s="142"/>
    </row>
    <row r="33" spans="2:9" ht="16.5" customHeight="1" x14ac:dyDescent="0.2">
      <c r="B33" s="138">
        <v>27</v>
      </c>
      <c r="C33" s="139"/>
      <c r="D33" s="143"/>
      <c r="E33" s="144"/>
      <c r="F33" s="144"/>
      <c r="G33" s="144"/>
      <c r="H33" s="144"/>
      <c r="I33" s="145"/>
    </row>
    <row r="34" spans="2:9" ht="16.5" customHeight="1" x14ac:dyDescent="0.2">
      <c r="B34" s="138">
        <v>28</v>
      </c>
      <c r="C34" s="139"/>
      <c r="D34" s="143"/>
      <c r="E34" s="144"/>
      <c r="F34" s="144"/>
      <c r="G34" s="144"/>
      <c r="H34" s="144"/>
      <c r="I34" s="145"/>
    </row>
    <row r="35" spans="2:9" ht="16.5" customHeight="1" x14ac:dyDescent="0.2">
      <c r="B35" s="138">
        <v>29</v>
      </c>
      <c r="C35" s="139"/>
      <c r="D35" s="143"/>
      <c r="E35" s="144"/>
      <c r="F35" s="144"/>
      <c r="G35" s="144"/>
      <c r="H35" s="144"/>
      <c r="I35" s="145"/>
    </row>
    <row r="36" spans="2:9" ht="16.5" customHeight="1" x14ac:dyDescent="0.2">
      <c r="B36" s="138">
        <v>30</v>
      </c>
      <c r="C36" s="139"/>
      <c r="D36" s="143"/>
      <c r="E36" s="144"/>
      <c r="F36" s="144"/>
      <c r="G36" s="144"/>
      <c r="H36" s="144"/>
      <c r="I36" s="145"/>
    </row>
    <row r="37" spans="2:9" ht="16.5" customHeight="1" x14ac:dyDescent="0.2">
      <c r="B37" s="138">
        <v>31</v>
      </c>
      <c r="C37" s="139"/>
      <c r="D37" s="143"/>
      <c r="E37" s="144"/>
      <c r="F37" s="144"/>
      <c r="G37" s="144"/>
      <c r="H37" s="144"/>
      <c r="I37" s="145"/>
    </row>
    <row r="38" spans="2:9" ht="16.5" customHeight="1" x14ac:dyDescent="0.2">
      <c r="B38" s="138">
        <v>32</v>
      </c>
      <c r="C38" s="139"/>
      <c r="D38" s="143"/>
      <c r="E38" s="144"/>
      <c r="F38" s="144"/>
      <c r="G38" s="144"/>
      <c r="H38" s="144"/>
      <c r="I38" s="145"/>
    </row>
    <row r="39" spans="2:9" ht="16.5" customHeight="1" x14ac:dyDescent="0.2">
      <c r="B39" s="138">
        <v>33</v>
      </c>
      <c r="C39" s="139"/>
      <c r="D39" s="143"/>
      <c r="E39" s="144"/>
      <c r="F39" s="144"/>
      <c r="G39" s="144"/>
      <c r="H39" s="144"/>
      <c r="I39" s="145"/>
    </row>
    <row r="40" spans="2:9" ht="16.5" customHeight="1" x14ac:dyDescent="0.2">
      <c r="B40" s="138">
        <v>34</v>
      </c>
      <c r="C40" s="139"/>
      <c r="D40" s="143"/>
      <c r="E40" s="144"/>
      <c r="F40" s="144"/>
      <c r="G40" s="144"/>
      <c r="H40" s="144"/>
      <c r="I40" s="145"/>
    </row>
    <row r="41" spans="2:9" ht="16.5" customHeight="1" x14ac:dyDescent="0.2">
      <c r="B41" s="138">
        <v>35</v>
      </c>
      <c r="C41" s="139"/>
      <c r="D41" s="143"/>
      <c r="E41" s="144"/>
      <c r="F41" s="144"/>
      <c r="G41" s="144"/>
      <c r="H41" s="144"/>
      <c r="I41" s="145"/>
    </row>
    <row r="42" spans="2:9" ht="16.5" customHeight="1" x14ac:dyDescent="0.2">
      <c r="B42" s="138">
        <v>36</v>
      </c>
      <c r="C42" s="139"/>
      <c r="D42" s="143"/>
      <c r="E42" s="144"/>
      <c r="F42" s="144"/>
      <c r="G42" s="144"/>
      <c r="H42" s="144"/>
      <c r="I42" s="145"/>
    </row>
    <row r="43" spans="2:9" ht="16.5" customHeight="1" x14ac:dyDescent="0.2">
      <c r="B43" s="138">
        <v>37</v>
      </c>
      <c r="C43" s="139"/>
      <c r="D43" s="143"/>
      <c r="E43" s="144"/>
      <c r="F43" s="144"/>
      <c r="G43" s="144"/>
      <c r="H43" s="144"/>
      <c r="I43" s="145"/>
    </row>
    <row r="44" spans="2:9" ht="16.5" customHeight="1" x14ac:dyDescent="0.2">
      <c r="B44" s="138">
        <v>38</v>
      </c>
      <c r="C44" s="139"/>
      <c r="D44" s="143"/>
      <c r="E44" s="144"/>
      <c r="F44" s="144"/>
      <c r="G44" s="144"/>
      <c r="H44" s="144"/>
      <c r="I44" s="145"/>
    </row>
    <row r="45" spans="2:9" ht="16.5" customHeight="1" x14ac:dyDescent="0.2">
      <c r="B45" s="138">
        <v>39</v>
      </c>
      <c r="C45" s="139"/>
      <c r="D45" s="143"/>
      <c r="E45" s="144"/>
      <c r="F45" s="144"/>
      <c r="G45" s="144"/>
      <c r="H45" s="144"/>
      <c r="I45" s="145"/>
    </row>
    <row r="46" spans="2:9" ht="16.5" customHeight="1" thickBot="1" x14ac:dyDescent="0.25">
      <c r="B46" s="146">
        <v>40</v>
      </c>
      <c r="C46" s="147"/>
      <c r="D46" s="148"/>
      <c r="E46" s="149"/>
      <c r="F46" s="149"/>
      <c r="G46" s="149"/>
      <c r="H46" s="149"/>
      <c r="I46" s="150"/>
    </row>
    <row r="47" spans="2:9" ht="30" customHeight="1" x14ac:dyDescent="0.2"/>
    <row r="48" spans="2:9" ht="30" customHeight="1" x14ac:dyDescent="0.2"/>
    <row r="49" spans="3:3" ht="30" customHeight="1" x14ac:dyDescent="0.2"/>
    <row r="50" spans="3:3" ht="30" customHeight="1" x14ac:dyDescent="0.2"/>
    <row r="51" spans="3:3" ht="30" customHeight="1" x14ac:dyDescent="0.2"/>
    <row r="52" spans="3:3" ht="30" customHeight="1" x14ac:dyDescent="0.2"/>
    <row r="53" spans="3:3" ht="30" customHeight="1" x14ac:dyDescent="0.2"/>
    <row r="54" spans="3:3" ht="30" customHeight="1" x14ac:dyDescent="0.2"/>
    <row r="55" spans="3:3" ht="30" customHeight="1" x14ac:dyDescent="0.2"/>
    <row r="56" spans="3:3" ht="30" customHeight="1" x14ac:dyDescent="0.2"/>
    <row r="57" spans="3:3" ht="30" customHeight="1" x14ac:dyDescent="0.2"/>
    <row r="58" spans="3:3" ht="30" customHeight="1" x14ac:dyDescent="0.2"/>
    <row r="59" spans="3:3" ht="30" customHeight="1" x14ac:dyDescent="0.2"/>
    <row r="60" spans="3:3" ht="30" customHeight="1" x14ac:dyDescent="0.2"/>
    <row r="61" spans="3:3" ht="30" customHeight="1" x14ac:dyDescent="0.2"/>
    <row r="62" spans="3:3" ht="30" customHeight="1" x14ac:dyDescent="0.2"/>
    <row r="63" spans="3:3" x14ac:dyDescent="0.2">
      <c r="C63" s="123" t="s">
        <v>8</v>
      </c>
    </row>
    <row r="64" spans="3:3" x14ac:dyDescent="0.2">
      <c r="C64" s="123" t="s">
        <v>8</v>
      </c>
    </row>
    <row r="65" spans="3:3" x14ac:dyDescent="0.2">
      <c r="C65" s="123" t="s">
        <v>8</v>
      </c>
    </row>
    <row r="66" spans="3:3" x14ac:dyDescent="0.2">
      <c r="C66" s="123" t="s">
        <v>8</v>
      </c>
    </row>
    <row r="67" spans="3:3" x14ac:dyDescent="0.2">
      <c r="C67" s="123" t="s">
        <v>8</v>
      </c>
    </row>
    <row r="68" spans="3:3" x14ac:dyDescent="0.2">
      <c r="C68" s="123" t="s">
        <v>8</v>
      </c>
    </row>
    <row r="69" spans="3:3" x14ac:dyDescent="0.2">
      <c r="C69" s="123" t="s">
        <v>8</v>
      </c>
    </row>
  </sheetData>
  <sheetProtection algorithmName="SHA-512" hashValue="4STI9Ee8WNLhN9vXT4genr6H2VgXBGDME1QRXQ9egKpLy1J6cIAx2UbbygqfmzcswMI4FJLIwO1mPKkMWwRotw==" saltValue="D08mYjNgg9MV4elkW1jSTA==" spinCount="100000" sheet="1" objects="1" scenarios="1" sort="0" autoFilter="0" pivotTables="0"/>
  <autoFilter ref="B6:I6" xr:uid="{00000000-0009-0000-0000-00000C000000}"/>
  <mergeCells count="2">
    <mergeCell ref="B2:C2"/>
    <mergeCell ref="F2:H2"/>
  </mergeCells>
  <dataValidations count="1">
    <dataValidation type="list" allowBlank="1" showInputMessage="1" showErrorMessage="1" sqref="C7:C46" xr:uid="{00000000-0002-0000-0C00-000000000000}">
      <formula1>$C$4:$C$5</formula1>
    </dataValidation>
  </dataValidations>
  <pageMargins left="0.7" right="0.7" top="0.75" bottom="0.75" header="0.3" footer="0.3"/>
  <pageSetup scale="64" fitToHeight="0" orientation="landscape" r:id="rId1"/>
  <headerFooter scaleWithDoc="0" alignWithMargins="0">
    <oddFooter>&amp;L&amp;D&amp;C&amp;F&amp;RPage &amp;P of &amp;N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pageSetUpPr fitToPage="1"/>
  </sheetPr>
  <dimension ref="A3:AD14"/>
  <sheetViews>
    <sheetView workbookViewId="0">
      <selection activeCell="A9" sqref="A9"/>
    </sheetView>
  </sheetViews>
  <sheetFormatPr defaultRowHeight="12.75" x14ac:dyDescent="0.2"/>
  <cols>
    <col min="1" max="1" width="27.7109375" customWidth="1"/>
    <col min="2" max="2" width="31.85546875" customWidth="1"/>
    <col min="3" max="4" width="20.7109375" style="121" customWidth="1"/>
    <col min="5" max="5" width="20.42578125" style="121" customWidth="1"/>
    <col min="6" max="6" width="8.7109375" customWidth="1"/>
    <col min="7" max="7" width="12.42578125" customWidth="1"/>
    <col min="8" max="8" width="17.140625" customWidth="1"/>
    <col min="9" max="9" width="10.5703125" customWidth="1"/>
    <col min="10" max="10" width="17.140625" customWidth="1"/>
    <col min="11" max="11" width="20.28515625" customWidth="1"/>
    <col min="12" max="12" width="13.42578125" style="258" bestFit="1" customWidth="1"/>
    <col min="13" max="13" width="14" style="83" customWidth="1"/>
    <col min="14" max="14" width="13.42578125" style="258" bestFit="1" customWidth="1"/>
    <col min="15" max="15" width="14" style="83" customWidth="1"/>
  </cols>
  <sheetData>
    <row r="3" spans="1:30" ht="23.25" x14ac:dyDescent="0.35">
      <c r="A3" s="297"/>
      <c r="B3" s="297"/>
      <c r="C3" s="297"/>
      <c r="D3" s="297"/>
      <c r="E3" s="297"/>
      <c r="F3" s="83"/>
      <c r="G3" s="297"/>
      <c r="H3" s="297"/>
      <c r="I3" s="297"/>
      <c r="J3" s="297"/>
      <c r="K3" s="297"/>
      <c r="L3" s="297"/>
    </row>
    <row r="4" spans="1:30" x14ac:dyDescent="0.2">
      <c r="F4" s="298"/>
    </row>
    <row r="6" spans="1:30" ht="6" customHeight="1" thickBot="1" x14ac:dyDescent="0.25"/>
    <row r="7" spans="1:30" ht="21" thickBot="1" x14ac:dyDescent="0.35">
      <c r="F7" s="308">
        <f>SUM(SMImport_Qty)</f>
        <v>0</v>
      </c>
      <c r="H7" s="307">
        <f>SUM(SMImport_CalcFieldHours)</f>
        <v>0</v>
      </c>
      <c r="J7" s="307">
        <f>SUM(SMImport_CalcShopHours)</f>
        <v>0</v>
      </c>
      <c r="K7" s="306">
        <f>SUM(SMImport_MaterialCost)</f>
        <v>0</v>
      </c>
    </row>
    <row r="8" spans="1:30" ht="41.25" thickBot="1" x14ac:dyDescent="0.35">
      <c r="A8" s="305" t="s">
        <v>1069</v>
      </c>
      <c r="B8" s="305" t="s">
        <v>124</v>
      </c>
      <c r="C8" s="305" t="s">
        <v>1122</v>
      </c>
      <c r="D8" s="305" t="s">
        <v>279</v>
      </c>
      <c r="E8" s="305" t="s">
        <v>276</v>
      </c>
      <c r="F8" s="305" t="s">
        <v>261</v>
      </c>
      <c r="G8" s="305" t="s">
        <v>93</v>
      </c>
      <c r="H8" s="305" t="s">
        <v>301</v>
      </c>
      <c r="I8" s="305" t="s">
        <v>102</v>
      </c>
      <c r="J8" s="305" t="s">
        <v>342</v>
      </c>
      <c r="K8" s="305" t="s">
        <v>298</v>
      </c>
      <c r="L8" s="305" t="s">
        <v>1086</v>
      </c>
      <c r="M8" s="305" t="s">
        <v>300</v>
      </c>
      <c r="N8" s="305" t="s">
        <v>1087</v>
      </c>
      <c r="O8" s="305" t="s">
        <v>343</v>
      </c>
      <c r="P8" s="1"/>
      <c r="Q8" s="1"/>
      <c r="R8" s="1"/>
      <c r="S8" s="1"/>
      <c r="T8" s="1"/>
      <c r="U8" s="1"/>
      <c r="V8" s="1"/>
      <c r="W8" s="1"/>
      <c r="X8" s="1"/>
      <c r="Y8" s="1"/>
      <c r="Z8" s="1"/>
      <c r="AA8" s="1"/>
      <c r="AB8" s="1"/>
      <c r="AC8" s="1"/>
      <c r="AD8" s="1"/>
    </row>
    <row r="9" spans="1:30" ht="20.100000000000001" customHeight="1" x14ac:dyDescent="0.25">
      <c r="A9" s="299"/>
      <c r="B9" s="300"/>
      <c r="C9" s="301"/>
      <c r="D9" s="301"/>
      <c r="E9" s="302"/>
      <c r="F9" s="303"/>
      <c r="G9" s="173"/>
      <c r="H9" s="173" t="str">
        <f t="shared" ref="H9" si="0">IF(G9="","",IF($L9=0,G9,G9*$L9))</f>
        <v/>
      </c>
      <c r="I9" s="173"/>
      <c r="J9" s="173" t="str">
        <f>IF(I9="","",IF($N9=0,I9,I9*$N9))</f>
        <v/>
      </c>
      <c r="K9" s="304"/>
      <c r="L9" s="259" t="str">
        <f t="shared" ref="L9:N9" si="1">IF(G9="","",1)</f>
        <v/>
      </c>
      <c r="M9" s="128" t="str">
        <f>IF(L9="","",IF(L9=0,"Standard",IF(L9=1,"Standard",IF(L9&lt;1,"Easy",IF(L9&gt;1,"Hard","")))))</f>
        <v/>
      </c>
      <c r="N9" s="259" t="str">
        <f t="shared" si="1"/>
        <v/>
      </c>
      <c r="O9" s="128" t="str">
        <f>IF(N9="","",IF(N9=0,"Standard",IF(N9=1,"Standard",IF(N9&lt;1,"Easy",IF(N9&gt;1,"Hard","")))))</f>
        <v/>
      </c>
      <c r="P9" s="1"/>
      <c r="Q9" s="1"/>
      <c r="R9" s="1"/>
      <c r="S9" s="1"/>
      <c r="T9" s="1"/>
      <c r="U9" s="1"/>
      <c r="V9" s="1"/>
      <c r="W9" s="1"/>
      <c r="X9" s="1"/>
      <c r="Y9" s="1"/>
      <c r="Z9" s="1"/>
      <c r="AA9" s="1"/>
      <c r="AB9" s="1"/>
      <c r="AC9" s="1"/>
      <c r="AD9" s="1"/>
    </row>
    <row r="10" spans="1:30" ht="20.100000000000001" customHeight="1" x14ac:dyDescent="0.2">
      <c r="P10" s="1"/>
      <c r="Q10" s="1"/>
      <c r="R10" s="1"/>
      <c r="S10" s="1"/>
      <c r="T10" s="1"/>
      <c r="U10" s="1"/>
      <c r="V10" s="1"/>
      <c r="W10" s="1"/>
      <c r="X10" s="1"/>
      <c r="Y10" s="1"/>
      <c r="Z10" s="1"/>
      <c r="AA10" s="1"/>
      <c r="AB10" s="1"/>
      <c r="AC10" s="1"/>
      <c r="AD10" s="1"/>
    </row>
    <row r="11" spans="1:30" ht="20.100000000000001" customHeight="1" x14ac:dyDescent="0.2">
      <c r="P11" s="1"/>
      <c r="Q11" s="1"/>
      <c r="R11" s="1"/>
      <c r="S11" s="1"/>
      <c r="T11" s="1"/>
      <c r="U11" s="1"/>
      <c r="V11" s="1"/>
      <c r="W11" s="1"/>
      <c r="X11" s="1"/>
      <c r="Y11" s="1"/>
      <c r="Z11" s="1"/>
      <c r="AA11" s="1"/>
      <c r="AB11" s="1"/>
      <c r="AC11" s="1"/>
      <c r="AD11" s="1"/>
    </row>
    <row r="12" spans="1:30" ht="20.100000000000001" customHeight="1" x14ac:dyDescent="0.2">
      <c r="P12" s="1"/>
      <c r="Q12" s="1"/>
      <c r="R12" s="1"/>
      <c r="S12" s="1"/>
      <c r="T12" s="1"/>
      <c r="U12" s="1"/>
      <c r="V12" s="1"/>
      <c r="W12" s="1"/>
      <c r="X12" s="1"/>
      <c r="Y12" s="1"/>
      <c r="Z12" s="1"/>
      <c r="AA12" s="1"/>
      <c r="AB12" s="1"/>
      <c r="AC12" s="1"/>
      <c r="AD12" s="1"/>
    </row>
    <row r="13" spans="1:30" ht="20.100000000000001" customHeight="1" x14ac:dyDescent="0.2">
      <c r="P13" s="1"/>
      <c r="Q13" s="1"/>
      <c r="R13" s="1"/>
      <c r="S13" s="1"/>
      <c r="T13" s="1"/>
      <c r="U13" s="1"/>
      <c r="V13" s="1"/>
      <c r="W13" s="1"/>
      <c r="X13" s="1"/>
      <c r="Y13" s="1"/>
      <c r="Z13" s="1"/>
      <c r="AA13" s="1"/>
      <c r="AB13" s="1"/>
      <c r="AC13" s="1"/>
      <c r="AD13" s="1"/>
    </row>
    <row r="14" spans="1:30" ht="20.100000000000001" customHeight="1" x14ac:dyDescent="0.2">
      <c r="P14" s="1"/>
      <c r="Q14" s="1"/>
      <c r="R14" s="1"/>
      <c r="S14" s="1"/>
      <c r="T14" s="1"/>
      <c r="U14" s="1"/>
      <c r="V14" s="1"/>
      <c r="W14" s="1"/>
      <c r="X14" s="1"/>
      <c r="Y14" s="1"/>
      <c r="Z14" s="1"/>
      <c r="AA14" s="1"/>
      <c r="AB14" s="1"/>
      <c r="AC14" s="1"/>
      <c r="AD14" s="1"/>
    </row>
  </sheetData>
  <sheetProtection algorithmName="SHA-512" hashValue="iMC9T2NLLvlQLjSb9yU4+9xY4uYZkKx6/ffRYRhmYGGySC8lDaFmjFM14UKBBzPm6hJCPBr5z8xl7IYxbsZvpg==" saltValue="aqAtP5O4ABhVYTOs+2zpdQ==" spinCount="100000" sheet="1" objects="1" scenarios="1" sort="0" autoFilter="0" pivotTables="0"/>
  <autoFilter ref="A8:E9" xr:uid="{00000000-0009-0000-0000-00000D000000}"/>
  <phoneticPr fontId="23" type="noConversion"/>
  <printOptions horizontalCentered="1"/>
  <pageMargins left="0.75" right="0.75" top="0.75" bottom="1" header="0.5" footer="0.5"/>
  <pageSetup scale="53" fitToHeight="0" orientation="landscape" r:id="rId1"/>
  <headerFooter alignWithMargins="0">
    <oddHeader>&amp;C&amp;D&amp;       page&amp;Pof &amp;N</oddHeader>
    <oddFooter>&amp;C&amp;F&amp;Z&amp;F</oddFooter>
  </headerFooter>
  <ignoredErrors>
    <ignoredError sqref="M9" formula="1"/>
  </ignoredErrors>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pageSetUpPr fitToPage="1"/>
  </sheetPr>
  <dimension ref="A1:Y189"/>
  <sheetViews>
    <sheetView topLeftCell="B1" workbookViewId="0">
      <pane ySplit="1" topLeftCell="A2" activePane="bottomLeft" state="frozen"/>
      <selection activeCell="B1" sqref="B1"/>
      <selection pane="bottomLeft" activeCell="E17" sqref="E17"/>
    </sheetView>
  </sheetViews>
  <sheetFormatPr defaultColWidth="9.140625" defaultRowHeight="15" x14ac:dyDescent="0.2"/>
  <cols>
    <col min="1" max="1" width="9.140625" style="47" hidden="1" customWidth="1"/>
    <col min="2" max="2" width="28.140625" style="47" bestFit="1" customWidth="1"/>
    <col min="3" max="3" width="16.28515625" style="47" bestFit="1" customWidth="1"/>
    <col min="4" max="4" width="20.7109375" style="47" customWidth="1"/>
    <col min="5" max="5" width="26.85546875" style="47" bestFit="1" customWidth="1"/>
    <col min="6" max="6" width="24.7109375" style="47" customWidth="1"/>
    <col min="7" max="7" width="26.5703125" style="47" bestFit="1" customWidth="1"/>
    <col min="8" max="8" width="17.85546875" style="47" bestFit="1" customWidth="1"/>
    <col min="9" max="9" width="18" style="47" customWidth="1"/>
    <col min="10" max="10" width="9.140625" style="47"/>
    <col min="11" max="11" width="6.28515625" style="47" customWidth="1"/>
    <col min="12" max="12" width="18.140625" style="47" customWidth="1"/>
    <col min="13" max="13" width="12.7109375" style="47" customWidth="1"/>
    <col min="14" max="14" width="12.85546875" style="47" bestFit="1" customWidth="1"/>
    <col min="15" max="15" width="9.140625" style="47"/>
    <col min="16" max="16" width="10.42578125" style="47" customWidth="1"/>
    <col min="17" max="16384" width="9.140625" style="47"/>
  </cols>
  <sheetData>
    <row r="1" spans="1:25" ht="23.25" x14ac:dyDescent="0.35">
      <c r="B1" s="48" t="s">
        <v>92</v>
      </c>
    </row>
    <row r="3" spans="1:25" ht="15.75" thickBot="1" x14ac:dyDescent="0.25"/>
    <row r="4" spans="1:25" ht="17.25" thickTop="1" thickBot="1" x14ac:dyDescent="0.3">
      <c r="B4" s="55"/>
      <c r="C4" s="56"/>
      <c r="D4" s="1007" t="s">
        <v>38</v>
      </c>
      <c r="E4" s="1007"/>
      <c r="F4" s="109"/>
      <c r="G4" s="109"/>
      <c r="H4" s="56"/>
      <c r="I4" s="106" t="s">
        <v>1751</v>
      </c>
      <c r="J4" s="57"/>
      <c r="L4" s="91" t="s">
        <v>239</v>
      </c>
    </row>
    <row r="5" spans="1:25" ht="16.5" thickBot="1" x14ac:dyDescent="0.3">
      <c r="B5" s="58" t="s">
        <v>104</v>
      </c>
      <c r="D5" s="108">
        <f>SUMIF(Takeoff_PayType,"Sheet Metal Takeoff",SM_FieldLaborColumn)-D6-D7</f>
        <v>3779.5</v>
      </c>
      <c r="E5" s="565" t="s">
        <v>1524</v>
      </c>
      <c r="F5" s="363"/>
      <c r="G5" s="112"/>
      <c r="H5" s="54"/>
      <c r="I5" s="110">
        <v>45839</v>
      </c>
      <c r="J5" s="59"/>
      <c r="L5" s="92" t="s">
        <v>240</v>
      </c>
      <c r="M5" s="92" t="s">
        <v>241</v>
      </c>
      <c r="N5" s="92"/>
      <c r="O5" s="92"/>
      <c r="Q5" s="1005" t="s">
        <v>1557</v>
      </c>
      <c r="T5" s="1005" t="s">
        <v>1820</v>
      </c>
      <c r="U5" s="1005" t="s">
        <v>1822</v>
      </c>
      <c r="W5" s="1006" t="s">
        <v>1821</v>
      </c>
    </row>
    <row r="6" spans="1:25" ht="16.5" thickBot="1" x14ac:dyDescent="0.3">
      <c r="B6" s="58" t="s">
        <v>238</v>
      </c>
      <c r="D6" s="566">
        <f>Total_SMField_OverTime</f>
        <v>0</v>
      </c>
      <c r="E6" s="567" t="s">
        <v>1525</v>
      </c>
      <c r="F6" s="363"/>
      <c r="G6" s="112"/>
      <c r="H6" s="54"/>
      <c r="I6" s="54" t="s">
        <v>243</v>
      </c>
      <c r="J6" s="59"/>
      <c r="L6" s="92" t="s">
        <v>242</v>
      </c>
      <c r="M6" s="770">
        <v>6.0000000000000001E-3</v>
      </c>
      <c r="N6" s="92"/>
      <c r="O6" s="92"/>
      <c r="Q6" s="1005"/>
      <c r="T6" s="1005"/>
      <c r="U6" s="1005"/>
      <c r="W6" s="1005"/>
    </row>
    <row r="7" spans="1:25" ht="15.75" thickBot="1" x14ac:dyDescent="0.25">
      <c r="B7" s="60"/>
      <c r="D7" s="566">
        <f>Total_SMField_DoubleTime</f>
        <v>0</v>
      </c>
      <c r="E7" s="567" t="s">
        <v>1526</v>
      </c>
      <c r="F7" s="363"/>
      <c r="G7" s="112"/>
      <c r="H7" s="54"/>
      <c r="I7" s="110">
        <v>46204</v>
      </c>
      <c r="J7" s="59"/>
      <c r="L7" s="92" t="s">
        <v>244</v>
      </c>
      <c r="M7" s="770">
        <v>3.5999999999999997E-2</v>
      </c>
      <c r="N7" s="92"/>
      <c r="O7" s="92"/>
      <c r="Q7" s="1005"/>
      <c r="T7" s="1005"/>
      <c r="U7" s="1005"/>
      <c r="W7" s="1005"/>
    </row>
    <row r="8" spans="1:25" ht="15.75" thickBot="1" x14ac:dyDescent="0.25">
      <c r="B8" s="60"/>
      <c r="D8" s="189">
        <f>SUM(D5:D7)</f>
        <v>3779.5</v>
      </c>
      <c r="E8" s="568" t="s">
        <v>1527</v>
      </c>
      <c r="H8" s="107"/>
      <c r="I8" s="52"/>
      <c r="J8" s="59"/>
      <c r="L8" s="92" t="s">
        <v>245</v>
      </c>
      <c r="M8" s="770">
        <v>4.1899999999999999E-4</v>
      </c>
      <c r="N8" s="92"/>
      <c r="O8" s="92"/>
      <c r="P8" s="811"/>
      <c r="Q8" s="1005"/>
      <c r="T8" s="1005"/>
      <c r="U8" s="1005"/>
      <c r="W8" s="1005"/>
    </row>
    <row r="9" spans="1:25" ht="16.5" thickBot="1" x14ac:dyDescent="0.3">
      <c r="B9" s="60"/>
      <c r="G9" s="729" t="s">
        <v>254</v>
      </c>
      <c r="H9" s="838">
        <v>0</v>
      </c>
      <c r="J9" s="59"/>
      <c r="L9" s="92" t="s">
        <v>246</v>
      </c>
      <c r="M9" s="770">
        <v>6.2E-2</v>
      </c>
      <c r="N9" s="92"/>
      <c r="O9" s="92"/>
      <c r="Q9" s="1005"/>
      <c r="T9" s="1005"/>
      <c r="U9" s="1005"/>
      <c r="W9" s="1005"/>
    </row>
    <row r="10" spans="1:25" ht="45.75" thickBot="1" x14ac:dyDescent="0.25">
      <c r="B10" s="60"/>
      <c r="C10" s="49" t="s">
        <v>1</v>
      </c>
      <c r="D10" s="49" t="s">
        <v>248</v>
      </c>
      <c r="E10" s="49" t="s">
        <v>94</v>
      </c>
      <c r="F10" s="50" t="s">
        <v>1651</v>
      </c>
      <c r="G10" s="49" t="s">
        <v>249</v>
      </c>
      <c r="H10" s="49" t="s">
        <v>79</v>
      </c>
      <c r="I10" s="727" t="s">
        <v>1648</v>
      </c>
      <c r="J10" s="59"/>
      <c r="L10" s="92" t="s">
        <v>247</v>
      </c>
      <c r="M10" s="770">
        <v>1.4500000000000001E-2</v>
      </c>
      <c r="N10" s="92"/>
      <c r="O10" s="92"/>
      <c r="P10" s="54"/>
      <c r="Q10" s="1005"/>
      <c r="R10" s="54"/>
      <c r="S10" s="54"/>
      <c r="T10" s="1005"/>
      <c r="U10" s="1005"/>
      <c r="V10" s="54"/>
      <c r="W10" s="1005"/>
      <c r="X10" s="54"/>
      <c r="Y10" s="54"/>
    </row>
    <row r="11" spans="1:25" ht="18.75" thickBot="1" x14ac:dyDescent="0.3">
      <c r="A11" s="47">
        <v>1.25</v>
      </c>
      <c r="B11" s="60" t="s">
        <v>1750</v>
      </c>
      <c r="C11" s="612"/>
      <c r="D11" s="51">
        <v>69.989999999999995</v>
      </c>
      <c r="E11" s="51">
        <v>33.43</v>
      </c>
      <c r="F11" s="51">
        <f>SUM(D11+E11)</f>
        <v>103.41999999999999</v>
      </c>
      <c r="G11" s="51">
        <f t="shared" ref="G11:G19" si="0">ROUND(SUM(D11*$M$20),2)</f>
        <v>12.33</v>
      </c>
      <c r="H11" s="51">
        <f>ROUND(SUM(F11+G11)*C11*(1+$H$9),2)</f>
        <v>0</v>
      </c>
      <c r="I11" s="51">
        <f>ROUND(SUM(F11:G11)*(1+$H$9),2)</f>
        <v>115.75</v>
      </c>
      <c r="J11" s="59"/>
      <c r="L11" s="92"/>
      <c r="M11" s="770"/>
      <c r="N11" s="92"/>
      <c r="O11" s="92"/>
      <c r="Q11" s="812">
        <v>0.6</v>
      </c>
      <c r="R11" s="47" t="s">
        <v>1574</v>
      </c>
      <c r="T11" s="812">
        <v>0.87</v>
      </c>
      <c r="U11" s="812">
        <v>0.89</v>
      </c>
      <c r="W11" s="813">
        <v>0.83099999999999996</v>
      </c>
    </row>
    <row r="12" spans="1:25" ht="18.75" thickBot="1" x14ac:dyDescent="0.3">
      <c r="A12" s="47">
        <v>1.2</v>
      </c>
      <c r="B12" s="60" t="s">
        <v>95</v>
      </c>
      <c r="C12" s="612"/>
      <c r="D12" s="51">
        <v>67.239999999999995</v>
      </c>
      <c r="E12" s="51">
        <v>33.43</v>
      </c>
      <c r="F12" s="51">
        <f>SUM(D12+E12)</f>
        <v>100.66999999999999</v>
      </c>
      <c r="G12" s="51">
        <f t="shared" si="0"/>
        <v>11.85</v>
      </c>
      <c r="H12" s="51">
        <f>ROUND(SUM(F12+G12)*C12*(1+$H$9),2)</f>
        <v>0</v>
      </c>
      <c r="I12" s="51">
        <f>ROUND(SUM(F12:G12)*(1+$H$9),2)</f>
        <v>112.52</v>
      </c>
      <c r="J12" s="59"/>
      <c r="L12" s="93" t="s">
        <v>250</v>
      </c>
      <c r="M12" s="770">
        <f>P13*Q11*T11*W11*U11</f>
        <v>8.6478779519999997E-3</v>
      </c>
      <c r="N12" s="92"/>
      <c r="O12" s="92"/>
      <c r="P12" s="47" t="s">
        <v>1558</v>
      </c>
      <c r="R12" s="47" t="s">
        <v>1644</v>
      </c>
    </row>
    <row r="13" spans="1:25" ht="18.75" thickBot="1" x14ac:dyDescent="0.3">
      <c r="A13" s="47">
        <v>1.1499999999999999</v>
      </c>
      <c r="B13" s="60" t="s">
        <v>96</v>
      </c>
      <c r="C13" s="612">
        <v>1</v>
      </c>
      <c r="D13" s="51">
        <v>64.489999999999995</v>
      </c>
      <c r="E13" s="51">
        <v>33.43</v>
      </c>
      <c r="F13" s="51">
        <f t="shared" ref="F13:F19" si="1">SUM(D13+E13)</f>
        <v>97.919999999999987</v>
      </c>
      <c r="G13" s="51">
        <f t="shared" si="0"/>
        <v>11.36</v>
      </c>
      <c r="H13" s="51">
        <f t="shared" ref="H13:H19" si="2">ROUND(SUM(F13+G13)*C13*(1+$H$9),2)</f>
        <v>109.28</v>
      </c>
      <c r="I13" s="51">
        <f t="shared" ref="I13:I19" si="3">ROUND(SUM(F13:G13)*(1+$H$9),2)</f>
        <v>109.28</v>
      </c>
      <c r="J13" s="59"/>
      <c r="L13" s="92" t="s">
        <v>1815</v>
      </c>
      <c r="M13" s="770">
        <v>8.9999999999999993E-3</v>
      </c>
      <c r="N13" s="92"/>
      <c r="O13" s="92"/>
      <c r="P13" s="720">
        <v>2.24E-2</v>
      </c>
      <c r="Q13" s="47" t="s">
        <v>1646</v>
      </c>
    </row>
    <row r="14" spans="1:25" ht="18.75" thickBot="1" x14ac:dyDescent="0.3">
      <c r="A14" s="47">
        <v>1</v>
      </c>
      <c r="B14" s="60" t="s">
        <v>97</v>
      </c>
      <c r="C14" s="612">
        <v>3</v>
      </c>
      <c r="D14" s="51">
        <v>56.24</v>
      </c>
      <c r="E14" s="51">
        <v>33.43</v>
      </c>
      <c r="F14" s="51">
        <f t="shared" si="1"/>
        <v>89.67</v>
      </c>
      <c r="G14" s="51">
        <f t="shared" si="0"/>
        <v>9.91</v>
      </c>
      <c r="H14" s="51">
        <f t="shared" si="2"/>
        <v>298.74</v>
      </c>
      <c r="I14" s="51">
        <f t="shared" si="3"/>
        <v>99.58</v>
      </c>
      <c r="J14" s="59"/>
      <c r="L14" s="92" t="s">
        <v>1561</v>
      </c>
      <c r="M14" s="770">
        <v>1.2999999999999999E-2</v>
      </c>
      <c r="N14" s="92"/>
      <c r="O14" s="92"/>
      <c r="P14" s="47" t="s">
        <v>1559</v>
      </c>
    </row>
    <row r="15" spans="1:25" ht="18.75" thickBot="1" x14ac:dyDescent="0.3">
      <c r="A15" s="47">
        <v>0.9</v>
      </c>
      <c r="B15" s="60" t="s">
        <v>1143</v>
      </c>
      <c r="C15" s="612"/>
      <c r="D15" s="51">
        <v>50.62</v>
      </c>
      <c r="E15" s="51">
        <v>29.36</v>
      </c>
      <c r="F15" s="51">
        <f t="shared" si="1"/>
        <v>79.97999999999999</v>
      </c>
      <c r="G15" s="51">
        <f t="shared" si="0"/>
        <v>8.92</v>
      </c>
      <c r="H15" s="51">
        <f t="shared" si="2"/>
        <v>0</v>
      </c>
      <c r="I15" s="51">
        <f t="shared" si="3"/>
        <v>88.9</v>
      </c>
      <c r="J15" s="59"/>
      <c r="L15" s="92"/>
      <c r="M15" s="770"/>
      <c r="N15" s="92"/>
      <c r="O15" s="92"/>
      <c r="P15" s="47" t="s">
        <v>1560</v>
      </c>
    </row>
    <row r="16" spans="1:25" ht="18.75" thickBot="1" x14ac:dyDescent="0.3">
      <c r="A16" s="47">
        <v>0.75</v>
      </c>
      <c r="B16" s="60" t="s">
        <v>1144</v>
      </c>
      <c r="C16" s="612">
        <v>1</v>
      </c>
      <c r="D16" s="51">
        <v>42.19</v>
      </c>
      <c r="E16" s="51">
        <v>28.94</v>
      </c>
      <c r="F16" s="51">
        <f t="shared" si="1"/>
        <v>71.13</v>
      </c>
      <c r="G16" s="51">
        <f t="shared" si="0"/>
        <v>7.43</v>
      </c>
      <c r="H16" s="51">
        <f t="shared" si="2"/>
        <v>78.56</v>
      </c>
      <c r="I16" s="51">
        <f t="shared" si="3"/>
        <v>78.56</v>
      </c>
      <c r="J16" s="59"/>
      <c r="L16" s="93" t="s">
        <v>251</v>
      </c>
      <c r="M16" s="770">
        <v>8.2369999999999995E-3</v>
      </c>
      <c r="N16" s="92"/>
      <c r="O16" s="92"/>
    </row>
    <row r="17" spans="1:16" ht="18.75" thickBot="1" x14ac:dyDescent="0.3">
      <c r="A17" s="47">
        <v>0.65</v>
      </c>
      <c r="B17" s="60" t="s">
        <v>1145</v>
      </c>
      <c r="C17" s="612"/>
      <c r="D17" s="51">
        <v>36.57</v>
      </c>
      <c r="E17" s="51">
        <v>28.66</v>
      </c>
      <c r="F17" s="51">
        <f t="shared" si="1"/>
        <v>65.23</v>
      </c>
      <c r="G17" s="51">
        <f t="shared" si="0"/>
        <v>6.44</v>
      </c>
      <c r="H17" s="51">
        <f t="shared" si="2"/>
        <v>0</v>
      </c>
      <c r="I17" s="51">
        <f t="shared" si="3"/>
        <v>71.67</v>
      </c>
      <c r="J17" s="59"/>
      <c r="L17" s="92" t="s">
        <v>1788</v>
      </c>
      <c r="M17" s="770">
        <v>4.0000000000000001E-3</v>
      </c>
      <c r="N17" s="92"/>
      <c r="O17" s="92"/>
    </row>
    <row r="18" spans="1:16" ht="18.75" thickBot="1" x14ac:dyDescent="0.3">
      <c r="A18" s="47">
        <v>0.55000000000000004</v>
      </c>
      <c r="B18" s="60" t="s">
        <v>1146</v>
      </c>
      <c r="C18" s="612"/>
      <c r="D18" s="51">
        <v>30.95</v>
      </c>
      <c r="E18" s="51">
        <v>28.38</v>
      </c>
      <c r="F18" s="51">
        <f t="shared" si="1"/>
        <v>59.33</v>
      </c>
      <c r="G18" s="51">
        <f t="shared" si="0"/>
        <v>5.45</v>
      </c>
      <c r="H18" s="51">
        <f t="shared" si="2"/>
        <v>0</v>
      </c>
      <c r="I18" s="51">
        <f t="shared" si="3"/>
        <v>64.78</v>
      </c>
      <c r="J18" s="59"/>
      <c r="L18" s="92" t="s">
        <v>1791</v>
      </c>
      <c r="M18" s="770">
        <v>1.44E-2</v>
      </c>
      <c r="N18" s="92"/>
      <c r="O18" s="92"/>
    </row>
    <row r="19" spans="1:16" ht="18" x14ac:dyDescent="0.25">
      <c r="A19" s="47">
        <v>0.5</v>
      </c>
      <c r="B19" s="60" t="s">
        <v>1787</v>
      </c>
      <c r="C19" s="612"/>
      <c r="D19" s="51">
        <v>27.55</v>
      </c>
      <c r="E19" s="51">
        <v>20.71</v>
      </c>
      <c r="F19" s="51">
        <f t="shared" si="1"/>
        <v>48.260000000000005</v>
      </c>
      <c r="G19" s="51">
        <f t="shared" si="0"/>
        <v>4.8499999999999996</v>
      </c>
      <c r="H19" s="51">
        <f t="shared" si="2"/>
        <v>0</v>
      </c>
      <c r="I19" s="51">
        <f t="shared" si="3"/>
        <v>53.11</v>
      </c>
      <c r="J19" s="59"/>
    </row>
    <row r="20" spans="1:16" ht="15.75" x14ac:dyDescent="0.25">
      <c r="B20" s="60"/>
      <c r="C20" s="54" t="s">
        <v>98</v>
      </c>
      <c r="H20" s="47" t="s">
        <v>99</v>
      </c>
      <c r="I20" s="52" t="s">
        <v>100</v>
      </c>
      <c r="J20" s="59"/>
      <c r="L20" s="91" t="s">
        <v>252</v>
      </c>
      <c r="M20" s="94">
        <f>SUM(M6:M18)</f>
        <v>0.17620387795200002</v>
      </c>
      <c r="N20" s="47" t="s">
        <v>253</v>
      </c>
    </row>
    <row r="21" spans="1:16" ht="18" x14ac:dyDescent="0.25">
      <c r="B21" s="60" t="s">
        <v>101</v>
      </c>
      <c r="C21" s="613">
        <f>SUM(C11:C19)</f>
        <v>5</v>
      </c>
      <c r="E21" s="650" t="s">
        <v>1794</v>
      </c>
      <c r="F21" s="775">
        <v>0.15</v>
      </c>
      <c r="G21" s="787">
        <f>$D$14*F21</f>
        <v>8.4359999999999999</v>
      </c>
      <c r="H21" s="53">
        <f>SUM(H11:H19)</f>
        <v>486.58</v>
      </c>
      <c r="I21" s="728">
        <f>IF(C21=0,0,H21/C21)</f>
        <v>97.316000000000003</v>
      </c>
      <c r="J21" s="59"/>
    </row>
    <row r="22" spans="1:16" ht="16.5" thickBot="1" x14ac:dyDescent="0.3">
      <c r="B22" s="60"/>
      <c r="C22" s="54"/>
      <c r="E22" s="650" t="s">
        <v>1795</v>
      </c>
      <c r="F22" s="775">
        <v>0.23</v>
      </c>
      <c r="G22" s="787">
        <f>$D$14*F22</f>
        <v>12.935200000000002</v>
      </c>
      <c r="J22" s="63"/>
      <c r="L22" s="91"/>
    </row>
    <row r="23" spans="1:16" ht="19.5" thickTop="1" thickBot="1" x14ac:dyDescent="0.3">
      <c r="B23" s="61" t="s">
        <v>237</v>
      </c>
      <c r="C23" s="614">
        <f>SUM(A11*C11,A12*C12,A13*C13,A14*C14,A15*C15,A16*C16,A17*C17,A18*C18,A19*C19)/C21</f>
        <v>0.98000000000000009</v>
      </c>
      <c r="D23" s="62"/>
      <c r="E23" s="777" t="s">
        <v>1796</v>
      </c>
      <c r="F23" s="776">
        <v>0.1</v>
      </c>
      <c r="G23" s="792">
        <f>$D$14*F23</f>
        <v>5.6240000000000006</v>
      </c>
      <c r="H23" s="62" t="s">
        <v>255</v>
      </c>
      <c r="I23" s="562">
        <f>ROUND(I21,2)</f>
        <v>97.32</v>
      </c>
    </row>
    <row r="24" spans="1:16" ht="16.5" thickTop="1" thickBot="1" x14ac:dyDescent="0.25">
      <c r="J24" s="57"/>
    </row>
    <row r="25" spans="1:16" ht="17.25" thickTop="1" thickBot="1" x14ac:dyDescent="0.3">
      <c r="B25" s="55"/>
      <c r="C25" s="56"/>
      <c r="D25" s="1008" t="s">
        <v>38</v>
      </c>
      <c r="E25" s="1008"/>
      <c r="F25" s="109"/>
      <c r="G25" s="109"/>
      <c r="H25" s="56"/>
      <c r="I25" s="106" t="s">
        <v>1751</v>
      </c>
      <c r="J25" s="59"/>
      <c r="L25" s="364" t="s">
        <v>1291</v>
      </c>
      <c r="M25" s="365"/>
      <c r="N25" s="365"/>
      <c r="O25" s="365"/>
      <c r="P25" s="366"/>
    </row>
    <row r="26" spans="1:16" ht="16.5" thickBot="1" x14ac:dyDescent="0.3">
      <c r="B26" s="58" t="s">
        <v>104</v>
      </c>
      <c r="D26" s="563">
        <f>SUMIFS(SM_FieldLaborColumn,SM_OvertimeColumn,"OT",Takeoff_PayType,"Sheet Metal Takeoff")</f>
        <v>0</v>
      </c>
      <c r="E26" s="564" t="s">
        <v>93</v>
      </c>
      <c r="F26" s="111" t="str">
        <f>IF($F$5="","",$F$5)</f>
        <v/>
      </c>
      <c r="G26" s="112" t="str">
        <f>IF($G$5="","",$G$5)</f>
        <v/>
      </c>
      <c r="H26" s="363" t="str">
        <f>IF($H$5="","",$H$5)</f>
        <v/>
      </c>
      <c r="I26" s="110">
        <f>$I$5</f>
        <v>45839</v>
      </c>
      <c r="J26" s="59"/>
      <c r="L26" s="367" t="s">
        <v>1292</v>
      </c>
      <c r="P26" s="368"/>
    </row>
    <row r="27" spans="1:16" ht="16.5" thickBot="1" x14ac:dyDescent="0.3">
      <c r="B27" s="58" t="s">
        <v>1147</v>
      </c>
      <c r="C27" s="363"/>
      <c r="D27" s="363"/>
      <c r="E27" s="363"/>
      <c r="F27" s="363" t="str">
        <f>IF($F$6="","",$F$6)</f>
        <v/>
      </c>
      <c r="G27" s="112" t="str">
        <f>IF($G$6="","",$G$6)</f>
        <v/>
      </c>
      <c r="H27" s="363" t="str">
        <f>IF($H$6="","",$H$6)</f>
        <v/>
      </c>
      <c r="I27" s="54" t="s">
        <v>243</v>
      </c>
      <c r="J27" s="59"/>
      <c r="L27" s="369" t="s">
        <v>1293</v>
      </c>
      <c r="M27" s="370" t="s">
        <v>1294</v>
      </c>
      <c r="N27" s="380">
        <f>-SUM(D13+4*D14+D15)/6 *SUM(M12:M15)</f>
        <v>-1.7370706425227731</v>
      </c>
      <c r="O27" s="370"/>
      <c r="P27" s="371"/>
    </row>
    <row r="28" spans="1:16" ht="16.5" thickTop="1" thickBot="1" x14ac:dyDescent="0.25">
      <c r="B28" s="60"/>
      <c r="C28" s="363"/>
      <c r="D28" s="363"/>
      <c r="E28" s="363"/>
      <c r="F28" s="363" t="str">
        <f>IF($F$7="","",$F$7)</f>
        <v/>
      </c>
      <c r="G28" s="112" t="str">
        <f>IF($G$7="","",$G$7)</f>
        <v/>
      </c>
      <c r="H28" s="363" t="str">
        <f>IF($H$7="","",$H$7)</f>
        <v/>
      </c>
      <c r="I28" s="110">
        <f>$I$7</f>
        <v>46204</v>
      </c>
      <c r="J28" s="59"/>
    </row>
    <row r="29" spans="1:16" ht="16.5" thickBot="1" x14ac:dyDescent="0.3">
      <c r="B29" s="60"/>
      <c r="F29" s="772" t="str">
        <f>IF($F$8="","",$F$8)</f>
        <v/>
      </c>
      <c r="G29" s="772" t="str">
        <f>IF($G$8="","",$G$8)</f>
        <v/>
      </c>
      <c r="H29" s="107" t="str">
        <f>IF($H$8="","",$H$8)</f>
        <v/>
      </c>
      <c r="I29" s="52"/>
      <c r="J29" s="59"/>
      <c r="L29" s="372" t="s">
        <v>1295</v>
      </c>
      <c r="M29" s="373"/>
      <c r="N29" s="373"/>
      <c r="O29" s="373"/>
      <c r="P29" s="374"/>
    </row>
    <row r="30" spans="1:16" ht="15.75" x14ac:dyDescent="0.25">
      <c r="B30" s="60"/>
      <c r="G30" s="729" t="s">
        <v>254</v>
      </c>
      <c r="H30" s="838">
        <f>$H$9</f>
        <v>0</v>
      </c>
      <c r="J30" s="59"/>
      <c r="L30" s="375" t="s">
        <v>1128</v>
      </c>
      <c r="M30" s="47" t="s">
        <v>1137</v>
      </c>
      <c r="P30" s="376"/>
    </row>
    <row r="31" spans="1:16" ht="45" x14ac:dyDescent="0.25">
      <c r="B31" s="60"/>
      <c r="C31" s="49" t="s">
        <v>1</v>
      </c>
      <c r="D31" s="49" t="s">
        <v>248</v>
      </c>
      <c r="E31" s="49" t="s">
        <v>94</v>
      </c>
      <c r="F31" s="50" t="s">
        <v>1651</v>
      </c>
      <c r="G31" s="49" t="s">
        <v>249</v>
      </c>
      <c r="H31" s="49" t="s">
        <v>79</v>
      </c>
      <c r="I31" s="727" t="s">
        <v>1648</v>
      </c>
      <c r="J31" s="59"/>
      <c r="L31" s="375" t="s">
        <v>1138</v>
      </c>
      <c r="P31" s="376"/>
    </row>
    <row r="32" spans="1:16" ht="18" x14ac:dyDescent="0.25">
      <c r="A32" s="47">
        <v>1.25</v>
      </c>
      <c r="B32" s="60" t="s">
        <v>1750</v>
      </c>
      <c r="C32" s="611">
        <f>$C$11</f>
        <v>0</v>
      </c>
      <c r="D32" s="51">
        <f t="shared" ref="D32:D40" si="4">D11*1.5</f>
        <v>104.98499999999999</v>
      </c>
      <c r="E32" s="51">
        <f t="shared" ref="E32:E40" si="5">E11</f>
        <v>33.43</v>
      </c>
      <c r="F32" s="51">
        <f>SUM(D32+E32)+0.35</f>
        <v>138.76499999999999</v>
      </c>
      <c r="G32" s="51">
        <f t="shared" ref="G32" si="6">ROUND(SUM(D32*$M$20),2)</f>
        <v>18.5</v>
      </c>
      <c r="H32" s="51">
        <f t="shared" ref="H32:H40" si="7">ROUND(SUM(F32+G32)*C32*(1+$H$30),2)</f>
        <v>0</v>
      </c>
      <c r="I32" s="51">
        <f t="shared" ref="I32:I40" si="8">ROUND(SUM(F32:G32)*(1+$H$30),2)</f>
        <v>157.27000000000001</v>
      </c>
      <c r="J32" s="59"/>
      <c r="L32" s="375" t="s">
        <v>1129</v>
      </c>
      <c r="M32" s="47" t="s">
        <v>1139</v>
      </c>
      <c r="P32" s="376"/>
    </row>
    <row r="33" spans="1:16" ht="18" x14ac:dyDescent="0.25">
      <c r="A33" s="47">
        <v>1.2</v>
      </c>
      <c r="B33" s="60" t="s">
        <v>95</v>
      </c>
      <c r="C33" s="611">
        <f>$C$12</f>
        <v>0</v>
      </c>
      <c r="D33" s="51">
        <f t="shared" si="4"/>
        <v>100.85999999999999</v>
      </c>
      <c r="E33" s="51">
        <f t="shared" si="5"/>
        <v>33.43</v>
      </c>
      <c r="F33" s="51">
        <f>SUM(D33+E33)+0.35</f>
        <v>134.63999999999999</v>
      </c>
      <c r="G33" s="51">
        <f t="shared" ref="G33:G40" si="9">ROUND(SUM(D33*$M$20),2)</f>
        <v>17.77</v>
      </c>
      <c r="H33" s="51">
        <f t="shared" si="7"/>
        <v>0</v>
      </c>
      <c r="I33" s="51">
        <f t="shared" si="8"/>
        <v>152.41</v>
      </c>
      <c r="J33" s="59"/>
      <c r="L33" s="375" t="s">
        <v>1138</v>
      </c>
      <c r="P33" s="376"/>
    </row>
    <row r="34" spans="1:16" ht="18" x14ac:dyDescent="0.25">
      <c r="A34" s="47">
        <v>1.1499999999999999</v>
      </c>
      <c r="B34" s="60" t="s">
        <v>96</v>
      </c>
      <c r="C34" s="611">
        <f>$C$13</f>
        <v>1</v>
      </c>
      <c r="D34" s="51">
        <f t="shared" si="4"/>
        <v>96.734999999999985</v>
      </c>
      <c r="E34" s="51">
        <f t="shared" si="5"/>
        <v>33.43</v>
      </c>
      <c r="F34" s="51">
        <f t="shared" ref="F34:F40" si="10">SUM(D34+E34)+0.35</f>
        <v>130.51499999999999</v>
      </c>
      <c r="G34" s="51">
        <f t="shared" si="9"/>
        <v>17.05</v>
      </c>
      <c r="H34" s="51">
        <f t="shared" si="7"/>
        <v>147.57</v>
      </c>
      <c r="I34" s="51">
        <f t="shared" si="8"/>
        <v>147.57</v>
      </c>
      <c r="J34" s="59"/>
      <c r="L34" s="375" t="s">
        <v>1130</v>
      </c>
      <c r="M34" s="47" t="s">
        <v>1140</v>
      </c>
      <c r="P34" s="376"/>
    </row>
    <row r="35" spans="1:16" ht="18.75" thickBot="1" x14ac:dyDescent="0.3">
      <c r="A35" s="47">
        <v>1</v>
      </c>
      <c r="B35" s="60" t="s">
        <v>97</v>
      </c>
      <c r="C35" s="611">
        <f>$C$14</f>
        <v>3</v>
      </c>
      <c r="D35" s="51">
        <f t="shared" si="4"/>
        <v>84.36</v>
      </c>
      <c r="E35" s="51">
        <f t="shared" si="5"/>
        <v>33.43</v>
      </c>
      <c r="F35" s="51">
        <f t="shared" si="10"/>
        <v>118.13999999999999</v>
      </c>
      <c r="G35" s="51">
        <f t="shared" si="9"/>
        <v>14.86</v>
      </c>
      <c r="H35" s="51">
        <f t="shared" si="7"/>
        <v>399</v>
      </c>
      <c r="I35" s="51">
        <f t="shared" si="8"/>
        <v>133</v>
      </c>
      <c r="J35" s="59"/>
      <c r="L35" s="377" t="s">
        <v>1138</v>
      </c>
      <c r="M35" s="378"/>
      <c r="N35" s="378"/>
      <c r="O35" s="378"/>
      <c r="P35" s="379"/>
    </row>
    <row r="36" spans="1:16" ht="18" x14ac:dyDescent="0.25">
      <c r="A36" s="47">
        <v>0.9</v>
      </c>
      <c r="B36" s="60" t="s">
        <v>1143</v>
      </c>
      <c r="C36" s="611">
        <f>$C$15</f>
        <v>0</v>
      </c>
      <c r="D36" s="51">
        <f t="shared" si="4"/>
        <v>75.929999999999993</v>
      </c>
      <c r="E36" s="51">
        <f t="shared" si="5"/>
        <v>29.36</v>
      </c>
      <c r="F36" s="51">
        <f t="shared" si="10"/>
        <v>105.63999999999999</v>
      </c>
      <c r="G36" s="51">
        <f t="shared" si="9"/>
        <v>13.38</v>
      </c>
      <c r="H36" s="51">
        <f t="shared" si="7"/>
        <v>0</v>
      </c>
      <c r="I36" s="51">
        <f t="shared" si="8"/>
        <v>119.02</v>
      </c>
      <c r="J36" s="59"/>
      <c r="L36" s="91"/>
    </row>
    <row r="37" spans="1:16" ht="18" x14ac:dyDescent="0.25">
      <c r="A37" s="47">
        <v>0.75</v>
      </c>
      <c r="B37" s="60" t="s">
        <v>1144</v>
      </c>
      <c r="C37" s="611">
        <f>$C$16</f>
        <v>1</v>
      </c>
      <c r="D37" s="51">
        <f t="shared" si="4"/>
        <v>63.284999999999997</v>
      </c>
      <c r="E37" s="51">
        <f t="shared" si="5"/>
        <v>28.94</v>
      </c>
      <c r="F37" s="51">
        <f t="shared" si="10"/>
        <v>92.574999999999989</v>
      </c>
      <c r="G37" s="51">
        <f t="shared" si="9"/>
        <v>11.15</v>
      </c>
      <c r="H37" s="51">
        <f t="shared" si="7"/>
        <v>103.73</v>
      </c>
      <c r="I37" s="51">
        <f t="shared" si="8"/>
        <v>103.73</v>
      </c>
      <c r="J37" s="59"/>
      <c r="L37" s="831" t="s">
        <v>1830</v>
      </c>
      <c r="N37" s="91"/>
    </row>
    <row r="38" spans="1:16" ht="18" x14ac:dyDescent="0.25">
      <c r="A38" s="47">
        <v>0.65</v>
      </c>
      <c r="B38" s="60" t="s">
        <v>1145</v>
      </c>
      <c r="C38" s="611">
        <f>$C$17</f>
        <v>0</v>
      </c>
      <c r="D38" s="51">
        <f t="shared" si="4"/>
        <v>54.855000000000004</v>
      </c>
      <c r="E38" s="51">
        <f t="shared" si="5"/>
        <v>28.66</v>
      </c>
      <c r="F38" s="51">
        <f t="shared" si="10"/>
        <v>83.864999999999995</v>
      </c>
      <c r="G38" s="51">
        <f t="shared" si="9"/>
        <v>9.67</v>
      </c>
      <c r="H38" s="51">
        <f t="shared" si="7"/>
        <v>0</v>
      </c>
      <c r="I38" s="51">
        <f t="shared" si="8"/>
        <v>93.54</v>
      </c>
      <c r="J38" s="59"/>
      <c r="L38" s="831" t="s">
        <v>1829</v>
      </c>
      <c r="M38" s="831" t="s">
        <v>1831</v>
      </c>
      <c r="N38" s="836" t="s">
        <v>1832</v>
      </c>
    </row>
    <row r="39" spans="1:16" ht="18" x14ac:dyDescent="0.25">
      <c r="A39" s="47">
        <v>0.55000000000000004</v>
      </c>
      <c r="B39" s="60" t="s">
        <v>1146</v>
      </c>
      <c r="C39" s="611">
        <f>$C$18</f>
        <v>0</v>
      </c>
      <c r="D39" s="51">
        <f t="shared" si="4"/>
        <v>46.424999999999997</v>
      </c>
      <c r="E39" s="51">
        <f t="shared" si="5"/>
        <v>28.38</v>
      </c>
      <c r="F39" s="51">
        <f t="shared" si="10"/>
        <v>75.154999999999987</v>
      </c>
      <c r="G39" s="51">
        <f t="shared" si="9"/>
        <v>8.18</v>
      </c>
      <c r="H39" s="51">
        <f t="shared" si="7"/>
        <v>0</v>
      </c>
      <c r="I39" s="51">
        <f t="shared" si="8"/>
        <v>83.34</v>
      </c>
      <c r="J39" s="59"/>
      <c r="L39" s="839">
        <v>46204</v>
      </c>
      <c r="M39" s="840">
        <v>5.5</v>
      </c>
      <c r="N39" s="841">
        <f>SUM(M38,M39)/($I$14*(1-$H$9))</f>
        <v>5.523197429202651E-2</v>
      </c>
    </row>
    <row r="40" spans="1:16" ht="18" x14ac:dyDescent="0.25">
      <c r="A40" s="47">
        <v>0.5</v>
      </c>
      <c r="B40" s="60" t="s">
        <v>1787</v>
      </c>
      <c r="C40" s="611">
        <f>$C$19</f>
        <v>0</v>
      </c>
      <c r="D40" s="51">
        <f t="shared" si="4"/>
        <v>41.325000000000003</v>
      </c>
      <c r="E40" s="51">
        <f t="shared" si="5"/>
        <v>20.71</v>
      </c>
      <c r="F40" s="51">
        <f t="shared" si="10"/>
        <v>62.385000000000005</v>
      </c>
      <c r="G40" s="51">
        <f t="shared" si="9"/>
        <v>7.28</v>
      </c>
      <c r="H40" s="51">
        <f t="shared" si="7"/>
        <v>0</v>
      </c>
      <c r="I40" s="51">
        <f t="shared" si="8"/>
        <v>69.67</v>
      </c>
      <c r="J40" s="59"/>
      <c r="L40" s="842">
        <v>46569</v>
      </c>
      <c r="M40" s="843">
        <v>6.25</v>
      </c>
      <c r="N40" s="844">
        <f>SUM(M38:M40)/($I$14*(1-$H$9))</f>
        <v>0.11799558144205664</v>
      </c>
      <c r="O40" s="47" t="s">
        <v>1833</v>
      </c>
    </row>
    <row r="41" spans="1:16" x14ac:dyDescent="0.2">
      <c r="B41" s="60"/>
      <c r="C41" s="54" t="s">
        <v>98</v>
      </c>
      <c r="H41" s="47" t="s">
        <v>99</v>
      </c>
      <c r="I41" s="52" t="s">
        <v>100</v>
      </c>
      <c r="J41" s="59"/>
      <c r="L41" s="842">
        <v>46935</v>
      </c>
      <c r="M41" s="843">
        <v>7</v>
      </c>
      <c r="N41" s="844">
        <f>SUM(M39:M41)/($I$14*(1-$H$9))</f>
        <v>0.18829082145009038</v>
      </c>
      <c r="O41" s="47" t="s">
        <v>1833</v>
      </c>
    </row>
    <row r="42" spans="1:16" ht="18.75" thickBot="1" x14ac:dyDescent="0.3">
      <c r="B42" s="60" t="s">
        <v>101</v>
      </c>
      <c r="C42" s="611">
        <f>SUM(C32:C40)</f>
        <v>5</v>
      </c>
      <c r="E42" s="650"/>
      <c r="F42" s="775"/>
      <c r="H42" s="53">
        <f>SUM(H32:H40)</f>
        <v>650.29999999999995</v>
      </c>
      <c r="I42" s="728">
        <f>IF(C42=0,0,H42/C42)</f>
        <v>130.06</v>
      </c>
      <c r="J42" s="63"/>
      <c r="L42" s="834"/>
      <c r="M42" s="835"/>
      <c r="N42" s="837"/>
    </row>
    <row r="43" spans="1:16" ht="16.5" thickTop="1" thickBot="1" x14ac:dyDescent="0.25">
      <c r="B43" s="60"/>
      <c r="C43" s="54"/>
      <c r="E43" s="650"/>
      <c r="F43" s="775"/>
      <c r="L43" s="834"/>
      <c r="M43" s="835"/>
      <c r="N43" s="837"/>
    </row>
    <row r="44" spans="1:16" ht="19.5" thickTop="1" thickBot="1" x14ac:dyDescent="0.3">
      <c r="B44" s="61" t="s">
        <v>237</v>
      </c>
      <c r="C44" s="614">
        <f>SUM(A32*C32,A33*C33,A34*C34,A35*C35,A36*C36,A37*C37,A38*C38,A39*C39,A40*C40)/C42</f>
        <v>0.98000000000000009</v>
      </c>
      <c r="D44" s="62"/>
      <c r="E44" s="777"/>
      <c r="F44" s="776"/>
      <c r="G44" s="62"/>
      <c r="H44" s="62"/>
      <c r="I44" s="562">
        <f>ROUND(I42,2)</f>
        <v>130.06</v>
      </c>
      <c r="L44" s="833"/>
      <c r="M44" s="832"/>
    </row>
    <row r="45" spans="1:16" ht="16.5" thickTop="1" thickBot="1" x14ac:dyDescent="0.25">
      <c r="J45" s="57"/>
    </row>
    <row r="46" spans="1:16" ht="17.25" thickTop="1" thickBot="1" x14ac:dyDescent="0.3">
      <c r="B46" s="55"/>
      <c r="C46" s="56"/>
      <c r="D46" s="1008" t="s">
        <v>38</v>
      </c>
      <c r="E46" s="1008"/>
      <c r="F46" s="109"/>
      <c r="G46" s="109"/>
      <c r="H46" s="56"/>
      <c r="I46" s="106" t="s">
        <v>1751</v>
      </c>
      <c r="J46" s="59"/>
    </row>
    <row r="47" spans="1:16" ht="16.5" thickBot="1" x14ac:dyDescent="0.3">
      <c r="B47" s="58" t="s">
        <v>104</v>
      </c>
      <c r="D47" s="563">
        <f>SUMIFS(SM_FieldLaborColumn,SM_OvertimeColumn,"DBLT",Takeoff_PayType,"Sheet Metal Takeoff")</f>
        <v>0</v>
      </c>
      <c r="E47" s="564" t="s">
        <v>93</v>
      </c>
      <c r="F47" s="111" t="str">
        <f>IF($F$5="","",$F$5)</f>
        <v/>
      </c>
      <c r="G47" s="112" t="str">
        <f>IF($G$5="","",$G$5)</f>
        <v/>
      </c>
      <c r="H47" s="363" t="str">
        <f>IF($H$5="","",$H$5)</f>
        <v/>
      </c>
      <c r="I47" s="110">
        <f>$I$5</f>
        <v>45839</v>
      </c>
      <c r="J47" s="59"/>
    </row>
    <row r="48" spans="1:16" ht="16.5" thickBot="1" x14ac:dyDescent="0.3">
      <c r="B48" s="58" t="s">
        <v>1148</v>
      </c>
      <c r="D48" s="363"/>
      <c r="E48" s="373"/>
      <c r="F48" s="363" t="str">
        <f>IF($F$6="","",$F$6)</f>
        <v/>
      </c>
      <c r="G48" s="112" t="str">
        <f>IF($G$6="","",$G$6)</f>
        <v/>
      </c>
      <c r="H48" s="363" t="str">
        <f>IF($H$6="","",$H$6)</f>
        <v/>
      </c>
      <c r="I48" s="54" t="s">
        <v>243</v>
      </c>
      <c r="J48" s="59"/>
      <c r="L48" s="91"/>
    </row>
    <row r="49" spans="1:12" ht="16.5" thickBot="1" x14ac:dyDescent="0.3">
      <c r="B49" s="60"/>
      <c r="D49" s="363"/>
      <c r="F49" s="363" t="str">
        <f>IF($F$7="","",$F$7)</f>
        <v/>
      </c>
      <c r="G49" s="112" t="str">
        <f>IF($G$7="","",$G$7)</f>
        <v/>
      </c>
      <c r="H49" s="363" t="str">
        <f>IF($H$7="","",$H$7)</f>
        <v/>
      </c>
      <c r="I49" s="110">
        <f>$I$7</f>
        <v>46204</v>
      </c>
      <c r="J49" s="59"/>
      <c r="L49" s="91"/>
    </row>
    <row r="50" spans="1:12" ht="16.5" thickBot="1" x14ac:dyDescent="0.3">
      <c r="B50" s="60"/>
      <c r="F50" s="772" t="str">
        <f>IF($F$8="","",$F$8)</f>
        <v/>
      </c>
      <c r="G50" s="772" t="str">
        <f>IF($G$8="","",$G$8)</f>
        <v/>
      </c>
      <c r="H50" s="107" t="str">
        <f>IF($H$8="","",$H$8)</f>
        <v/>
      </c>
      <c r="I50" s="52"/>
      <c r="J50" s="59"/>
      <c r="L50" s="91"/>
    </row>
    <row r="51" spans="1:12" ht="15.75" x14ac:dyDescent="0.25">
      <c r="B51" s="60"/>
      <c r="G51" s="729" t="s">
        <v>254</v>
      </c>
      <c r="H51" s="838">
        <f>$H$9</f>
        <v>0</v>
      </c>
      <c r="J51" s="59"/>
      <c r="L51" s="91"/>
    </row>
    <row r="52" spans="1:12" ht="45" x14ac:dyDescent="0.25">
      <c r="B52" s="60"/>
      <c r="C52" s="49" t="s">
        <v>1</v>
      </c>
      <c r="D52" s="49" t="s">
        <v>248</v>
      </c>
      <c r="E52" s="49" t="s">
        <v>94</v>
      </c>
      <c r="F52" s="50" t="s">
        <v>1651</v>
      </c>
      <c r="G52" s="49" t="s">
        <v>249</v>
      </c>
      <c r="H52" s="49" t="s">
        <v>79</v>
      </c>
      <c r="I52" s="727" t="s">
        <v>1648</v>
      </c>
      <c r="J52" s="59"/>
      <c r="L52" s="91"/>
    </row>
    <row r="53" spans="1:12" ht="18" x14ac:dyDescent="0.25">
      <c r="A53" s="47">
        <v>1.25</v>
      </c>
      <c r="B53" s="60" t="s">
        <v>1750</v>
      </c>
      <c r="C53" s="611">
        <f>$C$11</f>
        <v>0</v>
      </c>
      <c r="D53" s="51">
        <f t="shared" ref="D53:D61" si="11">SUM(D11*2)</f>
        <v>139.97999999999999</v>
      </c>
      <c r="E53" s="51">
        <f t="shared" ref="E53:E61" si="12">E11</f>
        <v>33.43</v>
      </c>
      <c r="F53" s="51">
        <f t="shared" ref="F53" si="13">SUM(D53+E53)+0.35</f>
        <v>173.76</v>
      </c>
      <c r="G53" s="51">
        <f t="shared" ref="G53" si="14">ROUND(SUM(D53*$M$20),2)</f>
        <v>24.67</v>
      </c>
      <c r="H53" s="51">
        <f t="shared" ref="H53:H61" si="15">ROUND(SUM(F53+G53)*C53*(1+$H$51),2)</f>
        <v>0</v>
      </c>
      <c r="I53" s="51">
        <f t="shared" ref="I53:I61" si="16">ROUND(SUM(F53:G53)*(1+$H$51),2)</f>
        <v>198.43</v>
      </c>
      <c r="J53" s="59"/>
      <c r="L53" s="91"/>
    </row>
    <row r="54" spans="1:12" ht="18" x14ac:dyDescent="0.25">
      <c r="A54" s="47">
        <v>1.2</v>
      </c>
      <c r="B54" s="60" t="s">
        <v>95</v>
      </c>
      <c r="C54" s="611">
        <f>$C$12</f>
        <v>0</v>
      </c>
      <c r="D54" s="51">
        <f t="shared" si="11"/>
        <v>134.47999999999999</v>
      </c>
      <c r="E54" s="51">
        <f t="shared" si="12"/>
        <v>33.43</v>
      </c>
      <c r="F54" s="51">
        <f t="shared" ref="F54:F61" si="17">SUM(D54+E54)+0.35</f>
        <v>168.26</v>
      </c>
      <c r="G54" s="51">
        <f t="shared" ref="G54:G61" si="18">ROUND(SUM(D54*$M$20),2)</f>
        <v>23.7</v>
      </c>
      <c r="H54" s="51">
        <f t="shared" si="15"/>
        <v>0</v>
      </c>
      <c r="I54" s="51">
        <f t="shared" si="16"/>
        <v>191.96</v>
      </c>
      <c r="J54" s="59"/>
      <c r="L54" s="91"/>
    </row>
    <row r="55" spans="1:12" ht="18" x14ac:dyDescent="0.25">
      <c r="A55" s="47">
        <v>1.1499999999999999</v>
      </c>
      <c r="B55" s="60" t="s">
        <v>96</v>
      </c>
      <c r="C55" s="611">
        <f>$C$13</f>
        <v>1</v>
      </c>
      <c r="D55" s="51">
        <f t="shared" si="11"/>
        <v>128.97999999999999</v>
      </c>
      <c r="E55" s="51">
        <f t="shared" si="12"/>
        <v>33.43</v>
      </c>
      <c r="F55" s="51">
        <f t="shared" si="17"/>
        <v>162.76</v>
      </c>
      <c r="G55" s="51">
        <f t="shared" si="18"/>
        <v>22.73</v>
      </c>
      <c r="H55" s="51">
        <f t="shared" si="15"/>
        <v>185.49</v>
      </c>
      <c r="I55" s="51">
        <f t="shared" si="16"/>
        <v>185.49</v>
      </c>
      <c r="J55" s="59"/>
      <c r="L55" s="91"/>
    </row>
    <row r="56" spans="1:12" ht="18" x14ac:dyDescent="0.25">
      <c r="A56" s="47">
        <v>1</v>
      </c>
      <c r="B56" s="60" t="s">
        <v>97</v>
      </c>
      <c r="C56" s="611">
        <f>$C$14</f>
        <v>3</v>
      </c>
      <c r="D56" s="51">
        <f t="shared" si="11"/>
        <v>112.48</v>
      </c>
      <c r="E56" s="51">
        <f t="shared" si="12"/>
        <v>33.43</v>
      </c>
      <c r="F56" s="51">
        <f t="shared" si="17"/>
        <v>146.26</v>
      </c>
      <c r="G56" s="51">
        <f t="shared" si="18"/>
        <v>19.82</v>
      </c>
      <c r="H56" s="51">
        <f t="shared" si="15"/>
        <v>498.24</v>
      </c>
      <c r="I56" s="51">
        <f t="shared" si="16"/>
        <v>166.08</v>
      </c>
      <c r="J56" s="59"/>
      <c r="L56" s="91"/>
    </row>
    <row r="57" spans="1:12" ht="18" x14ac:dyDescent="0.25">
      <c r="A57" s="47">
        <v>0.9</v>
      </c>
      <c r="B57" s="60" t="s">
        <v>1143</v>
      </c>
      <c r="C57" s="611">
        <f>$C$15</f>
        <v>0</v>
      </c>
      <c r="D57" s="51">
        <f t="shared" si="11"/>
        <v>101.24</v>
      </c>
      <c r="E57" s="51">
        <f t="shared" si="12"/>
        <v>29.36</v>
      </c>
      <c r="F57" s="51">
        <f t="shared" si="17"/>
        <v>130.94999999999999</v>
      </c>
      <c r="G57" s="51">
        <f t="shared" si="18"/>
        <v>17.84</v>
      </c>
      <c r="H57" s="51">
        <f t="shared" si="15"/>
        <v>0</v>
      </c>
      <c r="I57" s="51">
        <f t="shared" si="16"/>
        <v>148.79</v>
      </c>
      <c r="J57" s="59"/>
      <c r="L57" s="91"/>
    </row>
    <row r="58" spans="1:12" ht="18" x14ac:dyDescent="0.25">
      <c r="A58" s="47">
        <v>0.75</v>
      </c>
      <c r="B58" s="60" t="s">
        <v>1144</v>
      </c>
      <c r="C58" s="611">
        <f>$C$16</f>
        <v>1</v>
      </c>
      <c r="D58" s="51">
        <f t="shared" si="11"/>
        <v>84.38</v>
      </c>
      <c r="E58" s="51">
        <f t="shared" si="12"/>
        <v>28.94</v>
      </c>
      <c r="F58" s="51">
        <f t="shared" si="17"/>
        <v>113.66999999999999</v>
      </c>
      <c r="G58" s="51">
        <f t="shared" si="18"/>
        <v>14.87</v>
      </c>
      <c r="H58" s="51">
        <f t="shared" si="15"/>
        <v>128.54</v>
      </c>
      <c r="I58" s="51">
        <f t="shared" si="16"/>
        <v>128.54</v>
      </c>
      <c r="J58" s="59"/>
      <c r="L58" s="91"/>
    </row>
    <row r="59" spans="1:12" ht="18" x14ac:dyDescent="0.25">
      <c r="A59" s="47">
        <v>0.65</v>
      </c>
      <c r="B59" s="60" t="s">
        <v>1145</v>
      </c>
      <c r="C59" s="611">
        <f>$C$17</f>
        <v>0</v>
      </c>
      <c r="D59" s="51">
        <f t="shared" si="11"/>
        <v>73.14</v>
      </c>
      <c r="E59" s="51">
        <f t="shared" si="12"/>
        <v>28.66</v>
      </c>
      <c r="F59" s="51">
        <f t="shared" si="17"/>
        <v>102.14999999999999</v>
      </c>
      <c r="G59" s="51">
        <f t="shared" si="18"/>
        <v>12.89</v>
      </c>
      <c r="H59" s="51">
        <f t="shared" si="15"/>
        <v>0</v>
      </c>
      <c r="I59" s="51">
        <f t="shared" si="16"/>
        <v>115.04</v>
      </c>
      <c r="J59" s="59"/>
      <c r="L59" s="91"/>
    </row>
    <row r="60" spans="1:12" ht="18" x14ac:dyDescent="0.25">
      <c r="A60" s="47">
        <v>0.55000000000000004</v>
      </c>
      <c r="B60" s="60" t="s">
        <v>1146</v>
      </c>
      <c r="C60" s="611">
        <f>$C$18</f>
        <v>0</v>
      </c>
      <c r="D60" s="51">
        <f t="shared" si="11"/>
        <v>61.9</v>
      </c>
      <c r="E60" s="51">
        <f t="shared" si="12"/>
        <v>28.38</v>
      </c>
      <c r="F60" s="51">
        <f t="shared" si="17"/>
        <v>90.63</v>
      </c>
      <c r="G60" s="51">
        <f t="shared" si="18"/>
        <v>10.91</v>
      </c>
      <c r="H60" s="51">
        <f t="shared" si="15"/>
        <v>0</v>
      </c>
      <c r="I60" s="51">
        <f t="shared" si="16"/>
        <v>101.54</v>
      </c>
      <c r="J60" s="59"/>
      <c r="L60" s="91"/>
    </row>
    <row r="61" spans="1:12" ht="18" x14ac:dyDescent="0.25">
      <c r="A61" s="47">
        <v>0.5</v>
      </c>
      <c r="B61" s="60" t="s">
        <v>1787</v>
      </c>
      <c r="C61" s="611">
        <f>$C$19</f>
        <v>0</v>
      </c>
      <c r="D61" s="51">
        <f t="shared" si="11"/>
        <v>55.1</v>
      </c>
      <c r="E61" s="51">
        <f t="shared" si="12"/>
        <v>20.71</v>
      </c>
      <c r="F61" s="51">
        <f t="shared" si="17"/>
        <v>76.16</v>
      </c>
      <c r="G61" s="51">
        <f t="shared" si="18"/>
        <v>9.7100000000000009</v>
      </c>
      <c r="H61" s="51">
        <f t="shared" si="15"/>
        <v>0</v>
      </c>
      <c r="I61" s="51">
        <f t="shared" si="16"/>
        <v>85.87</v>
      </c>
      <c r="J61" s="59"/>
      <c r="L61" s="91"/>
    </row>
    <row r="62" spans="1:12" ht="15.75" x14ac:dyDescent="0.25">
      <c r="B62" s="60"/>
      <c r="C62" s="54" t="s">
        <v>98</v>
      </c>
      <c r="H62" s="47" t="s">
        <v>99</v>
      </c>
      <c r="I62" s="52" t="s">
        <v>100</v>
      </c>
      <c r="J62" s="59"/>
      <c r="L62" s="91"/>
    </row>
    <row r="63" spans="1:12" ht="18" x14ac:dyDescent="0.25">
      <c r="B63" s="60" t="s">
        <v>101</v>
      </c>
      <c r="C63" s="611">
        <f>SUM(C53:C61)</f>
        <v>5</v>
      </c>
      <c r="H63" s="53">
        <f>SUM(H53:H61)</f>
        <v>812.27</v>
      </c>
      <c r="I63" s="728">
        <f>IF(C63=0,0,H63/C63)</f>
        <v>162.45400000000001</v>
      </c>
      <c r="J63" s="59"/>
      <c r="L63" s="91"/>
    </row>
    <row r="64" spans="1:12" ht="16.5" thickBot="1" x14ac:dyDescent="0.3">
      <c r="B64" s="60"/>
      <c r="C64" s="54"/>
      <c r="J64" s="59"/>
      <c r="L64" s="91"/>
    </row>
    <row r="65" spans="1:23" ht="19.5" thickTop="1" thickBot="1" x14ac:dyDescent="0.3">
      <c r="B65" s="61" t="s">
        <v>237</v>
      </c>
      <c r="C65" s="614">
        <f>SUM(A53*C53,A54*C54,A55*C55,A56*C56,A57*C57,A58*C58,A59*C59,A60*C60,A61*C61)/C63</f>
        <v>0.98000000000000009</v>
      </c>
      <c r="D65" s="62"/>
      <c r="E65" s="62"/>
      <c r="F65" s="62"/>
      <c r="G65" s="62"/>
      <c r="H65" s="62"/>
      <c r="I65" s="562">
        <f>ROUND(I63,2)</f>
        <v>162.44999999999999</v>
      </c>
      <c r="J65" s="63"/>
      <c r="L65" s="91"/>
    </row>
    <row r="66" spans="1:23" ht="16.5" thickTop="1" thickBot="1" x14ac:dyDescent="0.25"/>
    <row r="67" spans="1:23" ht="17.25" thickTop="1" thickBot="1" x14ac:dyDescent="0.3">
      <c r="B67" s="55"/>
      <c r="C67" s="56"/>
      <c r="D67" s="1007" t="s">
        <v>38</v>
      </c>
      <c r="E67" s="1007"/>
      <c r="F67" s="109"/>
      <c r="G67" s="109"/>
      <c r="H67" s="56"/>
      <c r="I67" s="106" t="s">
        <v>1751</v>
      </c>
      <c r="J67" s="57"/>
      <c r="L67" s="91" t="s">
        <v>256</v>
      </c>
    </row>
    <row r="68" spans="1:23" ht="16.5" thickBot="1" x14ac:dyDescent="0.3">
      <c r="B68" s="58" t="s">
        <v>103</v>
      </c>
      <c r="D68" s="108">
        <f>SM_Shop_Labor-D69-D70</f>
        <v>529.59999999999991</v>
      </c>
      <c r="E68" s="565" t="s">
        <v>1541</v>
      </c>
      <c r="F68" s="111" t="str">
        <f>IF($F$5="","",$F$5)</f>
        <v/>
      </c>
      <c r="G68" s="112" t="str">
        <f>IF($G$5="","",$G$5)</f>
        <v/>
      </c>
      <c r="H68" s="363" t="str">
        <f>IF($H$5="","",$H$5)</f>
        <v/>
      </c>
      <c r="I68" s="110">
        <f>$I$5</f>
        <v>45839</v>
      </c>
      <c r="J68" s="59"/>
      <c r="L68" s="92" t="s">
        <v>240</v>
      </c>
      <c r="M68" s="92" t="s">
        <v>241</v>
      </c>
      <c r="N68" s="92" t="s">
        <v>257</v>
      </c>
      <c r="O68" s="92"/>
      <c r="Q68" s="1005" t="s">
        <v>1557</v>
      </c>
      <c r="T68" s="1005" t="s">
        <v>1820</v>
      </c>
      <c r="U68" s="1005" t="s">
        <v>1822</v>
      </c>
      <c r="W68" s="1006" t="s">
        <v>1821</v>
      </c>
    </row>
    <row r="69" spans="1:23" ht="16.5" thickBot="1" x14ac:dyDescent="0.3">
      <c r="B69" s="58" t="s">
        <v>238</v>
      </c>
      <c r="D69" s="566">
        <f>Total_SMShop_OverTime</f>
        <v>0</v>
      </c>
      <c r="E69" s="567" t="s">
        <v>1542</v>
      </c>
      <c r="F69" s="363" t="str">
        <f>IF($F$6="","",$F$6)</f>
        <v/>
      </c>
      <c r="G69" s="112" t="str">
        <f>IF($G$6="","",$G$6)</f>
        <v/>
      </c>
      <c r="H69" s="363" t="str">
        <f>IF($H$6="","",$H$6)</f>
        <v/>
      </c>
      <c r="I69" s="54" t="s">
        <v>243</v>
      </c>
      <c r="J69" s="59"/>
      <c r="L69" s="92" t="s">
        <v>242</v>
      </c>
      <c r="M69" s="770">
        <f t="shared" ref="M69:M74" si="19">M6</f>
        <v>6.0000000000000001E-3</v>
      </c>
      <c r="N69" s="92"/>
      <c r="O69" s="92"/>
      <c r="Q69" s="1005"/>
      <c r="T69" s="1005"/>
      <c r="U69" s="1005"/>
      <c r="W69" s="1005"/>
    </row>
    <row r="70" spans="1:23" ht="15.75" thickBot="1" x14ac:dyDescent="0.25">
      <c r="B70" s="60"/>
      <c r="D70" s="566">
        <f>Total_SMShop_DoubleTime</f>
        <v>0</v>
      </c>
      <c r="E70" s="567" t="s">
        <v>1543</v>
      </c>
      <c r="F70" s="363" t="str">
        <f>IF($F$7="","",$F$7)</f>
        <v/>
      </c>
      <c r="G70" s="112" t="str">
        <f>IF($G$7="","",$G$7)</f>
        <v/>
      </c>
      <c r="H70" s="363" t="str">
        <f>IF($H$7="","",$H$7)</f>
        <v/>
      </c>
      <c r="I70" s="110">
        <f>$I$7</f>
        <v>46204</v>
      </c>
      <c r="J70" s="59"/>
      <c r="L70" s="92" t="s">
        <v>244</v>
      </c>
      <c r="M70" s="770">
        <f t="shared" si="19"/>
        <v>3.5999999999999997E-2</v>
      </c>
      <c r="N70" s="92"/>
      <c r="O70" s="92"/>
      <c r="Q70" s="1005"/>
      <c r="T70" s="1005"/>
      <c r="U70" s="1005"/>
      <c r="W70" s="1005"/>
    </row>
    <row r="71" spans="1:23" ht="15.75" thickBot="1" x14ac:dyDescent="0.25">
      <c r="B71" s="60"/>
      <c r="D71" s="189">
        <f>SUM(D68:D70)</f>
        <v>529.59999999999991</v>
      </c>
      <c r="E71" s="568" t="s">
        <v>1544</v>
      </c>
      <c r="F71" s="772" t="str">
        <f>IF($F$8="","",$F$8)</f>
        <v/>
      </c>
      <c r="G71" s="772" t="str">
        <f>IF($G$8="","",$G$8)</f>
        <v/>
      </c>
      <c r="H71" s="107" t="str">
        <f>IF($H$8="","",$H$8)</f>
        <v/>
      </c>
      <c r="I71" s="52"/>
      <c r="J71" s="59"/>
      <c r="L71" s="92" t="s">
        <v>245</v>
      </c>
      <c r="M71" s="770">
        <f t="shared" si="19"/>
        <v>4.1899999999999999E-4</v>
      </c>
      <c r="N71" s="92"/>
      <c r="O71" s="92"/>
      <c r="P71" s="811"/>
      <c r="Q71" s="1005"/>
      <c r="T71" s="1005"/>
      <c r="U71" s="1005"/>
      <c r="W71" s="1005"/>
    </row>
    <row r="72" spans="1:23" ht="16.5" thickBot="1" x14ac:dyDescent="0.3">
      <c r="B72" s="60"/>
      <c r="G72" s="729" t="s">
        <v>254</v>
      </c>
      <c r="H72" s="838">
        <f>$H$9</f>
        <v>0</v>
      </c>
      <c r="J72" s="59"/>
      <c r="L72" s="92" t="s">
        <v>246</v>
      </c>
      <c r="M72" s="770">
        <f t="shared" si="19"/>
        <v>6.2E-2</v>
      </c>
      <c r="N72" s="92"/>
      <c r="O72" s="92"/>
      <c r="Q72" s="1005"/>
      <c r="T72" s="1005"/>
      <c r="U72" s="1005"/>
      <c r="W72" s="1005"/>
    </row>
    <row r="73" spans="1:23" ht="45.75" customHeight="1" thickBot="1" x14ac:dyDescent="0.25">
      <c r="B73" s="60"/>
      <c r="C73" s="49" t="s">
        <v>1</v>
      </c>
      <c r="D73" s="49" t="s">
        <v>248</v>
      </c>
      <c r="E73" s="49" t="s">
        <v>94</v>
      </c>
      <c r="F73" s="50" t="s">
        <v>1651</v>
      </c>
      <c r="G73" s="725" t="s">
        <v>249</v>
      </c>
      <c r="H73" s="49" t="s">
        <v>79</v>
      </c>
      <c r="I73" s="727" t="s">
        <v>1648</v>
      </c>
      <c r="J73" s="59"/>
      <c r="L73" s="92" t="s">
        <v>247</v>
      </c>
      <c r="M73" s="770">
        <f t="shared" si="19"/>
        <v>1.4500000000000001E-2</v>
      </c>
      <c r="N73" s="92"/>
      <c r="O73" s="92"/>
      <c r="P73" s="54"/>
      <c r="Q73" s="1005"/>
      <c r="R73" s="54"/>
      <c r="S73" s="54"/>
      <c r="T73" s="1005"/>
      <c r="U73" s="1005"/>
      <c r="V73" s="54"/>
      <c r="W73" s="1005"/>
    </row>
    <row r="74" spans="1:23" ht="18.75" thickBot="1" x14ac:dyDescent="0.3">
      <c r="A74" s="47">
        <v>1.25</v>
      </c>
      <c r="B74" s="60" t="s">
        <v>1750</v>
      </c>
      <c r="C74" s="612">
        <v>0</v>
      </c>
      <c r="D74" s="51">
        <f t="shared" ref="D74:E82" si="20">D11</f>
        <v>69.989999999999995</v>
      </c>
      <c r="E74" s="51">
        <f t="shared" si="20"/>
        <v>33.43</v>
      </c>
      <c r="F74" s="51">
        <f>SUM(D74+E74)</f>
        <v>103.41999999999999</v>
      </c>
      <c r="G74" s="51">
        <f t="shared" ref="G74:G82" si="21">$D74*$M$83</f>
        <v>12.205511855541539</v>
      </c>
      <c r="H74" s="51">
        <f t="shared" ref="H74:H82" si="22">ROUND(SUM(F74+G74)*C74*(1+$H$72),2)</f>
        <v>0</v>
      </c>
      <c r="I74" s="51">
        <f t="shared" ref="I74:I82" si="23">ROUND(SUM(F74:G74)*(1+$H$72),2)</f>
        <v>115.63</v>
      </c>
      <c r="J74" s="59"/>
      <c r="L74" s="92">
        <f>L11</f>
        <v>0</v>
      </c>
      <c r="M74" s="770">
        <f t="shared" si="19"/>
        <v>0</v>
      </c>
      <c r="N74" s="92"/>
      <c r="O74" s="92"/>
      <c r="Q74" s="54">
        <f>$Q$11</f>
        <v>0.6</v>
      </c>
      <c r="R74" s="47" t="s">
        <v>1574</v>
      </c>
      <c r="T74" s="54">
        <f>$T$11</f>
        <v>0.87</v>
      </c>
      <c r="U74" s="54">
        <f>$U$11</f>
        <v>0.89</v>
      </c>
      <c r="V74" s="47" t="s">
        <v>1645</v>
      </c>
      <c r="W74" s="54">
        <f>$W$11</f>
        <v>0.83099999999999996</v>
      </c>
    </row>
    <row r="75" spans="1:23" ht="18.75" thickBot="1" x14ac:dyDescent="0.3">
      <c r="A75" s="47">
        <v>1.2</v>
      </c>
      <c r="B75" s="60" t="s">
        <v>95</v>
      </c>
      <c r="C75" s="612">
        <v>0</v>
      </c>
      <c r="D75" s="51">
        <f t="shared" si="20"/>
        <v>67.239999999999995</v>
      </c>
      <c r="E75" s="51">
        <f t="shared" si="20"/>
        <v>33.43</v>
      </c>
      <c r="F75" s="51">
        <f>SUM(D75+E75)</f>
        <v>100.66999999999999</v>
      </c>
      <c r="G75" s="51">
        <f t="shared" si="21"/>
        <v>11.725941093965039</v>
      </c>
      <c r="H75" s="51">
        <f t="shared" si="22"/>
        <v>0</v>
      </c>
      <c r="I75" s="51">
        <f t="shared" si="23"/>
        <v>112.4</v>
      </c>
      <c r="J75" s="59"/>
      <c r="L75" s="93" t="s">
        <v>250</v>
      </c>
      <c r="M75" s="770">
        <f>P76*Q74*T74*W74*U74</f>
        <v>6.833367846E-3</v>
      </c>
      <c r="N75" s="92"/>
      <c r="O75" s="92"/>
      <c r="P75" s="47" t="s">
        <v>1562</v>
      </c>
    </row>
    <row r="76" spans="1:23" ht="18.75" thickBot="1" x14ac:dyDescent="0.3">
      <c r="A76" s="47">
        <v>1.1499999999999999</v>
      </c>
      <c r="B76" s="60" t="s">
        <v>96</v>
      </c>
      <c r="C76" s="612">
        <v>1</v>
      </c>
      <c r="D76" s="51">
        <f t="shared" si="20"/>
        <v>64.489999999999995</v>
      </c>
      <c r="E76" s="51">
        <f t="shared" si="20"/>
        <v>33.43</v>
      </c>
      <c r="F76" s="51">
        <f>SUM(D76+E76)</f>
        <v>97.919999999999987</v>
      </c>
      <c r="G76" s="51">
        <f t="shared" si="21"/>
        <v>11.24637033238854</v>
      </c>
      <c r="H76" s="51">
        <f t="shared" si="22"/>
        <v>109.17</v>
      </c>
      <c r="I76" s="51">
        <f t="shared" si="23"/>
        <v>109.17</v>
      </c>
      <c r="J76" s="59"/>
      <c r="L76" s="92" t="s">
        <v>1815</v>
      </c>
      <c r="M76" s="770">
        <f>$M$13</f>
        <v>8.9999999999999993E-3</v>
      </c>
      <c r="N76" s="92"/>
      <c r="O76" s="92"/>
      <c r="P76" s="620">
        <v>1.77E-2</v>
      </c>
      <c r="Q76" s="47" t="s">
        <v>1646</v>
      </c>
    </row>
    <row r="77" spans="1:23" ht="18.75" thickBot="1" x14ac:dyDescent="0.3">
      <c r="A77" s="47">
        <v>1</v>
      </c>
      <c r="B77" s="60" t="s">
        <v>97</v>
      </c>
      <c r="C77" s="612">
        <v>2</v>
      </c>
      <c r="D77" s="51">
        <f t="shared" si="20"/>
        <v>56.24</v>
      </c>
      <c r="E77" s="51">
        <f t="shared" si="20"/>
        <v>33.43</v>
      </c>
      <c r="F77" s="51">
        <f t="shared" ref="F77:F82" si="24">SUM(D77+E77)</f>
        <v>89.67</v>
      </c>
      <c r="G77" s="51">
        <f t="shared" si="21"/>
        <v>9.8076580476590411</v>
      </c>
      <c r="H77" s="51">
        <f t="shared" si="22"/>
        <v>198.96</v>
      </c>
      <c r="I77" s="51">
        <f t="shared" si="23"/>
        <v>99.48</v>
      </c>
      <c r="J77" s="59"/>
      <c r="L77" s="92" t="s">
        <v>1561</v>
      </c>
      <c r="M77" s="770">
        <f>M14</f>
        <v>1.2999999999999999E-2</v>
      </c>
      <c r="N77" s="92"/>
      <c r="O77" s="92"/>
      <c r="P77" s="47" t="s">
        <v>1559</v>
      </c>
    </row>
    <row r="78" spans="1:23" ht="18.75" thickBot="1" x14ac:dyDescent="0.3">
      <c r="A78" s="47">
        <v>0.9</v>
      </c>
      <c r="B78" s="60" t="s">
        <v>1143</v>
      </c>
      <c r="C78" s="612">
        <v>1</v>
      </c>
      <c r="D78" s="51">
        <f t="shared" si="20"/>
        <v>50.62</v>
      </c>
      <c r="E78" s="51">
        <f t="shared" si="20"/>
        <v>29.36</v>
      </c>
      <c r="F78" s="51">
        <f t="shared" si="24"/>
        <v>79.97999999999999</v>
      </c>
      <c r="G78" s="51">
        <f t="shared" si="21"/>
        <v>8.8275898003645192</v>
      </c>
      <c r="H78" s="51">
        <f t="shared" si="22"/>
        <v>88.81</v>
      </c>
      <c r="I78" s="51">
        <f t="shared" si="23"/>
        <v>88.81</v>
      </c>
      <c r="J78" s="59"/>
      <c r="L78" s="92"/>
      <c r="M78" s="770"/>
      <c r="N78" s="92"/>
      <c r="O78" s="92"/>
      <c r="P78" s="47" t="s">
        <v>1560</v>
      </c>
    </row>
    <row r="79" spans="1:23" ht="18.75" thickBot="1" x14ac:dyDescent="0.3">
      <c r="A79" s="47">
        <v>0.75</v>
      </c>
      <c r="B79" s="60" t="s">
        <v>1144</v>
      </c>
      <c r="C79" s="612">
        <v>0</v>
      </c>
      <c r="D79" s="51">
        <f t="shared" si="20"/>
        <v>42.19</v>
      </c>
      <c r="E79" s="51">
        <f t="shared" si="20"/>
        <v>28.94</v>
      </c>
      <c r="F79" s="51">
        <f t="shared" si="24"/>
        <v>71.13</v>
      </c>
      <c r="G79" s="51">
        <f t="shared" si="21"/>
        <v>7.3574874294227399</v>
      </c>
      <c r="H79" s="51">
        <f t="shared" si="22"/>
        <v>0</v>
      </c>
      <c r="I79" s="51">
        <f t="shared" si="23"/>
        <v>78.489999999999995</v>
      </c>
      <c r="J79" s="59"/>
      <c r="L79" s="93" t="s">
        <v>251</v>
      </c>
      <c r="M79" s="770">
        <f>M16</f>
        <v>8.2369999999999995E-3</v>
      </c>
      <c r="N79" s="92"/>
      <c r="O79" s="92"/>
    </row>
    <row r="80" spans="1:23" ht="18.75" thickBot="1" x14ac:dyDescent="0.3">
      <c r="A80" s="47">
        <v>0.65</v>
      </c>
      <c r="B80" s="60" t="s">
        <v>1145</v>
      </c>
      <c r="C80" s="612">
        <v>0</v>
      </c>
      <c r="D80" s="51">
        <f t="shared" si="20"/>
        <v>36.57</v>
      </c>
      <c r="E80" s="51">
        <f t="shared" si="20"/>
        <v>28.66</v>
      </c>
      <c r="F80" s="51">
        <f t="shared" si="24"/>
        <v>65.23</v>
      </c>
      <c r="G80" s="51">
        <f t="shared" si="21"/>
        <v>6.3774191821282207</v>
      </c>
      <c r="H80" s="51">
        <f t="shared" si="22"/>
        <v>0</v>
      </c>
      <c r="I80" s="51">
        <f t="shared" si="23"/>
        <v>71.61</v>
      </c>
      <c r="J80" s="59"/>
      <c r="L80" s="92" t="str">
        <f t="shared" ref="L80:M81" si="25">L17</f>
        <v>FMLA</v>
      </c>
      <c r="M80" s="770">
        <f t="shared" si="25"/>
        <v>4.0000000000000001E-3</v>
      </c>
      <c r="N80" s="92"/>
      <c r="O80" s="92"/>
    </row>
    <row r="81" spans="1:16" ht="18.75" thickBot="1" x14ac:dyDescent="0.3">
      <c r="A81" s="47">
        <v>0.55000000000000004</v>
      </c>
      <c r="B81" s="60" t="s">
        <v>1146</v>
      </c>
      <c r="C81" s="612">
        <v>0</v>
      </c>
      <c r="D81" s="51">
        <f t="shared" si="20"/>
        <v>30.95</v>
      </c>
      <c r="E81" s="51">
        <f t="shared" si="20"/>
        <v>28.38</v>
      </c>
      <c r="F81" s="51">
        <f t="shared" si="24"/>
        <v>59.33</v>
      </c>
      <c r="G81" s="51">
        <f t="shared" si="21"/>
        <v>5.3973509348337005</v>
      </c>
      <c r="H81" s="51">
        <f t="shared" si="22"/>
        <v>0</v>
      </c>
      <c r="I81" s="51">
        <f t="shared" si="23"/>
        <v>64.73</v>
      </c>
      <c r="J81" s="59"/>
      <c r="L81" s="92" t="str">
        <f t="shared" si="25"/>
        <v>OR Sick Leave</v>
      </c>
      <c r="M81" s="770">
        <f t="shared" si="25"/>
        <v>1.44E-2</v>
      </c>
      <c r="N81" s="92"/>
      <c r="O81" s="92"/>
    </row>
    <row r="82" spans="1:16" ht="18" x14ac:dyDescent="0.25">
      <c r="A82" s="47">
        <v>0.5</v>
      </c>
      <c r="B82" s="60" t="s">
        <v>1787</v>
      </c>
      <c r="C82" s="612">
        <v>1</v>
      </c>
      <c r="D82" s="51">
        <f t="shared" si="20"/>
        <v>27.55</v>
      </c>
      <c r="E82" s="51">
        <f t="shared" si="20"/>
        <v>20.71</v>
      </c>
      <c r="F82" s="51">
        <f t="shared" si="24"/>
        <v>48.260000000000005</v>
      </c>
      <c r="G82" s="51">
        <f t="shared" si="21"/>
        <v>4.8044270841573002</v>
      </c>
      <c r="H82" s="51">
        <f t="shared" si="22"/>
        <v>53.06</v>
      </c>
      <c r="I82" s="51">
        <f t="shared" si="23"/>
        <v>53.06</v>
      </c>
      <c r="J82" s="59"/>
      <c r="P82" s="47" t="s">
        <v>258</v>
      </c>
    </row>
    <row r="83" spans="1:16" ht="15.75" x14ac:dyDescent="0.25">
      <c r="B83" s="60"/>
      <c r="C83" s="54" t="s">
        <v>98</v>
      </c>
      <c r="H83" s="47" t="s">
        <v>99</v>
      </c>
      <c r="I83" s="52" t="s">
        <v>100</v>
      </c>
      <c r="J83" s="59"/>
      <c r="L83" s="91" t="s">
        <v>252</v>
      </c>
      <c r="M83" s="94">
        <f>SUM(M69:M81)</f>
        <v>0.17438936784600001</v>
      </c>
      <c r="N83" s="47" t="s">
        <v>253</v>
      </c>
      <c r="P83" s="47" t="s">
        <v>259</v>
      </c>
    </row>
    <row r="84" spans="1:16" ht="18.75" thickBot="1" x14ac:dyDescent="0.3">
      <c r="B84" s="60" t="s">
        <v>101</v>
      </c>
      <c r="C84" s="611">
        <f>SUM(C74:C82)</f>
        <v>5</v>
      </c>
      <c r="E84" s="650" t="str">
        <f t="shared" ref="E84:F86" si="26">E21</f>
        <v>* Swing: Add % of JNY wage</v>
      </c>
      <c r="F84" s="775">
        <f t="shared" si="26"/>
        <v>0.15</v>
      </c>
      <c r="G84" s="787">
        <f>$D$77*F84</f>
        <v>8.4359999999999999</v>
      </c>
      <c r="H84" s="53">
        <f>SUM(H74:H82)</f>
        <v>450</v>
      </c>
      <c r="I84" s="728">
        <f>IF(C84=0,0,H84/C84)</f>
        <v>90</v>
      </c>
      <c r="J84" s="59"/>
    </row>
    <row r="85" spans="1:16" ht="16.5" thickBot="1" x14ac:dyDescent="0.3">
      <c r="B85" s="60"/>
      <c r="C85" s="54"/>
      <c r="E85" s="650" t="str">
        <f t="shared" si="26"/>
        <v>* Graveyard: Add % of JNY wage</v>
      </c>
      <c r="F85" s="775">
        <f t="shared" si="26"/>
        <v>0.23</v>
      </c>
      <c r="G85" s="787">
        <f>$D$77*F85</f>
        <v>12.935200000000002</v>
      </c>
      <c r="H85" s="555" t="s">
        <v>1798</v>
      </c>
      <c r="I85" s="314">
        <v>16.5</v>
      </c>
      <c r="J85" s="59"/>
    </row>
    <row r="86" spans="1:16" ht="19.5" thickTop="1" thickBot="1" x14ac:dyDescent="0.3">
      <c r="B86" s="61" t="s">
        <v>237</v>
      </c>
      <c r="C86" s="614">
        <f>SUM(A74*C74,A75*C75,A76*C76,A77*C77,A78*C78,A79*C79,A80*C80,A81*C81,A82*C82)/C84</f>
        <v>0.90999999999999992</v>
      </c>
      <c r="D86" s="62"/>
      <c r="E86" s="777" t="str">
        <f t="shared" si="26"/>
        <v>* Special Circumstances: Add % of JNY wage</v>
      </c>
      <c r="F86" s="776">
        <f t="shared" si="26"/>
        <v>0.1</v>
      </c>
      <c r="G86" s="792">
        <f>$D$77*F86</f>
        <v>5.6240000000000006</v>
      </c>
      <c r="H86" s="62"/>
      <c r="I86" s="562">
        <f>ROUND(I84+I85,2)</f>
        <v>106.5</v>
      </c>
      <c r="J86" s="63"/>
      <c r="L86" s="91"/>
    </row>
    <row r="87" spans="1:16" ht="16.5" thickTop="1" thickBot="1" x14ac:dyDescent="0.25"/>
    <row r="88" spans="1:16" ht="17.25" thickTop="1" thickBot="1" x14ac:dyDescent="0.3">
      <c r="B88" s="55"/>
      <c r="C88" s="56"/>
      <c r="D88" s="1008" t="s">
        <v>38</v>
      </c>
      <c r="E88" s="1008"/>
      <c r="F88" s="109"/>
      <c r="G88" s="109"/>
      <c r="H88" s="56"/>
      <c r="I88" s="106" t="s">
        <v>1751</v>
      </c>
      <c r="J88" s="57"/>
    </row>
    <row r="89" spans="1:16" ht="16.5" thickBot="1" x14ac:dyDescent="0.3">
      <c r="B89" s="58" t="s">
        <v>103</v>
      </c>
      <c r="D89" s="563">
        <f>SUMIFS(SM_ShopLaborColumn,SM_OvertimeColumn,"OT")</f>
        <v>0</v>
      </c>
      <c r="E89" s="564" t="s">
        <v>102</v>
      </c>
      <c r="F89" s="111" t="str">
        <f>IF($F$5="","",$F$5)</f>
        <v/>
      </c>
      <c r="G89" s="112" t="str">
        <f>IF($G$5="","",$G$5)</f>
        <v/>
      </c>
      <c r="H89" s="363" t="str">
        <f>IF($H$5="","",$H$5)</f>
        <v/>
      </c>
      <c r="I89" s="110">
        <f>$I$5</f>
        <v>45839</v>
      </c>
      <c r="J89" s="59"/>
    </row>
    <row r="90" spans="1:16" ht="16.5" thickBot="1" x14ac:dyDescent="0.3">
      <c r="B90" s="58" t="s">
        <v>1147</v>
      </c>
      <c r="D90" s="569"/>
      <c r="F90" s="363" t="str">
        <f>IF($F$6="","",$F$6)</f>
        <v/>
      </c>
      <c r="G90" s="112" t="str">
        <f>IF($G$6="","",$G$6)</f>
        <v/>
      </c>
      <c r="H90" s="363" t="str">
        <f>IF($H$6="","",$H$6)</f>
        <v/>
      </c>
      <c r="I90" s="54" t="s">
        <v>243</v>
      </c>
      <c r="J90" s="59"/>
    </row>
    <row r="91" spans="1:16" ht="15.75" thickBot="1" x14ac:dyDescent="0.25">
      <c r="B91" s="60"/>
      <c r="D91" s="569"/>
      <c r="E91" s="52"/>
      <c r="F91" s="363" t="str">
        <f>IF($F$7="","",$F$7)</f>
        <v/>
      </c>
      <c r="G91" s="112" t="str">
        <f>IF($G$7="","",$G$7)</f>
        <v/>
      </c>
      <c r="H91" s="363" t="str">
        <f>IF($H$7="","",$H$7)</f>
        <v/>
      </c>
      <c r="I91" s="110">
        <f>$I$7</f>
        <v>46204</v>
      </c>
      <c r="J91" s="59"/>
    </row>
    <row r="92" spans="1:16" ht="15.75" thickBot="1" x14ac:dyDescent="0.25">
      <c r="B92" s="60"/>
      <c r="F92" s="772" t="str">
        <f>IF($F$8="","",$F$8)</f>
        <v/>
      </c>
      <c r="G92" s="772" t="str">
        <f>IF($G$8="","",$G$8)</f>
        <v/>
      </c>
      <c r="H92" s="107" t="str">
        <f>IF($H$8="","",$H$8)</f>
        <v/>
      </c>
      <c r="I92" s="52"/>
      <c r="J92" s="59"/>
    </row>
    <row r="93" spans="1:16" ht="15.75" x14ac:dyDescent="0.25">
      <c r="B93" s="60"/>
      <c r="G93" s="729" t="s">
        <v>254</v>
      </c>
      <c r="H93" s="838">
        <f>$H$72</f>
        <v>0</v>
      </c>
      <c r="J93" s="59"/>
    </row>
    <row r="94" spans="1:16" ht="45" x14ac:dyDescent="0.2">
      <c r="B94" s="60"/>
      <c r="C94" s="49" t="s">
        <v>1</v>
      </c>
      <c r="D94" s="49" t="s">
        <v>248</v>
      </c>
      <c r="E94" s="49" t="s">
        <v>94</v>
      </c>
      <c r="F94" s="50" t="s">
        <v>1651</v>
      </c>
      <c r="G94" s="725" t="s">
        <v>249</v>
      </c>
      <c r="H94" s="49" t="s">
        <v>79</v>
      </c>
      <c r="I94" s="727" t="s">
        <v>1648</v>
      </c>
      <c r="J94" s="59"/>
    </row>
    <row r="95" spans="1:16" ht="18" x14ac:dyDescent="0.25">
      <c r="A95" s="47">
        <v>1.25</v>
      </c>
      <c r="B95" s="60" t="s">
        <v>1750</v>
      </c>
      <c r="C95" s="611">
        <f>$C$74</f>
        <v>0</v>
      </c>
      <c r="D95" s="51">
        <f t="shared" ref="D95:E103" si="27">D32</f>
        <v>104.98499999999999</v>
      </c>
      <c r="E95" s="51">
        <f t="shared" si="27"/>
        <v>33.43</v>
      </c>
      <c r="F95" s="51">
        <f>SUM(D95+E95)</f>
        <v>138.41499999999999</v>
      </c>
      <c r="G95" s="51">
        <f t="shared" ref="G95:G103" si="28">$D95*$M$83</f>
        <v>18.30826778331231</v>
      </c>
      <c r="H95" s="51">
        <f t="shared" ref="H95:H103" si="29">ROUND(SUM(F95+G95)*C95*(1+$H$93),2)</f>
        <v>0</v>
      </c>
      <c r="I95" s="51">
        <f t="shared" ref="I95:I103" si="30">ROUND(SUM(F95:G95)*(1+$H$93),2)</f>
        <v>156.72</v>
      </c>
      <c r="J95" s="59"/>
    </row>
    <row r="96" spans="1:16" ht="18" x14ac:dyDescent="0.25">
      <c r="A96" s="47">
        <v>1.2</v>
      </c>
      <c r="B96" s="60" t="s">
        <v>95</v>
      </c>
      <c r="C96" s="611">
        <f>$C$75</f>
        <v>0</v>
      </c>
      <c r="D96" s="51">
        <f t="shared" si="27"/>
        <v>100.85999999999999</v>
      </c>
      <c r="E96" s="51">
        <f t="shared" si="27"/>
        <v>33.43</v>
      </c>
      <c r="F96" s="51">
        <f>SUM(D96+E96)</f>
        <v>134.29</v>
      </c>
      <c r="G96" s="51">
        <f t="shared" si="28"/>
        <v>17.588911640947558</v>
      </c>
      <c r="H96" s="51">
        <f t="shared" si="29"/>
        <v>0</v>
      </c>
      <c r="I96" s="51">
        <f t="shared" si="30"/>
        <v>151.88</v>
      </c>
      <c r="J96" s="59"/>
    </row>
    <row r="97" spans="1:12" ht="18" x14ac:dyDescent="0.25">
      <c r="A97" s="47">
        <v>1.1499999999999999</v>
      </c>
      <c r="B97" s="60" t="s">
        <v>96</v>
      </c>
      <c r="C97" s="611">
        <f>$C$76</f>
        <v>1</v>
      </c>
      <c r="D97" s="51">
        <f t="shared" si="27"/>
        <v>96.734999999999985</v>
      </c>
      <c r="E97" s="51">
        <f t="shared" si="27"/>
        <v>33.43</v>
      </c>
      <c r="F97" s="51">
        <f>SUM(D97+E97)</f>
        <v>130.16499999999999</v>
      </c>
      <c r="G97" s="51">
        <f t="shared" si="28"/>
        <v>16.869555498582809</v>
      </c>
      <c r="H97" s="51">
        <f t="shared" si="29"/>
        <v>147.03</v>
      </c>
      <c r="I97" s="51">
        <f t="shared" si="30"/>
        <v>147.03</v>
      </c>
      <c r="J97" s="59"/>
    </row>
    <row r="98" spans="1:12" ht="18" x14ac:dyDescent="0.25">
      <c r="A98" s="47">
        <v>1</v>
      </c>
      <c r="B98" s="60" t="s">
        <v>97</v>
      </c>
      <c r="C98" s="611">
        <f>$C$77</f>
        <v>2</v>
      </c>
      <c r="D98" s="51">
        <f t="shared" si="27"/>
        <v>84.36</v>
      </c>
      <c r="E98" s="51">
        <f t="shared" si="27"/>
        <v>33.43</v>
      </c>
      <c r="F98" s="51">
        <f t="shared" ref="F98:F103" si="31">SUM(D98+E98)</f>
        <v>117.78999999999999</v>
      </c>
      <c r="G98" s="51">
        <f t="shared" si="28"/>
        <v>14.711487071488561</v>
      </c>
      <c r="H98" s="51">
        <f t="shared" si="29"/>
        <v>265</v>
      </c>
      <c r="I98" s="51">
        <f t="shared" si="30"/>
        <v>132.5</v>
      </c>
      <c r="J98" s="59"/>
    </row>
    <row r="99" spans="1:12" ht="18" x14ac:dyDescent="0.25">
      <c r="A99" s="47">
        <v>0.9</v>
      </c>
      <c r="B99" s="60" t="s">
        <v>1143</v>
      </c>
      <c r="C99" s="611">
        <f>$C$78</f>
        <v>1</v>
      </c>
      <c r="D99" s="51">
        <f t="shared" si="27"/>
        <v>75.929999999999993</v>
      </c>
      <c r="E99" s="51">
        <f t="shared" si="27"/>
        <v>29.36</v>
      </c>
      <c r="F99" s="51">
        <f t="shared" si="31"/>
        <v>105.28999999999999</v>
      </c>
      <c r="G99" s="51">
        <f t="shared" si="28"/>
        <v>13.24138470054678</v>
      </c>
      <c r="H99" s="51">
        <f t="shared" si="29"/>
        <v>118.53</v>
      </c>
      <c r="I99" s="51">
        <f t="shared" si="30"/>
        <v>118.53</v>
      </c>
      <c r="J99" s="59"/>
    </row>
    <row r="100" spans="1:12" ht="18" x14ac:dyDescent="0.25">
      <c r="A100" s="47">
        <v>0.75</v>
      </c>
      <c r="B100" s="60" t="s">
        <v>1144</v>
      </c>
      <c r="C100" s="611">
        <f>$C$79</f>
        <v>0</v>
      </c>
      <c r="D100" s="51">
        <f t="shared" si="27"/>
        <v>63.284999999999997</v>
      </c>
      <c r="E100" s="51">
        <f t="shared" si="27"/>
        <v>28.94</v>
      </c>
      <c r="F100" s="51">
        <f t="shared" si="31"/>
        <v>92.224999999999994</v>
      </c>
      <c r="G100" s="51">
        <f t="shared" si="28"/>
        <v>11.03623114413411</v>
      </c>
      <c r="H100" s="51">
        <f t="shared" si="29"/>
        <v>0</v>
      </c>
      <c r="I100" s="51">
        <f t="shared" si="30"/>
        <v>103.26</v>
      </c>
      <c r="J100" s="59"/>
    </row>
    <row r="101" spans="1:12" ht="18" x14ac:dyDescent="0.25">
      <c r="A101" s="47">
        <v>0.65</v>
      </c>
      <c r="B101" s="60" t="s">
        <v>1145</v>
      </c>
      <c r="C101" s="611">
        <f>$C$80</f>
        <v>0</v>
      </c>
      <c r="D101" s="51">
        <f t="shared" si="27"/>
        <v>54.855000000000004</v>
      </c>
      <c r="E101" s="51">
        <f t="shared" si="27"/>
        <v>28.66</v>
      </c>
      <c r="F101" s="51">
        <f t="shared" si="31"/>
        <v>83.515000000000001</v>
      </c>
      <c r="G101" s="51">
        <f t="shared" si="28"/>
        <v>9.5661287731923306</v>
      </c>
      <c r="H101" s="51">
        <f t="shared" si="29"/>
        <v>0</v>
      </c>
      <c r="I101" s="51">
        <f t="shared" si="30"/>
        <v>93.08</v>
      </c>
      <c r="J101" s="59"/>
    </row>
    <row r="102" spans="1:12" ht="18" x14ac:dyDescent="0.25">
      <c r="A102" s="47">
        <v>0.55000000000000004</v>
      </c>
      <c r="B102" s="60" t="s">
        <v>1146</v>
      </c>
      <c r="C102" s="611">
        <f>$C$81</f>
        <v>0</v>
      </c>
      <c r="D102" s="51">
        <f t="shared" si="27"/>
        <v>46.424999999999997</v>
      </c>
      <c r="E102" s="51">
        <f t="shared" si="27"/>
        <v>28.38</v>
      </c>
      <c r="F102" s="51">
        <f t="shared" si="31"/>
        <v>74.804999999999993</v>
      </c>
      <c r="G102" s="51">
        <f t="shared" si="28"/>
        <v>8.0960264022505495</v>
      </c>
      <c r="H102" s="51">
        <f t="shared" si="29"/>
        <v>0</v>
      </c>
      <c r="I102" s="51">
        <f t="shared" si="30"/>
        <v>82.9</v>
      </c>
      <c r="J102" s="59"/>
    </row>
    <row r="103" spans="1:12" ht="18" x14ac:dyDescent="0.25">
      <c r="A103" s="47">
        <v>0.5</v>
      </c>
      <c r="B103" s="60" t="s">
        <v>1787</v>
      </c>
      <c r="C103" s="611">
        <f>$C$82</f>
        <v>1</v>
      </c>
      <c r="D103" s="51">
        <f t="shared" si="27"/>
        <v>41.325000000000003</v>
      </c>
      <c r="E103" s="51">
        <f t="shared" si="27"/>
        <v>20.71</v>
      </c>
      <c r="F103" s="51">
        <f t="shared" si="31"/>
        <v>62.035000000000004</v>
      </c>
      <c r="G103" s="51">
        <f t="shared" si="28"/>
        <v>7.2066406262359513</v>
      </c>
      <c r="H103" s="51">
        <f t="shared" si="29"/>
        <v>69.239999999999995</v>
      </c>
      <c r="I103" s="51">
        <f t="shared" si="30"/>
        <v>69.239999999999995</v>
      </c>
      <c r="J103" s="59"/>
    </row>
    <row r="104" spans="1:12" x14ac:dyDescent="0.2">
      <c r="B104" s="60"/>
      <c r="C104" s="54" t="s">
        <v>98</v>
      </c>
      <c r="H104" s="47" t="s">
        <v>99</v>
      </c>
      <c r="I104" s="52" t="s">
        <v>100</v>
      </c>
      <c r="J104" s="59"/>
    </row>
    <row r="105" spans="1:12" ht="18.75" thickBot="1" x14ac:dyDescent="0.3">
      <c r="B105" s="60" t="s">
        <v>101</v>
      </c>
      <c r="C105" s="611">
        <f>SUM(C95:C103)</f>
        <v>5</v>
      </c>
      <c r="H105" s="53">
        <f>SUM(H95:H103)</f>
        <v>599.79999999999995</v>
      </c>
      <c r="I105" s="728">
        <f>IF(C105=0,0,H105/C105)</f>
        <v>119.96</v>
      </c>
      <c r="J105" s="59"/>
    </row>
    <row r="106" spans="1:12" ht="16.5" thickBot="1" x14ac:dyDescent="0.3">
      <c r="B106" s="60"/>
      <c r="C106" s="54"/>
      <c r="H106" s="555" t="s">
        <v>1400</v>
      </c>
      <c r="I106" s="314">
        <f>I85</f>
        <v>16.5</v>
      </c>
      <c r="J106" s="59"/>
    </row>
    <row r="107" spans="1:12" ht="19.5" thickTop="1" thickBot="1" x14ac:dyDescent="0.3">
      <c r="B107" s="61" t="s">
        <v>237</v>
      </c>
      <c r="C107" s="614">
        <f>SUM(A95*C95,A96*C96,A97*C97,A98*C98,A99*C99,A100*C100,A101*C101,A102*C102,A103*C103)/C105</f>
        <v>0.90999999999999992</v>
      </c>
      <c r="D107" s="62"/>
      <c r="E107" s="62"/>
      <c r="F107" s="62"/>
      <c r="G107" s="62"/>
      <c r="H107" s="62"/>
      <c r="I107" s="562">
        <f>ROUND(I105+I106,2)</f>
        <v>136.46</v>
      </c>
      <c r="J107" s="63"/>
      <c r="L107" s="91"/>
    </row>
    <row r="108" spans="1:12" ht="16.5" thickTop="1" thickBot="1" x14ac:dyDescent="0.25"/>
    <row r="109" spans="1:12" ht="17.25" thickTop="1" thickBot="1" x14ac:dyDescent="0.3">
      <c r="B109" s="55"/>
      <c r="C109" s="56"/>
      <c r="D109" s="1008" t="s">
        <v>38</v>
      </c>
      <c r="E109" s="1008"/>
      <c r="F109" s="109"/>
      <c r="G109" s="109"/>
      <c r="H109" s="56"/>
      <c r="I109" s="106" t="s">
        <v>1751</v>
      </c>
      <c r="J109" s="57"/>
    </row>
    <row r="110" spans="1:12" ht="16.5" thickBot="1" x14ac:dyDescent="0.3">
      <c r="B110" s="58" t="s">
        <v>103</v>
      </c>
      <c r="D110" s="563">
        <f>SUMIFS(SM_ShopLaborColumn,SM_OvertimeColumn,"DBLT")</f>
        <v>0</v>
      </c>
      <c r="E110" s="564" t="s">
        <v>102</v>
      </c>
      <c r="F110" s="111" t="str">
        <f>IF($F$5="","",$F$5)</f>
        <v/>
      </c>
      <c r="G110" s="112" t="str">
        <f>IF($G$5="","",$G$5)</f>
        <v/>
      </c>
      <c r="H110" s="363" t="str">
        <f>IF($H$5="","",$H$5)</f>
        <v/>
      </c>
      <c r="I110" s="110">
        <f>$I$5</f>
        <v>45839</v>
      </c>
      <c r="J110" s="59"/>
    </row>
    <row r="111" spans="1:12" ht="16.5" thickBot="1" x14ac:dyDescent="0.3">
      <c r="B111" s="58" t="s">
        <v>1148</v>
      </c>
      <c r="D111" s="569"/>
      <c r="F111" s="363" t="str">
        <f>IF($F$6="","",$F$6)</f>
        <v/>
      </c>
      <c r="G111" s="112" t="str">
        <f>IF($G$6="","",$G$6)</f>
        <v/>
      </c>
      <c r="H111" s="363" t="str">
        <f>IF($H$6="","",$H$6)</f>
        <v/>
      </c>
      <c r="I111" s="54" t="s">
        <v>243</v>
      </c>
      <c r="J111" s="59"/>
    </row>
    <row r="112" spans="1:12" ht="15.75" thickBot="1" x14ac:dyDescent="0.25">
      <c r="B112" s="60"/>
      <c r="D112" s="569"/>
      <c r="E112" s="52"/>
      <c r="F112" s="363" t="str">
        <f>IF($F$7="","",$F$7)</f>
        <v/>
      </c>
      <c r="G112" s="112" t="str">
        <f>IF($G$7="","",$G$7)</f>
        <v/>
      </c>
      <c r="H112" s="363" t="str">
        <f>IF($H$7="","",$H$7)</f>
        <v/>
      </c>
      <c r="I112" s="110">
        <f>$I$7</f>
        <v>46204</v>
      </c>
      <c r="J112" s="59"/>
    </row>
    <row r="113" spans="1:10" ht="15.75" thickBot="1" x14ac:dyDescent="0.25">
      <c r="B113" s="60"/>
      <c r="F113" s="772" t="str">
        <f>IF($F$8="","",$F$8)</f>
        <v/>
      </c>
      <c r="G113" s="772" t="str">
        <f>IF($G$8="","",$G$8)</f>
        <v/>
      </c>
      <c r="H113" s="107" t="str">
        <f>IF($H$8="","",$H$8)</f>
        <v/>
      </c>
      <c r="I113" s="52"/>
      <c r="J113" s="59"/>
    </row>
    <row r="114" spans="1:10" ht="15.75" x14ac:dyDescent="0.25">
      <c r="B114" s="60"/>
      <c r="G114" s="729" t="s">
        <v>254</v>
      </c>
      <c r="H114" s="838">
        <f>$H$72</f>
        <v>0</v>
      </c>
      <c r="J114" s="59"/>
    </row>
    <row r="115" spans="1:10" ht="45" x14ac:dyDescent="0.2">
      <c r="B115" s="60"/>
      <c r="C115" s="49" t="s">
        <v>1</v>
      </c>
      <c r="D115" s="49" t="s">
        <v>248</v>
      </c>
      <c r="E115" s="49" t="s">
        <v>94</v>
      </c>
      <c r="F115" s="50" t="s">
        <v>1651</v>
      </c>
      <c r="G115" s="725" t="s">
        <v>249</v>
      </c>
      <c r="H115" s="49" t="s">
        <v>79</v>
      </c>
      <c r="I115" s="727" t="s">
        <v>1648</v>
      </c>
      <c r="J115" s="59"/>
    </row>
    <row r="116" spans="1:10" ht="18" x14ac:dyDescent="0.25">
      <c r="A116" s="47">
        <v>1.25</v>
      </c>
      <c r="B116" s="60" t="s">
        <v>1750</v>
      </c>
      <c r="C116" s="611">
        <f>$C$74</f>
        <v>0</v>
      </c>
      <c r="D116" s="51">
        <f t="shared" ref="D116:E124" si="32">D53</f>
        <v>139.97999999999999</v>
      </c>
      <c r="E116" s="51">
        <f t="shared" si="32"/>
        <v>33.43</v>
      </c>
      <c r="F116" s="51">
        <f>SUM(D116+E116)</f>
        <v>173.41</v>
      </c>
      <c r="G116" s="51">
        <f t="shared" ref="G116:G124" si="33">$D116*$M$83</f>
        <v>24.411023711083079</v>
      </c>
      <c r="H116" s="51">
        <f t="shared" ref="H116:H124" si="34">ROUND(SUM(F116+G116)*C116*(1+$H$114),2)</f>
        <v>0</v>
      </c>
      <c r="I116" s="51">
        <f t="shared" ref="I116:I124" si="35">ROUND(SUM(F116:G116)*(1+$H$114),2)</f>
        <v>197.82</v>
      </c>
      <c r="J116" s="59"/>
    </row>
    <row r="117" spans="1:10" ht="18" x14ac:dyDescent="0.25">
      <c r="A117" s="47">
        <v>1.2</v>
      </c>
      <c r="B117" s="60" t="s">
        <v>95</v>
      </c>
      <c r="C117" s="611">
        <f>$C$75</f>
        <v>0</v>
      </c>
      <c r="D117" s="51">
        <f t="shared" si="32"/>
        <v>134.47999999999999</v>
      </c>
      <c r="E117" s="51">
        <f t="shared" si="32"/>
        <v>33.43</v>
      </c>
      <c r="F117" s="51">
        <f>SUM(D117+E117)</f>
        <v>167.91</v>
      </c>
      <c r="G117" s="51">
        <f t="shared" si="33"/>
        <v>23.451882187930078</v>
      </c>
      <c r="H117" s="51">
        <f t="shared" si="34"/>
        <v>0</v>
      </c>
      <c r="I117" s="51">
        <f t="shared" si="35"/>
        <v>191.36</v>
      </c>
      <c r="J117" s="59"/>
    </row>
    <row r="118" spans="1:10" ht="18" x14ac:dyDescent="0.25">
      <c r="A118" s="47">
        <v>1.1499999999999999</v>
      </c>
      <c r="B118" s="60" t="s">
        <v>96</v>
      </c>
      <c r="C118" s="611">
        <f>$C$76</f>
        <v>1</v>
      </c>
      <c r="D118" s="51">
        <f t="shared" si="32"/>
        <v>128.97999999999999</v>
      </c>
      <c r="E118" s="51">
        <f t="shared" si="32"/>
        <v>33.43</v>
      </c>
      <c r="F118" s="51">
        <f>SUM(D118+E118)</f>
        <v>162.41</v>
      </c>
      <c r="G118" s="51">
        <f t="shared" si="33"/>
        <v>22.492740664777081</v>
      </c>
      <c r="H118" s="51">
        <f t="shared" si="34"/>
        <v>184.9</v>
      </c>
      <c r="I118" s="51">
        <f t="shared" si="35"/>
        <v>184.9</v>
      </c>
      <c r="J118" s="59"/>
    </row>
    <row r="119" spans="1:10" ht="18" x14ac:dyDescent="0.25">
      <c r="A119" s="47">
        <v>1</v>
      </c>
      <c r="B119" s="60" t="s">
        <v>97</v>
      </c>
      <c r="C119" s="611">
        <f>$C$77</f>
        <v>2</v>
      </c>
      <c r="D119" s="51">
        <f t="shared" si="32"/>
        <v>112.48</v>
      </c>
      <c r="E119" s="51">
        <f t="shared" si="32"/>
        <v>33.43</v>
      </c>
      <c r="F119" s="51">
        <f t="shared" ref="F119:F124" si="36">SUM(D119+E119)</f>
        <v>145.91</v>
      </c>
      <c r="G119" s="51">
        <f t="shared" si="33"/>
        <v>19.615316095318082</v>
      </c>
      <c r="H119" s="51">
        <f t="shared" si="34"/>
        <v>331.05</v>
      </c>
      <c r="I119" s="51">
        <f t="shared" si="35"/>
        <v>165.53</v>
      </c>
      <c r="J119" s="59"/>
    </row>
    <row r="120" spans="1:10" ht="18" x14ac:dyDescent="0.25">
      <c r="A120" s="47">
        <v>0.9</v>
      </c>
      <c r="B120" s="60" t="s">
        <v>1143</v>
      </c>
      <c r="C120" s="611">
        <f>$C$78</f>
        <v>1</v>
      </c>
      <c r="D120" s="51">
        <f t="shared" si="32"/>
        <v>101.24</v>
      </c>
      <c r="E120" s="51">
        <f t="shared" si="32"/>
        <v>29.36</v>
      </c>
      <c r="F120" s="51">
        <f t="shared" si="36"/>
        <v>130.6</v>
      </c>
      <c r="G120" s="51">
        <f t="shared" si="33"/>
        <v>17.655179600729038</v>
      </c>
      <c r="H120" s="51">
        <f t="shared" si="34"/>
        <v>148.26</v>
      </c>
      <c r="I120" s="51">
        <f t="shared" si="35"/>
        <v>148.26</v>
      </c>
      <c r="J120" s="59"/>
    </row>
    <row r="121" spans="1:10" ht="18" x14ac:dyDescent="0.25">
      <c r="A121" s="47">
        <v>0.75</v>
      </c>
      <c r="B121" s="60" t="s">
        <v>1144</v>
      </c>
      <c r="C121" s="611">
        <f>$C$79</f>
        <v>0</v>
      </c>
      <c r="D121" s="51">
        <f t="shared" si="32"/>
        <v>84.38</v>
      </c>
      <c r="E121" s="51">
        <f t="shared" si="32"/>
        <v>28.94</v>
      </c>
      <c r="F121" s="51">
        <f t="shared" si="36"/>
        <v>113.32</v>
      </c>
      <c r="G121" s="51">
        <f t="shared" si="33"/>
        <v>14.71497485884548</v>
      </c>
      <c r="H121" s="51">
        <f t="shared" si="34"/>
        <v>0</v>
      </c>
      <c r="I121" s="51">
        <f t="shared" si="35"/>
        <v>128.03</v>
      </c>
      <c r="J121" s="59"/>
    </row>
    <row r="122" spans="1:10" ht="18" x14ac:dyDescent="0.25">
      <c r="A122" s="47">
        <v>0.65</v>
      </c>
      <c r="B122" s="60" t="s">
        <v>1145</v>
      </c>
      <c r="C122" s="611">
        <f>$C$80</f>
        <v>0</v>
      </c>
      <c r="D122" s="51">
        <f t="shared" si="32"/>
        <v>73.14</v>
      </c>
      <c r="E122" s="51">
        <f t="shared" si="32"/>
        <v>28.66</v>
      </c>
      <c r="F122" s="51">
        <f t="shared" si="36"/>
        <v>101.8</v>
      </c>
      <c r="G122" s="51">
        <f t="shared" si="33"/>
        <v>12.754838364256441</v>
      </c>
      <c r="H122" s="51">
        <f t="shared" si="34"/>
        <v>0</v>
      </c>
      <c r="I122" s="51">
        <f t="shared" si="35"/>
        <v>114.55</v>
      </c>
      <c r="J122" s="59"/>
    </row>
    <row r="123" spans="1:10" ht="18" x14ac:dyDescent="0.25">
      <c r="A123" s="47">
        <v>0.55000000000000004</v>
      </c>
      <c r="B123" s="60" t="s">
        <v>1146</v>
      </c>
      <c r="C123" s="611">
        <f>$C$81</f>
        <v>0</v>
      </c>
      <c r="D123" s="51">
        <f t="shared" si="32"/>
        <v>61.9</v>
      </c>
      <c r="E123" s="51">
        <f t="shared" si="32"/>
        <v>28.38</v>
      </c>
      <c r="F123" s="51">
        <f t="shared" si="36"/>
        <v>90.28</v>
      </c>
      <c r="G123" s="51">
        <f t="shared" si="33"/>
        <v>10.794701869667401</v>
      </c>
      <c r="H123" s="51">
        <f t="shared" si="34"/>
        <v>0</v>
      </c>
      <c r="I123" s="51">
        <f t="shared" si="35"/>
        <v>101.07</v>
      </c>
      <c r="J123" s="59"/>
    </row>
    <row r="124" spans="1:10" ht="18" x14ac:dyDescent="0.25">
      <c r="A124" s="47">
        <v>0.5</v>
      </c>
      <c r="B124" s="60" t="s">
        <v>1787</v>
      </c>
      <c r="C124" s="611">
        <f>$C$82</f>
        <v>1</v>
      </c>
      <c r="D124" s="51">
        <f t="shared" si="32"/>
        <v>55.1</v>
      </c>
      <c r="E124" s="51">
        <f t="shared" si="32"/>
        <v>20.71</v>
      </c>
      <c r="F124" s="51">
        <f t="shared" si="36"/>
        <v>75.81</v>
      </c>
      <c r="G124" s="51">
        <f t="shared" si="33"/>
        <v>9.6088541683146005</v>
      </c>
      <c r="H124" s="51">
        <f t="shared" si="34"/>
        <v>85.42</v>
      </c>
      <c r="I124" s="51">
        <f t="shared" si="35"/>
        <v>85.42</v>
      </c>
      <c r="J124" s="59"/>
    </row>
    <row r="125" spans="1:10" x14ac:dyDescent="0.2">
      <c r="B125" s="60"/>
      <c r="C125" s="54" t="s">
        <v>98</v>
      </c>
      <c r="H125" s="47" t="s">
        <v>99</v>
      </c>
      <c r="I125" s="52" t="s">
        <v>100</v>
      </c>
      <c r="J125" s="59"/>
    </row>
    <row r="126" spans="1:10" ht="18.75" thickBot="1" x14ac:dyDescent="0.3">
      <c r="B126" s="60" t="s">
        <v>101</v>
      </c>
      <c r="C126" s="611">
        <f>SUM(C116:C124)</f>
        <v>5</v>
      </c>
      <c r="H126" s="53">
        <f>SUM(H116:H124)</f>
        <v>749.63</v>
      </c>
      <c r="I126" s="728">
        <f>IF(C126=0,0,H126/C126)</f>
        <v>149.92599999999999</v>
      </c>
      <c r="J126" s="59"/>
    </row>
    <row r="127" spans="1:10" ht="16.5" thickBot="1" x14ac:dyDescent="0.3">
      <c r="B127" s="60"/>
      <c r="C127" s="54"/>
      <c r="H127" s="555" t="s">
        <v>1400</v>
      </c>
      <c r="I127" s="314">
        <f>I106</f>
        <v>16.5</v>
      </c>
      <c r="J127" s="59"/>
    </row>
    <row r="128" spans="1:10" ht="19.5" thickTop="1" thickBot="1" x14ac:dyDescent="0.3">
      <c r="B128" s="61" t="s">
        <v>237</v>
      </c>
      <c r="C128" s="614">
        <f>SUM(A116*C116,A117*C117,A118*C118,A119*C119,A120*C120,A121*C121,A122*C122,A123*C123,A124*C124)/C126</f>
        <v>0.90999999999999992</v>
      </c>
      <c r="D128" s="62"/>
      <c r="E128" s="62"/>
      <c r="F128" s="62"/>
      <c r="G128" s="62"/>
      <c r="H128" s="62"/>
      <c r="I128" s="562">
        <f>ROUND(I126+I127,2)</f>
        <v>166.43</v>
      </c>
      <c r="J128" s="63"/>
    </row>
    <row r="129" spans="1:23" ht="16.5" thickTop="1" thickBot="1" x14ac:dyDescent="0.25"/>
    <row r="130" spans="1:23" ht="17.25" thickTop="1" thickBot="1" x14ac:dyDescent="0.3">
      <c r="B130" s="55"/>
      <c r="C130" s="56"/>
      <c r="D130" s="1007" t="s">
        <v>1761</v>
      </c>
      <c r="E130" s="1007"/>
      <c r="F130" s="1007" t="s">
        <v>1762</v>
      </c>
      <c r="G130" s="1007"/>
      <c r="H130" s="56"/>
      <c r="I130" s="106" t="s">
        <v>1751</v>
      </c>
      <c r="J130" s="57"/>
      <c r="L130" s="91" t="s">
        <v>1752</v>
      </c>
    </row>
    <row r="131" spans="1:23" ht="16.5" thickBot="1" x14ac:dyDescent="0.3">
      <c r="B131" s="58" t="s">
        <v>1749</v>
      </c>
      <c r="D131" s="108">
        <f>SUMIF(Takeoff_PayType,"Plumb Takeoff",SM_FieldLaborColumn)-D132-D133</f>
        <v>0</v>
      </c>
      <c r="E131" s="565" t="s">
        <v>1524</v>
      </c>
      <c r="F131" s="108">
        <f>SUMIF(Takeoff_PayType,"Pipe Takeoff",SM_FieldLaborColumn)-F132-F133</f>
        <v>0</v>
      </c>
      <c r="G131" s="565" t="s">
        <v>1524</v>
      </c>
      <c r="H131" s="54"/>
      <c r="I131" s="110">
        <v>45748</v>
      </c>
      <c r="J131" s="59"/>
      <c r="L131" s="92" t="s">
        <v>240</v>
      </c>
      <c r="M131" s="92" t="s">
        <v>241</v>
      </c>
      <c r="N131" s="92"/>
      <c r="O131" s="92"/>
      <c r="Q131" s="1005" t="s">
        <v>1557</v>
      </c>
      <c r="T131" s="1005" t="s">
        <v>1820</v>
      </c>
      <c r="U131" s="1005" t="s">
        <v>1822</v>
      </c>
      <c r="W131" s="1006" t="s">
        <v>1821</v>
      </c>
    </row>
    <row r="132" spans="1:23" ht="16.5" thickBot="1" x14ac:dyDescent="0.3">
      <c r="B132" s="58" t="s">
        <v>238</v>
      </c>
      <c r="D132" s="566">
        <f>Total_PlumbField_OverTime</f>
        <v>0</v>
      </c>
      <c r="E132" s="567" t="s">
        <v>1525</v>
      </c>
      <c r="F132" s="566">
        <f>Total_PipeField_OverTime</f>
        <v>0</v>
      </c>
      <c r="G132" s="567" t="s">
        <v>1525</v>
      </c>
      <c r="H132" s="54"/>
      <c r="I132" s="54" t="s">
        <v>243</v>
      </c>
      <c r="J132" s="59"/>
      <c r="L132" s="92" t="s">
        <v>242</v>
      </c>
      <c r="M132" s="770">
        <f t="shared" ref="M132:M137" si="37">M6</f>
        <v>6.0000000000000001E-3</v>
      </c>
      <c r="N132" s="92"/>
      <c r="O132" s="92"/>
      <c r="Q132" s="1005"/>
      <c r="T132" s="1005"/>
      <c r="U132" s="1005"/>
      <c r="W132" s="1005"/>
    </row>
    <row r="133" spans="1:23" ht="15.75" thickBot="1" x14ac:dyDescent="0.25">
      <c r="B133" s="60"/>
      <c r="D133" s="566">
        <f>Total_PlumbField_DoubleTime</f>
        <v>0</v>
      </c>
      <c r="E133" s="567" t="s">
        <v>1526</v>
      </c>
      <c r="F133" s="566">
        <f>Total_PipeField_DoubleTime</f>
        <v>0</v>
      </c>
      <c r="G133" s="567" t="s">
        <v>1526</v>
      </c>
      <c r="H133" s="54"/>
      <c r="I133" s="110">
        <v>46112</v>
      </c>
      <c r="J133" s="59"/>
      <c r="L133" s="92" t="s">
        <v>244</v>
      </c>
      <c r="M133" s="770">
        <f t="shared" si="37"/>
        <v>3.5999999999999997E-2</v>
      </c>
      <c r="N133" s="92"/>
      <c r="O133" s="92"/>
      <c r="Q133" s="1005"/>
      <c r="T133" s="1005"/>
      <c r="U133" s="1005"/>
      <c r="W133" s="1005"/>
    </row>
    <row r="134" spans="1:23" ht="15.75" thickBot="1" x14ac:dyDescent="0.25">
      <c r="B134" s="60"/>
      <c r="D134" s="189">
        <f>SUM(D131:D133)</f>
        <v>0</v>
      </c>
      <c r="E134" s="568" t="s">
        <v>1527</v>
      </c>
      <c r="F134" s="189">
        <f>SUM(F131:F133)</f>
        <v>0</v>
      </c>
      <c r="G134" s="568" t="s">
        <v>1527</v>
      </c>
      <c r="H134" s="107"/>
      <c r="I134" s="52"/>
      <c r="J134" s="59"/>
      <c r="L134" s="92" t="s">
        <v>245</v>
      </c>
      <c r="M134" s="770">
        <f t="shared" si="37"/>
        <v>4.1899999999999999E-4</v>
      </c>
      <c r="N134" s="92"/>
      <c r="O134" s="92"/>
      <c r="P134" s="811"/>
      <c r="Q134" s="1005"/>
      <c r="T134" s="1005"/>
      <c r="U134" s="1005"/>
      <c r="W134" s="1005"/>
    </row>
    <row r="135" spans="1:23" ht="16.5" thickBot="1" x14ac:dyDescent="0.3">
      <c r="B135" s="60"/>
      <c r="G135" s="729" t="s">
        <v>254</v>
      </c>
      <c r="H135" s="838">
        <v>0</v>
      </c>
      <c r="J135" s="59"/>
      <c r="L135" s="92" t="s">
        <v>246</v>
      </c>
      <c r="M135" s="770">
        <f t="shared" si="37"/>
        <v>6.2E-2</v>
      </c>
      <c r="N135" s="92"/>
      <c r="O135" s="92"/>
      <c r="Q135" s="1005"/>
      <c r="T135" s="1005"/>
      <c r="U135" s="1005"/>
      <c r="W135" s="1005"/>
    </row>
    <row r="136" spans="1:23" ht="45.75" thickBot="1" x14ac:dyDescent="0.25">
      <c r="B136" s="60"/>
      <c r="C136" s="49" t="s">
        <v>1</v>
      </c>
      <c r="D136" s="49" t="s">
        <v>248</v>
      </c>
      <c r="E136" s="49" t="s">
        <v>94</v>
      </c>
      <c r="F136" s="50" t="s">
        <v>1651</v>
      </c>
      <c r="G136" s="49" t="s">
        <v>249</v>
      </c>
      <c r="H136" s="49" t="s">
        <v>79</v>
      </c>
      <c r="I136" s="727" t="s">
        <v>1648</v>
      </c>
      <c r="J136" s="59"/>
      <c r="L136" s="92" t="s">
        <v>247</v>
      </c>
      <c r="M136" s="770">
        <f t="shared" si="37"/>
        <v>1.4500000000000001E-2</v>
      </c>
      <c r="N136" s="92"/>
      <c r="O136" s="92"/>
      <c r="P136" s="54"/>
      <c r="Q136" s="1005"/>
      <c r="R136" s="54"/>
      <c r="S136" s="54"/>
      <c r="T136" s="1005"/>
      <c r="U136" s="1005"/>
      <c r="V136" s="54"/>
      <c r="W136" s="1005"/>
    </row>
    <row r="137" spans="1:23" ht="18.75" thickBot="1" x14ac:dyDescent="0.3">
      <c r="A137" s="47">
        <v>1.3</v>
      </c>
      <c r="B137" s="60" t="s">
        <v>1750</v>
      </c>
      <c r="C137" s="612">
        <v>1</v>
      </c>
      <c r="D137" s="51">
        <v>90.63</v>
      </c>
      <c r="E137" s="51">
        <v>38.75</v>
      </c>
      <c r="F137" s="51">
        <f>SUM(D137+E137)</f>
        <v>129.38</v>
      </c>
      <c r="G137" s="51">
        <f>ROUND(SUM(D137*$M$146),2)</f>
        <v>16.670000000000002</v>
      </c>
      <c r="H137" s="51">
        <f t="shared" ref="H137:H144" si="38">ROUND(SUM(F137+G137)*C137*(1+$H$135),2)</f>
        <v>146.05000000000001</v>
      </c>
      <c r="I137" s="51">
        <f t="shared" ref="I137:I144" si="39">ROUND(SUM(F137:G137)*(1+$H$135),2)</f>
        <v>146.05000000000001</v>
      </c>
      <c r="J137" s="59"/>
      <c r="L137" s="92">
        <f>L11</f>
        <v>0</v>
      </c>
      <c r="M137" s="770">
        <f t="shared" si="37"/>
        <v>0</v>
      </c>
      <c r="N137" s="92"/>
      <c r="O137" s="92"/>
      <c r="Q137" s="54">
        <f>$Q$11</f>
        <v>0.6</v>
      </c>
      <c r="R137" s="47" t="s">
        <v>1574</v>
      </c>
      <c r="T137" s="54">
        <f>$T$11</f>
        <v>0.87</v>
      </c>
      <c r="U137" s="54">
        <f>$U$11</f>
        <v>0.89</v>
      </c>
      <c r="V137" s="47" t="s">
        <v>1645</v>
      </c>
      <c r="W137" s="54">
        <f>$W$11</f>
        <v>0.83099999999999996</v>
      </c>
    </row>
    <row r="138" spans="1:23" ht="18.75" thickBot="1" x14ac:dyDescent="0.3">
      <c r="A138" s="47">
        <v>1.2</v>
      </c>
      <c r="B138" s="60" t="s">
        <v>95</v>
      </c>
      <c r="C138" s="612">
        <v>1</v>
      </c>
      <c r="D138" s="51">
        <v>80.67</v>
      </c>
      <c r="E138" s="51">
        <v>38.75</v>
      </c>
      <c r="F138" s="51">
        <f t="shared" ref="F138:F144" si="40">SUM(D138+E138)</f>
        <v>119.42</v>
      </c>
      <c r="G138" s="51">
        <f t="shared" ref="G138:G144" si="41">ROUND(SUM(D138*$M$146),2)</f>
        <v>14.84</v>
      </c>
      <c r="H138" s="51">
        <f t="shared" si="38"/>
        <v>134.26</v>
      </c>
      <c r="I138" s="51">
        <f t="shared" si="39"/>
        <v>134.26</v>
      </c>
      <c r="J138" s="59"/>
      <c r="L138" s="93" t="s">
        <v>250</v>
      </c>
      <c r="M138" s="770">
        <f>P139*Q137*T137*W137*U137</f>
        <v>5.096070936E-3</v>
      </c>
      <c r="N138" s="92"/>
      <c r="O138" s="92"/>
      <c r="P138" s="47" t="s">
        <v>1558</v>
      </c>
      <c r="R138" s="47" t="s">
        <v>1644</v>
      </c>
    </row>
    <row r="139" spans="1:23" ht="18.75" thickBot="1" x14ac:dyDescent="0.3">
      <c r="A139" s="47">
        <v>1.1000000000000001</v>
      </c>
      <c r="B139" s="60" t="s">
        <v>96</v>
      </c>
      <c r="C139" s="612">
        <v>3</v>
      </c>
      <c r="D139" s="51">
        <v>70.72</v>
      </c>
      <c r="E139" s="51">
        <v>38.75</v>
      </c>
      <c r="F139" s="51">
        <f t="shared" si="40"/>
        <v>109.47</v>
      </c>
      <c r="G139" s="51">
        <f t="shared" si="41"/>
        <v>13.01</v>
      </c>
      <c r="H139" s="51">
        <f t="shared" si="38"/>
        <v>367.44</v>
      </c>
      <c r="I139" s="51">
        <f t="shared" si="39"/>
        <v>122.48</v>
      </c>
      <c r="J139" s="59"/>
      <c r="L139" s="92" t="s">
        <v>1815</v>
      </c>
      <c r="M139" s="770">
        <f>$M$13</f>
        <v>8.9999999999999993E-3</v>
      </c>
      <c r="N139" s="92"/>
      <c r="O139" s="92"/>
      <c r="P139" s="720">
        <v>1.32E-2</v>
      </c>
      <c r="Q139" s="47" t="s">
        <v>1646</v>
      </c>
    </row>
    <row r="140" spans="1:23" ht="18.75" thickBot="1" x14ac:dyDescent="0.3">
      <c r="A140" s="47">
        <v>1</v>
      </c>
      <c r="B140" s="60" t="s">
        <v>97</v>
      </c>
      <c r="C140" s="612"/>
      <c r="D140" s="51">
        <v>60.77</v>
      </c>
      <c r="E140" s="51">
        <v>38.75</v>
      </c>
      <c r="F140" s="51">
        <f t="shared" si="40"/>
        <v>99.52000000000001</v>
      </c>
      <c r="G140" s="51">
        <f t="shared" si="41"/>
        <v>11.18</v>
      </c>
      <c r="H140" s="51">
        <f t="shared" si="38"/>
        <v>0</v>
      </c>
      <c r="I140" s="51">
        <f t="shared" si="39"/>
        <v>110.7</v>
      </c>
      <c r="J140" s="59"/>
      <c r="L140" s="92" t="s">
        <v>1773</v>
      </c>
      <c r="M140" s="770">
        <v>2.4299999999999999E-2</v>
      </c>
      <c r="N140" s="92"/>
      <c r="O140" s="92"/>
      <c r="P140" s="47" t="s">
        <v>1559</v>
      </c>
    </row>
    <row r="141" spans="1:23" ht="18.75" thickBot="1" x14ac:dyDescent="0.3">
      <c r="A141" s="47">
        <v>0.9</v>
      </c>
      <c r="B141" s="60" t="s">
        <v>1143</v>
      </c>
      <c r="C141" s="612">
        <v>0</v>
      </c>
      <c r="D141" s="51">
        <v>54.96</v>
      </c>
      <c r="E141" s="51">
        <v>36.92</v>
      </c>
      <c r="F141" s="51">
        <f t="shared" si="40"/>
        <v>91.88</v>
      </c>
      <c r="G141" s="51">
        <f t="shared" si="41"/>
        <v>10.11</v>
      </c>
      <c r="H141" s="51">
        <f t="shared" si="38"/>
        <v>0</v>
      </c>
      <c r="I141" s="51">
        <f t="shared" si="39"/>
        <v>101.99</v>
      </c>
      <c r="J141" s="59"/>
      <c r="L141" s="92"/>
      <c r="M141" s="770"/>
      <c r="N141" s="92"/>
      <c r="O141" s="92"/>
      <c r="P141" s="47" t="s">
        <v>1560</v>
      </c>
    </row>
    <row r="142" spans="1:23" ht="18.75" thickBot="1" x14ac:dyDescent="0.3">
      <c r="A142" s="47">
        <v>0.75</v>
      </c>
      <c r="B142" s="60" t="s">
        <v>1144</v>
      </c>
      <c r="C142" s="612"/>
      <c r="D142" s="51">
        <v>45.58</v>
      </c>
      <c r="E142" s="51">
        <v>34.17</v>
      </c>
      <c r="F142" s="51">
        <f t="shared" si="40"/>
        <v>79.75</v>
      </c>
      <c r="G142" s="51">
        <f t="shared" si="41"/>
        <v>8.3800000000000008</v>
      </c>
      <c r="H142" s="51">
        <f t="shared" si="38"/>
        <v>0</v>
      </c>
      <c r="I142" s="51">
        <f t="shared" si="39"/>
        <v>88.13</v>
      </c>
      <c r="J142" s="59"/>
      <c r="L142" s="93" t="s">
        <v>251</v>
      </c>
      <c r="M142" s="770">
        <f>M16</f>
        <v>8.2369999999999995E-3</v>
      </c>
      <c r="N142" s="92"/>
      <c r="O142" s="92"/>
    </row>
    <row r="143" spans="1:23" ht="18.75" thickBot="1" x14ac:dyDescent="0.3">
      <c r="A143" s="47">
        <v>0.65</v>
      </c>
      <c r="B143" s="60" t="s">
        <v>1145</v>
      </c>
      <c r="C143" s="612"/>
      <c r="D143" s="51">
        <v>39.5</v>
      </c>
      <c r="E143" s="51">
        <v>32.33</v>
      </c>
      <c r="F143" s="51">
        <f t="shared" si="40"/>
        <v>71.83</v>
      </c>
      <c r="G143" s="51">
        <f t="shared" si="41"/>
        <v>7.27</v>
      </c>
      <c r="H143" s="51">
        <f t="shared" si="38"/>
        <v>0</v>
      </c>
      <c r="I143" s="51">
        <f t="shared" si="39"/>
        <v>79.099999999999994</v>
      </c>
      <c r="J143" s="59"/>
      <c r="L143" s="92" t="str">
        <f t="shared" ref="L143:M144" si="42">L17</f>
        <v>FMLA</v>
      </c>
      <c r="M143" s="770">
        <f t="shared" si="42"/>
        <v>4.0000000000000001E-3</v>
      </c>
      <c r="N143" s="92"/>
      <c r="O143" s="92"/>
    </row>
    <row r="144" spans="1:23" ht="18.75" thickBot="1" x14ac:dyDescent="0.3">
      <c r="A144" s="47">
        <v>0.55000000000000004</v>
      </c>
      <c r="B144" s="60" t="s">
        <v>1146</v>
      </c>
      <c r="C144" s="612"/>
      <c r="D144" s="51">
        <v>33.42</v>
      </c>
      <c r="E144" s="51">
        <v>30.5</v>
      </c>
      <c r="F144" s="51">
        <f t="shared" si="40"/>
        <v>63.92</v>
      </c>
      <c r="G144" s="51">
        <f t="shared" si="41"/>
        <v>6.15</v>
      </c>
      <c r="H144" s="51">
        <f t="shared" si="38"/>
        <v>0</v>
      </c>
      <c r="I144" s="51">
        <f t="shared" si="39"/>
        <v>70.069999999999993</v>
      </c>
      <c r="J144" s="59"/>
      <c r="L144" s="92" t="str">
        <f t="shared" si="42"/>
        <v>OR Sick Leave</v>
      </c>
      <c r="M144" s="770">
        <f t="shared" si="42"/>
        <v>1.44E-2</v>
      </c>
      <c r="N144" s="92"/>
      <c r="O144" s="92"/>
    </row>
    <row r="145" spans="1:16" x14ac:dyDescent="0.2">
      <c r="B145" s="60"/>
      <c r="C145" s="54" t="s">
        <v>98</v>
      </c>
      <c r="D145" s="793">
        <f>ROUND(((C137*D137)+(C138*D138)+(C139*D139)+(C140*D140)+(C141*D141)+(C142*D142)+(C143*D143)+(C144*D144))/C146,2)</f>
        <v>76.69</v>
      </c>
      <c r="E145" s="794" t="s">
        <v>1799</v>
      </c>
      <c r="H145" s="47" t="s">
        <v>99</v>
      </c>
      <c r="I145" s="52" t="s">
        <v>100</v>
      </c>
      <c r="J145" s="59"/>
    </row>
    <row r="146" spans="1:16" ht="18" x14ac:dyDescent="0.25">
      <c r="B146" s="60"/>
      <c r="C146" s="613">
        <f>SUM(C137:C144)</f>
        <v>5</v>
      </c>
      <c r="E146" s="650" t="s">
        <v>1800</v>
      </c>
      <c r="F146" s="780">
        <v>0.1</v>
      </c>
      <c r="G146" s="787">
        <f>ROUND(D145*F146,2)</f>
        <v>7.67</v>
      </c>
      <c r="H146" s="53">
        <f>SUM(H137:H144)</f>
        <v>647.75</v>
      </c>
      <c r="I146" s="728">
        <f>IF(C146=0,0,H146/C146)</f>
        <v>129.55000000000001</v>
      </c>
      <c r="J146" s="59"/>
      <c r="L146" s="91" t="s">
        <v>252</v>
      </c>
      <c r="M146" s="94">
        <f>SUM(M132:M144)</f>
        <v>0.18395207093599997</v>
      </c>
      <c r="N146" s="47" t="s">
        <v>253</v>
      </c>
    </row>
    <row r="147" spans="1:16" ht="15.75" thickBot="1" x14ac:dyDescent="0.25">
      <c r="B147" s="60"/>
      <c r="C147" s="54"/>
      <c r="E147" s="650" t="s">
        <v>1803</v>
      </c>
      <c r="F147" s="780">
        <v>6.25E-2</v>
      </c>
      <c r="J147" s="59"/>
    </row>
    <row r="148" spans="1:16" ht="19.5" thickTop="1" thickBot="1" x14ac:dyDescent="0.3">
      <c r="B148" s="61" t="s">
        <v>237</v>
      </c>
      <c r="C148" s="614">
        <f>SUM(A137*C137,A138*C138,A139*C139,A140*C140,A141*C141,A142*C142,A143*C143,A144*C144)/C146</f>
        <v>1.1600000000000001</v>
      </c>
      <c r="D148" s="62"/>
      <c r="E148" s="777" t="s">
        <v>1804</v>
      </c>
      <c r="F148" s="798">
        <v>0.125</v>
      </c>
      <c r="G148" s="62"/>
      <c r="H148" s="62" t="s">
        <v>255</v>
      </c>
      <c r="I148" s="562">
        <f>ROUND(I146,2)</f>
        <v>129.55000000000001</v>
      </c>
      <c r="J148" s="63"/>
      <c r="L148" s="91"/>
    </row>
    <row r="149" spans="1:16" ht="16.5" thickTop="1" thickBot="1" x14ac:dyDescent="0.25"/>
    <row r="150" spans="1:16" ht="17.25" thickTop="1" thickBot="1" x14ac:dyDescent="0.3">
      <c r="B150" s="55"/>
      <c r="C150" s="56"/>
      <c r="D150" s="1007" t="s">
        <v>1761</v>
      </c>
      <c r="E150" s="1007"/>
      <c r="F150" s="1007" t="s">
        <v>1762</v>
      </c>
      <c r="G150" s="1007"/>
      <c r="H150" s="56"/>
      <c r="I150" s="106" t="s">
        <v>1751</v>
      </c>
      <c r="J150" s="57"/>
    </row>
    <row r="151" spans="1:16" ht="17.25" thickTop="1" thickBot="1" x14ac:dyDescent="0.3">
      <c r="B151" s="58" t="s">
        <v>1749</v>
      </c>
      <c r="D151" s="563">
        <f>SUMIFS(SM_FieldLaborColumn,SM_OvertimeColumn,"OT",Takeoff_PayType,"Plumb Takeoff")</f>
        <v>0</v>
      </c>
      <c r="E151" s="564" t="s">
        <v>93</v>
      </c>
      <c r="F151" s="563">
        <f>SUMIFS(SM_FieldLaborColumn,SM_OvertimeColumn,"OT",Takeoff_PayType,"Pipe Takeoff")</f>
        <v>0</v>
      </c>
      <c r="G151" s="564" t="s">
        <v>93</v>
      </c>
      <c r="H151" s="54"/>
      <c r="I151" s="110">
        <f>$I$131</f>
        <v>45748</v>
      </c>
      <c r="J151" s="59"/>
      <c r="L151" s="364" t="s">
        <v>1291</v>
      </c>
      <c r="M151" s="365"/>
      <c r="N151" s="365"/>
      <c r="O151" s="365"/>
      <c r="P151" s="366"/>
    </row>
    <row r="152" spans="1:16" ht="16.5" thickBot="1" x14ac:dyDescent="0.3">
      <c r="B152" s="58" t="s">
        <v>1147</v>
      </c>
      <c r="C152" s="363"/>
      <c r="D152" s="363"/>
      <c r="E152" s="363"/>
      <c r="F152" s="363"/>
      <c r="G152" s="112"/>
      <c r="H152" s="54"/>
      <c r="I152" s="54" t="s">
        <v>243</v>
      </c>
      <c r="J152" s="59"/>
      <c r="L152" s="367" t="s">
        <v>1292</v>
      </c>
      <c r="P152" s="368"/>
    </row>
    <row r="153" spans="1:16" ht="16.5" thickBot="1" x14ac:dyDescent="0.3">
      <c r="B153" s="60"/>
      <c r="C153" s="363"/>
      <c r="D153" s="363"/>
      <c r="E153" s="363"/>
      <c r="F153" s="363"/>
      <c r="G153" s="112"/>
      <c r="H153" s="54"/>
      <c r="I153" s="110">
        <f>$I$133</f>
        <v>46112</v>
      </c>
      <c r="J153" s="59"/>
      <c r="L153" s="369" t="s">
        <v>1293</v>
      </c>
      <c r="M153" s="370" t="s">
        <v>1294</v>
      </c>
      <c r="N153" s="380">
        <f>-SUM(D140+4*D139+D141)/6 *SUM(M138:M141)</f>
        <v>-2.5508429726331592</v>
      </c>
      <c r="O153" s="370"/>
      <c r="P153" s="371"/>
    </row>
    <row r="154" spans="1:16" ht="15.75" thickBot="1" x14ac:dyDescent="0.25">
      <c r="B154" s="60"/>
      <c r="H154" s="107"/>
      <c r="I154" s="52"/>
      <c r="J154" s="59"/>
    </row>
    <row r="155" spans="1:16" ht="15.75" x14ac:dyDescent="0.25">
      <c r="B155" s="60"/>
      <c r="G155" s="729" t="s">
        <v>254</v>
      </c>
      <c r="H155" s="838">
        <f>$H$135</f>
        <v>0</v>
      </c>
      <c r="J155" s="59"/>
      <c r="L155" s="372" t="s">
        <v>1295</v>
      </c>
      <c r="M155" s="373"/>
      <c r="N155" s="373"/>
      <c r="O155" s="373"/>
      <c r="P155" s="374"/>
    </row>
    <row r="156" spans="1:16" ht="45" x14ac:dyDescent="0.25">
      <c r="B156" s="60"/>
      <c r="C156" s="49" t="s">
        <v>1</v>
      </c>
      <c r="D156" s="49" t="s">
        <v>248</v>
      </c>
      <c r="E156" s="49" t="s">
        <v>94</v>
      </c>
      <c r="F156" s="50" t="s">
        <v>1651</v>
      </c>
      <c r="G156" s="49" t="s">
        <v>249</v>
      </c>
      <c r="H156" s="49" t="s">
        <v>79</v>
      </c>
      <c r="I156" s="727" t="s">
        <v>1648</v>
      </c>
      <c r="J156" s="59"/>
      <c r="L156" s="375" t="s">
        <v>1128</v>
      </c>
      <c r="M156" s="47" t="s">
        <v>1137</v>
      </c>
      <c r="P156" s="376"/>
    </row>
    <row r="157" spans="1:16" ht="18" x14ac:dyDescent="0.25">
      <c r="A157" s="47">
        <v>1.3</v>
      </c>
      <c r="B157" s="60" t="s">
        <v>1750</v>
      </c>
      <c r="C157" s="751">
        <f t="shared" ref="C157:C164" si="43">C137</f>
        <v>1</v>
      </c>
      <c r="D157" s="51">
        <f>D137*1.5</f>
        <v>135.94499999999999</v>
      </c>
      <c r="E157" s="51">
        <f>E137</f>
        <v>38.75</v>
      </c>
      <c r="F157" s="51">
        <f>SUM(D157+E157)+0.35</f>
        <v>175.04499999999999</v>
      </c>
      <c r="G157" s="51">
        <f>ROUND(SUM(D157*$M$146),2)</f>
        <v>25.01</v>
      </c>
      <c r="H157" s="51">
        <f t="shared" ref="H157:H164" si="44">ROUND(SUM(F157+G157)*C157*(1+$H$155),2)</f>
        <v>200.06</v>
      </c>
      <c r="I157" s="51">
        <f t="shared" ref="I157:I164" si="45">ROUND(SUM(F157:G157)*(1+$H$155),2)</f>
        <v>200.06</v>
      </c>
      <c r="J157" s="59"/>
      <c r="L157" s="375" t="s">
        <v>1138</v>
      </c>
      <c r="P157" s="376"/>
    </row>
    <row r="158" spans="1:16" ht="18" x14ac:dyDescent="0.25">
      <c r="A158" s="47">
        <v>1.2</v>
      </c>
      <c r="B158" s="60" t="s">
        <v>95</v>
      </c>
      <c r="C158" s="751">
        <f t="shared" si="43"/>
        <v>1</v>
      </c>
      <c r="D158" s="51">
        <f t="shared" ref="D158:D164" si="46">D138*1.5</f>
        <v>121.005</v>
      </c>
      <c r="E158" s="51">
        <f t="shared" ref="E158:E164" si="47">E138</f>
        <v>38.75</v>
      </c>
      <c r="F158" s="51">
        <f t="shared" ref="F158:F164" si="48">SUM(D158+E158)+0.35</f>
        <v>160.10499999999999</v>
      </c>
      <c r="G158" s="51">
        <f t="shared" ref="G158:G164" si="49">ROUND(SUM(D158*$M$146),2)</f>
        <v>22.26</v>
      </c>
      <c r="H158" s="51">
        <f t="shared" si="44"/>
        <v>182.37</v>
      </c>
      <c r="I158" s="51">
        <f t="shared" si="45"/>
        <v>182.37</v>
      </c>
      <c r="J158" s="59"/>
      <c r="L158" s="375" t="s">
        <v>1129</v>
      </c>
      <c r="M158" s="47" t="s">
        <v>1139</v>
      </c>
      <c r="P158" s="376"/>
    </row>
    <row r="159" spans="1:16" ht="18" x14ac:dyDescent="0.25">
      <c r="A159" s="47">
        <v>1.1000000000000001</v>
      </c>
      <c r="B159" s="60" t="s">
        <v>96</v>
      </c>
      <c r="C159" s="751">
        <f t="shared" si="43"/>
        <v>3</v>
      </c>
      <c r="D159" s="51">
        <f t="shared" si="46"/>
        <v>106.08</v>
      </c>
      <c r="E159" s="51">
        <f t="shared" si="47"/>
        <v>38.75</v>
      </c>
      <c r="F159" s="51">
        <f t="shared" si="48"/>
        <v>145.17999999999998</v>
      </c>
      <c r="G159" s="51">
        <f t="shared" si="49"/>
        <v>19.510000000000002</v>
      </c>
      <c r="H159" s="51">
        <f t="shared" si="44"/>
        <v>494.07</v>
      </c>
      <c r="I159" s="51">
        <f t="shared" si="45"/>
        <v>164.69</v>
      </c>
      <c r="J159" s="59"/>
      <c r="L159" s="375" t="s">
        <v>1138</v>
      </c>
      <c r="P159" s="376"/>
    </row>
    <row r="160" spans="1:16" ht="18" x14ac:dyDescent="0.25">
      <c r="A160" s="47">
        <v>1</v>
      </c>
      <c r="B160" s="60" t="s">
        <v>97</v>
      </c>
      <c r="C160" s="751">
        <f t="shared" si="43"/>
        <v>0</v>
      </c>
      <c r="D160" s="51">
        <f t="shared" si="46"/>
        <v>91.155000000000001</v>
      </c>
      <c r="E160" s="51">
        <f t="shared" si="47"/>
        <v>38.75</v>
      </c>
      <c r="F160" s="51">
        <f t="shared" si="48"/>
        <v>130.255</v>
      </c>
      <c r="G160" s="51">
        <f t="shared" si="49"/>
        <v>16.77</v>
      </c>
      <c r="H160" s="51">
        <f t="shared" si="44"/>
        <v>0</v>
      </c>
      <c r="I160" s="51">
        <f t="shared" si="45"/>
        <v>147.03</v>
      </c>
      <c r="J160" s="59"/>
      <c r="L160" s="375" t="s">
        <v>1130</v>
      </c>
      <c r="M160" s="47" t="s">
        <v>1140</v>
      </c>
      <c r="P160" s="376"/>
    </row>
    <row r="161" spans="1:16" ht="18.75" thickBot="1" x14ac:dyDescent="0.3">
      <c r="A161" s="47">
        <v>0.9</v>
      </c>
      <c r="B161" s="60" t="s">
        <v>1143</v>
      </c>
      <c r="C161" s="751">
        <f t="shared" si="43"/>
        <v>0</v>
      </c>
      <c r="D161" s="51">
        <f t="shared" si="46"/>
        <v>82.44</v>
      </c>
      <c r="E161" s="51">
        <f t="shared" si="47"/>
        <v>36.92</v>
      </c>
      <c r="F161" s="51">
        <f t="shared" si="48"/>
        <v>119.71</v>
      </c>
      <c r="G161" s="51">
        <f t="shared" si="49"/>
        <v>15.17</v>
      </c>
      <c r="H161" s="51">
        <f t="shared" si="44"/>
        <v>0</v>
      </c>
      <c r="I161" s="51">
        <f t="shared" si="45"/>
        <v>134.88</v>
      </c>
      <c r="J161" s="59"/>
      <c r="L161" s="377" t="s">
        <v>1138</v>
      </c>
      <c r="M161" s="378"/>
      <c r="N161" s="378"/>
      <c r="O161" s="378"/>
      <c r="P161" s="379"/>
    </row>
    <row r="162" spans="1:16" ht="18" x14ac:dyDescent="0.25">
      <c r="A162" s="47">
        <v>0.75</v>
      </c>
      <c r="B162" s="60" t="s">
        <v>1144</v>
      </c>
      <c r="C162" s="751">
        <f t="shared" si="43"/>
        <v>0</v>
      </c>
      <c r="D162" s="51">
        <f t="shared" si="46"/>
        <v>68.37</v>
      </c>
      <c r="E162" s="51">
        <f t="shared" si="47"/>
        <v>34.17</v>
      </c>
      <c r="F162" s="51">
        <f t="shared" si="48"/>
        <v>102.89</v>
      </c>
      <c r="G162" s="51">
        <f t="shared" si="49"/>
        <v>12.58</v>
      </c>
      <c r="H162" s="51">
        <f t="shared" si="44"/>
        <v>0</v>
      </c>
      <c r="I162" s="51">
        <f t="shared" si="45"/>
        <v>115.47</v>
      </c>
      <c r="J162" s="59"/>
      <c r="L162" s="91"/>
    </row>
    <row r="163" spans="1:16" ht="18" x14ac:dyDescent="0.25">
      <c r="A163" s="47">
        <v>0.65</v>
      </c>
      <c r="B163" s="60" t="s">
        <v>1145</v>
      </c>
      <c r="C163" s="751">
        <f t="shared" si="43"/>
        <v>0</v>
      </c>
      <c r="D163" s="51">
        <f t="shared" si="46"/>
        <v>59.25</v>
      </c>
      <c r="E163" s="51">
        <f t="shared" si="47"/>
        <v>32.33</v>
      </c>
      <c r="F163" s="51">
        <f t="shared" si="48"/>
        <v>91.929999999999993</v>
      </c>
      <c r="G163" s="51">
        <f t="shared" si="49"/>
        <v>10.9</v>
      </c>
      <c r="H163" s="51">
        <f t="shared" si="44"/>
        <v>0</v>
      </c>
      <c r="I163" s="51">
        <f t="shared" si="45"/>
        <v>102.83</v>
      </c>
      <c r="J163" s="59"/>
      <c r="L163" s="831" t="s">
        <v>1830</v>
      </c>
      <c r="N163" s="91"/>
    </row>
    <row r="164" spans="1:16" ht="18" x14ac:dyDescent="0.25">
      <c r="A164" s="47">
        <v>0.55000000000000004</v>
      </c>
      <c r="B164" s="60" t="s">
        <v>1146</v>
      </c>
      <c r="C164" s="751">
        <f t="shared" si="43"/>
        <v>0</v>
      </c>
      <c r="D164" s="51">
        <f t="shared" si="46"/>
        <v>50.13</v>
      </c>
      <c r="E164" s="51">
        <f t="shared" si="47"/>
        <v>30.5</v>
      </c>
      <c r="F164" s="51">
        <f t="shared" si="48"/>
        <v>80.97999999999999</v>
      </c>
      <c r="G164" s="51">
        <f t="shared" si="49"/>
        <v>9.2200000000000006</v>
      </c>
      <c r="H164" s="51">
        <f t="shared" si="44"/>
        <v>0</v>
      </c>
      <c r="I164" s="51">
        <f t="shared" si="45"/>
        <v>90.2</v>
      </c>
      <c r="J164" s="59"/>
      <c r="L164" s="831" t="s">
        <v>1829</v>
      </c>
      <c r="M164" s="831" t="s">
        <v>1831</v>
      </c>
      <c r="N164" s="836" t="s">
        <v>1832</v>
      </c>
    </row>
    <row r="165" spans="1:16" x14ac:dyDescent="0.2">
      <c r="B165" s="60"/>
      <c r="C165" s="54" t="s">
        <v>98</v>
      </c>
      <c r="H165" s="47" t="s">
        <v>99</v>
      </c>
      <c r="I165" s="52" t="s">
        <v>100</v>
      </c>
      <c r="J165" s="59"/>
      <c r="L165" s="842">
        <v>46113</v>
      </c>
      <c r="M165" s="843">
        <v>6</v>
      </c>
      <c r="N165" s="844">
        <f>M165/($I$140*(1-$H$135))</f>
        <v>5.4200542005420051E-2</v>
      </c>
      <c r="O165" s="47" t="s">
        <v>1833</v>
      </c>
    </row>
    <row r="166" spans="1:16" ht="18" x14ac:dyDescent="0.25">
      <c r="B166" s="60"/>
      <c r="C166" s="611">
        <f>SUM(C157:C164)</f>
        <v>5</v>
      </c>
      <c r="D166" s="47" t="s">
        <v>1141</v>
      </c>
      <c r="H166" s="53">
        <f>SUM(H157:H164)</f>
        <v>876.5</v>
      </c>
      <c r="I166" s="728">
        <f>IF(C166=0,0,H166/C166)</f>
        <v>175.3</v>
      </c>
      <c r="J166" s="59"/>
      <c r="L166" s="842">
        <v>46478</v>
      </c>
      <c r="M166" s="843">
        <v>6.25</v>
      </c>
      <c r="N166" s="844">
        <f>SUM(M165,M166)/($I$140*(1-$H$135))</f>
        <v>0.11065943992773261</v>
      </c>
      <c r="O166" s="47" t="s">
        <v>1833</v>
      </c>
    </row>
    <row r="167" spans="1:16" ht="15.75" thickBot="1" x14ac:dyDescent="0.25">
      <c r="B167" s="60"/>
      <c r="C167" s="54"/>
      <c r="D167" s="47" t="s">
        <v>1142</v>
      </c>
      <c r="J167" s="59"/>
      <c r="L167" s="842">
        <v>46844</v>
      </c>
      <c r="M167" s="843">
        <v>6.5</v>
      </c>
      <c r="N167" s="844">
        <f>SUM(M165:M167)/($I$140*(1-$H$135))</f>
        <v>0.16937669376693767</v>
      </c>
      <c r="O167" s="47" t="s">
        <v>1833</v>
      </c>
    </row>
    <row r="168" spans="1:16" ht="19.5" thickTop="1" thickBot="1" x14ac:dyDescent="0.3">
      <c r="B168" s="61" t="s">
        <v>237</v>
      </c>
      <c r="C168" s="615">
        <f>SUM(A157*C157,A158*C158,A159*C159,A160*C160,A161*C161,A162*C162,A163*C163,A164*C164)/C166</f>
        <v>1.1600000000000001</v>
      </c>
      <c r="D168" s="62"/>
      <c r="E168" s="62"/>
      <c r="F168" s="62"/>
      <c r="G168" s="62"/>
      <c r="H168" s="62"/>
      <c r="I168" s="562">
        <f>ROUND(I166,2)</f>
        <v>175.3</v>
      </c>
      <c r="J168" s="63"/>
      <c r="L168" s="834"/>
      <c r="M168" s="835"/>
      <c r="N168" s="837"/>
    </row>
    <row r="169" spans="1:16" ht="16.5" thickTop="1" thickBot="1" x14ac:dyDescent="0.25">
      <c r="L169" s="834"/>
      <c r="M169" s="835"/>
      <c r="N169" s="837"/>
    </row>
    <row r="170" spans="1:16" ht="17.25" thickTop="1" thickBot="1" x14ac:dyDescent="0.3">
      <c r="B170" s="55"/>
      <c r="C170" s="56"/>
      <c r="D170" s="1007" t="s">
        <v>1761</v>
      </c>
      <c r="E170" s="1007"/>
      <c r="F170" s="1007" t="s">
        <v>1762</v>
      </c>
      <c r="G170" s="1007"/>
      <c r="H170" s="56"/>
      <c r="I170" s="106" t="s">
        <v>1751</v>
      </c>
      <c r="J170" s="57"/>
    </row>
    <row r="171" spans="1:16" ht="16.5" thickBot="1" x14ac:dyDescent="0.3">
      <c r="B171" s="58" t="s">
        <v>1749</v>
      </c>
      <c r="D171" s="563">
        <f>SUMIFS(SM_FieldLaborColumn,SM_OvertimeColumn,"DBLT",Takeoff_PayType,"Plumb Takeoff")</f>
        <v>0</v>
      </c>
      <c r="E171" s="564" t="s">
        <v>93</v>
      </c>
      <c r="F171" s="563">
        <f>SUMIFS(SM_FieldLaborColumn,SM_OvertimeColumn,"DBLT",Takeoff_PayType,"Pipe Takeoff")</f>
        <v>0</v>
      </c>
      <c r="G171" s="564" t="s">
        <v>93</v>
      </c>
      <c r="H171" s="54"/>
      <c r="I171" s="110">
        <f>$I$131</f>
        <v>45748</v>
      </c>
      <c r="J171" s="59"/>
    </row>
    <row r="172" spans="1:16" ht="16.5" thickBot="1" x14ac:dyDescent="0.3">
      <c r="B172" s="58" t="s">
        <v>1148</v>
      </c>
      <c r="D172" s="363"/>
      <c r="E172" s="373"/>
      <c r="F172" s="363"/>
      <c r="G172" s="112"/>
      <c r="H172" s="54"/>
      <c r="I172" s="54" t="s">
        <v>243</v>
      </c>
      <c r="J172" s="59"/>
    </row>
    <row r="173" spans="1:16" ht="15.75" thickBot="1" x14ac:dyDescent="0.25">
      <c r="B173" s="60"/>
      <c r="D173" s="363"/>
      <c r="F173" s="363"/>
      <c r="G173" s="112"/>
      <c r="H173" s="54"/>
      <c r="I173" s="110">
        <f>$I$133</f>
        <v>46112</v>
      </c>
      <c r="J173" s="59"/>
    </row>
    <row r="174" spans="1:16" ht="16.5" thickBot="1" x14ac:dyDescent="0.3">
      <c r="B174" s="60"/>
      <c r="H174" s="107"/>
      <c r="I174" s="52"/>
      <c r="J174" s="59"/>
      <c r="L174" s="91"/>
    </row>
    <row r="175" spans="1:16" ht="15.75" x14ac:dyDescent="0.25">
      <c r="B175" s="60"/>
      <c r="G175" s="729" t="s">
        <v>254</v>
      </c>
      <c r="H175" s="838">
        <f>$H$135</f>
        <v>0</v>
      </c>
      <c r="J175" s="59"/>
      <c r="L175" s="91"/>
    </row>
    <row r="176" spans="1:16" ht="45" x14ac:dyDescent="0.25">
      <c r="B176" s="60"/>
      <c r="C176" s="49" t="s">
        <v>1</v>
      </c>
      <c r="D176" s="49" t="s">
        <v>248</v>
      </c>
      <c r="E176" s="49" t="s">
        <v>94</v>
      </c>
      <c r="F176" s="50" t="s">
        <v>1651</v>
      </c>
      <c r="G176" s="49" t="s">
        <v>249</v>
      </c>
      <c r="H176" s="49" t="s">
        <v>79</v>
      </c>
      <c r="I176" s="727" t="s">
        <v>1648</v>
      </c>
      <c r="J176" s="59"/>
      <c r="L176" s="91"/>
    </row>
    <row r="177" spans="1:12" ht="18" x14ac:dyDescent="0.25">
      <c r="A177" s="47">
        <v>1.3</v>
      </c>
      <c r="B177" s="60" t="s">
        <v>1750</v>
      </c>
      <c r="C177" s="751">
        <f t="shared" ref="C177:C184" si="50">C137</f>
        <v>1</v>
      </c>
      <c r="D177" s="51">
        <f>SUM(D137*2)</f>
        <v>181.26</v>
      </c>
      <c r="E177" s="51">
        <f>E137</f>
        <v>38.75</v>
      </c>
      <c r="F177" s="51">
        <f t="shared" ref="F177:F184" si="51">SUM(D177+E177)+0.35</f>
        <v>220.35999999999999</v>
      </c>
      <c r="G177" s="51">
        <f>ROUND(SUM(D177*$M$146),2)</f>
        <v>33.340000000000003</v>
      </c>
      <c r="H177" s="51">
        <f>ROUND(SUM(F177+G177)*C177*(1+$H$175),2)</f>
        <v>253.7</v>
      </c>
      <c r="I177" s="51">
        <f>ROUND(SUM(F177:G177)*(1+$H$175),2)</f>
        <v>253.7</v>
      </c>
      <c r="J177" s="59"/>
      <c r="L177" s="91"/>
    </row>
    <row r="178" spans="1:12" ht="18" x14ac:dyDescent="0.25">
      <c r="A178" s="47">
        <v>1.2</v>
      </c>
      <c r="B178" s="60" t="s">
        <v>95</v>
      </c>
      <c r="C178" s="751">
        <f t="shared" si="50"/>
        <v>1</v>
      </c>
      <c r="D178" s="51">
        <f t="shared" ref="D178:D184" si="52">SUM(D138*2)</f>
        <v>161.34</v>
      </c>
      <c r="E178" s="51">
        <f t="shared" ref="E178:E184" si="53">E138</f>
        <v>38.75</v>
      </c>
      <c r="F178" s="750">
        <f t="shared" si="51"/>
        <v>200.44</v>
      </c>
      <c r="G178" s="51">
        <f t="shared" ref="G178:G184" si="54">ROUND(SUM(D178*$M$146),2)</f>
        <v>29.68</v>
      </c>
      <c r="H178" s="51">
        <f t="shared" ref="H178:H184" si="55">ROUND(SUM(F178+G178)*C178*(1+$H$175),2)</f>
        <v>230.12</v>
      </c>
      <c r="I178" s="51">
        <f t="shared" ref="I178:I184" si="56">ROUND(SUM(F178:G178)*(1+$H$175),2)</f>
        <v>230.12</v>
      </c>
      <c r="J178" s="59"/>
      <c r="L178" s="91"/>
    </row>
    <row r="179" spans="1:12" ht="18" x14ac:dyDescent="0.25">
      <c r="A179" s="47">
        <v>1.1000000000000001</v>
      </c>
      <c r="B179" s="60" t="s">
        <v>96</v>
      </c>
      <c r="C179" s="751">
        <f t="shared" si="50"/>
        <v>3</v>
      </c>
      <c r="D179" s="51">
        <f t="shared" si="52"/>
        <v>141.44</v>
      </c>
      <c r="E179" s="51">
        <f t="shared" si="53"/>
        <v>38.75</v>
      </c>
      <c r="F179" s="51">
        <f t="shared" si="51"/>
        <v>180.54</v>
      </c>
      <c r="G179" s="51">
        <f t="shared" si="54"/>
        <v>26.02</v>
      </c>
      <c r="H179" s="51">
        <f t="shared" si="55"/>
        <v>619.67999999999995</v>
      </c>
      <c r="I179" s="51">
        <f t="shared" si="56"/>
        <v>206.56</v>
      </c>
      <c r="J179" s="59"/>
      <c r="L179" s="91"/>
    </row>
    <row r="180" spans="1:12" ht="18" x14ac:dyDescent="0.25">
      <c r="A180" s="47">
        <v>1</v>
      </c>
      <c r="B180" s="60" t="s">
        <v>97</v>
      </c>
      <c r="C180" s="751">
        <f t="shared" si="50"/>
        <v>0</v>
      </c>
      <c r="D180" s="51">
        <f t="shared" si="52"/>
        <v>121.54</v>
      </c>
      <c r="E180" s="51">
        <f t="shared" si="53"/>
        <v>38.75</v>
      </c>
      <c r="F180" s="51">
        <f t="shared" si="51"/>
        <v>160.64000000000001</v>
      </c>
      <c r="G180" s="51">
        <f t="shared" si="54"/>
        <v>22.36</v>
      </c>
      <c r="H180" s="51">
        <f t="shared" si="55"/>
        <v>0</v>
      </c>
      <c r="I180" s="51">
        <f t="shared" si="56"/>
        <v>183</v>
      </c>
      <c r="J180" s="59"/>
      <c r="L180" s="91"/>
    </row>
    <row r="181" spans="1:12" ht="18" x14ac:dyDescent="0.25">
      <c r="A181" s="47">
        <v>0.9</v>
      </c>
      <c r="B181" s="60" t="s">
        <v>1143</v>
      </c>
      <c r="C181" s="751">
        <f t="shared" si="50"/>
        <v>0</v>
      </c>
      <c r="D181" s="51">
        <f t="shared" si="52"/>
        <v>109.92</v>
      </c>
      <c r="E181" s="51">
        <f t="shared" si="53"/>
        <v>36.92</v>
      </c>
      <c r="F181" s="51">
        <f t="shared" si="51"/>
        <v>147.19</v>
      </c>
      <c r="G181" s="51">
        <f t="shared" si="54"/>
        <v>20.22</v>
      </c>
      <c r="H181" s="51">
        <f t="shared" si="55"/>
        <v>0</v>
      </c>
      <c r="I181" s="51">
        <f t="shared" si="56"/>
        <v>167.41</v>
      </c>
      <c r="J181" s="59"/>
      <c r="L181" s="91"/>
    </row>
    <row r="182" spans="1:12" ht="18" x14ac:dyDescent="0.25">
      <c r="A182" s="47">
        <v>0.75</v>
      </c>
      <c r="B182" s="60" t="s">
        <v>1144</v>
      </c>
      <c r="C182" s="751">
        <f t="shared" si="50"/>
        <v>0</v>
      </c>
      <c r="D182" s="51">
        <f t="shared" si="52"/>
        <v>91.16</v>
      </c>
      <c r="E182" s="51">
        <f t="shared" si="53"/>
        <v>34.17</v>
      </c>
      <c r="F182" s="51">
        <f t="shared" si="51"/>
        <v>125.67999999999999</v>
      </c>
      <c r="G182" s="51">
        <f t="shared" si="54"/>
        <v>16.77</v>
      </c>
      <c r="H182" s="51">
        <f t="shared" si="55"/>
        <v>0</v>
      </c>
      <c r="I182" s="51">
        <f t="shared" si="56"/>
        <v>142.44999999999999</v>
      </c>
      <c r="J182" s="59"/>
      <c r="L182" s="91"/>
    </row>
    <row r="183" spans="1:12" ht="18" x14ac:dyDescent="0.25">
      <c r="A183" s="47">
        <v>0.65</v>
      </c>
      <c r="B183" s="60" t="s">
        <v>1145</v>
      </c>
      <c r="C183" s="751">
        <f t="shared" si="50"/>
        <v>0</v>
      </c>
      <c r="D183" s="51">
        <f t="shared" si="52"/>
        <v>79</v>
      </c>
      <c r="E183" s="51">
        <f t="shared" si="53"/>
        <v>32.33</v>
      </c>
      <c r="F183" s="51">
        <f t="shared" si="51"/>
        <v>111.67999999999999</v>
      </c>
      <c r="G183" s="51">
        <f t="shared" si="54"/>
        <v>14.53</v>
      </c>
      <c r="H183" s="51">
        <f t="shared" si="55"/>
        <v>0</v>
      </c>
      <c r="I183" s="51">
        <f t="shared" si="56"/>
        <v>126.21</v>
      </c>
      <c r="J183" s="59"/>
      <c r="L183" s="91"/>
    </row>
    <row r="184" spans="1:12" ht="18" x14ac:dyDescent="0.25">
      <c r="A184" s="47">
        <v>0.55000000000000004</v>
      </c>
      <c r="B184" s="60" t="s">
        <v>1146</v>
      </c>
      <c r="C184" s="751">
        <f t="shared" si="50"/>
        <v>0</v>
      </c>
      <c r="D184" s="51">
        <f t="shared" si="52"/>
        <v>66.84</v>
      </c>
      <c r="E184" s="51">
        <f t="shared" si="53"/>
        <v>30.5</v>
      </c>
      <c r="F184" s="51">
        <f t="shared" si="51"/>
        <v>97.69</v>
      </c>
      <c r="G184" s="51">
        <f t="shared" si="54"/>
        <v>12.3</v>
      </c>
      <c r="H184" s="51">
        <f t="shared" si="55"/>
        <v>0</v>
      </c>
      <c r="I184" s="51">
        <f t="shared" si="56"/>
        <v>109.99</v>
      </c>
      <c r="J184" s="59"/>
      <c r="L184" s="91"/>
    </row>
    <row r="185" spans="1:12" ht="15.75" x14ac:dyDescent="0.25">
      <c r="B185" s="60"/>
      <c r="C185" s="54" t="s">
        <v>98</v>
      </c>
      <c r="H185" s="47" t="s">
        <v>99</v>
      </c>
      <c r="I185" s="52" t="s">
        <v>100</v>
      </c>
      <c r="J185" s="59"/>
      <c r="L185" s="91"/>
    </row>
    <row r="186" spans="1:12" ht="18" x14ac:dyDescent="0.25">
      <c r="B186" s="60"/>
      <c r="C186" s="611">
        <f>SUM(C177:C184)</f>
        <v>5</v>
      </c>
      <c r="H186" s="53">
        <f>SUM(H177:H184)</f>
        <v>1103.5</v>
      </c>
      <c r="I186" s="728">
        <f>IF(C186=0,0,H186/C186)</f>
        <v>220.7</v>
      </c>
      <c r="J186" s="59"/>
      <c r="L186" s="91"/>
    </row>
    <row r="187" spans="1:12" ht="16.5" thickBot="1" x14ac:dyDescent="0.3">
      <c r="B187" s="60"/>
      <c r="C187" s="54"/>
      <c r="J187" s="59"/>
      <c r="L187" s="91"/>
    </row>
    <row r="188" spans="1:12" ht="19.5" thickTop="1" thickBot="1" x14ac:dyDescent="0.3">
      <c r="B188" s="61" t="s">
        <v>237</v>
      </c>
      <c r="C188" s="615">
        <f>SUM(A177*C177,A178*C178,A179*C179,A180*C180,A181*C181,A182*C182,A183*C183,A184*C184)/C186</f>
        <v>1.1600000000000001</v>
      </c>
      <c r="D188" s="62"/>
      <c r="E188" s="62"/>
      <c r="F188" s="62"/>
      <c r="G188" s="62"/>
      <c r="H188" s="62"/>
      <c r="I188" s="562">
        <f>ROUND(I186,2)</f>
        <v>220.7</v>
      </c>
      <c r="J188" s="63"/>
      <c r="L188" s="91"/>
    </row>
    <row r="189" spans="1:12" ht="15.75" thickTop="1" x14ac:dyDescent="0.2"/>
  </sheetData>
  <sheetProtection algorithmName="SHA-512" hashValue="dzfkfoaW5i0hBZcU9+Nnt7x5yQxI5q1FP07FEbD8sUocrWNcKJLlYaziZHci3MRVNufXuyIL3GZsEdppmvnE2g==" saltValue="QxQAyF8URcdXawXFuEUGbg==" spinCount="100000" sheet="1" objects="1" scenarios="1" sort="0" autoFilter="0" pivotTables="0"/>
  <mergeCells count="24">
    <mergeCell ref="F130:G130"/>
    <mergeCell ref="F150:G150"/>
    <mergeCell ref="F170:G170"/>
    <mergeCell ref="D130:E130"/>
    <mergeCell ref="D150:E150"/>
    <mergeCell ref="D170:E170"/>
    <mergeCell ref="D4:E4"/>
    <mergeCell ref="D109:E109"/>
    <mergeCell ref="D88:E88"/>
    <mergeCell ref="D67:E67"/>
    <mergeCell ref="D46:E46"/>
    <mergeCell ref="D25:E25"/>
    <mergeCell ref="Q131:Q136"/>
    <mergeCell ref="T131:T136"/>
    <mergeCell ref="U131:U136"/>
    <mergeCell ref="W131:W136"/>
    <mergeCell ref="T5:T10"/>
    <mergeCell ref="Q5:Q10"/>
    <mergeCell ref="W5:W10"/>
    <mergeCell ref="U5:U10"/>
    <mergeCell ref="Q68:Q73"/>
    <mergeCell ref="T68:T73"/>
    <mergeCell ref="U68:U73"/>
    <mergeCell ref="W68:W73"/>
  </mergeCells>
  <pageMargins left="0.7" right="0.7" top="0.75" bottom="0.75" header="0.3" footer="0.3"/>
  <pageSetup scale="43" fitToHeight="0" orientation="landscape" r:id="rId1"/>
  <headerFooter scaleWithDoc="0" alignWithMargins="0">
    <oddFooter>&amp;L&amp;D&amp;C&amp;F&amp;RPage &amp;P of &amp;N</oddFooter>
  </headerFooter>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CrewMixShowAll">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51202" r:id="rId5" name="Button 2">
              <controlPr defaultSize="0" print="0" autoFill="0" autoPict="0" macro="[0]!CrewMixShowSMField">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51203" r:id="rId6" name="Button 3">
              <controlPr defaultSize="0" print="0" autoFill="0" autoPict="0" macro="[0]!CrewMixShowSMShop">
                <anchor moveWithCells="1" sizeWithCells="1">
                  <from>
                    <xdr:col>5</xdr:col>
                    <xdr:colOff>0</xdr:colOff>
                    <xdr:row>0</xdr:row>
                    <xdr:rowOff>0</xdr:rowOff>
                  </from>
                  <to>
                    <xdr:col>6</xdr:col>
                    <xdr:colOff>0</xdr:colOff>
                    <xdr:row>1</xdr:row>
                    <xdr:rowOff>0</xdr:rowOff>
                  </to>
                </anchor>
              </controlPr>
            </control>
          </mc:Choice>
        </mc:AlternateContent>
        <mc:AlternateContent xmlns:mc="http://schemas.openxmlformats.org/markup-compatibility/2006">
          <mc:Choice Requires="x14">
            <control shapeId="51204" r:id="rId7" name="Button 4">
              <controlPr defaultSize="0" print="0" autoFill="0" autoPict="0" macro="[0]!CrewMixShowPlumbFitt">
                <anchor moveWithCells="1" sizeWithCells="1">
                  <from>
                    <xdr:col>6</xdr:col>
                    <xdr:colOff>0</xdr:colOff>
                    <xdr:row>0</xdr:row>
                    <xdr:rowOff>0</xdr:rowOff>
                  </from>
                  <to>
                    <xdr:col>7</xdr:col>
                    <xdr:colOff>0</xdr:colOff>
                    <xdr:row>1</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AM1010"/>
  <sheetViews>
    <sheetView topLeftCell="D1" zoomScaleNormal="100" workbookViewId="0">
      <pane ySplit="7" topLeftCell="A173" activePane="bottomLeft" state="frozen"/>
      <selection activeCell="D1" sqref="D1"/>
      <selection pane="bottomLeft" activeCell="E210" sqref="E210"/>
    </sheetView>
  </sheetViews>
  <sheetFormatPr defaultRowHeight="15" x14ac:dyDescent="0.25"/>
  <cols>
    <col min="1" max="1" width="17" style="123" hidden="1" customWidth="1"/>
    <col min="2" max="2" width="14.140625" style="123" hidden="1" customWidth="1"/>
    <col min="3" max="3" width="13.7109375" style="123" hidden="1" customWidth="1"/>
    <col min="4" max="4" width="44.42578125" style="670" customWidth="1"/>
    <col min="5" max="5" width="10.7109375" style="123" customWidth="1"/>
    <col min="6" max="6" width="11" style="123" customWidth="1"/>
    <col min="7" max="7" width="12.28515625" style="123" customWidth="1"/>
    <col min="8" max="9" width="11.7109375" style="123" customWidth="1"/>
    <col min="10" max="10" width="12.28515625" style="123" customWidth="1"/>
    <col min="11" max="11" width="12.5703125" style="123" customWidth="1"/>
    <col min="12" max="13" width="16.5703125" style="123" customWidth="1"/>
    <col min="14" max="15" width="16.5703125" style="661" customWidth="1"/>
    <col min="16" max="18" width="16.5703125" style="83" customWidth="1"/>
    <col min="19" max="19" width="7.7109375" style="785" customWidth="1"/>
    <col min="20" max="20" width="14.28515625" customWidth="1"/>
    <col min="21" max="32" width="12.5703125" style="83" customWidth="1"/>
    <col min="33" max="33" width="11" style="83" customWidth="1"/>
    <col min="34" max="34" width="11.28515625" style="83" customWidth="1"/>
    <col min="35" max="35" width="11.85546875" style="83" customWidth="1"/>
    <col min="36" max="36" width="14.5703125" style="83" bestFit="1" customWidth="1"/>
    <col min="37" max="37" width="3.42578125" customWidth="1"/>
    <col min="38" max="38" width="17.85546875" bestFit="1" customWidth="1"/>
    <col min="39" max="39" width="18.28515625" bestFit="1" customWidth="1"/>
  </cols>
  <sheetData>
    <row r="1" spans="1:39" ht="21.75" customHeight="1" x14ac:dyDescent="0.25">
      <c r="A1"/>
      <c r="B1"/>
      <c r="C1"/>
      <c r="D1" s="665"/>
      <c r="E1"/>
      <c r="F1"/>
      <c r="G1"/>
      <c r="H1"/>
      <c r="I1"/>
      <c r="J1"/>
      <c r="K1"/>
      <c r="L1" s="1011" t="s">
        <v>1537</v>
      </c>
      <c r="M1" s="1011"/>
      <c r="N1" s="1011"/>
      <c r="O1" s="1011"/>
      <c r="P1" s="1011"/>
      <c r="Q1" s="1011"/>
      <c r="R1" s="1011"/>
      <c r="S1" s="782"/>
      <c r="U1" s="773" t="s">
        <v>1789</v>
      </c>
      <c r="V1" s="773" t="s">
        <v>1805</v>
      </c>
      <c r="W1" s="773" t="s">
        <v>1806</v>
      </c>
      <c r="X1" s="773" t="s">
        <v>1807</v>
      </c>
      <c r="Y1" s="773" t="s">
        <v>1808</v>
      </c>
      <c r="Z1" s="773" t="s">
        <v>1809</v>
      </c>
      <c r="AA1" s="774" t="s">
        <v>1790</v>
      </c>
      <c r="AB1" s="774" t="s">
        <v>1805</v>
      </c>
      <c r="AC1" s="774" t="s">
        <v>1806</v>
      </c>
      <c r="AD1" s="774" t="s">
        <v>1807</v>
      </c>
      <c r="AE1" s="774" t="s">
        <v>1808</v>
      </c>
      <c r="AF1" s="774" t="s">
        <v>1809</v>
      </c>
    </row>
    <row r="2" spans="1:39" ht="21.75" customHeight="1" x14ac:dyDescent="0.2">
      <c r="A2"/>
      <c r="B2"/>
      <c r="C2"/>
      <c r="D2" s="665"/>
      <c r="E2"/>
      <c r="F2"/>
      <c r="G2"/>
      <c r="H2"/>
      <c r="I2"/>
      <c r="J2"/>
      <c r="K2"/>
      <c r="L2" s="674" t="str">
        <f>Breakdown_SMCAE</f>
        <v>CAE</v>
      </c>
      <c r="M2" s="674" t="str">
        <f>IF(Breakdown_SM5="","Empty",Breakdown_SM5)</f>
        <v xml:space="preserve">Package 1 DOAS and temp ducting </v>
      </c>
      <c r="N2" s="674" t="str">
        <f>IF(Breakdown_SM10="","Empty",Breakdown_SM10)</f>
        <v>Empty</v>
      </c>
      <c r="O2" s="674" t="str">
        <f>IF(Breakdown_SM15="","Empty",Breakdown_SM15)</f>
        <v>Empty</v>
      </c>
      <c r="P2" s="674" t="str">
        <f>IF(Breakdown_SM20="","Empty",Breakdown_SM20)</f>
        <v>Empty</v>
      </c>
      <c r="Q2" s="674" t="str">
        <f>IF(Breakdown_SM25="","Empty",Breakdown_SM25)</f>
        <v>Empty</v>
      </c>
      <c r="R2" s="674" t="str">
        <f>IF(Breakdown_SM30="","Empty",Breakdown_SM30)</f>
        <v>Empty</v>
      </c>
      <c r="S2" s="783"/>
      <c r="T2" s="83" t="s">
        <v>1632</v>
      </c>
      <c r="U2" s="773">
        <f>CrewRate_SMField</f>
        <v>97.32</v>
      </c>
      <c r="V2" s="773">
        <f>CrewRate_SMField_Overtime-CrewRate_SMField</f>
        <v>32.740000000000009</v>
      </c>
      <c r="W2" s="773">
        <f>CrewRate_SMField_DoubleTime-CrewRate_SMField</f>
        <v>65.13</v>
      </c>
      <c r="X2" s="795">
        <f>CrewRate_SMField_Swing</f>
        <v>8.4359999999999999</v>
      </c>
      <c r="Y2" s="795">
        <f>CrewRate_SMField_Grave</f>
        <v>12.935200000000002</v>
      </c>
      <c r="Z2" s="795">
        <f>CrewRate_SMField_Special</f>
        <v>5.6240000000000006</v>
      </c>
      <c r="AA2" s="796">
        <f>CrewRate_SMShop_Straight</f>
        <v>106.5</v>
      </c>
      <c r="AB2" s="796">
        <f>CrewRate_SMShop_Overtime-CrewRate_SMShop_Straight</f>
        <v>29.960000000000008</v>
      </c>
      <c r="AC2" s="796">
        <f>CrewRate_SMShop_DoubleTime-CrewRate_SMShop_Straight</f>
        <v>59.930000000000007</v>
      </c>
      <c r="AD2" s="797">
        <f>CrewRate_SMShop_Swing</f>
        <v>8.4359999999999999</v>
      </c>
      <c r="AE2" s="797">
        <f>CrewRate_SMShop_Grave</f>
        <v>12.935200000000002</v>
      </c>
      <c r="AF2" s="797">
        <f>CrewRate_SMShop_Special</f>
        <v>5.6240000000000006</v>
      </c>
    </row>
    <row r="3" spans="1:39" ht="21.75" customHeight="1" x14ac:dyDescent="0.2">
      <c r="A3"/>
      <c r="B3"/>
      <c r="C3"/>
      <c r="D3" s="665"/>
      <c r="E3"/>
      <c r="F3"/>
      <c r="G3"/>
      <c r="H3"/>
      <c r="I3"/>
      <c r="J3"/>
      <c r="K3"/>
      <c r="L3" s="674" t="str">
        <f>IF(Breakdown_SM1="","Empty",Breakdown_SM1)</f>
        <v>Package 1 Fan deck room</v>
      </c>
      <c r="M3" s="674" t="str">
        <f>IF(Breakdown_SM6="","Empty",Breakdown_SM6)</f>
        <v>Package 1 piping   HI Steve!!!</v>
      </c>
      <c r="N3" s="674" t="str">
        <f>IF(Breakdown_SM11="","Empty",Breakdown_SM11)</f>
        <v>Empty</v>
      </c>
      <c r="O3" s="674" t="str">
        <f>IF(Breakdown_SM16="","Empty",Breakdown_SM16)</f>
        <v>Empty</v>
      </c>
      <c r="P3" s="674" t="str">
        <f>IF(Breakdown_SM21="","Empty",Breakdown_SM21)</f>
        <v>Empty</v>
      </c>
      <c r="Q3" s="674" t="str">
        <f>IF(Breakdown_SM26="","Empty",Breakdown_SM26)</f>
        <v>Empty</v>
      </c>
      <c r="R3" s="674" t="str">
        <f>IF(Breakdown_SM31="","Empty",Breakdown_SM31)</f>
        <v>Empty</v>
      </c>
      <c r="S3" s="783"/>
      <c r="T3" s="83" t="s">
        <v>1753</v>
      </c>
      <c r="U3" s="773">
        <f>CrewRate_PlumbFitter_Straight</f>
        <v>129.55000000000001</v>
      </c>
      <c r="V3" s="773">
        <f>CrewRate_PlumbFitter_Overtime-CrewRate_PlumbFitter_Straight</f>
        <v>45.75</v>
      </c>
      <c r="W3" s="773">
        <f>CrewRate_PlumbFitter_DoubleTime-CrewRate_PlumbFitter_Straight</f>
        <v>91.149999999999977</v>
      </c>
      <c r="X3" s="795">
        <f t="shared" ref="X3:Z4" si="0">CrewRate_PlumbFitter_Swing</f>
        <v>7.67</v>
      </c>
      <c r="Y3" s="795">
        <f t="shared" si="0"/>
        <v>7.67</v>
      </c>
      <c r="Z3" s="795">
        <f t="shared" si="0"/>
        <v>7.67</v>
      </c>
      <c r="AA3" s="796"/>
      <c r="AB3" s="796"/>
      <c r="AC3" s="796"/>
      <c r="AD3" s="796"/>
      <c r="AE3" s="796"/>
      <c r="AF3" s="796"/>
    </row>
    <row r="4" spans="1:39" ht="21.75" customHeight="1" x14ac:dyDescent="0.2">
      <c r="A4"/>
      <c r="B4"/>
      <c r="C4"/>
      <c r="D4" s="816" t="str">
        <f>IF(SUM(H:H)/3=H7,"","FIELD LABOR ERRORS CONTACT ERIC K")</f>
        <v/>
      </c>
      <c r="E4"/>
      <c r="F4"/>
      <c r="G4"/>
      <c r="H4"/>
      <c r="I4"/>
      <c r="J4"/>
      <c r="K4"/>
      <c r="L4" s="674" t="str">
        <f>IF(Breakdown_SM2="","Empty",Breakdown_SM2)</f>
        <v>Package 1 Boiler room</v>
      </c>
      <c r="M4" s="674" t="str">
        <f>IF(Breakdown_SM7="","Empty",Breakdown_SM7)</f>
        <v>Package 2 Piping</v>
      </c>
      <c r="N4" s="674" t="str">
        <f>IF(Breakdown_SM12="","Empty",Breakdown_SM12)</f>
        <v>Empty</v>
      </c>
      <c r="O4" s="674" t="str">
        <f>IF(Breakdown_SM17="","Empty",Breakdown_SM17)</f>
        <v>Empty</v>
      </c>
      <c r="P4" s="674" t="str">
        <f>IF(Breakdown_SM22="","Empty",Breakdown_SM22)</f>
        <v>Empty</v>
      </c>
      <c r="Q4" s="674" t="str">
        <f>IF(Breakdown_SM27="","Empty",Breakdown_SM27)</f>
        <v>Empty</v>
      </c>
      <c r="R4" s="779"/>
      <c r="S4" s="784"/>
      <c r="T4" s="83" t="s">
        <v>1754</v>
      </c>
      <c r="U4" s="773">
        <f>CrewRate_PlumbFitter_Straight</f>
        <v>129.55000000000001</v>
      </c>
      <c r="V4" s="773">
        <f>CrewRate_PlumbFitter_Overtime-CrewRate_PlumbFitter_Straight</f>
        <v>45.75</v>
      </c>
      <c r="W4" s="773">
        <f>CrewRate_PlumbFitter_DoubleTime-CrewRate_PlumbFitter_Straight</f>
        <v>91.149999999999977</v>
      </c>
      <c r="X4" s="795">
        <f t="shared" si="0"/>
        <v>7.67</v>
      </c>
      <c r="Y4" s="795">
        <f t="shared" si="0"/>
        <v>7.67</v>
      </c>
      <c r="Z4" s="795">
        <f t="shared" si="0"/>
        <v>7.67</v>
      </c>
      <c r="AA4" s="796"/>
      <c r="AB4" s="796"/>
      <c r="AC4" s="796"/>
      <c r="AD4" s="796"/>
      <c r="AE4" s="796"/>
      <c r="AF4" s="796"/>
    </row>
    <row r="5" spans="1:39" ht="21.75" customHeight="1" x14ac:dyDescent="0.3">
      <c r="A5"/>
      <c r="B5"/>
      <c r="C5"/>
      <c r="D5" s="816" t="str">
        <f>IF(SUM(K:K)/3=K7,"","SHOP LABOR ERRORS CONTACT ERIC K")</f>
        <v/>
      </c>
      <c r="E5" s="665"/>
      <c r="F5" s="665"/>
      <c r="G5" s="665"/>
      <c r="H5" s="665"/>
      <c r="I5" s="175"/>
      <c r="J5" s="175"/>
      <c r="K5"/>
      <c r="L5" s="674" t="str">
        <f>IF(Breakdown_SM3="","Empty",Breakdown_SM3)</f>
        <v xml:space="preserve">Package 1 ED Penthouse </v>
      </c>
      <c r="M5" s="674" t="str">
        <f>IF(Breakdown_SM8="","Empty",Breakdown_SM8)</f>
        <v>Empty</v>
      </c>
      <c r="N5" s="674" t="str">
        <f>IF(Breakdown_SM13="","Empty",Breakdown_SM13)</f>
        <v>Empty</v>
      </c>
      <c r="O5" s="674" t="str">
        <f>IF(Breakdown_SM18="","Empty",Breakdown_SM18)</f>
        <v>Empty</v>
      </c>
      <c r="P5" s="674" t="str">
        <f>IF(Breakdown_SM23="","Empty",Breakdown_SM23)</f>
        <v>Empty</v>
      </c>
      <c r="Q5" s="674" t="str">
        <f>IF(Breakdown_SM28="","Empty",Breakdown_SM28)</f>
        <v>Empty</v>
      </c>
      <c r="R5" s="779"/>
      <c r="S5" s="784"/>
      <c r="AL5" t="s">
        <v>1814</v>
      </c>
      <c r="AM5" t="s">
        <v>1814</v>
      </c>
    </row>
    <row r="6" spans="1:39" ht="21.75" customHeight="1" x14ac:dyDescent="0.2">
      <c r="A6"/>
      <c r="B6"/>
      <c r="C6"/>
      <c r="D6" s="816" t="str">
        <f>IF(SUM(M:M)/3=M7,"","MATERIAL COST ERRORS CONTACT ERIC K")</f>
        <v/>
      </c>
      <c r="E6" s="665"/>
      <c r="F6" s="665"/>
      <c r="G6" s="665"/>
      <c r="H6" s="665"/>
      <c r="I6"/>
      <c r="J6"/>
      <c r="K6"/>
      <c r="L6" s="674" t="str">
        <f>IF(Breakdown_SM4="","Empty",Breakdown_SM4)</f>
        <v>Pakcage 1 Small mech room penthouse</v>
      </c>
      <c r="M6" s="674" t="str">
        <f>IF(Breakdown_SM9="","Empty",Breakdown_SM9)</f>
        <v>Empty</v>
      </c>
      <c r="N6" s="674" t="str">
        <f>IF(Breakdown_SM14="","Empty",Breakdown_SM14)</f>
        <v>Empty</v>
      </c>
      <c r="O6" s="674" t="str">
        <f>IF(Breakdown_SM19="","Empty",Breakdown_SM19)</f>
        <v>Empty</v>
      </c>
      <c r="P6" s="674" t="str">
        <f>IF(Breakdown_SM24="","Empty",Breakdown_SM24)</f>
        <v>Empty</v>
      </c>
      <c r="Q6" s="674" t="str">
        <f>IF(Breakdown_SM29="","Empty",Breakdown_SM29)</f>
        <v>Empty</v>
      </c>
      <c r="R6" s="779"/>
      <c r="S6" s="784"/>
      <c r="T6" t="s">
        <v>1631</v>
      </c>
      <c r="U6" s="83" t="s">
        <v>1617</v>
      </c>
      <c r="V6" s="83" t="s">
        <v>1805</v>
      </c>
      <c r="W6" s="83" t="s">
        <v>1806</v>
      </c>
      <c r="X6" s="83" t="s">
        <v>1807</v>
      </c>
      <c r="Y6" s="83" t="s">
        <v>1808</v>
      </c>
      <c r="Z6" s="83" t="s">
        <v>1809</v>
      </c>
      <c r="AA6" s="83" t="s">
        <v>1617</v>
      </c>
      <c r="AB6" s="83" t="s">
        <v>1805</v>
      </c>
      <c r="AC6" s="83" t="s">
        <v>1806</v>
      </c>
      <c r="AD6" s="83" t="s">
        <v>1807</v>
      </c>
      <c r="AE6" s="83" t="s">
        <v>1808</v>
      </c>
      <c r="AF6" s="83" t="s">
        <v>1809</v>
      </c>
      <c r="AG6" s="83" t="s">
        <v>1619</v>
      </c>
      <c r="AH6" s="83" t="s">
        <v>1620</v>
      </c>
      <c r="AI6" s="83" t="s">
        <v>1618</v>
      </c>
      <c r="AJ6" s="83" t="s">
        <v>1786</v>
      </c>
      <c r="AL6" s="83" t="s">
        <v>1801</v>
      </c>
      <c r="AM6" s="83" t="s">
        <v>1802</v>
      </c>
    </row>
    <row r="7" spans="1:39" ht="16.5" thickBot="1" x14ac:dyDescent="0.3">
      <c r="A7"/>
      <c r="B7"/>
      <c r="C7"/>
      <c r="D7" s="665"/>
      <c r="E7"/>
      <c r="F7"/>
      <c r="G7"/>
      <c r="H7" s="176">
        <f>SUM(Breakdown_SM_Field_CAE,Breakdown_SM_Field_1,Breakdown_SM_Field_2,Breakdown_SM_Field_3,Breakdown_SM_Field_4,Breakdown_SM_Field_5,Breakdown_SM_Field_6,Breakdown_SM_Field_7,Breakdown_SM_Field_8,Breakdown_SM_Field_9,Breakdown_SM_Field_10,Breakdown_SM_Field_11,Breakdown_SM_Field_12,Breakdown_SM_Field_13,Breakdown_SM_Field_14,Breakdown_SM_Field_15,Breakdown_SM_Field_16,Breakdown_SM_Field_17,Breakdown_SM_Field_18,Breakdown_SM_Field_19,Breakdown_SM_Field_20,Breakdown_SM_Field_21,Breakdown_SM_Field_22,Breakdown_SM_Field_23,Breakdown_SM_Field_24,Breakdown_SM_Field_25,Breakdown_SM_Field_26,Breakdown_SM_Field_27,Breakdown_SM_Field_28,Breakdown_SM_Field_29,Breakdown_SM_Field_30,Breakdown_SM_Field_31)</f>
        <v>3779.5</v>
      </c>
      <c r="I7"/>
      <c r="J7"/>
      <c r="K7" s="176">
        <f>SUM(Breakdown_SM_Shop_CAE,Breakdown_SM_Shop_1,Breakdown_SM_Shop_2,Breakdown_SM_Shop_3,Breakdown_SM_Shop_4,Breakdown_SM_Shop_5,Breakdown_SM_Shop_6,Breakdown_SM_Shop_7,Breakdown_SM_Shop_8,Breakdown_SM_Shop_9,Breakdown_SM_Shop_10,Breakdown_SM_Shop_11,Breakdown_SM_Shop_12,Breakdown_SM_Shop_13,Breakdown_SM_Shop_14,Breakdown_SM_Shop_15,Breakdown_SM_Shop_16,Breakdown_SM_Shop_17,Breakdown_SM_Shop_18,Breakdown_SM_Shop_19,Breakdown_SM_Shop_20,Breakdown_SM_Shop_21,Breakdown_SM_Shop_22,Breakdown_SM_Shop_23,Breakdown_SM_Shop_24,Breakdown_SM_Shop_25,Breakdown_SM_Shop_26,Breakdown_SM_Shop_27,Breakdown_SM_Shop_28,Breakdown_SM_Shop_29,Breakdown_SM_Shop_30,Breakdown_SM_Shop_31)</f>
        <v>529.59999999999991</v>
      </c>
      <c r="L7"/>
      <c r="M7" s="177">
        <f>SUM(Breakdown_SM_Material_CAE,Breakdown_SM_Material_1,Breakdown_SM_Material_2,Breakdown_SM_Material_3,Breakdown_SM_Material_4,Breakdown_SM_Material_5,Breakdown_SM_Material_6,Breakdown_SM_Material_7,Breakdown_SM_Material_8,Breakdown_SM_Material_9,Breakdown_SM_Material_10,Breakdown_SM_Material_11,Breakdown_SM_Material_12,Breakdown_SM_Material_13,Breakdown_SM_Material_14,Breakdown_SM_Material_15,Breakdown_SM_Material_16,Breakdown_SM_Material_17,Breakdown_SM_Material_18,Breakdown_SM_Material_19,Breakdown_SM_Material_20,Breakdown_SM_Material_21,Breakdown_SM_Material_22,Breakdown_SM_Material_23,Breakdown_SM_Material_24,Breakdown_SM_Material_25,Breakdown_SM_Material_26,Breakdown_SM_Material_27,Breakdown_SM_Material_28,Breakdown_SM_Material_29,Breakdown_SM_Material_30,Breakdown_SM_Material_31)</f>
        <v>855040</v>
      </c>
      <c r="R7" s="779"/>
      <c r="U7" s="83">
        <f t="shared" ref="U7:AM7" si="1">SUM(U10:U1509)</f>
        <v>367820.93999999989</v>
      </c>
      <c r="V7" s="83">
        <f t="shared" si="1"/>
        <v>0</v>
      </c>
      <c r="W7" s="83">
        <f t="shared" si="1"/>
        <v>0</v>
      </c>
      <c r="X7" s="83">
        <f t="shared" si="1"/>
        <v>0</v>
      </c>
      <c r="Y7" s="83">
        <f t="shared" si="1"/>
        <v>0</v>
      </c>
      <c r="Z7" s="83">
        <f t="shared" si="1"/>
        <v>0</v>
      </c>
      <c r="AA7" s="83">
        <f t="shared" si="1"/>
        <v>56402.400000000001</v>
      </c>
      <c r="AB7" s="83">
        <f t="shared" si="1"/>
        <v>0</v>
      </c>
      <c r="AC7" s="83">
        <f t="shared" si="1"/>
        <v>0</v>
      </c>
      <c r="AD7" s="83">
        <f t="shared" ref="AD7:AF7" si="2">SUM(AD10:AD1509)</f>
        <v>0</v>
      </c>
      <c r="AE7" s="83">
        <f t="shared" si="2"/>
        <v>0</v>
      </c>
      <c r="AF7" s="83">
        <f t="shared" si="2"/>
        <v>0</v>
      </c>
      <c r="AG7" s="83">
        <f t="shared" si="1"/>
        <v>367820.93999999989</v>
      </c>
      <c r="AH7" s="83">
        <f t="shared" si="1"/>
        <v>56402.400000000001</v>
      </c>
      <c r="AI7" s="83">
        <f t="shared" si="1"/>
        <v>424223.33999999985</v>
      </c>
      <c r="AJ7" s="771">
        <f t="shared" si="1"/>
        <v>1279263.3400000008</v>
      </c>
      <c r="AL7" s="771">
        <f t="shared" si="1"/>
        <v>0</v>
      </c>
      <c r="AM7" s="771">
        <f t="shared" si="1"/>
        <v>0</v>
      </c>
    </row>
    <row r="8" spans="1:39" s="3" customFormat="1" ht="38.25" thickBot="1" x14ac:dyDescent="0.35">
      <c r="A8" s="477" t="s">
        <v>1063</v>
      </c>
      <c r="B8" s="477" t="s">
        <v>348</v>
      </c>
      <c r="C8" s="477" t="s">
        <v>349</v>
      </c>
      <c r="D8" s="666" t="s">
        <v>0</v>
      </c>
      <c r="E8" s="478" t="s">
        <v>1</v>
      </c>
      <c r="F8" s="479" t="s">
        <v>2</v>
      </c>
      <c r="G8" s="480" t="s">
        <v>1123</v>
      </c>
      <c r="H8" s="479" t="s">
        <v>3</v>
      </c>
      <c r="I8" s="481" t="s">
        <v>4</v>
      </c>
      <c r="J8" s="480" t="s">
        <v>1124</v>
      </c>
      <c r="K8" s="481" t="s">
        <v>5</v>
      </c>
      <c r="L8" s="479" t="s">
        <v>6</v>
      </c>
      <c r="M8" s="479" t="s">
        <v>466</v>
      </c>
      <c r="N8" s="479" t="s">
        <v>465</v>
      </c>
      <c r="O8" s="482" t="s">
        <v>1079</v>
      </c>
      <c r="P8" s="174"/>
      <c r="Q8" s="174"/>
      <c r="R8" s="174"/>
      <c r="S8" s="786"/>
      <c r="T8" s="2"/>
      <c r="U8" s="174"/>
      <c r="V8" s="174"/>
      <c r="W8" s="174"/>
      <c r="X8" s="174"/>
      <c r="Y8" s="174"/>
      <c r="Z8" s="174"/>
      <c r="AA8" s="174"/>
      <c r="AB8" s="174"/>
      <c r="AC8" s="174"/>
      <c r="AD8" s="174"/>
      <c r="AE8" s="174"/>
      <c r="AF8" s="174"/>
      <c r="AG8" s="658"/>
      <c r="AH8" s="174"/>
      <c r="AI8" s="174"/>
      <c r="AJ8" s="174"/>
      <c r="AK8" s="2"/>
      <c r="AL8" s="2"/>
      <c r="AM8" s="2"/>
    </row>
    <row r="9" spans="1:39" ht="20.100000000000001" customHeight="1" thickBot="1" x14ac:dyDescent="0.3">
      <c r="A9" s="185"/>
      <c r="B9" s="185"/>
      <c r="C9" s="185"/>
      <c r="D9" s="667" t="s">
        <v>262</v>
      </c>
      <c r="E9" s="678" t="s">
        <v>1122</v>
      </c>
      <c r="F9" s="1017" t="s">
        <v>1630</v>
      </c>
      <c r="G9" s="1018"/>
      <c r="H9" s="185"/>
      <c r="I9" s="185"/>
      <c r="J9" s="185"/>
      <c r="K9" s="185"/>
      <c r="L9" s="185"/>
      <c r="M9" s="185"/>
      <c r="N9" s="662"/>
      <c r="O9" s="662"/>
      <c r="P9" s="298"/>
      <c r="Q9" s="298"/>
      <c r="R9" s="298"/>
      <c r="S9" s="786"/>
      <c r="T9" s="1"/>
      <c r="U9" s="298"/>
      <c r="V9" s="298"/>
      <c r="W9" s="298"/>
      <c r="X9" s="298"/>
      <c r="Y9" s="298"/>
      <c r="Z9" s="298"/>
      <c r="AA9" s="298"/>
      <c r="AB9" s="298"/>
      <c r="AC9" s="298"/>
      <c r="AD9" s="298"/>
      <c r="AE9" s="298"/>
      <c r="AF9" s="298"/>
      <c r="AH9" s="298"/>
      <c r="AI9" s="298"/>
      <c r="AJ9" s="298"/>
      <c r="AK9" s="1"/>
      <c r="AL9" s="1"/>
      <c r="AM9" s="1"/>
    </row>
    <row r="10" spans="1:39" ht="20.100000000000001" customHeight="1" x14ac:dyDescent="0.25">
      <c r="A10" s="561" t="s">
        <v>355</v>
      </c>
      <c r="B10" s="561" t="s">
        <v>384</v>
      </c>
      <c r="C10" s="561" t="s">
        <v>355</v>
      </c>
      <c r="D10" s="668" t="s">
        <v>459</v>
      </c>
      <c r="E10" s="187">
        <f>SUMPRODUCT((SMImport_Type="Hanger")*1,SMImport_Qty)</f>
        <v>0</v>
      </c>
      <c r="F10" s="184"/>
      <c r="G10" s="183"/>
      <c r="H10" s="176">
        <f>SUMPRODUCT((SMImport_Type="Hanger")*1,SMImport_CalcFieldHours)</f>
        <v>0</v>
      </c>
      <c r="I10" s="186"/>
      <c r="J10" s="183"/>
      <c r="K10" s="176">
        <f>SUMPRODUCT((SMImport_Type="Hanger")*1,SMImport_CalcShopHours)</f>
        <v>0</v>
      </c>
      <c r="L10" s="186"/>
      <c r="M10" s="177">
        <f>SUMPRODUCT((SMImport_Type="Hanger")*1,SMImport_MaterialCost)</f>
        <v>0</v>
      </c>
      <c r="N10" s="663"/>
      <c r="O10" s="663"/>
      <c r="T10" s="548" t="str">
        <f t="shared" ref="T10:T35" si="3">IF($F$9="","Sheet Metal Takeoff",$F$9)</f>
        <v>Sheet Metal Takeoff</v>
      </c>
      <c r="U10" s="83">
        <f>ROUND(IF($T10="Plumb Takeoff",$H10*U$3,IF($T10="Pipe Takeoff",$H10*U$4,$H10*U$2)),2)</f>
        <v>0</v>
      </c>
      <c r="V10" s="83">
        <f>ROUND(IF($T10="Plumb Takeoff",IF($Q10="OT",$H10*V$3,0),IF($T10="Pipe Takeoff",IF($Q10="OT",$H10*V$4,0),IF($Q10="OT",$H10*V$2,0))),2)</f>
        <v>0</v>
      </c>
      <c r="W10" s="83">
        <f>ROUND(IF($T10="Plumb Takeoff",IF($Q10="DBLT",$H10*W$3,0),IF($T10="Pipe Takeoff",IF($Q10="DBLT",$H10*W$4,0),IF($Q10="DBLT",$H10*W$2,0))),2)</f>
        <v>0</v>
      </c>
      <c r="X10" s="781">
        <f>ROUND(SUM(IF($T10="Plumb Takeoff",IF($R10="SWING",ROUND(SUM($H10)*X$3,2))),IF($T10="Pipe Takeoff",IF($R10="SWING",ROUND(SUM($H10)*X$4,2))),IF($T10="Sheet Metal Takeoff",IF($R10="SWING",ROUND(SUM($H10)*X$2,2)))),2)</f>
        <v>0</v>
      </c>
      <c r="Y10" s="781">
        <f>ROUND(SUM(IF($T10="Plumb Takeoff",IF($R10="GRAVE",ROUND(SUM($H10)*Y$3,2))),IF($T10="Pipe Takeoff",IF($R10="GRAVE",ROUND(SUM($H10)*Y$4,2))),IF($T10="Sheet Metal Takeoff",IF($R10="GRAVE",ROUND(SUM($H10)*Y$2,2)))),2)</f>
        <v>0</v>
      </c>
      <c r="Z10" s="781">
        <f>ROUND(SUM(IF($T10="Plumb Takeoff",IF($R10="SPECIAL",ROUND(SUM($H10)*Z$3,2))),IF($T10="Pipe Takeoff",IF($R10="SPECIAL",ROUND(SUM($H10)*Z$4,2))),IF($T10="Sheet Metal Takeoff",IF($R10="SPECIAL",ROUND(SUM($H10)*Z$2,2)))),2)</f>
        <v>0</v>
      </c>
      <c r="AA10" s="83">
        <f>ROUND($K10*AA$2,2)</f>
        <v>0</v>
      </c>
      <c r="AB10" s="83">
        <f t="shared" ref="AB10:AB35" si="4">ROUND(IF($Q10="OT",$K10*AB$2,0),2)</f>
        <v>0</v>
      </c>
      <c r="AC10" s="83">
        <f t="shared" ref="AC10:AC35" si="5">ROUND(IF($Q10="DBLT",$K10*AC$2,0),2)</f>
        <v>0</v>
      </c>
      <c r="AD10" s="83">
        <f t="shared" ref="AD10:AD35" si="6">ROUND(IF($R10="SWING",$K10*AD$2,0),2)</f>
        <v>0</v>
      </c>
      <c r="AE10" s="83">
        <f t="shared" ref="AE10:AE35" si="7">ROUND(IF($R10="GRAVE",$K10*AE$2,0),2)</f>
        <v>0</v>
      </c>
      <c r="AF10" s="83">
        <f t="shared" ref="AF10:AF35" si="8">ROUND(IF($R10="SPECIAL",$K10*AF$2,0),2)</f>
        <v>0</v>
      </c>
      <c r="AG10" s="83">
        <f t="shared" ref="AG10:AG35" si="9">SUM(U10:Z10)</f>
        <v>0</v>
      </c>
      <c r="AH10" s="83">
        <f t="shared" ref="AH10:AH35" si="10">SUM(AA10:AF10)</f>
        <v>0</v>
      </c>
      <c r="AI10" s="83">
        <f t="shared" ref="AI10:AI35" si="11">SUM(U10:AF10)</f>
        <v>0</v>
      </c>
      <c r="AJ10" s="718">
        <f t="shared" ref="AJ10:AJ35" si="12">SUM(M10,AI10)</f>
        <v>0</v>
      </c>
      <c r="AL10">
        <f t="shared" ref="AL10:AL35" si="13">SUM(V10:Z10)</f>
        <v>0</v>
      </c>
      <c r="AM10">
        <f t="shared" ref="AM10:AM35" si="14">SUM(AB10:AF10)</f>
        <v>0</v>
      </c>
    </row>
    <row r="11" spans="1:39" ht="20.100000000000001" customHeight="1" x14ac:dyDescent="0.25">
      <c r="A11" s="561" t="s">
        <v>356</v>
      </c>
      <c r="B11" s="561" t="s">
        <v>384</v>
      </c>
      <c r="C11" s="561" t="s">
        <v>356</v>
      </c>
      <c r="D11" s="668" t="s">
        <v>460</v>
      </c>
      <c r="E11" s="187">
        <f>SUMPRODUCT((SMImport_Type="Floor Support")*1,SMImport_Qty)</f>
        <v>0</v>
      </c>
      <c r="F11" s="184"/>
      <c r="G11" s="183"/>
      <c r="H11" s="176">
        <f>SUMPRODUCT((SMImport_Type="Floor Support")*1,SMImport_CalcFieldHours)</f>
        <v>0</v>
      </c>
      <c r="I11" s="186"/>
      <c r="J11" s="183"/>
      <c r="K11" s="176">
        <f>SUMPRODUCT((SMImport_Type="Floor Support")*1,SMImport_CalcShopHours)</f>
        <v>0</v>
      </c>
      <c r="L11" s="186"/>
      <c r="M11" s="177">
        <f>SUMPRODUCT((SMImport_Type="Floor Support")*1,SMImport_MaterialCost)</f>
        <v>0</v>
      </c>
      <c r="N11" s="663"/>
      <c r="O11" s="663"/>
      <c r="T11" s="548" t="str">
        <f t="shared" si="3"/>
        <v>Sheet Metal Takeoff</v>
      </c>
      <c r="U11" s="83">
        <f t="shared" ref="U11:U35" si="15">ROUND(IF($T11="Plumb Takeoff",$H11*U$3,IF($T11="Pipe Takeoff",$H11*U$4,$H11*U$2)),2)</f>
        <v>0</v>
      </c>
      <c r="V11" s="83">
        <f t="shared" ref="V11:V35" si="16">ROUND(IF($T11="Plumb Takeoff",IF($Q11="OT",$H11*V$3,0),IF($T11="Pipe Takeoff",IF($Q11="OT",$H11*V$4,0),IF($Q11="OT",$H11*V$2,0))),2)</f>
        <v>0</v>
      </c>
      <c r="W11" s="83">
        <f t="shared" ref="W11:W35" si="17">ROUND(IF($T11="Plumb Takeoff",IF($Q11="DBLT",$H11*W$3,0),IF($T11="Pipe Takeoff",IF($Q11="DBLT",$H11*W$4,0),IF($Q11="DBLT",$H11*W$2,0))),2)</f>
        <v>0</v>
      </c>
      <c r="X11" s="781">
        <f t="shared" ref="X11:X35" si="18">ROUND(SUM(IF($T11="Plumb Takeoff",IF($R11="SWING",ROUND(SUM($H11)*X$3,2))),IF($T11="Pipe Takeoff",IF($R11="SWING",ROUND(SUM($H11)*X$4,2))),IF($T11="Sheet Metal Takeoff",IF($R11="SWING",ROUND(SUM($H11)*X$2,2)))),2)</f>
        <v>0</v>
      </c>
      <c r="Y11" s="781">
        <f t="shared" ref="Y11:Y35" si="19">ROUND(SUM(IF($T11="Plumb Takeoff",IF($R11="GRAVE",ROUND(SUM($H11)*Y$3,2))),IF($T11="Pipe Takeoff",IF($R11="GRAVE",ROUND(SUM($H11)*Y$4,2))),IF($T11="Sheet Metal Takeoff",IF($R11="GRAVE",ROUND(SUM($H11)*Y$2,2)))),2)</f>
        <v>0</v>
      </c>
      <c r="Z11" s="781">
        <f t="shared" ref="Z11:Z35" si="20">ROUND(SUM(IF($T11="Plumb Takeoff",IF($R11="SPECIAL",ROUND(SUM($H11)*Z$3,2))),IF($T11="Pipe Takeoff",IF($R11="SPECIAL",ROUND(SUM($H11)*Z$4,2))),IF($T11="Sheet Metal Takeoff",IF($R11="SPECIAL",ROUND(SUM($H11)*Z$2,2)))),2)</f>
        <v>0</v>
      </c>
      <c r="AA11" s="83">
        <f t="shared" ref="AA11:AA35" si="21">ROUND($K11*AA$2,2)</f>
        <v>0</v>
      </c>
      <c r="AB11" s="83">
        <f t="shared" si="4"/>
        <v>0</v>
      </c>
      <c r="AC11" s="83">
        <f t="shared" si="5"/>
        <v>0</v>
      </c>
      <c r="AD11" s="83">
        <f t="shared" si="6"/>
        <v>0</v>
      </c>
      <c r="AE11" s="83">
        <f t="shared" si="7"/>
        <v>0</v>
      </c>
      <c r="AF11" s="83">
        <f t="shared" si="8"/>
        <v>0</v>
      </c>
      <c r="AG11" s="83">
        <f t="shared" si="9"/>
        <v>0</v>
      </c>
      <c r="AH11" s="83">
        <f t="shared" si="10"/>
        <v>0</v>
      </c>
      <c r="AI11" s="83">
        <f t="shared" si="11"/>
        <v>0</v>
      </c>
      <c r="AJ11" s="718">
        <f t="shared" si="12"/>
        <v>0</v>
      </c>
      <c r="AL11">
        <f t="shared" si="13"/>
        <v>0</v>
      </c>
      <c r="AM11">
        <f t="shared" si="14"/>
        <v>0</v>
      </c>
    </row>
    <row r="12" spans="1:39" ht="20.100000000000001" customHeight="1" x14ac:dyDescent="0.25">
      <c r="A12" s="561" t="s">
        <v>352</v>
      </c>
      <c r="B12" s="561" t="s">
        <v>384</v>
      </c>
      <c r="C12" s="561" t="s">
        <v>357</v>
      </c>
      <c r="D12" s="668" t="s">
        <v>137</v>
      </c>
      <c r="E12" s="187">
        <f>SUMPRODUCT((SMImport_Type="Rectangular Duct")*(SMImport_Material="GALV")*(SMImport_CutType="Decoiled Straight"),SMImport_Qty)</f>
        <v>0</v>
      </c>
      <c r="F12" s="184"/>
      <c r="G12" s="183"/>
      <c r="H12" s="176">
        <f>SUMPRODUCT((SMImport_Type="Rectangular Duct")*(SMImport_Material="GALV")*(SMImport_CutType="Decoiled Straight"),SMImport_CalcFieldHours)</f>
        <v>0</v>
      </c>
      <c r="I12" s="186"/>
      <c r="J12" s="183"/>
      <c r="K12" s="176">
        <f>SUMPRODUCT((SMImport_Type="Rectangular Duct")*(SMImport_Material="GALV")*(SMImport_CutType="Decoiled Straight"),SMImport_CalcShopHours)</f>
        <v>0</v>
      </c>
      <c r="L12" s="186"/>
      <c r="M12" s="177">
        <f>SUMPRODUCT((SMImport_Type="Rectangular Duct")*(SMImport_Material="GALV")*(SMImport_CutType="Decoiled Straight"),SMImport_MaterialCost)</f>
        <v>0</v>
      </c>
      <c r="N12" s="663"/>
      <c r="O12" s="663"/>
      <c r="T12" s="548" t="str">
        <f t="shared" si="3"/>
        <v>Sheet Metal Takeoff</v>
      </c>
      <c r="U12" s="83">
        <f t="shared" si="15"/>
        <v>0</v>
      </c>
      <c r="V12" s="83">
        <f t="shared" si="16"/>
        <v>0</v>
      </c>
      <c r="W12" s="83">
        <f t="shared" si="17"/>
        <v>0</v>
      </c>
      <c r="X12" s="781">
        <f t="shared" si="18"/>
        <v>0</v>
      </c>
      <c r="Y12" s="781">
        <f t="shared" si="19"/>
        <v>0</v>
      </c>
      <c r="Z12" s="781">
        <f t="shared" si="20"/>
        <v>0</v>
      </c>
      <c r="AA12" s="83">
        <f t="shared" si="21"/>
        <v>0</v>
      </c>
      <c r="AB12" s="83">
        <f t="shared" si="4"/>
        <v>0</v>
      </c>
      <c r="AC12" s="83">
        <f t="shared" si="5"/>
        <v>0</v>
      </c>
      <c r="AD12" s="83">
        <f t="shared" si="6"/>
        <v>0</v>
      </c>
      <c r="AE12" s="83">
        <f t="shared" si="7"/>
        <v>0</v>
      </c>
      <c r="AF12" s="83">
        <f t="shared" si="8"/>
        <v>0</v>
      </c>
      <c r="AG12" s="83">
        <f t="shared" si="9"/>
        <v>0</v>
      </c>
      <c r="AH12" s="83">
        <f t="shared" si="10"/>
        <v>0</v>
      </c>
      <c r="AI12" s="83">
        <f t="shared" si="11"/>
        <v>0</v>
      </c>
      <c r="AJ12" s="718">
        <f t="shared" si="12"/>
        <v>0</v>
      </c>
      <c r="AL12">
        <f t="shared" si="13"/>
        <v>0</v>
      </c>
      <c r="AM12">
        <f t="shared" si="14"/>
        <v>0</v>
      </c>
    </row>
    <row r="13" spans="1:39" ht="20.100000000000001" customHeight="1" x14ac:dyDescent="0.25">
      <c r="A13" s="561" t="s">
        <v>353</v>
      </c>
      <c r="B13" s="561" t="s">
        <v>384</v>
      </c>
      <c r="C13" s="561" t="s">
        <v>357</v>
      </c>
      <c r="D13" s="668" t="s">
        <v>345</v>
      </c>
      <c r="E13" s="187">
        <f>SUMPRODUCT((SMImport_Type="Rectangular Duct")*(SMImport_Material="GALV")*(SMImport_CutType="Machine Cut"),SMImport_Qty)</f>
        <v>0</v>
      </c>
      <c r="F13" s="184"/>
      <c r="G13" s="183"/>
      <c r="H13" s="176">
        <f>SUMPRODUCT((SMImport_Type="Rectangular Duct")*(SMImport_Material="GALV")*(SMImport_CutType="Machine Cut"),SMImport_CalcFieldHours)</f>
        <v>0</v>
      </c>
      <c r="I13" s="186"/>
      <c r="J13" s="183"/>
      <c r="K13" s="176">
        <f>SUMPRODUCT((SMImport_Type="Rectangular Duct")*(SMImport_Material="GALV")*(SMImport_CutType="Machine Cut"),SMImport_CalcShopHours)</f>
        <v>0</v>
      </c>
      <c r="L13" s="186"/>
      <c r="M13" s="177">
        <f>SUMPRODUCT((SMImport_Type="Rectangular Duct")*(SMImport_Material="GALV")*(SMImport_CutType="Machine Cut"),SMImport_MaterialCost)</f>
        <v>0</v>
      </c>
      <c r="N13" s="663"/>
      <c r="O13" s="663"/>
      <c r="T13" s="548" t="str">
        <f t="shared" si="3"/>
        <v>Sheet Metal Takeoff</v>
      </c>
      <c r="U13" s="83">
        <f t="shared" si="15"/>
        <v>0</v>
      </c>
      <c r="V13" s="83">
        <f t="shared" si="16"/>
        <v>0</v>
      </c>
      <c r="W13" s="83">
        <f t="shared" si="17"/>
        <v>0</v>
      </c>
      <c r="X13" s="781">
        <f t="shared" si="18"/>
        <v>0</v>
      </c>
      <c r="Y13" s="781">
        <f t="shared" si="19"/>
        <v>0</v>
      </c>
      <c r="Z13" s="781">
        <f t="shared" si="20"/>
        <v>0</v>
      </c>
      <c r="AA13" s="83">
        <f t="shared" si="21"/>
        <v>0</v>
      </c>
      <c r="AB13" s="83">
        <f t="shared" si="4"/>
        <v>0</v>
      </c>
      <c r="AC13" s="83">
        <f t="shared" si="5"/>
        <v>0</v>
      </c>
      <c r="AD13" s="83">
        <f t="shared" si="6"/>
        <v>0</v>
      </c>
      <c r="AE13" s="83">
        <f t="shared" si="7"/>
        <v>0</v>
      </c>
      <c r="AF13" s="83">
        <f t="shared" si="8"/>
        <v>0</v>
      </c>
      <c r="AG13" s="83">
        <f t="shared" si="9"/>
        <v>0</v>
      </c>
      <c r="AH13" s="83">
        <f t="shared" si="10"/>
        <v>0</v>
      </c>
      <c r="AI13" s="83">
        <f t="shared" si="11"/>
        <v>0</v>
      </c>
      <c r="AJ13" s="718">
        <f t="shared" si="12"/>
        <v>0</v>
      </c>
      <c r="AL13">
        <f t="shared" si="13"/>
        <v>0</v>
      </c>
      <c r="AM13">
        <f t="shared" si="14"/>
        <v>0</v>
      </c>
    </row>
    <row r="14" spans="1:39" ht="20.100000000000001" customHeight="1" x14ac:dyDescent="0.25">
      <c r="A14" s="561" t="s">
        <v>396</v>
      </c>
      <c r="B14" s="561" t="s">
        <v>384</v>
      </c>
      <c r="C14" s="561" t="s">
        <v>357</v>
      </c>
      <c r="D14" s="668" t="s">
        <v>373</v>
      </c>
      <c r="E14" s="187">
        <f>SUMPRODUCT((SMImport_Type="Round Duct")*(SMImport_Material="GALV")*(SMImport_CutType="Decoiled Straight"),SMImport_Qty)</f>
        <v>0</v>
      </c>
      <c r="F14" s="184"/>
      <c r="G14" s="183"/>
      <c r="H14" s="176">
        <f>SUMPRODUCT((SMImport_Type="Round Duct")*(SMImport_Material="GALV")*(SMImport_CutType="Decoiled Straight"),SMImport_CalcFieldHours)</f>
        <v>0</v>
      </c>
      <c r="I14" s="186"/>
      <c r="J14" s="183"/>
      <c r="K14" s="176">
        <f>SUMPRODUCT((SMImport_Type="Round Duct")*(SMImport_Material="GALV")*(SMImport_CutType="Decoiled Straight"),SMImport_CalcShopHours)</f>
        <v>0</v>
      </c>
      <c r="L14" s="186"/>
      <c r="M14" s="177">
        <f>SUMPRODUCT((SMImport_Type="Round Duct")*(SMImport_Material="GALV")*(SMImport_CutType="Decoiled Straight"),SMImport_MaterialCost)</f>
        <v>0</v>
      </c>
      <c r="N14" s="663"/>
      <c r="O14" s="663"/>
      <c r="T14" s="548" t="str">
        <f t="shared" si="3"/>
        <v>Sheet Metal Takeoff</v>
      </c>
      <c r="U14" s="83">
        <f t="shared" si="15"/>
        <v>0</v>
      </c>
      <c r="V14" s="83">
        <f t="shared" si="16"/>
        <v>0</v>
      </c>
      <c r="W14" s="83">
        <f t="shared" si="17"/>
        <v>0</v>
      </c>
      <c r="X14" s="781">
        <f t="shared" si="18"/>
        <v>0</v>
      </c>
      <c r="Y14" s="781">
        <f t="shared" si="19"/>
        <v>0</v>
      </c>
      <c r="Z14" s="781">
        <f t="shared" si="20"/>
        <v>0</v>
      </c>
      <c r="AA14" s="83">
        <f t="shared" si="21"/>
        <v>0</v>
      </c>
      <c r="AB14" s="83">
        <f t="shared" si="4"/>
        <v>0</v>
      </c>
      <c r="AC14" s="83">
        <f t="shared" si="5"/>
        <v>0</v>
      </c>
      <c r="AD14" s="83">
        <f t="shared" si="6"/>
        <v>0</v>
      </c>
      <c r="AE14" s="83">
        <f t="shared" si="7"/>
        <v>0</v>
      </c>
      <c r="AF14" s="83">
        <f t="shared" si="8"/>
        <v>0</v>
      </c>
      <c r="AG14" s="83">
        <f t="shared" si="9"/>
        <v>0</v>
      </c>
      <c r="AH14" s="83">
        <f t="shared" si="10"/>
        <v>0</v>
      </c>
      <c r="AI14" s="83">
        <f t="shared" si="11"/>
        <v>0</v>
      </c>
      <c r="AJ14" s="718">
        <f t="shared" si="12"/>
        <v>0</v>
      </c>
      <c r="AL14">
        <f t="shared" si="13"/>
        <v>0</v>
      </c>
      <c r="AM14">
        <f t="shared" si="14"/>
        <v>0</v>
      </c>
    </row>
    <row r="15" spans="1:39" ht="20.100000000000001" customHeight="1" x14ac:dyDescent="0.25">
      <c r="A15" s="561" t="s">
        <v>353</v>
      </c>
      <c r="B15" s="561" t="s">
        <v>384</v>
      </c>
      <c r="C15" s="561" t="s">
        <v>357</v>
      </c>
      <c r="D15" s="668" t="s">
        <v>368</v>
      </c>
      <c r="E15" s="187">
        <f>SUMPRODUCT((SMImport_Type="Round Duct")*(SMImport_Material="GALV")*(SMImport_CutType="Machine Cut"),SMImport_Qty)+SUMPRODUCT((SMImport_Type="Round Duct")*(SMImport_Material="GALV")*(SMImport_CutType="Pipework"),SMImport_Qty)</f>
        <v>0</v>
      </c>
      <c r="F15" s="184"/>
      <c r="G15" s="183"/>
      <c r="H15" s="176">
        <f>SUMPRODUCT((SMImport_Type="Round Duct")*(SMImport_Material="GALV")*(SMImport_CutType="Machine Cut"),SMImport_CalcFieldHours)+SUMPRODUCT((SMImport_Type="Round Duct")*(SMImport_Material="GALV")*(SMImport_CutType="Pipework"),SMImport_CalcFieldHours)</f>
        <v>0</v>
      </c>
      <c r="I15" s="186"/>
      <c r="J15" s="183"/>
      <c r="K15" s="176">
        <f>SUMPRODUCT((SMImport_Type="Round Duct")*(SMImport_Material="GALV")*(SMImport_CutType="Machine Cut"),SMImport_CalcShopHours)+SUMPRODUCT((SMImport_Type="Round Duct")*(SMImport_Material="GALV")*(SMImport_CutType="Pipework"),SMImport_CalcShopHours)</f>
        <v>0</v>
      </c>
      <c r="L15" s="186"/>
      <c r="M15" s="177">
        <f>SUMPRODUCT((SMImport_Type="Round Duct")*(SMImport_Material="GALV")*(SMImport_CutType="Machine Cut"),SMImport_MaterialCost)+SUMPRODUCT((SMImport_Type="Round Duct")*(SMImport_Material="GALV")*(SMImport_CutType="Pipework"),SMImport_MaterialCost)</f>
        <v>0</v>
      </c>
      <c r="N15" s="663"/>
      <c r="O15" s="663"/>
      <c r="T15" s="548" t="str">
        <f t="shared" si="3"/>
        <v>Sheet Metal Takeoff</v>
      </c>
      <c r="U15" s="83">
        <f t="shared" si="15"/>
        <v>0</v>
      </c>
      <c r="V15" s="83">
        <f t="shared" si="16"/>
        <v>0</v>
      </c>
      <c r="W15" s="83">
        <f t="shared" si="17"/>
        <v>0</v>
      </c>
      <c r="X15" s="781">
        <f t="shared" si="18"/>
        <v>0</v>
      </c>
      <c r="Y15" s="781">
        <f t="shared" si="19"/>
        <v>0</v>
      </c>
      <c r="Z15" s="781">
        <f t="shared" si="20"/>
        <v>0</v>
      </c>
      <c r="AA15" s="83">
        <f t="shared" si="21"/>
        <v>0</v>
      </c>
      <c r="AB15" s="83">
        <f t="shared" si="4"/>
        <v>0</v>
      </c>
      <c r="AC15" s="83">
        <f t="shared" si="5"/>
        <v>0</v>
      </c>
      <c r="AD15" s="83">
        <f t="shared" si="6"/>
        <v>0</v>
      </c>
      <c r="AE15" s="83">
        <f t="shared" si="7"/>
        <v>0</v>
      </c>
      <c r="AF15" s="83">
        <f t="shared" si="8"/>
        <v>0</v>
      </c>
      <c r="AG15" s="83">
        <f t="shared" si="9"/>
        <v>0</v>
      </c>
      <c r="AH15" s="83">
        <f t="shared" si="10"/>
        <v>0</v>
      </c>
      <c r="AI15" s="83">
        <f t="shared" si="11"/>
        <v>0</v>
      </c>
      <c r="AJ15" s="718">
        <f t="shared" si="12"/>
        <v>0</v>
      </c>
      <c r="AL15">
        <f t="shared" si="13"/>
        <v>0</v>
      </c>
      <c r="AM15">
        <f t="shared" si="14"/>
        <v>0</v>
      </c>
    </row>
    <row r="16" spans="1:39" ht="20.100000000000001" customHeight="1" x14ac:dyDescent="0.25">
      <c r="A16" s="561" t="s">
        <v>354</v>
      </c>
      <c r="B16" s="561" t="s">
        <v>384</v>
      </c>
      <c r="C16" s="561" t="s">
        <v>358</v>
      </c>
      <c r="D16" s="668" t="s">
        <v>346</v>
      </c>
      <c r="E16" s="187">
        <f>SUMPRODUCT((SMImport_Material="SS")*(SMImport_CutType="Decoiled Straight"),SMImport_Qty)+SUMPRODUCT((SMImport_Material="SS 304 2B")*(SMImport_CutType="Decoiled Straight"),SMImport_Qty)</f>
        <v>0</v>
      </c>
      <c r="F16" s="184"/>
      <c r="G16" s="183"/>
      <c r="H16" s="176">
        <f>SUMPRODUCT((SMImport_Material="SS")*(SMImport_CutType="Decoiled Straight"),SMImport_CalcFieldHours)+SUMPRODUCT((SMImport_Material="SS 304 2B")*(SMImport_CutType="Decoiled Straight"),SMImport_CalcFieldHours)</f>
        <v>0</v>
      </c>
      <c r="I16" s="186"/>
      <c r="J16" s="183"/>
      <c r="K16" s="176">
        <f>SUMPRODUCT((SMImport_Material="SS")*(SMImport_CutType="Decoiled Straight"),SMImport_CalcShopHours)+SUMPRODUCT((SMImport_Material="SS 304 2B")*(SMImport_CutType="Decoiled Straight"),SMImport_CalcShopHours)</f>
        <v>0</v>
      </c>
      <c r="L16" s="186"/>
      <c r="M16" s="177">
        <f>SUMPRODUCT((SMImport_Material="SS")*(SMImport_CutType="Decoiled Straight"),SMImport_MaterialCost)+SUMPRODUCT((SMImport_Material="SS 304 2B")*(SMImport_CutType="Decoiled Straight"),SMImport_MaterialCost)</f>
        <v>0</v>
      </c>
      <c r="N16" s="663"/>
      <c r="O16" s="663"/>
      <c r="T16" s="548" t="str">
        <f t="shared" si="3"/>
        <v>Sheet Metal Takeoff</v>
      </c>
      <c r="U16" s="83">
        <f t="shared" si="15"/>
        <v>0</v>
      </c>
      <c r="V16" s="83">
        <f t="shared" si="16"/>
        <v>0</v>
      </c>
      <c r="W16" s="83">
        <f t="shared" si="17"/>
        <v>0</v>
      </c>
      <c r="X16" s="781">
        <f t="shared" si="18"/>
        <v>0</v>
      </c>
      <c r="Y16" s="781">
        <f t="shared" si="19"/>
        <v>0</v>
      </c>
      <c r="Z16" s="781">
        <f t="shared" si="20"/>
        <v>0</v>
      </c>
      <c r="AA16" s="83">
        <f t="shared" si="21"/>
        <v>0</v>
      </c>
      <c r="AB16" s="83">
        <f t="shared" si="4"/>
        <v>0</v>
      </c>
      <c r="AC16" s="83">
        <f t="shared" si="5"/>
        <v>0</v>
      </c>
      <c r="AD16" s="83">
        <f t="shared" si="6"/>
        <v>0</v>
      </c>
      <c r="AE16" s="83">
        <f t="shared" si="7"/>
        <v>0</v>
      </c>
      <c r="AF16" s="83">
        <f t="shared" si="8"/>
        <v>0</v>
      </c>
      <c r="AG16" s="83">
        <f t="shared" si="9"/>
        <v>0</v>
      </c>
      <c r="AH16" s="83">
        <f t="shared" si="10"/>
        <v>0</v>
      </c>
      <c r="AI16" s="83">
        <f t="shared" si="11"/>
        <v>0</v>
      </c>
      <c r="AJ16" s="718">
        <f t="shared" si="12"/>
        <v>0</v>
      </c>
      <c r="AL16">
        <f t="shared" si="13"/>
        <v>0</v>
      </c>
      <c r="AM16">
        <f t="shared" si="14"/>
        <v>0</v>
      </c>
    </row>
    <row r="17" spans="1:39" ht="20.100000000000001" customHeight="1" x14ac:dyDescent="0.25">
      <c r="A17" s="561" t="s">
        <v>354</v>
      </c>
      <c r="B17" s="561" t="s">
        <v>384</v>
      </c>
      <c r="C17" s="561" t="s">
        <v>358</v>
      </c>
      <c r="D17" s="668" t="s">
        <v>347</v>
      </c>
      <c r="E17" s="187">
        <f>SUMPRODUCT((SMImport_Material="SS")*(SMImport_CutType="Machine Cut"),SMImport_Qty)+SUMPRODUCT((SMImport_Material="SS 304 2B")*(SMImport_CutType="Machine Cut"),SMImport_Qty)</f>
        <v>0</v>
      </c>
      <c r="F17" s="184"/>
      <c r="G17" s="183"/>
      <c r="H17" s="176">
        <f>SUMPRODUCT((SMImport_Material="SS")*(SMImport_CutType="Machine Cut"),SMImport_CalcFieldHours)+SUMPRODUCT((SMImport_Material="SS 304 2B")*(SMImport_CutType="Machine Cut"),SMImport_CalcFieldHours)</f>
        <v>0</v>
      </c>
      <c r="I17" s="186"/>
      <c r="J17" s="183"/>
      <c r="K17" s="176">
        <f>SUMPRODUCT((SMImport_Material="SS")*(SMImport_CutType="Machine Cut"),SMImport_CalcShopHours)+SUMPRODUCT((SMImport_Material="SS 304 2B")*(SMImport_CutType="Machine Cut"),SMImport_CalcShopHours)</f>
        <v>0</v>
      </c>
      <c r="L17" s="186"/>
      <c r="M17" s="177">
        <f>SUMPRODUCT((SMImport_Material="SS")*(SMImport_CutType="Machine Cut"),SMImport_MaterialCost)+SUMPRODUCT((SMImport_Material="SS 304 2B")*(SMImport_CutType="Machine Cut"),SMImport_MaterialCost)</f>
        <v>0</v>
      </c>
      <c r="N17" s="663"/>
      <c r="O17" s="663"/>
      <c r="P17"/>
      <c r="T17" s="548" t="str">
        <f t="shared" si="3"/>
        <v>Sheet Metal Takeoff</v>
      </c>
      <c r="U17" s="83">
        <f t="shared" si="15"/>
        <v>0</v>
      </c>
      <c r="V17" s="83">
        <f t="shared" si="16"/>
        <v>0</v>
      </c>
      <c r="W17" s="83">
        <f t="shared" si="17"/>
        <v>0</v>
      </c>
      <c r="X17" s="781">
        <f t="shared" si="18"/>
        <v>0</v>
      </c>
      <c r="Y17" s="781">
        <f t="shared" si="19"/>
        <v>0</v>
      </c>
      <c r="Z17" s="781">
        <f t="shared" si="20"/>
        <v>0</v>
      </c>
      <c r="AA17" s="83">
        <f t="shared" si="21"/>
        <v>0</v>
      </c>
      <c r="AB17" s="83">
        <f t="shared" si="4"/>
        <v>0</v>
      </c>
      <c r="AC17" s="83">
        <f t="shared" si="5"/>
        <v>0</v>
      </c>
      <c r="AD17" s="83">
        <f t="shared" si="6"/>
        <v>0</v>
      </c>
      <c r="AE17" s="83">
        <f t="shared" si="7"/>
        <v>0</v>
      </c>
      <c r="AF17" s="83">
        <f t="shared" si="8"/>
        <v>0</v>
      </c>
      <c r="AG17" s="83">
        <f t="shared" si="9"/>
        <v>0</v>
      </c>
      <c r="AH17" s="83">
        <f t="shared" si="10"/>
        <v>0</v>
      </c>
      <c r="AI17" s="83">
        <f t="shared" si="11"/>
        <v>0</v>
      </c>
      <c r="AJ17" s="718">
        <f t="shared" si="12"/>
        <v>0</v>
      </c>
      <c r="AL17">
        <f t="shared" si="13"/>
        <v>0</v>
      </c>
      <c r="AM17">
        <f t="shared" si="14"/>
        <v>0</v>
      </c>
    </row>
    <row r="18" spans="1:39" ht="20.100000000000001" customHeight="1" x14ac:dyDescent="0.25">
      <c r="A18" s="561" t="s">
        <v>353</v>
      </c>
      <c r="B18" s="561" t="s">
        <v>384</v>
      </c>
      <c r="C18" s="561" t="s">
        <v>375</v>
      </c>
      <c r="D18" s="668" t="s">
        <v>267</v>
      </c>
      <c r="E18" s="187">
        <f>SUMPRODUCT((SMImport_Type="Oval Duct")*1,SMImport_Qty)</f>
        <v>0</v>
      </c>
      <c r="F18" s="184"/>
      <c r="G18" s="183"/>
      <c r="H18" s="176">
        <f>SUMPRODUCT((SMImport_Type="Oval Duct")*1,SMImport_CalcFieldHours)</f>
        <v>0</v>
      </c>
      <c r="I18" s="186"/>
      <c r="J18" s="183"/>
      <c r="K18" s="176">
        <f>SUMPRODUCT((SMImport_Type="Oval Duct")*1,SMImport_CalcShopHours)</f>
        <v>0</v>
      </c>
      <c r="L18" s="186"/>
      <c r="M18" s="177">
        <f>SUMPRODUCT((SMImport_Type="Oval Duct")*1,SMImport_MaterialCost)</f>
        <v>0</v>
      </c>
      <c r="N18" s="663"/>
      <c r="O18" s="663"/>
      <c r="P18"/>
      <c r="T18" s="548" t="str">
        <f t="shared" si="3"/>
        <v>Sheet Metal Takeoff</v>
      </c>
      <c r="U18" s="83">
        <f t="shared" si="15"/>
        <v>0</v>
      </c>
      <c r="V18" s="83">
        <f t="shared" si="16"/>
        <v>0</v>
      </c>
      <c r="W18" s="83">
        <f t="shared" si="17"/>
        <v>0</v>
      </c>
      <c r="X18" s="781">
        <f t="shared" si="18"/>
        <v>0</v>
      </c>
      <c r="Y18" s="781">
        <f t="shared" si="19"/>
        <v>0</v>
      </c>
      <c r="Z18" s="781">
        <f t="shared" si="20"/>
        <v>0</v>
      </c>
      <c r="AA18" s="83">
        <f t="shared" si="21"/>
        <v>0</v>
      </c>
      <c r="AB18" s="83">
        <f t="shared" si="4"/>
        <v>0</v>
      </c>
      <c r="AC18" s="83">
        <f t="shared" si="5"/>
        <v>0</v>
      </c>
      <c r="AD18" s="83">
        <f t="shared" si="6"/>
        <v>0</v>
      </c>
      <c r="AE18" s="83">
        <f t="shared" si="7"/>
        <v>0</v>
      </c>
      <c r="AF18" s="83">
        <f t="shared" si="8"/>
        <v>0</v>
      </c>
      <c r="AG18" s="83">
        <f t="shared" si="9"/>
        <v>0</v>
      </c>
      <c r="AH18" s="83">
        <f t="shared" si="10"/>
        <v>0</v>
      </c>
      <c r="AI18" s="83">
        <f t="shared" si="11"/>
        <v>0</v>
      </c>
      <c r="AJ18" s="718">
        <f t="shared" si="12"/>
        <v>0</v>
      </c>
      <c r="AL18">
        <f t="shared" si="13"/>
        <v>0</v>
      </c>
      <c r="AM18">
        <f t="shared" si="14"/>
        <v>0</v>
      </c>
    </row>
    <row r="19" spans="1:39" ht="20.100000000000001" customHeight="1" x14ac:dyDescent="0.25">
      <c r="A19" s="561" t="s">
        <v>360</v>
      </c>
      <c r="B19" s="561" t="s">
        <v>384</v>
      </c>
      <c r="C19" s="561" t="s">
        <v>359</v>
      </c>
      <c r="D19" s="668" t="s">
        <v>266</v>
      </c>
      <c r="E19" s="187">
        <f>SUMPRODUCT((SMImport_Material="Alum")*1,SMImport_Qty)</f>
        <v>0</v>
      </c>
      <c r="F19" s="184"/>
      <c r="G19" s="183"/>
      <c r="H19" s="176">
        <f>SUMPRODUCT((SMImport_Material="Alum")*1,SMImport_CalcFieldHours)</f>
        <v>0</v>
      </c>
      <c r="I19" s="186"/>
      <c r="J19" s="183"/>
      <c r="K19" s="176">
        <f>SUMPRODUCT((SMImport_Material="Alum")*1,SMImport_CalcShopHours)</f>
        <v>0</v>
      </c>
      <c r="L19" s="186"/>
      <c r="M19" s="177">
        <f>SUMPRODUCT((SMImport_Material="Alum")*1,SMImport_MaterialCost)</f>
        <v>0</v>
      </c>
      <c r="N19" s="663"/>
      <c r="O19" s="663"/>
      <c r="P19"/>
      <c r="T19" s="548" t="str">
        <f t="shared" si="3"/>
        <v>Sheet Metal Takeoff</v>
      </c>
      <c r="U19" s="83">
        <f t="shared" si="15"/>
        <v>0</v>
      </c>
      <c r="V19" s="83">
        <f t="shared" si="16"/>
        <v>0</v>
      </c>
      <c r="W19" s="83">
        <f t="shared" si="17"/>
        <v>0</v>
      </c>
      <c r="X19" s="781">
        <f t="shared" si="18"/>
        <v>0</v>
      </c>
      <c r="Y19" s="781">
        <f t="shared" si="19"/>
        <v>0</v>
      </c>
      <c r="Z19" s="781">
        <f t="shared" si="20"/>
        <v>0</v>
      </c>
      <c r="AA19" s="83">
        <f t="shared" si="21"/>
        <v>0</v>
      </c>
      <c r="AB19" s="83">
        <f t="shared" si="4"/>
        <v>0</v>
      </c>
      <c r="AC19" s="83">
        <f t="shared" si="5"/>
        <v>0</v>
      </c>
      <c r="AD19" s="83">
        <f t="shared" si="6"/>
        <v>0</v>
      </c>
      <c r="AE19" s="83">
        <f t="shared" si="7"/>
        <v>0</v>
      </c>
      <c r="AF19" s="83">
        <f t="shared" si="8"/>
        <v>0</v>
      </c>
      <c r="AG19" s="83">
        <f t="shared" si="9"/>
        <v>0</v>
      </c>
      <c r="AH19" s="83">
        <f t="shared" si="10"/>
        <v>0</v>
      </c>
      <c r="AI19" s="83">
        <f t="shared" si="11"/>
        <v>0</v>
      </c>
      <c r="AJ19" s="718">
        <f t="shared" si="12"/>
        <v>0</v>
      </c>
      <c r="AL19">
        <f t="shared" si="13"/>
        <v>0</v>
      </c>
      <c r="AM19">
        <f t="shared" si="14"/>
        <v>0</v>
      </c>
    </row>
    <row r="20" spans="1:39" ht="20.100000000000001" customHeight="1" x14ac:dyDescent="0.25">
      <c r="A20" s="561" t="s">
        <v>369</v>
      </c>
      <c r="B20" s="561" t="s">
        <v>384</v>
      </c>
      <c r="C20" s="561" t="s">
        <v>362</v>
      </c>
      <c r="D20" s="668" t="s">
        <v>141</v>
      </c>
      <c r="E20" s="187">
        <f>SUMPRODUCT((SMImport_Material="BLK")*(SMImport_Type="Rectangular Duct"),SMImport_Qty)</f>
        <v>0</v>
      </c>
      <c r="F20" s="184"/>
      <c r="G20" s="183"/>
      <c r="H20" s="176">
        <f>SUMPRODUCT((SMImport_Material="BLK")*1,SMImport_CalcFieldHours)</f>
        <v>0</v>
      </c>
      <c r="I20" s="186"/>
      <c r="J20" s="183"/>
      <c r="K20" s="176">
        <f>SUMPRODUCT((SMImport_Material="BLK")*1,SMImport_CalcShopHours)</f>
        <v>0</v>
      </c>
      <c r="L20" s="186"/>
      <c r="M20" s="177">
        <f>SUMPRODUCT((SMImport_Material="BLK")*1,SMImport_MaterialCost)</f>
        <v>0</v>
      </c>
      <c r="N20" s="663"/>
      <c r="O20" s="663"/>
      <c r="P20"/>
      <c r="T20" s="548" t="str">
        <f t="shared" si="3"/>
        <v>Sheet Metal Takeoff</v>
      </c>
      <c r="U20" s="83">
        <f t="shared" si="15"/>
        <v>0</v>
      </c>
      <c r="V20" s="83">
        <f t="shared" si="16"/>
        <v>0</v>
      </c>
      <c r="W20" s="83">
        <f t="shared" si="17"/>
        <v>0</v>
      </c>
      <c r="X20" s="781">
        <f t="shared" si="18"/>
        <v>0</v>
      </c>
      <c r="Y20" s="781">
        <f t="shared" si="19"/>
        <v>0</v>
      </c>
      <c r="Z20" s="781">
        <f t="shared" si="20"/>
        <v>0</v>
      </c>
      <c r="AA20" s="83">
        <f t="shared" si="21"/>
        <v>0</v>
      </c>
      <c r="AB20" s="83">
        <f t="shared" si="4"/>
        <v>0</v>
      </c>
      <c r="AC20" s="83">
        <f t="shared" si="5"/>
        <v>0</v>
      </c>
      <c r="AD20" s="83">
        <f t="shared" si="6"/>
        <v>0</v>
      </c>
      <c r="AE20" s="83">
        <f t="shared" si="7"/>
        <v>0</v>
      </c>
      <c r="AF20" s="83">
        <f t="shared" si="8"/>
        <v>0</v>
      </c>
      <c r="AG20" s="83">
        <f t="shared" si="9"/>
        <v>0</v>
      </c>
      <c r="AH20" s="83">
        <f t="shared" si="10"/>
        <v>0</v>
      </c>
      <c r="AI20" s="83">
        <f t="shared" si="11"/>
        <v>0</v>
      </c>
      <c r="AJ20" s="718">
        <f t="shared" si="12"/>
        <v>0</v>
      </c>
      <c r="AL20">
        <f t="shared" si="13"/>
        <v>0</v>
      </c>
      <c r="AM20">
        <f t="shared" si="14"/>
        <v>0</v>
      </c>
    </row>
    <row r="21" spans="1:39" ht="20.100000000000001" customHeight="1" x14ac:dyDescent="0.25">
      <c r="A21" s="561" t="s">
        <v>364</v>
      </c>
      <c r="B21" s="561" t="s">
        <v>384</v>
      </c>
      <c r="C21" s="561" t="s">
        <v>364</v>
      </c>
      <c r="D21" s="668" t="s">
        <v>344</v>
      </c>
      <c r="E21" s="187">
        <f>SUMPRODUCT((SMImport_Type="Fire Smoke Damper")*1,SMImport_Qty)</f>
        <v>0</v>
      </c>
      <c r="F21" s="184"/>
      <c r="G21" s="183"/>
      <c r="H21" s="176">
        <f>SUMPRODUCT((SMImport_Type="Fire Smoke Damper")*1,SMImport_CalcFieldHours)</f>
        <v>0</v>
      </c>
      <c r="I21" s="186"/>
      <c r="J21" s="183"/>
      <c r="K21" s="176">
        <f>SUMPRODUCT((SMImport_Type="Fire Smoke Damper")*1,SMImport_CalcShopHours)</f>
        <v>0</v>
      </c>
      <c r="L21" s="186"/>
      <c r="M21" s="177">
        <f>SUMPRODUCT((SMImport_Type="Fire Smoke Damper")*1,SMImport_MaterialCost)</f>
        <v>0</v>
      </c>
      <c r="N21" s="663"/>
      <c r="O21" s="663"/>
      <c r="P21"/>
      <c r="T21" s="548" t="str">
        <f t="shared" si="3"/>
        <v>Sheet Metal Takeoff</v>
      </c>
      <c r="U21" s="83">
        <f t="shared" si="15"/>
        <v>0</v>
      </c>
      <c r="V21" s="83">
        <f t="shared" si="16"/>
        <v>0</v>
      </c>
      <c r="W21" s="83">
        <f t="shared" si="17"/>
        <v>0</v>
      </c>
      <c r="X21" s="781">
        <f t="shared" si="18"/>
        <v>0</v>
      </c>
      <c r="Y21" s="781">
        <f t="shared" si="19"/>
        <v>0</v>
      </c>
      <c r="Z21" s="781">
        <f t="shared" si="20"/>
        <v>0</v>
      </c>
      <c r="AA21" s="83">
        <f t="shared" si="21"/>
        <v>0</v>
      </c>
      <c r="AB21" s="83">
        <f t="shared" si="4"/>
        <v>0</v>
      </c>
      <c r="AC21" s="83">
        <f t="shared" si="5"/>
        <v>0</v>
      </c>
      <c r="AD21" s="83">
        <f t="shared" si="6"/>
        <v>0</v>
      </c>
      <c r="AE21" s="83">
        <f t="shared" si="7"/>
        <v>0</v>
      </c>
      <c r="AF21" s="83">
        <f t="shared" si="8"/>
        <v>0</v>
      </c>
      <c r="AG21" s="83">
        <f t="shared" si="9"/>
        <v>0</v>
      </c>
      <c r="AH21" s="83">
        <f t="shared" si="10"/>
        <v>0</v>
      </c>
      <c r="AI21" s="83">
        <f t="shared" si="11"/>
        <v>0</v>
      </c>
      <c r="AJ21" s="718">
        <f t="shared" si="12"/>
        <v>0</v>
      </c>
      <c r="AL21">
        <f t="shared" si="13"/>
        <v>0</v>
      </c>
      <c r="AM21">
        <f t="shared" si="14"/>
        <v>0</v>
      </c>
    </row>
    <row r="22" spans="1:39" ht="20.100000000000001" customHeight="1" x14ac:dyDescent="0.25">
      <c r="A22" s="561" t="s">
        <v>364</v>
      </c>
      <c r="B22" s="561" t="s">
        <v>384</v>
      </c>
      <c r="C22" s="561" t="s">
        <v>364</v>
      </c>
      <c r="D22" s="668" t="s">
        <v>383</v>
      </c>
      <c r="E22" s="187">
        <f>SUMPRODUCT((SMImport_Type="Fire Damper")*1,SMImport_Qty)</f>
        <v>0</v>
      </c>
      <c r="F22" s="184"/>
      <c r="G22" s="183"/>
      <c r="H22" s="176">
        <f>SUMPRODUCT((SMImport_Type="Fire Damper")*1,SMImport_CalcFieldHours)</f>
        <v>0</v>
      </c>
      <c r="I22" s="186"/>
      <c r="J22" s="183"/>
      <c r="K22" s="176">
        <f>SUMPRODUCT((SMImport_Type="Fire Damper")*1,SMImport_CalcShopHours)</f>
        <v>0</v>
      </c>
      <c r="L22" s="186"/>
      <c r="M22" s="177">
        <f>SUMPRODUCT((SMImport_Type="Fire Damper")*1,SMImport_MaterialCost)</f>
        <v>0</v>
      </c>
      <c r="N22" s="663"/>
      <c r="O22" s="663"/>
      <c r="P22"/>
      <c r="T22" s="548" t="str">
        <f t="shared" si="3"/>
        <v>Sheet Metal Takeoff</v>
      </c>
      <c r="U22" s="83">
        <f t="shared" si="15"/>
        <v>0</v>
      </c>
      <c r="V22" s="83">
        <f t="shared" si="16"/>
        <v>0</v>
      </c>
      <c r="W22" s="83">
        <f t="shared" si="17"/>
        <v>0</v>
      </c>
      <c r="X22" s="781">
        <f t="shared" si="18"/>
        <v>0</v>
      </c>
      <c r="Y22" s="781">
        <f t="shared" si="19"/>
        <v>0</v>
      </c>
      <c r="Z22" s="781">
        <f t="shared" si="20"/>
        <v>0</v>
      </c>
      <c r="AA22" s="83">
        <f t="shared" si="21"/>
        <v>0</v>
      </c>
      <c r="AB22" s="83">
        <f t="shared" si="4"/>
        <v>0</v>
      </c>
      <c r="AC22" s="83">
        <f t="shared" si="5"/>
        <v>0</v>
      </c>
      <c r="AD22" s="83">
        <f t="shared" si="6"/>
        <v>0</v>
      </c>
      <c r="AE22" s="83">
        <f t="shared" si="7"/>
        <v>0</v>
      </c>
      <c r="AF22" s="83">
        <f t="shared" si="8"/>
        <v>0</v>
      </c>
      <c r="AG22" s="83">
        <f t="shared" si="9"/>
        <v>0</v>
      </c>
      <c r="AH22" s="83">
        <f t="shared" si="10"/>
        <v>0</v>
      </c>
      <c r="AI22" s="83">
        <f t="shared" si="11"/>
        <v>0</v>
      </c>
      <c r="AJ22" s="718">
        <f t="shared" si="12"/>
        <v>0</v>
      </c>
      <c r="AL22">
        <f t="shared" si="13"/>
        <v>0</v>
      </c>
      <c r="AM22">
        <f t="shared" si="14"/>
        <v>0</v>
      </c>
    </row>
    <row r="23" spans="1:39" ht="20.100000000000001" customHeight="1" x14ac:dyDescent="0.25">
      <c r="A23" s="561" t="s">
        <v>353</v>
      </c>
      <c r="B23" s="561" t="s">
        <v>384</v>
      </c>
      <c r="C23" s="561" t="s">
        <v>365</v>
      </c>
      <c r="D23" s="668" t="s">
        <v>382</v>
      </c>
      <c r="E23" s="187">
        <f>SUMPRODUCT((SMImport_Type="Canvas Connector")*1,SMImport_Qty)</f>
        <v>0</v>
      </c>
      <c r="F23" s="184"/>
      <c r="G23" s="183"/>
      <c r="H23" s="176">
        <f>SUMPRODUCT((SMImport_Type="Canvas Connector")*1,SMImport_CalcFieldHours)</f>
        <v>0</v>
      </c>
      <c r="I23" s="186"/>
      <c r="J23" s="183"/>
      <c r="K23" s="176">
        <f>SUMPRODUCT((SMImport_Type="Canvas Connector")*1,SMImport_CalcShopHours)</f>
        <v>0</v>
      </c>
      <c r="L23" s="186"/>
      <c r="M23" s="177">
        <f>SUMPRODUCT((SMImport_Type="Canvas Connector")*1,SMImport_MaterialCost)</f>
        <v>0</v>
      </c>
      <c r="N23" s="663"/>
      <c r="O23" s="663"/>
      <c r="P23"/>
      <c r="T23" s="548" t="str">
        <f t="shared" si="3"/>
        <v>Sheet Metal Takeoff</v>
      </c>
      <c r="U23" s="83">
        <f t="shared" si="15"/>
        <v>0</v>
      </c>
      <c r="V23" s="83">
        <f t="shared" si="16"/>
        <v>0</v>
      </c>
      <c r="W23" s="83">
        <f t="shared" si="17"/>
        <v>0</v>
      </c>
      <c r="X23" s="781">
        <f t="shared" si="18"/>
        <v>0</v>
      </c>
      <c r="Y23" s="781">
        <f t="shared" si="19"/>
        <v>0</v>
      </c>
      <c r="Z23" s="781">
        <f t="shared" si="20"/>
        <v>0</v>
      </c>
      <c r="AA23" s="83">
        <f t="shared" si="21"/>
        <v>0</v>
      </c>
      <c r="AB23" s="83">
        <f t="shared" si="4"/>
        <v>0</v>
      </c>
      <c r="AC23" s="83">
        <f t="shared" si="5"/>
        <v>0</v>
      </c>
      <c r="AD23" s="83">
        <f t="shared" si="6"/>
        <v>0</v>
      </c>
      <c r="AE23" s="83">
        <f t="shared" si="7"/>
        <v>0</v>
      </c>
      <c r="AF23" s="83">
        <f t="shared" si="8"/>
        <v>0</v>
      </c>
      <c r="AG23" s="83">
        <f t="shared" si="9"/>
        <v>0</v>
      </c>
      <c r="AH23" s="83">
        <f t="shared" si="10"/>
        <v>0</v>
      </c>
      <c r="AI23" s="83">
        <f t="shared" si="11"/>
        <v>0</v>
      </c>
      <c r="AJ23" s="718">
        <f t="shared" si="12"/>
        <v>0</v>
      </c>
      <c r="AL23">
        <f t="shared" si="13"/>
        <v>0</v>
      </c>
      <c r="AM23">
        <f t="shared" si="14"/>
        <v>0</v>
      </c>
    </row>
    <row r="24" spans="1:39" ht="20.100000000000001" customHeight="1" x14ac:dyDescent="0.25">
      <c r="A24" s="561" t="s">
        <v>365</v>
      </c>
      <c r="B24" s="561" t="s">
        <v>384</v>
      </c>
      <c r="C24" s="561" t="s">
        <v>365</v>
      </c>
      <c r="D24" s="668" t="s">
        <v>468</v>
      </c>
      <c r="E24" s="187">
        <f>SUMPRODUCT((SMImport_Type="Air Device")*1,SMImport_Qty)</f>
        <v>0</v>
      </c>
      <c r="F24" s="184"/>
      <c r="G24" s="183"/>
      <c r="H24" s="176">
        <f>SUMPRODUCT((SMImport_Type="Air Device")*1,SMImport_CalcFieldHours)</f>
        <v>0</v>
      </c>
      <c r="I24" s="186"/>
      <c r="J24" s="183"/>
      <c r="K24" s="176">
        <f>SUMPRODUCT((SMImport_Type="Air Device")*1,SMImport_CalcShopHours)</f>
        <v>0</v>
      </c>
      <c r="L24" s="186"/>
      <c r="M24" s="177">
        <f>SUMPRODUCT((SMImport_Type="Air Device")*1,SMImport_MaterialCost)</f>
        <v>0</v>
      </c>
      <c r="N24" s="663"/>
      <c r="O24" s="663"/>
      <c r="P24"/>
      <c r="T24" s="548" t="str">
        <f t="shared" si="3"/>
        <v>Sheet Metal Takeoff</v>
      </c>
      <c r="U24" s="83">
        <f t="shared" si="15"/>
        <v>0</v>
      </c>
      <c r="V24" s="83">
        <f t="shared" si="16"/>
        <v>0</v>
      </c>
      <c r="W24" s="83">
        <f t="shared" si="17"/>
        <v>0</v>
      </c>
      <c r="X24" s="781">
        <f t="shared" si="18"/>
        <v>0</v>
      </c>
      <c r="Y24" s="781">
        <f t="shared" si="19"/>
        <v>0</v>
      </c>
      <c r="Z24" s="781">
        <f t="shared" si="20"/>
        <v>0</v>
      </c>
      <c r="AA24" s="83">
        <f t="shared" si="21"/>
        <v>0</v>
      </c>
      <c r="AB24" s="83">
        <f t="shared" si="4"/>
        <v>0</v>
      </c>
      <c r="AC24" s="83">
        <f t="shared" si="5"/>
        <v>0</v>
      </c>
      <c r="AD24" s="83">
        <f t="shared" si="6"/>
        <v>0</v>
      </c>
      <c r="AE24" s="83">
        <f t="shared" si="7"/>
        <v>0</v>
      </c>
      <c r="AF24" s="83">
        <f t="shared" si="8"/>
        <v>0</v>
      </c>
      <c r="AG24" s="83">
        <f t="shared" si="9"/>
        <v>0</v>
      </c>
      <c r="AH24" s="83">
        <f t="shared" si="10"/>
        <v>0</v>
      </c>
      <c r="AI24" s="83">
        <f t="shared" si="11"/>
        <v>0</v>
      </c>
      <c r="AJ24" s="718">
        <f t="shared" si="12"/>
        <v>0</v>
      </c>
      <c r="AL24">
        <f t="shared" si="13"/>
        <v>0</v>
      </c>
      <c r="AM24">
        <f t="shared" si="14"/>
        <v>0</v>
      </c>
    </row>
    <row r="25" spans="1:39" ht="20.100000000000001" customHeight="1" x14ac:dyDescent="0.25">
      <c r="A25" s="561" t="s">
        <v>414</v>
      </c>
      <c r="B25" s="561" t="s">
        <v>384</v>
      </c>
      <c r="C25" s="561" t="s">
        <v>414</v>
      </c>
      <c r="D25" s="668" t="s">
        <v>467</v>
      </c>
      <c r="E25" s="187">
        <f>SUMPRODUCT((SMImport_Type="Flex Duct")*1,SMImport_Qty)</f>
        <v>0</v>
      </c>
      <c r="F25" s="184"/>
      <c r="G25" s="183"/>
      <c r="H25" s="176">
        <f>SUMPRODUCT((SMImport_Type="Flex Duct")*1,SMImport_CalcFieldHours)</f>
        <v>0</v>
      </c>
      <c r="I25" s="186"/>
      <c r="J25" s="183"/>
      <c r="K25" s="176">
        <f>SUMPRODUCT((SMImport_Type="Flex Duct")*1,SMImport_CalcShopHours)</f>
        <v>0</v>
      </c>
      <c r="L25" s="186"/>
      <c r="M25" s="177">
        <f>SUMPRODUCT((SMImport_Type="Flex Duct")*1,SMImport_MaterialCost)</f>
        <v>0</v>
      </c>
      <c r="N25" s="663"/>
      <c r="O25" s="663"/>
      <c r="P25"/>
      <c r="T25" s="548" t="str">
        <f t="shared" si="3"/>
        <v>Sheet Metal Takeoff</v>
      </c>
      <c r="U25" s="83">
        <f t="shared" si="15"/>
        <v>0</v>
      </c>
      <c r="V25" s="83">
        <f t="shared" si="16"/>
        <v>0</v>
      </c>
      <c r="W25" s="83">
        <f t="shared" si="17"/>
        <v>0</v>
      </c>
      <c r="X25" s="781">
        <f t="shared" si="18"/>
        <v>0</v>
      </c>
      <c r="Y25" s="781">
        <f t="shared" si="19"/>
        <v>0</v>
      </c>
      <c r="Z25" s="781">
        <f t="shared" si="20"/>
        <v>0</v>
      </c>
      <c r="AA25" s="83">
        <f t="shared" si="21"/>
        <v>0</v>
      </c>
      <c r="AB25" s="83">
        <f t="shared" si="4"/>
        <v>0</v>
      </c>
      <c r="AC25" s="83">
        <f t="shared" si="5"/>
        <v>0</v>
      </c>
      <c r="AD25" s="83">
        <f t="shared" si="6"/>
        <v>0</v>
      </c>
      <c r="AE25" s="83">
        <f t="shared" si="7"/>
        <v>0</v>
      </c>
      <c r="AF25" s="83">
        <f t="shared" si="8"/>
        <v>0</v>
      </c>
      <c r="AG25" s="83">
        <f t="shared" si="9"/>
        <v>0</v>
      </c>
      <c r="AH25" s="83">
        <f t="shared" si="10"/>
        <v>0</v>
      </c>
      <c r="AI25" s="83">
        <f t="shared" si="11"/>
        <v>0</v>
      </c>
      <c r="AJ25" s="718">
        <f t="shared" si="12"/>
        <v>0</v>
      </c>
      <c r="AL25">
        <f t="shared" si="13"/>
        <v>0</v>
      </c>
      <c r="AM25">
        <f t="shared" si="14"/>
        <v>0</v>
      </c>
    </row>
    <row r="26" spans="1:39" ht="20.100000000000001" customHeight="1" x14ac:dyDescent="0.25">
      <c r="A26" s="561" t="s">
        <v>366</v>
      </c>
      <c r="B26" s="561" t="s">
        <v>384</v>
      </c>
      <c r="C26" s="561" t="s">
        <v>366</v>
      </c>
      <c r="D26" s="668" t="s">
        <v>186</v>
      </c>
      <c r="E26" s="187">
        <f>SUMPRODUCT((SMImport_Type="Louver")*1,SMImport_Qty)</f>
        <v>0</v>
      </c>
      <c r="F26" s="184"/>
      <c r="G26" s="183"/>
      <c r="H26" s="176">
        <f>SUMPRODUCT((SMImport_Type="Louver")*1,SMImport_CalcFieldHours)</f>
        <v>0</v>
      </c>
      <c r="I26" s="186"/>
      <c r="J26" s="183"/>
      <c r="K26" s="176">
        <f>SUMPRODUCT((SMImport_Type="Louver")*1,SMImport_CalcShopHours)</f>
        <v>0</v>
      </c>
      <c r="L26" s="186"/>
      <c r="M26" s="177">
        <f>SUMPRODUCT((SMImport_Type="Louver")*1,SMImport_MaterialCost)</f>
        <v>0</v>
      </c>
      <c r="N26" s="663"/>
      <c r="O26" s="663"/>
      <c r="P26"/>
      <c r="T26" s="548" t="str">
        <f t="shared" si="3"/>
        <v>Sheet Metal Takeoff</v>
      </c>
      <c r="U26" s="83">
        <f t="shared" si="15"/>
        <v>0</v>
      </c>
      <c r="V26" s="83">
        <f t="shared" si="16"/>
        <v>0</v>
      </c>
      <c r="W26" s="83">
        <f t="shared" si="17"/>
        <v>0</v>
      </c>
      <c r="X26" s="781">
        <f t="shared" si="18"/>
        <v>0</v>
      </c>
      <c r="Y26" s="781">
        <f t="shared" si="19"/>
        <v>0</v>
      </c>
      <c r="Z26" s="781">
        <f t="shared" si="20"/>
        <v>0</v>
      </c>
      <c r="AA26" s="83">
        <f t="shared" si="21"/>
        <v>0</v>
      </c>
      <c r="AB26" s="83">
        <f t="shared" si="4"/>
        <v>0</v>
      </c>
      <c r="AC26" s="83">
        <f t="shared" si="5"/>
        <v>0</v>
      </c>
      <c r="AD26" s="83">
        <f t="shared" si="6"/>
        <v>0</v>
      </c>
      <c r="AE26" s="83">
        <f t="shared" si="7"/>
        <v>0</v>
      </c>
      <c r="AF26" s="83">
        <f t="shared" si="8"/>
        <v>0</v>
      </c>
      <c r="AG26" s="83">
        <f t="shared" si="9"/>
        <v>0</v>
      </c>
      <c r="AH26" s="83">
        <f t="shared" si="10"/>
        <v>0</v>
      </c>
      <c r="AI26" s="83">
        <f t="shared" si="11"/>
        <v>0</v>
      </c>
      <c r="AJ26" s="718">
        <f t="shared" si="12"/>
        <v>0</v>
      </c>
      <c r="AL26">
        <f t="shared" si="13"/>
        <v>0</v>
      </c>
      <c r="AM26">
        <f t="shared" si="14"/>
        <v>0</v>
      </c>
    </row>
    <row r="27" spans="1:39" ht="20.100000000000001" customHeight="1" x14ac:dyDescent="0.25">
      <c r="A27" s="561" t="s">
        <v>418</v>
      </c>
      <c r="B27" s="561" t="s">
        <v>384</v>
      </c>
      <c r="C27" s="561" t="s">
        <v>418</v>
      </c>
      <c r="D27" s="668" t="s">
        <v>199</v>
      </c>
      <c r="E27" s="187">
        <f>SUMPRODUCT((SMImport_Type="Access Door")*1,SMImport_Qty)</f>
        <v>0</v>
      </c>
      <c r="F27" s="184"/>
      <c r="G27" s="183"/>
      <c r="H27" s="176">
        <f>SUMPRODUCT((SMImport_Type="Access Door")*1,SMImport_CalcFieldHours)</f>
        <v>0</v>
      </c>
      <c r="I27" s="186"/>
      <c r="J27" s="183"/>
      <c r="K27" s="176">
        <f>SUMPRODUCT((SMImport_Type="Access Door")*1,SMImport_CalcShopHours)</f>
        <v>0</v>
      </c>
      <c r="L27" s="186"/>
      <c r="M27" s="177">
        <f>SUMPRODUCT((SMImport_Type="Access Door")*1,SMImport_MaterialCost)</f>
        <v>0</v>
      </c>
      <c r="N27" s="663"/>
      <c r="O27" s="663"/>
      <c r="P27"/>
      <c r="T27" s="548" t="str">
        <f t="shared" si="3"/>
        <v>Sheet Metal Takeoff</v>
      </c>
      <c r="U27" s="83">
        <f t="shared" si="15"/>
        <v>0</v>
      </c>
      <c r="V27" s="83">
        <f t="shared" si="16"/>
        <v>0</v>
      </c>
      <c r="W27" s="83">
        <f t="shared" si="17"/>
        <v>0</v>
      </c>
      <c r="X27" s="781">
        <f t="shared" si="18"/>
        <v>0</v>
      </c>
      <c r="Y27" s="781">
        <f t="shared" si="19"/>
        <v>0</v>
      </c>
      <c r="Z27" s="781">
        <f t="shared" si="20"/>
        <v>0</v>
      </c>
      <c r="AA27" s="83">
        <f t="shared" si="21"/>
        <v>0</v>
      </c>
      <c r="AB27" s="83">
        <f t="shared" si="4"/>
        <v>0</v>
      </c>
      <c r="AC27" s="83">
        <f t="shared" si="5"/>
        <v>0</v>
      </c>
      <c r="AD27" s="83">
        <f t="shared" si="6"/>
        <v>0</v>
      </c>
      <c r="AE27" s="83">
        <f t="shared" si="7"/>
        <v>0</v>
      </c>
      <c r="AF27" s="83">
        <f t="shared" si="8"/>
        <v>0</v>
      </c>
      <c r="AG27" s="83">
        <f t="shared" si="9"/>
        <v>0</v>
      </c>
      <c r="AH27" s="83">
        <f t="shared" si="10"/>
        <v>0</v>
      </c>
      <c r="AI27" s="83">
        <f t="shared" si="11"/>
        <v>0</v>
      </c>
      <c r="AJ27" s="718">
        <f t="shared" si="12"/>
        <v>0</v>
      </c>
      <c r="AL27">
        <f t="shared" si="13"/>
        <v>0</v>
      </c>
      <c r="AM27">
        <f t="shared" si="14"/>
        <v>0</v>
      </c>
    </row>
    <row r="28" spans="1:39" ht="20.100000000000001" customHeight="1" x14ac:dyDescent="0.25">
      <c r="A28" s="561" t="s">
        <v>371</v>
      </c>
      <c r="B28" s="561" t="s">
        <v>384</v>
      </c>
      <c r="C28" s="561" t="s">
        <v>371</v>
      </c>
      <c r="D28" s="668" t="s">
        <v>372</v>
      </c>
      <c r="E28" s="187">
        <f>SUMPRODUCT((SMImport_Type="Control Damper")*1,SMImport_Qty)</f>
        <v>0</v>
      </c>
      <c r="F28" s="184"/>
      <c r="G28" s="183"/>
      <c r="H28" s="176">
        <f>SUMPRODUCT((SMImport_Type="Control Damper")*1,SMImport_CalcFieldHours)</f>
        <v>0</v>
      </c>
      <c r="I28" s="186"/>
      <c r="J28" s="183"/>
      <c r="K28" s="176">
        <f>SUMPRODUCT((SMImport_Type="Control Damper")*1,SMImport_CalcShopHours)</f>
        <v>0</v>
      </c>
      <c r="L28" s="186"/>
      <c r="M28" s="177">
        <f>SUMPRODUCT((SMImport_Type="Control Damper")*1,SMImport_MaterialCost)</f>
        <v>0</v>
      </c>
      <c r="N28" s="663"/>
      <c r="O28" s="663"/>
      <c r="P28"/>
      <c r="T28" s="548" t="str">
        <f t="shared" si="3"/>
        <v>Sheet Metal Takeoff</v>
      </c>
      <c r="U28" s="83">
        <f t="shared" si="15"/>
        <v>0</v>
      </c>
      <c r="V28" s="83">
        <f t="shared" si="16"/>
        <v>0</v>
      </c>
      <c r="W28" s="83">
        <f t="shared" si="17"/>
        <v>0</v>
      </c>
      <c r="X28" s="781">
        <f t="shared" si="18"/>
        <v>0</v>
      </c>
      <c r="Y28" s="781">
        <f t="shared" si="19"/>
        <v>0</v>
      </c>
      <c r="Z28" s="781">
        <f t="shared" si="20"/>
        <v>0</v>
      </c>
      <c r="AA28" s="83">
        <f t="shared" si="21"/>
        <v>0</v>
      </c>
      <c r="AB28" s="83">
        <f t="shared" si="4"/>
        <v>0</v>
      </c>
      <c r="AC28" s="83">
        <f t="shared" si="5"/>
        <v>0</v>
      </c>
      <c r="AD28" s="83">
        <f t="shared" si="6"/>
        <v>0</v>
      </c>
      <c r="AE28" s="83">
        <f t="shared" si="7"/>
        <v>0</v>
      </c>
      <c r="AF28" s="83">
        <f t="shared" si="8"/>
        <v>0</v>
      </c>
      <c r="AG28" s="83">
        <f t="shared" si="9"/>
        <v>0</v>
      </c>
      <c r="AH28" s="83">
        <f t="shared" si="10"/>
        <v>0</v>
      </c>
      <c r="AI28" s="83">
        <f t="shared" si="11"/>
        <v>0</v>
      </c>
      <c r="AJ28" s="718">
        <f t="shared" si="12"/>
        <v>0</v>
      </c>
      <c r="AL28">
        <f t="shared" si="13"/>
        <v>0</v>
      </c>
      <c r="AM28">
        <f t="shared" si="14"/>
        <v>0</v>
      </c>
    </row>
    <row r="29" spans="1:39" ht="20.100000000000001" customHeight="1" x14ac:dyDescent="0.25">
      <c r="A29" s="561" t="s">
        <v>376</v>
      </c>
      <c r="B29" s="561" t="s">
        <v>384</v>
      </c>
      <c r="C29" s="561" t="s">
        <v>376</v>
      </c>
      <c r="D29" s="668" t="s">
        <v>377</v>
      </c>
      <c r="E29" s="187">
        <f>SUMPRODUCT((SMImport_Type="VAV")*1,SMImport_Qty)</f>
        <v>0</v>
      </c>
      <c r="F29" s="184"/>
      <c r="G29" s="183"/>
      <c r="H29" s="176">
        <f>SUMPRODUCT((SMImport_Type="VAV")*1,SMImport_CalcFieldHours)</f>
        <v>0</v>
      </c>
      <c r="I29" s="186"/>
      <c r="J29" s="183"/>
      <c r="K29" s="176">
        <f>SUMPRODUCT((SMImport_Type="VAV")*1,SMImport_CalcShopHours)</f>
        <v>0</v>
      </c>
      <c r="L29" s="186"/>
      <c r="M29" s="177">
        <f>SUMPRODUCT((SMImport_Type="VAV")*1,SMImport_MaterialCost)</f>
        <v>0</v>
      </c>
      <c r="N29" s="663"/>
      <c r="O29" s="663"/>
      <c r="P29"/>
      <c r="T29" s="548" t="str">
        <f t="shared" si="3"/>
        <v>Sheet Metal Takeoff</v>
      </c>
      <c r="U29" s="83">
        <f t="shared" si="15"/>
        <v>0</v>
      </c>
      <c r="V29" s="83">
        <f t="shared" si="16"/>
        <v>0</v>
      </c>
      <c r="W29" s="83">
        <f t="shared" si="17"/>
        <v>0</v>
      </c>
      <c r="X29" s="781">
        <f t="shared" si="18"/>
        <v>0</v>
      </c>
      <c r="Y29" s="781">
        <f t="shared" si="19"/>
        <v>0</v>
      </c>
      <c r="Z29" s="781">
        <f t="shared" si="20"/>
        <v>0</v>
      </c>
      <c r="AA29" s="83">
        <f t="shared" si="21"/>
        <v>0</v>
      </c>
      <c r="AB29" s="83">
        <f t="shared" si="4"/>
        <v>0</v>
      </c>
      <c r="AC29" s="83">
        <f t="shared" si="5"/>
        <v>0</v>
      </c>
      <c r="AD29" s="83">
        <f t="shared" si="6"/>
        <v>0</v>
      </c>
      <c r="AE29" s="83">
        <f t="shared" si="7"/>
        <v>0</v>
      </c>
      <c r="AF29" s="83">
        <f t="shared" si="8"/>
        <v>0</v>
      </c>
      <c r="AG29" s="83">
        <f t="shared" si="9"/>
        <v>0</v>
      </c>
      <c r="AH29" s="83">
        <f t="shared" si="10"/>
        <v>0</v>
      </c>
      <c r="AI29" s="83">
        <f t="shared" si="11"/>
        <v>0</v>
      </c>
      <c r="AJ29" s="718">
        <f t="shared" si="12"/>
        <v>0</v>
      </c>
      <c r="AL29">
        <f t="shared" si="13"/>
        <v>0</v>
      </c>
      <c r="AM29">
        <f t="shared" si="14"/>
        <v>0</v>
      </c>
    </row>
    <row r="30" spans="1:39" ht="20.100000000000001" customHeight="1" x14ac:dyDescent="0.25">
      <c r="A30" s="561" t="s">
        <v>384</v>
      </c>
      <c r="B30" s="561" t="s">
        <v>384</v>
      </c>
      <c r="C30" s="561" t="s">
        <v>380</v>
      </c>
      <c r="D30" s="668" t="s">
        <v>378</v>
      </c>
      <c r="E30" s="187">
        <f>SUMPRODUCT((SMImport_Type="Duct Accessory")*1,SMImport_Qty)</f>
        <v>0</v>
      </c>
      <c r="F30" s="184"/>
      <c r="G30" s="183"/>
      <c r="H30" s="176">
        <f>SUMPRODUCT((SMImport_Type="Duct Accessory")*1,SMImport_CalcFieldHours)</f>
        <v>0</v>
      </c>
      <c r="I30" s="186"/>
      <c r="J30" s="183"/>
      <c r="K30" s="176">
        <f>SUMPRODUCT((SMImport_Type="Duct Accessory")*1,SMImport_CalcShopHours)</f>
        <v>0</v>
      </c>
      <c r="L30" s="186"/>
      <c r="M30" s="177">
        <f>SUMPRODUCT((SMImport_Type="Duct Accessory")*1,SMImport_MaterialCost)</f>
        <v>0</v>
      </c>
      <c r="N30" s="663"/>
      <c r="O30" s="663"/>
      <c r="P30"/>
      <c r="T30" s="548" t="str">
        <f t="shared" si="3"/>
        <v>Sheet Metal Takeoff</v>
      </c>
      <c r="U30" s="83">
        <f t="shared" si="15"/>
        <v>0</v>
      </c>
      <c r="V30" s="83">
        <f t="shared" si="16"/>
        <v>0</v>
      </c>
      <c r="W30" s="83">
        <f t="shared" si="17"/>
        <v>0</v>
      </c>
      <c r="X30" s="781">
        <f t="shared" si="18"/>
        <v>0</v>
      </c>
      <c r="Y30" s="781">
        <f t="shared" si="19"/>
        <v>0</v>
      </c>
      <c r="Z30" s="781">
        <f t="shared" si="20"/>
        <v>0</v>
      </c>
      <c r="AA30" s="83">
        <f t="shared" si="21"/>
        <v>0</v>
      </c>
      <c r="AB30" s="83">
        <f t="shared" si="4"/>
        <v>0</v>
      </c>
      <c r="AC30" s="83">
        <f t="shared" si="5"/>
        <v>0</v>
      </c>
      <c r="AD30" s="83">
        <f t="shared" si="6"/>
        <v>0</v>
      </c>
      <c r="AE30" s="83">
        <f t="shared" si="7"/>
        <v>0</v>
      </c>
      <c r="AF30" s="83">
        <f t="shared" si="8"/>
        <v>0</v>
      </c>
      <c r="AG30" s="83">
        <f t="shared" si="9"/>
        <v>0</v>
      </c>
      <c r="AH30" s="83">
        <f t="shared" si="10"/>
        <v>0</v>
      </c>
      <c r="AI30" s="83">
        <f t="shared" si="11"/>
        <v>0</v>
      </c>
      <c r="AJ30" s="718">
        <f t="shared" si="12"/>
        <v>0</v>
      </c>
      <c r="AL30">
        <f t="shared" si="13"/>
        <v>0</v>
      </c>
      <c r="AM30">
        <f t="shared" si="14"/>
        <v>0</v>
      </c>
    </row>
    <row r="31" spans="1:39" ht="20.100000000000001" customHeight="1" x14ac:dyDescent="0.25">
      <c r="A31" s="561" t="s">
        <v>376</v>
      </c>
      <c r="B31" s="561" t="s">
        <v>384</v>
      </c>
      <c r="C31" s="561" t="s">
        <v>376</v>
      </c>
      <c r="D31" s="668" t="s">
        <v>379</v>
      </c>
      <c r="E31" s="187">
        <f>SUMPRODUCT((SMImport_Type="Exhaust Fan")*1,SMImport_Qty)</f>
        <v>0</v>
      </c>
      <c r="F31" s="184"/>
      <c r="G31" s="183"/>
      <c r="H31" s="176">
        <f>SUMPRODUCT((SMImport_Type="Exhaust Fan")*1,SMImport_CalcFieldHours)</f>
        <v>0</v>
      </c>
      <c r="I31" s="186"/>
      <c r="J31" s="183"/>
      <c r="K31" s="176">
        <f>SUMPRODUCT((SMImport_Type="Exhaust Fan")*1,SMImport_CalcShopHours)</f>
        <v>0</v>
      </c>
      <c r="L31" s="186"/>
      <c r="M31" s="177">
        <f>SUMPRODUCT((SMImport_Type="Exhaust Fan")*1,SMImport_MaterialCost)</f>
        <v>0</v>
      </c>
      <c r="N31" s="663"/>
      <c r="O31" s="663"/>
      <c r="P31"/>
      <c r="T31" s="548" t="str">
        <f t="shared" si="3"/>
        <v>Sheet Metal Takeoff</v>
      </c>
      <c r="U31" s="83">
        <f t="shared" si="15"/>
        <v>0</v>
      </c>
      <c r="V31" s="83">
        <f t="shared" si="16"/>
        <v>0</v>
      </c>
      <c r="W31" s="83">
        <f t="shared" si="17"/>
        <v>0</v>
      </c>
      <c r="X31" s="781">
        <f t="shared" si="18"/>
        <v>0</v>
      </c>
      <c r="Y31" s="781">
        <f t="shared" si="19"/>
        <v>0</v>
      </c>
      <c r="Z31" s="781">
        <f t="shared" si="20"/>
        <v>0</v>
      </c>
      <c r="AA31" s="83">
        <f t="shared" si="21"/>
        <v>0</v>
      </c>
      <c r="AB31" s="83">
        <f t="shared" si="4"/>
        <v>0</v>
      </c>
      <c r="AC31" s="83">
        <f t="shared" si="5"/>
        <v>0</v>
      </c>
      <c r="AD31" s="83">
        <f t="shared" si="6"/>
        <v>0</v>
      </c>
      <c r="AE31" s="83">
        <f t="shared" si="7"/>
        <v>0</v>
      </c>
      <c r="AF31" s="83">
        <f t="shared" si="8"/>
        <v>0</v>
      </c>
      <c r="AG31" s="83">
        <f t="shared" si="9"/>
        <v>0</v>
      </c>
      <c r="AH31" s="83">
        <f t="shared" si="10"/>
        <v>0</v>
      </c>
      <c r="AI31" s="83">
        <f t="shared" si="11"/>
        <v>0</v>
      </c>
      <c r="AJ31" s="718">
        <f t="shared" si="12"/>
        <v>0</v>
      </c>
      <c r="AL31">
        <f t="shared" si="13"/>
        <v>0</v>
      </c>
      <c r="AM31">
        <f t="shared" si="14"/>
        <v>0</v>
      </c>
    </row>
    <row r="32" spans="1:39" ht="20.100000000000001" customHeight="1" x14ac:dyDescent="0.25">
      <c r="A32" s="561" t="s">
        <v>376</v>
      </c>
      <c r="B32" s="561" t="s">
        <v>384</v>
      </c>
      <c r="C32" s="561" t="s">
        <v>376</v>
      </c>
      <c r="D32" s="668" t="s">
        <v>381</v>
      </c>
      <c r="E32" s="187">
        <f>SUMPRODUCT((SMImport_Type="AHU")*1,SMImport_Qty)</f>
        <v>0</v>
      </c>
      <c r="F32" s="184"/>
      <c r="G32" s="183"/>
      <c r="H32" s="176">
        <f>SUMPRODUCT((SMImport_Type="AHU")*1,SMImport_CalcFieldHours)</f>
        <v>0</v>
      </c>
      <c r="I32" s="186"/>
      <c r="J32" s="183"/>
      <c r="K32" s="176">
        <f>SUMPRODUCT((SMImport_Type="AHU")*1,SMImport_CalcShopHours)</f>
        <v>0</v>
      </c>
      <c r="L32" s="186"/>
      <c r="M32" s="177">
        <f>SUMPRODUCT((SMImport_Type="AHU")*1,SMImport_MaterialCost)</f>
        <v>0</v>
      </c>
      <c r="N32" s="663"/>
      <c r="O32" s="663"/>
      <c r="P32"/>
      <c r="T32" s="548" t="str">
        <f t="shared" si="3"/>
        <v>Sheet Metal Takeoff</v>
      </c>
      <c r="U32" s="83">
        <f t="shared" si="15"/>
        <v>0</v>
      </c>
      <c r="V32" s="83">
        <f t="shared" si="16"/>
        <v>0</v>
      </c>
      <c r="W32" s="83">
        <f t="shared" si="17"/>
        <v>0</v>
      </c>
      <c r="X32" s="781">
        <f t="shared" si="18"/>
        <v>0</v>
      </c>
      <c r="Y32" s="781">
        <f t="shared" si="19"/>
        <v>0</v>
      </c>
      <c r="Z32" s="781">
        <f t="shared" si="20"/>
        <v>0</v>
      </c>
      <c r="AA32" s="83">
        <f t="shared" si="21"/>
        <v>0</v>
      </c>
      <c r="AB32" s="83">
        <f t="shared" si="4"/>
        <v>0</v>
      </c>
      <c r="AC32" s="83">
        <f t="shared" si="5"/>
        <v>0</v>
      </c>
      <c r="AD32" s="83">
        <f t="shared" si="6"/>
        <v>0</v>
      </c>
      <c r="AE32" s="83">
        <f t="shared" si="7"/>
        <v>0</v>
      </c>
      <c r="AF32" s="83">
        <f t="shared" si="8"/>
        <v>0</v>
      </c>
      <c r="AG32" s="83">
        <f t="shared" si="9"/>
        <v>0</v>
      </c>
      <c r="AH32" s="83">
        <f t="shared" si="10"/>
        <v>0</v>
      </c>
      <c r="AI32" s="83">
        <f t="shared" si="11"/>
        <v>0</v>
      </c>
      <c r="AJ32" s="718">
        <f t="shared" si="12"/>
        <v>0</v>
      </c>
      <c r="AL32">
        <f t="shared" si="13"/>
        <v>0</v>
      </c>
      <c r="AM32">
        <f t="shared" si="14"/>
        <v>0</v>
      </c>
    </row>
    <row r="33" spans="1:39" ht="20.100000000000001" customHeight="1" x14ac:dyDescent="0.25">
      <c r="A33" s="561" t="s">
        <v>394</v>
      </c>
      <c r="B33" s="561" t="s">
        <v>384</v>
      </c>
      <c r="C33" s="561" t="s">
        <v>414</v>
      </c>
      <c r="D33" s="668" t="s">
        <v>1093</v>
      </c>
      <c r="E33" s="187">
        <f>SUMPRODUCT((SMImport_CutType="Liner")*1,SMImport_Qty)</f>
        <v>0</v>
      </c>
      <c r="F33" s="184"/>
      <c r="G33" s="183"/>
      <c r="H33" s="176">
        <f>SUMPRODUCT((SMImport_CutType="Liner")*1,SMImport_CalcFieldHours)</f>
        <v>0</v>
      </c>
      <c r="I33" s="186"/>
      <c r="J33" s="183"/>
      <c r="K33" s="176">
        <f>SUMPRODUCT((SMImport_CutType="Liner")*1,SMImport_CalcShopHours)</f>
        <v>0</v>
      </c>
      <c r="L33" s="186"/>
      <c r="M33" s="177">
        <f>SUMPRODUCT((SMImport_CutType="Liner")*1,SMImport_MaterialCost)</f>
        <v>0</v>
      </c>
      <c r="N33" s="663"/>
      <c r="O33" s="663"/>
      <c r="T33" s="548" t="str">
        <f t="shared" si="3"/>
        <v>Sheet Metal Takeoff</v>
      </c>
      <c r="U33" s="83">
        <f t="shared" si="15"/>
        <v>0</v>
      </c>
      <c r="V33" s="83">
        <f t="shared" si="16"/>
        <v>0</v>
      </c>
      <c r="W33" s="83">
        <f t="shared" si="17"/>
        <v>0</v>
      </c>
      <c r="X33" s="781">
        <f t="shared" si="18"/>
        <v>0</v>
      </c>
      <c r="Y33" s="781">
        <f t="shared" si="19"/>
        <v>0</v>
      </c>
      <c r="Z33" s="781">
        <f t="shared" si="20"/>
        <v>0</v>
      </c>
      <c r="AA33" s="83">
        <f t="shared" si="21"/>
        <v>0</v>
      </c>
      <c r="AB33" s="83">
        <f t="shared" si="4"/>
        <v>0</v>
      </c>
      <c r="AC33" s="83">
        <f t="shared" si="5"/>
        <v>0</v>
      </c>
      <c r="AD33" s="83">
        <f t="shared" si="6"/>
        <v>0</v>
      </c>
      <c r="AE33" s="83">
        <f t="shared" si="7"/>
        <v>0</v>
      </c>
      <c r="AF33" s="83">
        <f t="shared" si="8"/>
        <v>0</v>
      </c>
      <c r="AG33" s="83">
        <f t="shared" si="9"/>
        <v>0</v>
      </c>
      <c r="AH33" s="83">
        <f t="shared" si="10"/>
        <v>0</v>
      </c>
      <c r="AI33" s="83">
        <f t="shared" si="11"/>
        <v>0</v>
      </c>
      <c r="AJ33" s="718">
        <f t="shared" si="12"/>
        <v>0</v>
      </c>
      <c r="AL33">
        <f t="shared" si="13"/>
        <v>0</v>
      </c>
      <c r="AM33">
        <f t="shared" si="14"/>
        <v>0</v>
      </c>
    </row>
    <row r="34" spans="1:39" ht="20.100000000000001" customHeight="1" x14ac:dyDescent="0.25">
      <c r="A34" s="561" t="s">
        <v>384</v>
      </c>
      <c r="B34" s="561" t="s">
        <v>384</v>
      </c>
      <c r="C34" s="561" t="s">
        <v>380</v>
      </c>
      <c r="D34" s="668" t="s">
        <v>64</v>
      </c>
      <c r="E34" s="187">
        <f>'SM Import'!F7-SUM(E10:E33)</f>
        <v>0</v>
      </c>
      <c r="F34" s="184"/>
      <c r="G34" s="183"/>
      <c r="H34" s="176">
        <f>CAE_Field_Hours_Total-SUM(TakeOff!H10:H33)</f>
        <v>0</v>
      </c>
      <c r="I34" s="186"/>
      <c r="J34" s="183"/>
      <c r="K34" s="176">
        <f>CAE_Shop_Hours_Total-SUM(TakeOff!K10:K33)</f>
        <v>0</v>
      </c>
      <c r="L34" s="186"/>
      <c r="M34" s="177">
        <f>ABS(CAE_Material_Cost_Total-SUM(M10:M33))</f>
        <v>0</v>
      </c>
      <c r="N34" s="663"/>
      <c r="O34" s="663"/>
      <c r="T34" s="548" t="str">
        <f t="shared" si="3"/>
        <v>Sheet Metal Takeoff</v>
      </c>
      <c r="U34" s="83">
        <f t="shared" si="15"/>
        <v>0</v>
      </c>
      <c r="V34" s="83">
        <f t="shared" si="16"/>
        <v>0</v>
      </c>
      <c r="W34" s="83">
        <f t="shared" si="17"/>
        <v>0</v>
      </c>
      <c r="X34" s="781">
        <f t="shared" si="18"/>
        <v>0</v>
      </c>
      <c r="Y34" s="781">
        <f t="shared" si="19"/>
        <v>0</v>
      </c>
      <c r="Z34" s="781">
        <f t="shared" si="20"/>
        <v>0</v>
      </c>
      <c r="AA34" s="83">
        <f t="shared" si="21"/>
        <v>0</v>
      </c>
      <c r="AB34" s="83">
        <f t="shared" si="4"/>
        <v>0</v>
      </c>
      <c r="AC34" s="83">
        <f t="shared" si="5"/>
        <v>0</v>
      </c>
      <c r="AD34" s="83">
        <f t="shared" si="6"/>
        <v>0</v>
      </c>
      <c r="AE34" s="83">
        <f t="shared" si="7"/>
        <v>0</v>
      </c>
      <c r="AF34" s="83">
        <f t="shared" si="8"/>
        <v>0</v>
      </c>
      <c r="AG34" s="83">
        <f t="shared" si="9"/>
        <v>0</v>
      </c>
      <c r="AH34" s="83">
        <f t="shared" si="10"/>
        <v>0</v>
      </c>
      <c r="AI34" s="83">
        <f t="shared" si="11"/>
        <v>0</v>
      </c>
      <c r="AJ34" s="718">
        <f t="shared" si="12"/>
        <v>0</v>
      </c>
      <c r="AL34">
        <f t="shared" si="13"/>
        <v>0</v>
      </c>
      <c r="AM34">
        <f t="shared" si="14"/>
        <v>0</v>
      </c>
    </row>
    <row r="35" spans="1:39" ht="20.100000000000001" customHeight="1" x14ac:dyDescent="0.25">
      <c r="A35" s="561"/>
      <c r="B35" s="561"/>
      <c r="C35" s="561"/>
      <c r="D35" s="668"/>
      <c r="E35" s="187"/>
      <c r="F35" s="184"/>
      <c r="G35" s="183"/>
      <c r="H35" s="176"/>
      <c r="I35" s="186"/>
      <c r="J35" s="183"/>
      <c r="K35" s="181"/>
      <c r="L35" s="186"/>
      <c r="M35" s="177"/>
      <c r="N35" s="663"/>
      <c r="O35" s="663"/>
      <c r="T35" s="548" t="str">
        <f t="shared" si="3"/>
        <v>Sheet Metal Takeoff</v>
      </c>
      <c r="U35" s="83">
        <f t="shared" si="15"/>
        <v>0</v>
      </c>
      <c r="V35" s="83">
        <f t="shared" si="16"/>
        <v>0</v>
      </c>
      <c r="W35" s="83">
        <f t="shared" si="17"/>
        <v>0</v>
      </c>
      <c r="X35" s="781">
        <f t="shared" si="18"/>
        <v>0</v>
      </c>
      <c r="Y35" s="781">
        <f t="shared" si="19"/>
        <v>0</v>
      </c>
      <c r="Z35" s="781">
        <f t="shared" si="20"/>
        <v>0</v>
      </c>
      <c r="AA35" s="83">
        <f t="shared" si="21"/>
        <v>0</v>
      </c>
      <c r="AB35" s="83">
        <f t="shared" si="4"/>
        <v>0</v>
      </c>
      <c r="AC35" s="83">
        <f t="shared" si="5"/>
        <v>0</v>
      </c>
      <c r="AD35" s="83">
        <f t="shared" si="6"/>
        <v>0</v>
      </c>
      <c r="AE35" s="83">
        <f t="shared" si="7"/>
        <v>0</v>
      </c>
      <c r="AF35" s="83">
        <f t="shared" si="8"/>
        <v>0</v>
      </c>
      <c r="AG35" s="83">
        <f t="shared" si="9"/>
        <v>0</v>
      </c>
      <c r="AH35" s="83">
        <f t="shared" si="10"/>
        <v>0</v>
      </c>
      <c r="AI35" s="83">
        <f t="shared" si="11"/>
        <v>0</v>
      </c>
      <c r="AJ35" s="718">
        <f t="shared" si="12"/>
        <v>0</v>
      </c>
      <c r="AL35">
        <f t="shared" si="13"/>
        <v>0</v>
      </c>
      <c r="AM35">
        <f t="shared" si="14"/>
        <v>0</v>
      </c>
    </row>
    <row r="36" spans="1:39" ht="20.100000000000001" customHeight="1" x14ac:dyDescent="0.25">
      <c r="A36" s="178"/>
      <c r="B36" s="178"/>
      <c r="C36" s="178"/>
      <c r="D36" s="669"/>
      <c r="E36" s="179"/>
      <c r="F36" s="180"/>
      <c r="G36" s="180"/>
      <c r="H36" s="181">
        <f>SUM(H10:H35)</f>
        <v>0</v>
      </c>
      <c r="I36" s="180"/>
      <c r="J36" s="182"/>
      <c r="K36" s="181">
        <f>SUM(K10:K35)</f>
        <v>0</v>
      </c>
      <c r="L36" s="182"/>
      <c r="M36" s="177">
        <f>SUM(M10:M35)</f>
        <v>0</v>
      </c>
      <c r="N36" s="664"/>
      <c r="AJ36" s="718"/>
    </row>
    <row r="37" spans="1:39" ht="15.75" thickBot="1" x14ac:dyDescent="0.3">
      <c r="AJ37" s="718"/>
    </row>
    <row r="38" spans="1:39" ht="16.5" thickBot="1" x14ac:dyDescent="0.3">
      <c r="E38" s="678" t="s">
        <v>1122</v>
      </c>
      <c r="F38" s="1017" t="s">
        <v>1630</v>
      </c>
      <c r="G38" s="1018"/>
      <c r="H38" s="344"/>
      <c r="I38" s="1019" t="s">
        <v>1628</v>
      </c>
      <c r="J38" s="1020"/>
      <c r="K38" s="679" t="b">
        <v>0</v>
      </c>
      <c r="AJ38" s="718"/>
    </row>
    <row r="39" spans="1:39" ht="38.25" thickBot="1" x14ac:dyDescent="0.35">
      <c r="A39" s="477" t="s">
        <v>1063</v>
      </c>
      <c r="B39" s="477" t="s">
        <v>348</v>
      </c>
      <c r="C39" s="477" t="s">
        <v>349</v>
      </c>
      <c r="D39" s="666" t="s">
        <v>0</v>
      </c>
      <c r="E39" s="484" t="s">
        <v>1</v>
      </c>
      <c r="F39" s="484" t="s">
        <v>2</v>
      </c>
      <c r="G39" s="484" t="s">
        <v>1123</v>
      </c>
      <c r="H39" s="484" t="s">
        <v>3</v>
      </c>
      <c r="I39" s="484" t="s">
        <v>4</v>
      </c>
      <c r="J39" s="484" t="s">
        <v>1124</v>
      </c>
      <c r="K39" s="484" t="s">
        <v>5</v>
      </c>
      <c r="L39" s="484" t="s">
        <v>6</v>
      </c>
      <c r="M39" s="484" t="s">
        <v>7</v>
      </c>
      <c r="N39" s="1013" t="s">
        <v>1079</v>
      </c>
      <c r="O39" s="1014"/>
      <c r="P39" s="1009" t="s">
        <v>1629</v>
      </c>
      <c r="Q39" s="1009" t="s">
        <v>1147</v>
      </c>
      <c r="R39" s="1009" t="s">
        <v>1792</v>
      </c>
      <c r="T39" s="2"/>
      <c r="AJ39" s="718"/>
    </row>
    <row r="40" spans="1:39" ht="16.5" thickBot="1" x14ac:dyDescent="0.3">
      <c r="A40" s="183"/>
      <c r="B40" s="183"/>
      <c r="C40" s="183"/>
      <c r="D40" s="676" t="s">
        <v>1838</v>
      </c>
      <c r="E40" s="183"/>
      <c r="F40" s="183"/>
      <c r="G40" s="183"/>
      <c r="H40" s="183"/>
      <c r="I40" s="183"/>
      <c r="J40" s="183"/>
      <c r="K40" s="183"/>
      <c r="L40" s="183"/>
      <c r="M40" s="183"/>
      <c r="N40" s="1015"/>
      <c r="O40" s="1016"/>
      <c r="P40" s="1010" t="s">
        <v>1362</v>
      </c>
      <c r="Q40" s="1010"/>
      <c r="R40" s="1010"/>
      <c r="T40" s="1"/>
      <c r="AJ40" s="718"/>
    </row>
    <row r="41" spans="1:39" ht="15.75" x14ac:dyDescent="0.25">
      <c r="A41" s="561"/>
      <c r="B41" s="561"/>
      <c r="C41" s="561"/>
      <c r="D41" s="672"/>
      <c r="E41" s="675"/>
      <c r="F41" s="209"/>
      <c r="G41" s="209"/>
      <c r="H41" s="176">
        <f t="shared" ref="H41:H69" si="22">IF(SM_ExludeGroup1=TRUE,0,IF(G41="",E41*F41*IF(AND(S41="LOP",R41="SWING"),1+CrewRate_PlumbFitter_SwingLOP,1)*IF(AND(S41="LOP",R41="GRAVE"),1+CrewRate_PlumbFitter_GraveLOP,1)*IF(AND(S41="LOP",R41="SPECIAL"),1+CrewRate_PlumbFitter_SwingLOP,1),E41*F41*G41*IF(AND(S41="LOP",R41="SWING"),1+CrewRate_PlumbFitter_SwingLOP,1)*IF(AND(S41="LOP",R41="GRAVE"),1+CrewRate_PlumbFitter_GraveLOP,1)*IF(AND(S41="LOP",R41="SPECIAL"),1+CrewRate_PlumbFitter_SwingLOP,1)))</f>
        <v>0</v>
      </c>
      <c r="I41" s="675"/>
      <c r="J41" s="675"/>
      <c r="K41" s="677">
        <f t="shared" ref="K41:K69" si="23">IF(SM_ExludeGroup1=TRUE,0,IF(J41="",E41*I41,E41*I41*J41))</f>
        <v>0</v>
      </c>
      <c r="L41" s="209"/>
      <c r="M41" s="177">
        <f t="shared" ref="M41:M69" si="24">IF(SM_ExludeGroup1=TRUE,0,E41*L41)</f>
        <v>0</v>
      </c>
      <c r="N41" s="1012"/>
      <c r="O41" s="1012"/>
      <c r="P41" s="485"/>
      <c r="Q41" s="778"/>
      <c r="R41" s="778"/>
      <c r="S41" s="785" t="str">
        <f>IF(T41="Sheet Metal Takeoff","",IF(R41="","","LOP"))</f>
        <v/>
      </c>
      <c r="T41" s="548" t="str">
        <f>IF($F$38="","Sheet Metal Takeoff",$F$38)</f>
        <v>Sheet Metal Takeoff</v>
      </c>
      <c r="U41" s="83">
        <f>ROUND(IF($T41="Plumb Takeoff",$H41*U$3,IF($T41="Pipe Takeoff",$H41*U$4,$H41*U$2)),2)</f>
        <v>0</v>
      </c>
      <c r="V41" s="83">
        <f>ROUND(IF($T41="Plumb Takeoff",IF($Q41="OT",$H41*V$3,0),IF($T41="Pipe Takeoff",IF($Q41="OT",$H41*V$4,0),IF($Q41="OT",$H41*V$2,0))),2)</f>
        <v>0</v>
      </c>
      <c r="W41" s="83">
        <f>ROUND(IF($T41="Plumb Takeoff",IF($Q41="DBLT",$H41*W$3,0),IF($T41="Pipe Takeoff",IF($Q41="DBLT",$H41*W$4,0),IF($Q41="DBLT",$H41*W$2,0))),2)</f>
        <v>0</v>
      </c>
      <c r="X41" s="781">
        <f>ROUND(SUM(IF($T41="Plumb Takeoff",IF($R41="SWING",ROUND(SUM($H41)*X$3,2))),IF($T41="Pipe Takeoff",IF($R41="SWING",ROUND(SUM($H41)*X$4,2))),IF($T41="Sheet Metal Takeoff",IF($R41="SWING",ROUND(SUM($H41)*X$2,2)))),2)</f>
        <v>0</v>
      </c>
      <c r="Y41" s="781">
        <f>ROUND(SUM(IF($T41="Plumb Takeoff",IF($R41="GRAVE",ROUND(SUM($H41)*Y$3,2))),IF($T41="Pipe Takeoff",IF($R41="GRAVE",ROUND(SUM($H41)*Y$4,2))),IF($T41="Sheet Metal Takeoff",IF($R41="GRAVE",ROUND(SUM($H41)*Y$2,2)))),2)</f>
        <v>0</v>
      </c>
      <c r="Z41" s="781">
        <f>ROUND(SUM(IF($T41="Plumb Takeoff",IF($R41="SPECIAL",ROUND(SUM($H41)*Z$3,2))),IF($T41="Pipe Takeoff",IF($R41="SPECIAL",ROUND(SUM($H41)*Z$4,2))),IF($T41="Sheet Metal Takeoff",IF($R41="SPECIAL",ROUND(SUM($H41)*Z$2,2)))),2)</f>
        <v>0</v>
      </c>
      <c r="AA41" s="83">
        <f>ROUND($K41*AA$2,2)</f>
        <v>0</v>
      </c>
      <c r="AB41" s="83">
        <f>ROUND(IF($Q41="OT",$K41*AB$2,0),2)</f>
        <v>0</v>
      </c>
      <c r="AC41" s="83">
        <f>ROUND(IF($Q41="DBLT",$K41*AC$2,0),2)</f>
        <v>0</v>
      </c>
      <c r="AD41" s="83">
        <f>ROUND(IF($R41="SWING",$K41*AD$2,0),2)</f>
        <v>0</v>
      </c>
      <c r="AE41" s="83">
        <f>ROUND(IF($R41="GRAVE",$K41*AE$2,0),2)</f>
        <v>0</v>
      </c>
      <c r="AF41" s="83">
        <f>ROUND(IF($R41="SPECIAL",$K41*AF$2,0),2)</f>
        <v>0</v>
      </c>
      <c r="AG41" s="83">
        <f>SUM(U41:Z41)</f>
        <v>0</v>
      </c>
      <c r="AH41" s="83">
        <f>SUM(AA41:AF41)</f>
        <v>0</v>
      </c>
      <c r="AI41" s="83">
        <f>SUM(U41:AF41)</f>
        <v>0</v>
      </c>
      <c r="AJ41" s="718">
        <f>SUM(M41,AI41)</f>
        <v>0</v>
      </c>
      <c r="AL41">
        <f>SUM(V41:Z41)</f>
        <v>0</v>
      </c>
      <c r="AM41">
        <f>SUM(AB41:AF41)</f>
        <v>0</v>
      </c>
    </row>
    <row r="42" spans="1:39" ht="15.75" x14ac:dyDescent="0.25">
      <c r="A42" s="561"/>
      <c r="B42" s="561"/>
      <c r="C42" s="561"/>
      <c r="D42" s="672"/>
      <c r="E42" s="209"/>
      <c r="F42" s="209"/>
      <c r="G42" s="209"/>
      <c r="H42" s="176">
        <f t="shared" si="22"/>
        <v>0</v>
      </c>
      <c r="I42" s="209"/>
      <c r="J42" s="209"/>
      <c r="K42" s="176">
        <f t="shared" si="23"/>
        <v>0</v>
      </c>
      <c r="L42" s="209"/>
      <c r="M42" s="177">
        <f t="shared" si="24"/>
        <v>0</v>
      </c>
      <c r="N42" s="1012"/>
      <c r="O42" s="1012"/>
      <c r="P42" s="485"/>
      <c r="Q42" s="778"/>
      <c r="R42" s="778"/>
      <c r="S42" s="785" t="str">
        <f t="shared" ref="S42:S69" si="25">IF(T42="Sheet Metal Takeoff","",IF(R42="","","LOP"))</f>
        <v/>
      </c>
      <c r="T42" s="548" t="str">
        <f t="shared" ref="T42:T69" si="26">IF($F$38="","Sheet Metal Takeoff",$F$38)</f>
        <v>Sheet Metal Takeoff</v>
      </c>
      <c r="U42" s="83">
        <f t="shared" ref="U42:U68" si="27">ROUND(IF($T42="Plumb Takeoff",$H42*U$3,IF($T42="Pipe Takeoff",$H42*U$4,$H42*U$2)),2)</f>
        <v>0</v>
      </c>
      <c r="V42" s="83">
        <f t="shared" ref="V42:V69" si="28">ROUND(IF($T42="Plumb Takeoff",IF($Q42="OT",$H42*V$3,0),IF($T42="Pipe Takeoff",IF($Q42="OT",$H42*V$4,0),IF($Q42="OT",$H42*V$2,0))),2)</f>
        <v>0</v>
      </c>
      <c r="W42" s="83">
        <f t="shared" ref="W42:W69" si="29">ROUND(IF($T42="Plumb Takeoff",IF($Q42="DBLT",$H42*W$3,0),IF($T42="Pipe Takeoff",IF($Q42="DBLT",$H42*W$4,0),IF($Q42="DBLT",$H42*W$2,0))),2)</f>
        <v>0</v>
      </c>
      <c r="X42" s="781">
        <f t="shared" ref="X42:X69" si="30">ROUND(SUM(IF($T42="Plumb Takeoff",IF($R42="SWING",ROUND(SUM($H42)*X$3,2))),IF($T42="Pipe Takeoff",IF($R42="SWING",ROUND(SUM($H42)*X$4,2))),IF($T42="Sheet Metal Takeoff",IF($R42="SWING",ROUND(SUM($H42)*X$2,2)))),2)</f>
        <v>0</v>
      </c>
      <c r="Y42" s="781">
        <f t="shared" ref="Y42:Y69" si="31">ROUND(SUM(IF($T42="Plumb Takeoff",IF($R42="GRAVE",ROUND(SUM($H42)*Y$3,2))),IF($T42="Pipe Takeoff",IF($R42="GRAVE",ROUND(SUM($H42)*Y$4,2))),IF($T42="Sheet Metal Takeoff",IF($R42="GRAVE",ROUND(SUM($H42)*Y$2,2)))),2)</f>
        <v>0</v>
      </c>
      <c r="Z42" s="781">
        <f t="shared" ref="Z42:Z69" si="32">ROUND(SUM(IF($T42="Plumb Takeoff",IF($R42="SPECIAL",ROUND(SUM($H42)*Z$3,2))),IF($T42="Pipe Takeoff",IF($R42="SPECIAL",ROUND(SUM($H42)*Z$4,2))),IF($T42="Sheet Metal Takeoff",IF($R42="SPECIAL",ROUND(SUM($H42)*Z$2,2)))),2)</f>
        <v>0</v>
      </c>
      <c r="AA42" s="83">
        <f t="shared" ref="AA42:AA69" si="33">ROUND($K42*AA$2,2)</f>
        <v>0</v>
      </c>
      <c r="AB42" s="83">
        <f t="shared" ref="AB42:AB69" si="34">ROUND(IF($Q42="OT",$K42*AB$2,0),2)</f>
        <v>0</v>
      </c>
      <c r="AC42" s="83">
        <f t="shared" ref="AC42:AC69" si="35">ROUND(IF($Q42="DBLT",$K42*AC$2,0),2)</f>
        <v>0</v>
      </c>
      <c r="AD42" s="83">
        <f t="shared" ref="AD42:AD69" si="36">ROUND(IF($R42="SWING",$K42*AD$2,0),2)</f>
        <v>0</v>
      </c>
      <c r="AE42" s="83">
        <f t="shared" ref="AE42:AE69" si="37">ROUND(IF($R42="GRAVE",$K42*AE$2,0),2)</f>
        <v>0</v>
      </c>
      <c r="AF42" s="83">
        <f t="shared" ref="AF42:AF69" si="38">ROUND(IF($R42="SPECIAL",$K42*AF$2,0),2)</f>
        <v>0</v>
      </c>
      <c r="AG42" s="83">
        <f t="shared" ref="AG42:AG69" si="39">SUM(U42:Z42)</f>
        <v>0</v>
      </c>
      <c r="AH42" s="83">
        <f t="shared" ref="AH42:AH69" si="40">SUM(AA42:AF42)</f>
        <v>0</v>
      </c>
      <c r="AI42" s="83">
        <f t="shared" ref="AI42:AI69" si="41">SUM(U42:AF42)</f>
        <v>0</v>
      </c>
      <c r="AJ42" s="718">
        <f t="shared" ref="AJ42:AJ69" si="42">SUM(M42,AI42)</f>
        <v>0</v>
      </c>
      <c r="AL42">
        <f t="shared" ref="AL42:AL69" si="43">SUM(V42:Z42)</f>
        <v>0</v>
      </c>
      <c r="AM42">
        <f t="shared" ref="AM42:AM69" si="44">SUM(AB42:AF42)</f>
        <v>0</v>
      </c>
    </row>
    <row r="43" spans="1:39" ht="15.75" x14ac:dyDescent="0.25">
      <c r="A43" s="561"/>
      <c r="B43" s="561"/>
      <c r="C43" s="561"/>
      <c r="D43" s="672" t="s">
        <v>1839</v>
      </c>
      <c r="E43" s="209">
        <v>5</v>
      </c>
      <c r="F43" s="209">
        <v>80</v>
      </c>
      <c r="G43" s="209"/>
      <c r="H43" s="176">
        <f t="shared" si="22"/>
        <v>400</v>
      </c>
      <c r="I43" s="209"/>
      <c r="J43" s="209"/>
      <c r="K43" s="176">
        <f t="shared" si="23"/>
        <v>0</v>
      </c>
      <c r="L43" s="209"/>
      <c r="M43" s="177">
        <f t="shared" si="24"/>
        <v>0</v>
      </c>
      <c r="N43" s="1012"/>
      <c r="O43" s="1012"/>
      <c r="P43" s="485"/>
      <c r="Q43" s="778"/>
      <c r="R43" s="778"/>
      <c r="S43" s="785" t="str">
        <f t="shared" si="25"/>
        <v/>
      </c>
      <c r="T43" s="548" t="str">
        <f t="shared" si="26"/>
        <v>Sheet Metal Takeoff</v>
      </c>
      <c r="U43" s="83">
        <f t="shared" si="27"/>
        <v>38928</v>
      </c>
      <c r="V43" s="83">
        <f t="shared" si="28"/>
        <v>0</v>
      </c>
      <c r="W43" s="83">
        <f t="shared" si="29"/>
        <v>0</v>
      </c>
      <c r="X43" s="781">
        <f t="shared" si="30"/>
        <v>0</v>
      </c>
      <c r="Y43" s="781">
        <f t="shared" si="31"/>
        <v>0</v>
      </c>
      <c r="Z43" s="781">
        <f t="shared" si="32"/>
        <v>0</v>
      </c>
      <c r="AA43" s="83">
        <f t="shared" si="33"/>
        <v>0</v>
      </c>
      <c r="AB43" s="83">
        <f t="shared" si="34"/>
        <v>0</v>
      </c>
      <c r="AC43" s="83">
        <f t="shared" si="35"/>
        <v>0</v>
      </c>
      <c r="AD43" s="83">
        <f t="shared" si="36"/>
        <v>0</v>
      </c>
      <c r="AE43" s="83">
        <f t="shared" si="37"/>
        <v>0</v>
      </c>
      <c r="AF43" s="83">
        <f t="shared" si="38"/>
        <v>0</v>
      </c>
      <c r="AG43" s="83">
        <f t="shared" si="39"/>
        <v>38928</v>
      </c>
      <c r="AH43" s="83">
        <f t="shared" si="40"/>
        <v>0</v>
      </c>
      <c r="AI43" s="83">
        <f t="shared" si="41"/>
        <v>38928</v>
      </c>
      <c r="AJ43" s="718">
        <f t="shared" si="42"/>
        <v>38928</v>
      </c>
      <c r="AL43">
        <f t="shared" si="43"/>
        <v>0</v>
      </c>
      <c r="AM43">
        <f t="shared" si="44"/>
        <v>0</v>
      </c>
    </row>
    <row r="44" spans="1:39" ht="15.75" x14ac:dyDescent="0.25">
      <c r="A44" s="561"/>
      <c r="B44" s="561"/>
      <c r="C44" s="561"/>
      <c r="D44" s="672"/>
      <c r="E44" s="209"/>
      <c r="F44" s="209"/>
      <c r="G44" s="209"/>
      <c r="H44" s="176">
        <f t="shared" si="22"/>
        <v>0</v>
      </c>
      <c r="I44" s="209"/>
      <c r="J44" s="209"/>
      <c r="K44" s="176">
        <f t="shared" si="23"/>
        <v>0</v>
      </c>
      <c r="L44" s="209"/>
      <c r="M44" s="177">
        <f t="shared" si="24"/>
        <v>0</v>
      </c>
      <c r="N44" s="1012"/>
      <c r="O44" s="1012"/>
      <c r="P44" s="485"/>
      <c r="Q44" s="778"/>
      <c r="R44" s="778"/>
      <c r="S44" s="785" t="str">
        <f t="shared" si="25"/>
        <v/>
      </c>
      <c r="T44" s="548" t="str">
        <f t="shared" si="26"/>
        <v>Sheet Metal Takeoff</v>
      </c>
      <c r="U44" s="83">
        <f t="shared" si="27"/>
        <v>0</v>
      </c>
      <c r="V44" s="83">
        <f t="shared" si="28"/>
        <v>0</v>
      </c>
      <c r="W44" s="83">
        <f t="shared" si="29"/>
        <v>0</v>
      </c>
      <c r="X44" s="781">
        <f t="shared" si="30"/>
        <v>0</v>
      </c>
      <c r="Y44" s="781">
        <f t="shared" si="31"/>
        <v>0</v>
      </c>
      <c r="Z44" s="781">
        <f t="shared" si="32"/>
        <v>0</v>
      </c>
      <c r="AA44" s="83">
        <f t="shared" si="33"/>
        <v>0</v>
      </c>
      <c r="AB44" s="83">
        <f t="shared" si="34"/>
        <v>0</v>
      </c>
      <c r="AC44" s="83">
        <f t="shared" si="35"/>
        <v>0</v>
      </c>
      <c r="AD44" s="83">
        <f t="shared" si="36"/>
        <v>0</v>
      </c>
      <c r="AE44" s="83">
        <f t="shared" si="37"/>
        <v>0</v>
      </c>
      <c r="AF44" s="83">
        <f t="shared" si="38"/>
        <v>0</v>
      </c>
      <c r="AG44" s="83">
        <f t="shared" si="39"/>
        <v>0</v>
      </c>
      <c r="AH44" s="83">
        <f t="shared" si="40"/>
        <v>0</v>
      </c>
      <c r="AI44" s="83">
        <f t="shared" si="41"/>
        <v>0</v>
      </c>
      <c r="AJ44" s="718">
        <f t="shared" si="42"/>
        <v>0</v>
      </c>
      <c r="AL44">
        <f t="shared" si="43"/>
        <v>0</v>
      </c>
      <c r="AM44">
        <f t="shared" si="44"/>
        <v>0</v>
      </c>
    </row>
    <row r="45" spans="1:39" ht="15.75" x14ac:dyDescent="0.25">
      <c r="A45" s="561"/>
      <c r="B45" s="561"/>
      <c r="C45" s="561"/>
      <c r="D45" s="672" t="s">
        <v>1842</v>
      </c>
      <c r="E45" s="209"/>
      <c r="F45" s="209"/>
      <c r="G45" s="209"/>
      <c r="H45" s="176">
        <f t="shared" si="22"/>
        <v>0</v>
      </c>
      <c r="I45" s="209"/>
      <c r="J45" s="209"/>
      <c r="K45" s="176">
        <f t="shared" si="23"/>
        <v>0</v>
      </c>
      <c r="L45" s="209"/>
      <c r="M45" s="177">
        <f t="shared" si="24"/>
        <v>0</v>
      </c>
      <c r="N45" s="1012"/>
      <c r="O45" s="1012"/>
      <c r="P45" s="485"/>
      <c r="Q45" s="778"/>
      <c r="R45" s="778"/>
      <c r="S45" s="785" t="str">
        <f t="shared" si="25"/>
        <v/>
      </c>
      <c r="T45" s="548" t="str">
        <f t="shared" si="26"/>
        <v>Sheet Metal Takeoff</v>
      </c>
      <c r="U45" s="83">
        <f t="shared" si="27"/>
        <v>0</v>
      </c>
      <c r="V45" s="83">
        <f t="shared" si="28"/>
        <v>0</v>
      </c>
      <c r="W45" s="83">
        <f t="shared" si="29"/>
        <v>0</v>
      </c>
      <c r="X45" s="781">
        <f t="shared" si="30"/>
        <v>0</v>
      </c>
      <c r="Y45" s="781">
        <f t="shared" si="31"/>
        <v>0</v>
      </c>
      <c r="Z45" s="781">
        <f t="shared" si="32"/>
        <v>0</v>
      </c>
      <c r="AA45" s="83">
        <f t="shared" si="33"/>
        <v>0</v>
      </c>
      <c r="AB45" s="83">
        <f t="shared" si="34"/>
        <v>0</v>
      </c>
      <c r="AC45" s="83">
        <f t="shared" si="35"/>
        <v>0</v>
      </c>
      <c r="AD45" s="83">
        <f t="shared" si="36"/>
        <v>0</v>
      </c>
      <c r="AE45" s="83">
        <f t="shared" si="37"/>
        <v>0</v>
      </c>
      <c r="AF45" s="83">
        <f t="shared" si="38"/>
        <v>0</v>
      </c>
      <c r="AG45" s="83">
        <f t="shared" si="39"/>
        <v>0</v>
      </c>
      <c r="AH45" s="83">
        <f t="shared" si="40"/>
        <v>0</v>
      </c>
      <c r="AI45" s="83">
        <f t="shared" si="41"/>
        <v>0</v>
      </c>
      <c r="AJ45" s="718">
        <f t="shared" si="42"/>
        <v>0</v>
      </c>
      <c r="AL45">
        <f t="shared" si="43"/>
        <v>0</v>
      </c>
      <c r="AM45">
        <f t="shared" si="44"/>
        <v>0</v>
      </c>
    </row>
    <row r="46" spans="1:39" ht="15.75" x14ac:dyDescent="0.25">
      <c r="A46" s="561"/>
      <c r="B46" s="561"/>
      <c r="C46" s="561"/>
      <c r="D46" s="672"/>
      <c r="E46" s="209"/>
      <c r="F46" s="209"/>
      <c r="G46" s="209"/>
      <c r="H46" s="176">
        <f t="shared" si="22"/>
        <v>0</v>
      </c>
      <c r="I46" s="209"/>
      <c r="J46" s="209"/>
      <c r="K46" s="176">
        <f t="shared" si="23"/>
        <v>0</v>
      </c>
      <c r="L46" s="209"/>
      <c r="M46" s="177">
        <f t="shared" si="24"/>
        <v>0</v>
      </c>
      <c r="N46" s="1012"/>
      <c r="O46" s="1012"/>
      <c r="P46" s="485"/>
      <c r="Q46" s="778"/>
      <c r="R46" s="778"/>
      <c r="S46" s="785" t="str">
        <f t="shared" si="25"/>
        <v/>
      </c>
      <c r="T46" s="548" t="str">
        <f t="shared" si="26"/>
        <v>Sheet Metal Takeoff</v>
      </c>
      <c r="U46" s="83">
        <f t="shared" si="27"/>
        <v>0</v>
      </c>
      <c r="V46" s="83">
        <f t="shared" si="28"/>
        <v>0</v>
      </c>
      <c r="W46" s="83">
        <f t="shared" si="29"/>
        <v>0</v>
      </c>
      <c r="X46" s="781">
        <f t="shared" si="30"/>
        <v>0</v>
      </c>
      <c r="Y46" s="781">
        <f t="shared" si="31"/>
        <v>0</v>
      </c>
      <c r="Z46" s="781">
        <f t="shared" si="32"/>
        <v>0</v>
      </c>
      <c r="AA46" s="83">
        <f t="shared" si="33"/>
        <v>0</v>
      </c>
      <c r="AB46" s="83">
        <f t="shared" si="34"/>
        <v>0</v>
      </c>
      <c r="AC46" s="83">
        <f t="shared" si="35"/>
        <v>0</v>
      </c>
      <c r="AD46" s="83">
        <f t="shared" si="36"/>
        <v>0</v>
      </c>
      <c r="AE46" s="83">
        <f t="shared" si="37"/>
        <v>0</v>
      </c>
      <c r="AF46" s="83">
        <f t="shared" si="38"/>
        <v>0</v>
      </c>
      <c r="AG46" s="83">
        <f t="shared" si="39"/>
        <v>0</v>
      </c>
      <c r="AH46" s="83">
        <f t="shared" si="40"/>
        <v>0</v>
      </c>
      <c r="AI46" s="83">
        <f t="shared" si="41"/>
        <v>0</v>
      </c>
      <c r="AJ46" s="718">
        <f t="shared" si="42"/>
        <v>0</v>
      </c>
      <c r="AL46">
        <f t="shared" si="43"/>
        <v>0</v>
      </c>
      <c r="AM46">
        <f t="shared" si="44"/>
        <v>0</v>
      </c>
    </row>
    <row r="47" spans="1:39" ht="15.75" x14ac:dyDescent="0.25">
      <c r="A47" s="561"/>
      <c r="B47" s="561"/>
      <c r="C47" s="561"/>
      <c r="D47" s="672" t="s">
        <v>1843</v>
      </c>
      <c r="E47" s="209">
        <v>5</v>
      </c>
      <c r="F47" s="209">
        <v>16</v>
      </c>
      <c r="G47" s="209"/>
      <c r="H47" s="176">
        <f t="shared" si="22"/>
        <v>80</v>
      </c>
      <c r="I47" s="209"/>
      <c r="J47" s="209"/>
      <c r="K47" s="176">
        <f t="shared" si="23"/>
        <v>0</v>
      </c>
      <c r="L47" s="209"/>
      <c r="M47" s="177">
        <f t="shared" si="24"/>
        <v>0</v>
      </c>
      <c r="N47" s="1012"/>
      <c r="O47" s="1012"/>
      <c r="P47" s="485"/>
      <c r="Q47" s="778"/>
      <c r="R47" s="778"/>
      <c r="S47" s="785" t="str">
        <f t="shared" si="25"/>
        <v/>
      </c>
      <c r="T47" s="548" t="str">
        <f t="shared" si="26"/>
        <v>Sheet Metal Takeoff</v>
      </c>
      <c r="U47" s="83">
        <f t="shared" si="27"/>
        <v>7785.6</v>
      </c>
      <c r="V47" s="83">
        <f t="shared" si="28"/>
        <v>0</v>
      </c>
      <c r="W47" s="83">
        <f t="shared" si="29"/>
        <v>0</v>
      </c>
      <c r="X47" s="781">
        <f t="shared" si="30"/>
        <v>0</v>
      </c>
      <c r="Y47" s="781">
        <f t="shared" si="31"/>
        <v>0</v>
      </c>
      <c r="Z47" s="781">
        <f t="shared" si="32"/>
        <v>0</v>
      </c>
      <c r="AA47" s="83">
        <f t="shared" si="33"/>
        <v>0</v>
      </c>
      <c r="AB47" s="83">
        <f t="shared" si="34"/>
        <v>0</v>
      </c>
      <c r="AC47" s="83">
        <f t="shared" si="35"/>
        <v>0</v>
      </c>
      <c r="AD47" s="83">
        <f t="shared" si="36"/>
        <v>0</v>
      </c>
      <c r="AE47" s="83">
        <f t="shared" si="37"/>
        <v>0</v>
      </c>
      <c r="AF47" s="83">
        <f t="shared" si="38"/>
        <v>0</v>
      </c>
      <c r="AG47" s="83">
        <f t="shared" si="39"/>
        <v>7785.6</v>
      </c>
      <c r="AH47" s="83">
        <f t="shared" si="40"/>
        <v>0</v>
      </c>
      <c r="AI47" s="83">
        <f t="shared" si="41"/>
        <v>7785.6</v>
      </c>
      <c r="AJ47" s="718">
        <f t="shared" si="42"/>
        <v>7785.6</v>
      </c>
      <c r="AL47">
        <f t="shared" si="43"/>
        <v>0</v>
      </c>
      <c r="AM47">
        <f t="shared" si="44"/>
        <v>0</v>
      </c>
    </row>
    <row r="48" spans="1:39" ht="15.75" x14ac:dyDescent="0.25">
      <c r="A48" s="561"/>
      <c r="B48" s="561"/>
      <c r="C48" s="561"/>
      <c r="D48" s="672" t="s">
        <v>1845</v>
      </c>
      <c r="E48" s="209">
        <v>1</v>
      </c>
      <c r="F48" s="209">
        <v>24</v>
      </c>
      <c r="G48" s="209"/>
      <c r="H48" s="176">
        <f t="shared" si="22"/>
        <v>24</v>
      </c>
      <c r="I48" s="209"/>
      <c r="J48" s="209"/>
      <c r="K48" s="176">
        <f t="shared" si="23"/>
        <v>0</v>
      </c>
      <c r="L48" s="209"/>
      <c r="M48" s="177">
        <f t="shared" si="24"/>
        <v>0</v>
      </c>
      <c r="N48" s="1012"/>
      <c r="O48" s="1012"/>
      <c r="P48" s="485"/>
      <c r="Q48" s="778"/>
      <c r="R48" s="778"/>
      <c r="S48" s="785" t="str">
        <f t="shared" si="25"/>
        <v/>
      </c>
      <c r="T48" s="548" t="str">
        <f t="shared" si="26"/>
        <v>Sheet Metal Takeoff</v>
      </c>
      <c r="U48" s="83">
        <f t="shared" si="27"/>
        <v>2335.6799999999998</v>
      </c>
      <c r="V48" s="83">
        <f t="shared" si="28"/>
        <v>0</v>
      </c>
      <c r="W48" s="83">
        <f t="shared" si="29"/>
        <v>0</v>
      </c>
      <c r="X48" s="781">
        <f t="shared" si="30"/>
        <v>0</v>
      </c>
      <c r="Y48" s="781">
        <f t="shared" si="31"/>
        <v>0</v>
      </c>
      <c r="Z48" s="781">
        <f t="shared" si="32"/>
        <v>0</v>
      </c>
      <c r="AA48" s="83">
        <f t="shared" si="33"/>
        <v>0</v>
      </c>
      <c r="AB48" s="83">
        <f t="shared" si="34"/>
        <v>0</v>
      </c>
      <c r="AC48" s="83">
        <f t="shared" si="35"/>
        <v>0</v>
      </c>
      <c r="AD48" s="83">
        <f t="shared" si="36"/>
        <v>0</v>
      </c>
      <c r="AE48" s="83">
        <f t="shared" si="37"/>
        <v>0</v>
      </c>
      <c r="AF48" s="83">
        <f t="shared" si="38"/>
        <v>0</v>
      </c>
      <c r="AG48" s="83">
        <f t="shared" si="39"/>
        <v>2335.6799999999998</v>
      </c>
      <c r="AH48" s="83">
        <f t="shared" si="40"/>
        <v>0</v>
      </c>
      <c r="AI48" s="83">
        <f t="shared" si="41"/>
        <v>2335.6799999999998</v>
      </c>
      <c r="AJ48" s="718">
        <f t="shared" si="42"/>
        <v>2335.6799999999998</v>
      </c>
      <c r="AL48">
        <f t="shared" si="43"/>
        <v>0</v>
      </c>
      <c r="AM48">
        <f t="shared" si="44"/>
        <v>0</v>
      </c>
    </row>
    <row r="49" spans="1:39" ht="15.75" x14ac:dyDescent="0.25">
      <c r="A49" s="561"/>
      <c r="B49" s="561"/>
      <c r="C49" s="561"/>
      <c r="D49" s="672" t="s">
        <v>1858</v>
      </c>
      <c r="E49" s="209">
        <v>17</v>
      </c>
      <c r="F49" s="209">
        <v>3</v>
      </c>
      <c r="G49" s="209"/>
      <c r="H49" s="176">
        <f t="shared" si="22"/>
        <v>51</v>
      </c>
      <c r="I49" s="209"/>
      <c r="J49" s="209"/>
      <c r="K49" s="176">
        <f t="shared" si="23"/>
        <v>0</v>
      </c>
      <c r="L49" s="209"/>
      <c r="M49" s="177">
        <f t="shared" si="24"/>
        <v>0</v>
      </c>
      <c r="N49" s="1012"/>
      <c r="O49" s="1012"/>
      <c r="P49" s="485"/>
      <c r="Q49" s="778"/>
      <c r="R49" s="778"/>
      <c r="S49" s="785" t="str">
        <f t="shared" si="25"/>
        <v/>
      </c>
      <c r="T49" s="548" t="str">
        <f t="shared" si="26"/>
        <v>Sheet Metal Takeoff</v>
      </c>
      <c r="U49" s="83">
        <f t="shared" si="27"/>
        <v>4963.32</v>
      </c>
      <c r="V49" s="83">
        <f t="shared" si="28"/>
        <v>0</v>
      </c>
      <c r="W49" s="83">
        <f t="shared" si="29"/>
        <v>0</v>
      </c>
      <c r="X49" s="781">
        <f t="shared" si="30"/>
        <v>0</v>
      </c>
      <c r="Y49" s="781">
        <f t="shared" si="31"/>
        <v>0</v>
      </c>
      <c r="Z49" s="781">
        <f t="shared" si="32"/>
        <v>0</v>
      </c>
      <c r="AA49" s="83">
        <f t="shared" si="33"/>
        <v>0</v>
      </c>
      <c r="AB49" s="83">
        <f t="shared" si="34"/>
        <v>0</v>
      </c>
      <c r="AC49" s="83">
        <f t="shared" si="35"/>
        <v>0</v>
      </c>
      <c r="AD49" s="83">
        <f t="shared" si="36"/>
        <v>0</v>
      </c>
      <c r="AE49" s="83">
        <f t="shared" si="37"/>
        <v>0</v>
      </c>
      <c r="AF49" s="83">
        <f t="shared" si="38"/>
        <v>0</v>
      </c>
      <c r="AG49" s="83">
        <f t="shared" si="39"/>
        <v>4963.32</v>
      </c>
      <c r="AH49" s="83">
        <f t="shared" si="40"/>
        <v>0</v>
      </c>
      <c r="AI49" s="83">
        <f t="shared" si="41"/>
        <v>4963.32</v>
      </c>
      <c r="AJ49" s="718">
        <f t="shared" si="42"/>
        <v>4963.32</v>
      </c>
      <c r="AL49">
        <f t="shared" si="43"/>
        <v>0</v>
      </c>
      <c r="AM49">
        <f t="shared" si="44"/>
        <v>0</v>
      </c>
    </row>
    <row r="50" spans="1:39" ht="15.75" x14ac:dyDescent="0.25">
      <c r="A50" s="561"/>
      <c r="B50" s="561"/>
      <c r="C50" s="561"/>
      <c r="D50" s="672" t="s">
        <v>1871</v>
      </c>
      <c r="E50" s="209">
        <v>1</v>
      </c>
      <c r="F50" s="209">
        <v>80</v>
      </c>
      <c r="G50" s="209"/>
      <c r="H50" s="176">
        <f t="shared" si="22"/>
        <v>80</v>
      </c>
      <c r="I50" s="209">
        <v>20</v>
      </c>
      <c r="J50" s="209"/>
      <c r="K50" s="176">
        <f t="shared" si="23"/>
        <v>20</v>
      </c>
      <c r="L50" s="209">
        <v>1800</v>
      </c>
      <c r="M50" s="177">
        <f t="shared" si="24"/>
        <v>1800</v>
      </c>
      <c r="N50" s="1012"/>
      <c r="O50" s="1012"/>
      <c r="P50" s="485"/>
      <c r="Q50" s="778"/>
      <c r="R50" s="778"/>
      <c r="S50" s="785" t="str">
        <f t="shared" si="25"/>
        <v/>
      </c>
      <c r="T50" s="548" t="str">
        <f t="shared" si="26"/>
        <v>Sheet Metal Takeoff</v>
      </c>
      <c r="U50" s="83">
        <f t="shared" si="27"/>
        <v>7785.6</v>
      </c>
      <c r="V50" s="83">
        <f t="shared" si="28"/>
        <v>0</v>
      </c>
      <c r="W50" s="83">
        <f t="shared" si="29"/>
        <v>0</v>
      </c>
      <c r="X50" s="781">
        <f t="shared" si="30"/>
        <v>0</v>
      </c>
      <c r="Y50" s="781">
        <f t="shared" si="31"/>
        <v>0</v>
      </c>
      <c r="Z50" s="781">
        <f t="shared" si="32"/>
        <v>0</v>
      </c>
      <c r="AA50" s="83">
        <f t="shared" si="33"/>
        <v>2130</v>
      </c>
      <c r="AB50" s="83">
        <f t="shared" si="34"/>
        <v>0</v>
      </c>
      <c r="AC50" s="83">
        <f t="shared" si="35"/>
        <v>0</v>
      </c>
      <c r="AD50" s="83">
        <f t="shared" si="36"/>
        <v>0</v>
      </c>
      <c r="AE50" s="83">
        <f t="shared" si="37"/>
        <v>0</v>
      </c>
      <c r="AF50" s="83">
        <f t="shared" si="38"/>
        <v>0</v>
      </c>
      <c r="AG50" s="83">
        <f t="shared" si="39"/>
        <v>7785.6</v>
      </c>
      <c r="AH50" s="83">
        <f t="shared" si="40"/>
        <v>2130</v>
      </c>
      <c r="AI50" s="83">
        <f t="shared" si="41"/>
        <v>9915.6</v>
      </c>
      <c r="AJ50" s="718">
        <f t="shared" si="42"/>
        <v>11715.6</v>
      </c>
      <c r="AL50">
        <f t="shared" si="43"/>
        <v>0</v>
      </c>
      <c r="AM50">
        <f t="shared" si="44"/>
        <v>0</v>
      </c>
    </row>
    <row r="51" spans="1:39" ht="15.75" x14ac:dyDescent="0.25">
      <c r="A51" s="561"/>
      <c r="B51" s="561"/>
      <c r="C51" s="561"/>
      <c r="D51" s="672" t="s">
        <v>1850</v>
      </c>
      <c r="E51" s="209">
        <v>1</v>
      </c>
      <c r="F51" s="209">
        <v>200</v>
      </c>
      <c r="G51" s="209"/>
      <c r="H51" s="176">
        <f t="shared" si="22"/>
        <v>200</v>
      </c>
      <c r="I51" s="209"/>
      <c r="J51" s="209"/>
      <c r="K51" s="176">
        <f t="shared" si="23"/>
        <v>0</v>
      </c>
      <c r="L51" s="209"/>
      <c r="M51" s="177">
        <f t="shared" si="24"/>
        <v>0</v>
      </c>
      <c r="N51" s="1012"/>
      <c r="O51" s="1012"/>
      <c r="P51" s="485"/>
      <c r="Q51" s="778"/>
      <c r="R51" s="778"/>
      <c r="S51" s="785" t="str">
        <f t="shared" si="25"/>
        <v/>
      </c>
      <c r="T51" s="548" t="str">
        <f t="shared" si="26"/>
        <v>Sheet Metal Takeoff</v>
      </c>
      <c r="U51" s="83">
        <f t="shared" si="27"/>
        <v>19464</v>
      </c>
      <c r="V51" s="83">
        <f t="shared" si="28"/>
        <v>0</v>
      </c>
      <c r="W51" s="83">
        <f t="shared" si="29"/>
        <v>0</v>
      </c>
      <c r="X51" s="781">
        <f t="shared" si="30"/>
        <v>0</v>
      </c>
      <c r="Y51" s="781">
        <f t="shared" si="31"/>
        <v>0</v>
      </c>
      <c r="Z51" s="781">
        <f t="shared" si="32"/>
        <v>0</v>
      </c>
      <c r="AA51" s="83">
        <f t="shared" si="33"/>
        <v>0</v>
      </c>
      <c r="AB51" s="83">
        <f t="shared" si="34"/>
        <v>0</v>
      </c>
      <c r="AC51" s="83">
        <f t="shared" si="35"/>
        <v>0</v>
      </c>
      <c r="AD51" s="83">
        <f t="shared" si="36"/>
        <v>0</v>
      </c>
      <c r="AE51" s="83">
        <f t="shared" si="37"/>
        <v>0</v>
      </c>
      <c r="AF51" s="83">
        <f t="shared" si="38"/>
        <v>0</v>
      </c>
      <c r="AG51" s="83">
        <f t="shared" si="39"/>
        <v>19464</v>
      </c>
      <c r="AH51" s="83">
        <f t="shared" si="40"/>
        <v>0</v>
      </c>
      <c r="AI51" s="83">
        <f t="shared" si="41"/>
        <v>19464</v>
      </c>
      <c r="AJ51" s="718">
        <f t="shared" si="42"/>
        <v>19464</v>
      </c>
      <c r="AL51">
        <f t="shared" si="43"/>
        <v>0</v>
      </c>
      <c r="AM51">
        <f t="shared" si="44"/>
        <v>0</v>
      </c>
    </row>
    <row r="52" spans="1:39" ht="15.75" x14ac:dyDescent="0.25">
      <c r="A52" s="561"/>
      <c r="B52" s="561"/>
      <c r="C52" s="561"/>
      <c r="D52" s="672" t="s">
        <v>1851</v>
      </c>
      <c r="E52" s="209">
        <v>1</v>
      </c>
      <c r="F52" s="209"/>
      <c r="G52" s="209"/>
      <c r="H52" s="176">
        <f t="shared" si="22"/>
        <v>0</v>
      </c>
      <c r="I52" s="209">
        <v>40</v>
      </c>
      <c r="J52" s="209"/>
      <c r="K52" s="176">
        <f t="shared" si="23"/>
        <v>40</v>
      </c>
      <c r="L52" s="209">
        <v>5500</v>
      </c>
      <c r="M52" s="177">
        <f t="shared" si="24"/>
        <v>5500</v>
      </c>
      <c r="N52" s="1012"/>
      <c r="O52" s="1012"/>
      <c r="P52" s="485"/>
      <c r="Q52" s="778"/>
      <c r="R52" s="778"/>
      <c r="S52" s="785" t="str">
        <f t="shared" si="25"/>
        <v/>
      </c>
      <c r="T52" s="548" t="str">
        <f t="shared" si="26"/>
        <v>Sheet Metal Takeoff</v>
      </c>
      <c r="U52" s="83">
        <f t="shared" si="27"/>
        <v>0</v>
      </c>
      <c r="V52" s="83">
        <f t="shared" si="28"/>
        <v>0</v>
      </c>
      <c r="W52" s="83">
        <f t="shared" si="29"/>
        <v>0</v>
      </c>
      <c r="X52" s="781">
        <f t="shared" si="30"/>
        <v>0</v>
      </c>
      <c r="Y52" s="781">
        <f t="shared" si="31"/>
        <v>0</v>
      </c>
      <c r="Z52" s="781">
        <f t="shared" si="32"/>
        <v>0</v>
      </c>
      <c r="AA52" s="83">
        <f t="shared" si="33"/>
        <v>4260</v>
      </c>
      <c r="AB52" s="83">
        <f t="shared" si="34"/>
        <v>0</v>
      </c>
      <c r="AC52" s="83">
        <f t="shared" si="35"/>
        <v>0</v>
      </c>
      <c r="AD52" s="83">
        <f t="shared" si="36"/>
        <v>0</v>
      </c>
      <c r="AE52" s="83">
        <f t="shared" si="37"/>
        <v>0</v>
      </c>
      <c r="AF52" s="83">
        <f t="shared" si="38"/>
        <v>0</v>
      </c>
      <c r="AG52" s="83">
        <f t="shared" si="39"/>
        <v>0</v>
      </c>
      <c r="AH52" s="83">
        <f t="shared" si="40"/>
        <v>4260</v>
      </c>
      <c r="AI52" s="83">
        <f t="shared" si="41"/>
        <v>4260</v>
      </c>
      <c r="AJ52" s="718">
        <f t="shared" si="42"/>
        <v>9760</v>
      </c>
      <c r="AL52">
        <f t="shared" si="43"/>
        <v>0</v>
      </c>
      <c r="AM52">
        <f t="shared" si="44"/>
        <v>0</v>
      </c>
    </row>
    <row r="53" spans="1:39" ht="15.75" x14ac:dyDescent="0.25">
      <c r="A53" s="561"/>
      <c r="B53" s="561"/>
      <c r="C53" s="561"/>
      <c r="D53" s="672" t="s">
        <v>1904</v>
      </c>
      <c r="E53" s="209">
        <v>1</v>
      </c>
      <c r="F53" s="209">
        <v>80</v>
      </c>
      <c r="G53" s="209"/>
      <c r="H53" s="176">
        <f t="shared" si="22"/>
        <v>80</v>
      </c>
      <c r="I53" s="209"/>
      <c r="J53" s="209"/>
      <c r="K53" s="176">
        <f t="shared" si="23"/>
        <v>0</v>
      </c>
      <c r="L53" s="209"/>
      <c r="M53" s="177">
        <f t="shared" si="24"/>
        <v>0</v>
      </c>
      <c r="N53" s="1012"/>
      <c r="O53" s="1012"/>
      <c r="P53" s="485"/>
      <c r="Q53" s="778"/>
      <c r="R53" s="778"/>
      <c r="S53" s="785" t="str">
        <f t="shared" si="25"/>
        <v/>
      </c>
      <c r="T53" s="548" t="str">
        <f t="shared" si="26"/>
        <v>Sheet Metal Takeoff</v>
      </c>
      <c r="U53" s="83">
        <f t="shared" si="27"/>
        <v>7785.6</v>
      </c>
      <c r="V53" s="83">
        <f t="shared" si="28"/>
        <v>0</v>
      </c>
      <c r="W53" s="83">
        <f t="shared" si="29"/>
        <v>0</v>
      </c>
      <c r="X53" s="781">
        <f t="shared" si="30"/>
        <v>0</v>
      </c>
      <c r="Y53" s="781">
        <f t="shared" si="31"/>
        <v>0</v>
      </c>
      <c r="Z53" s="781">
        <f t="shared" si="32"/>
        <v>0</v>
      </c>
      <c r="AA53" s="83">
        <f t="shared" si="33"/>
        <v>0</v>
      </c>
      <c r="AB53" s="83">
        <f t="shared" si="34"/>
        <v>0</v>
      </c>
      <c r="AC53" s="83">
        <f t="shared" si="35"/>
        <v>0</v>
      </c>
      <c r="AD53" s="83">
        <f t="shared" si="36"/>
        <v>0</v>
      </c>
      <c r="AE53" s="83">
        <f t="shared" si="37"/>
        <v>0</v>
      </c>
      <c r="AF53" s="83">
        <f t="shared" si="38"/>
        <v>0</v>
      </c>
      <c r="AG53" s="83">
        <f t="shared" si="39"/>
        <v>7785.6</v>
      </c>
      <c r="AH53" s="83">
        <f t="shared" si="40"/>
        <v>0</v>
      </c>
      <c r="AI53" s="83">
        <f t="shared" si="41"/>
        <v>7785.6</v>
      </c>
      <c r="AJ53" s="718">
        <f t="shared" si="42"/>
        <v>7785.6</v>
      </c>
      <c r="AL53">
        <f t="shared" si="43"/>
        <v>0</v>
      </c>
      <c r="AM53">
        <f t="shared" si="44"/>
        <v>0</v>
      </c>
    </row>
    <row r="54" spans="1:39" ht="15.75" x14ac:dyDescent="0.25">
      <c r="A54" s="561"/>
      <c r="B54" s="561"/>
      <c r="C54" s="561"/>
      <c r="D54" s="672"/>
      <c r="E54" s="209"/>
      <c r="F54" s="209"/>
      <c r="G54" s="209"/>
      <c r="H54" s="176">
        <f t="shared" ref="H54" si="45">IF(SM_ExludeGroup1=TRUE,0,IF(G54="",E54*F54*IF(AND(S54="LOP",R54="SWING"),1+CrewRate_PlumbFitter_SwingLOP,1)*IF(AND(S54="LOP",R54="GRAVE"),1+CrewRate_PlumbFitter_GraveLOP,1)*IF(AND(S54="LOP",R54="SPECIAL"),1+CrewRate_PlumbFitter_SwingLOP,1),E54*F54*G54*IF(AND(S54="LOP",R54="SWING"),1+CrewRate_PlumbFitter_SwingLOP,1)*IF(AND(S54="LOP",R54="GRAVE"),1+CrewRate_PlumbFitter_GraveLOP,1)*IF(AND(S54="LOP",R54="SPECIAL"),1+CrewRate_PlumbFitter_SwingLOP,1)))</f>
        <v>0</v>
      </c>
      <c r="I54" s="209"/>
      <c r="J54" s="209"/>
      <c r="K54" s="176">
        <f t="shared" ref="K54" si="46">IF(SM_ExludeGroup1=TRUE,0,IF(J54="",E54*I54,E54*I54*J54))</f>
        <v>0</v>
      </c>
      <c r="L54" s="209"/>
      <c r="M54" s="177">
        <f t="shared" ref="M54" si="47">IF(SM_ExludeGroup1=TRUE,0,E54*L54)</f>
        <v>0</v>
      </c>
      <c r="N54" s="1012"/>
      <c r="O54" s="1012"/>
      <c r="P54" s="485"/>
      <c r="Q54" s="778"/>
      <c r="R54" s="778"/>
      <c r="S54" s="785" t="str">
        <f t="shared" ref="S54" si="48">IF(T54="Sheet Metal Takeoff","",IF(R54="","","LOP"))</f>
        <v/>
      </c>
      <c r="T54" s="548" t="str">
        <f t="shared" si="26"/>
        <v>Sheet Metal Takeoff</v>
      </c>
      <c r="U54" s="83">
        <f t="shared" si="27"/>
        <v>0</v>
      </c>
      <c r="V54" s="83">
        <f t="shared" si="28"/>
        <v>0</v>
      </c>
      <c r="W54" s="83">
        <f t="shared" si="29"/>
        <v>0</v>
      </c>
      <c r="X54" s="781">
        <f t="shared" si="30"/>
        <v>0</v>
      </c>
      <c r="Y54" s="781">
        <f t="shared" si="31"/>
        <v>0</v>
      </c>
      <c r="Z54" s="781">
        <f t="shared" si="32"/>
        <v>0</v>
      </c>
      <c r="AA54" s="83">
        <f t="shared" si="33"/>
        <v>0</v>
      </c>
      <c r="AB54" s="83">
        <f t="shared" si="34"/>
        <v>0</v>
      </c>
      <c r="AC54" s="83">
        <f t="shared" si="35"/>
        <v>0</v>
      </c>
      <c r="AD54" s="83">
        <f t="shared" si="36"/>
        <v>0</v>
      </c>
      <c r="AE54" s="83">
        <f t="shared" si="37"/>
        <v>0</v>
      </c>
      <c r="AF54" s="83">
        <f t="shared" si="38"/>
        <v>0</v>
      </c>
      <c r="AG54" s="83">
        <f t="shared" ref="AG54" si="49">SUM(U54:Z54)</f>
        <v>0</v>
      </c>
      <c r="AH54" s="83">
        <f t="shared" ref="AH54" si="50">SUM(AA54:AF54)</f>
        <v>0</v>
      </c>
      <c r="AI54" s="83">
        <f t="shared" ref="AI54" si="51">SUM(U54:AF54)</f>
        <v>0</v>
      </c>
      <c r="AJ54" s="718">
        <f t="shared" ref="AJ54" si="52">SUM(M54,AI54)</f>
        <v>0</v>
      </c>
      <c r="AL54">
        <f t="shared" ref="AL54" si="53">SUM(V54:Z54)</f>
        <v>0</v>
      </c>
      <c r="AM54">
        <f t="shared" ref="AM54" si="54">SUM(AB54:AF54)</f>
        <v>0</v>
      </c>
    </row>
    <row r="55" spans="1:39" ht="15.75" x14ac:dyDescent="0.25">
      <c r="A55" s="561"/>
      <c r="B55" s="561"/>
      <c r="C55" s="561"/>
      <c r="D55" s="672" t="s">
        <v>1888</v>
      </c>
      <c r="E55" s="209">
        <v>1</v>
      </c>
      <c r="F55" s="209"/>
      <c r="G55" s="209"/>
      <c r="H55" s="176">
        <f t="shared" si="22"/>
        <v>0</v>
      </c>
      <c r="I55" s="209"/>
      <c r="J55" s="209"/>
      <c r="K55" s="176">
        <f t="shared" si="23"/>
        <v>0</v>
      </c>
      <c r="L55" s="209">
        <v>12500</v>
      </c>
      <c r="M55" s="177">
        <f t="shared" si="24"/>
        <v>12500</v>
      </c>
      <c r="N55" s="1012" t="s">
        <v>1889</v>
      </c>
      <c r="O55" s="1012"/>
      <c r="P55" s="485"/>
      <c r="Q55" s="778"/>
      <c r="R55" s="778"/>
      <c r="S55" s="785" t="str">
        <f t="shared" si="25"/>
        <v/>
      </c>
      <c r="T55" s="548" t="str">
        <f t="shared" si="26"/>
        <v>Sheet Metal Takeoff</v>
      </c>
      <c r="U55" s="83">
        <f t="shared" si="27"/>
        <v>0</v>
      </c>
      <c r="V55" s="83">
        <f t="shared" si="28"/>
        <v>0</v>
      </c>
      <c r="W55" s="83">
        <f t="shared" si="29"/>
        <v>0</v>
      </c>
      <c r="X55" s="781">
        <f t="shared" si="30"/>
        <v>0</v>
      </c>
      <c r="Y55" s="781">
        <f t="shared" si="31"/>
        <v>0</v>
      </c>
      <c r="Z55" s="781">
        <f t="shared" si="32"/>
        <v>0</v>
      </c>
      <c r="AA55" s="83">
        <f t="shared" si="33"/>
        <v>0</v>
      </c>
      <c r="AB55" s="83">
        <f t="shared" si="34"/>
        <v>0</v>
      </c>
      <c r="AC55" s="83">
        <f t="shared" si="35"/>
        <v>0</v>
      </c>
      <c r="AD55" s="83">
        <f t="shared" si="36"/>
        <v>0</v>
      </c>
      <c r="AE55" s="83">
        <f t="shared" si="37"/>
        <v>0</v>
      </c>
      <c r="AF55" s="83">
        <f t="shared" si="38"/>
        <v>0</v>
      </c>
      <c r="AG55" s="83">
        <f t="shared" si="39"/>
        <v>0</v>
      </c>
      <c r="AH55" s="83">
        <f t="shared" si="40"/>
        <v>0</v>
      </c>
      <c r="AI55" s="83">
        <f t="shared" si="41"/>
        <v>0</v>
      </c>
      <c r="AJ55" s="718">
        <f t="shared" si="42"/>
        <v>12500</v>
      </c>
      <c r="AL55">
        <f t="shared" si="43"/>
        <v>0</v>
      </c>
      <c r="AM55">
        <f t="shared" si="44"/>
        <v>0</v>
      </c>
    </row>
    <row r="56" spans="1:39" ht="15.75" x14ac:dyDescent="0.25">
      <c r="A56" s="561"/>
      <c r="B56" s="561"/>
      <c r="C56" s="561"/>
      <c r="D56" s="672" t="s">
        <v>1844</v>
      </c>
      <c r="E56" s="209">
        <v>1</v>
      </c>
      <c r="F56" s="209"/>
      <c r="G56" s="209"/>
      <c r="H56" s="176">
        <f t="shared" si="22"/>
        <v>0</v>
      </c>
      <c r="I56" s="209"/>
      <c r="J56" s="209"/>
      <c r="K56" s="176">
        <f t="shared" si="23"/>
        <v>0</v>
      </c>
      <c r="L56" s="209">
        <v>8905</v>
      </c>
      <c r="M56" s="177">
        <f t="shared" si="24"/>
        <v>8905</v>
      </c>
      <c r="N56" s="1012" t="s">
        <v>1899</v>
      </c>
      <c r="O56" s="1012"/>
      <c r="P56" s="485"/>
      <c r="Q56" s="778"/>
      <c r="R56" s="778"/>
      <c r="S56" s="785" t="str">
        <f t="shared" si="25"/>
        <v/>
      </c>
      <c r="T56" s="548" t="str">
        <f t="shared" si="26"/>
        <v>Sheet Metal Takeoff</v>
      </c>
      <c r="U56" s="83">
        <f t="shared" si="27"/>
        <v>0</v>
      </c>
      <c r="V56" s="83">
        <f t="shared" si="28"/>
        <v>0</v>
      </c>
      <c r="W56" s="83">
        <f t="shared" si="29"/>
        <v>0</v>
      </c>
      <c r="X56" s="781">
        <f t="shared" si="30"/>
        <v>0</v>
      </c>
      <c r="Y56" s="781">
        <f t="shared" si="31"/>
        <v>0</v>
      </c>
      <c r="Z56" s="781">
        <f t="shared" si="32"/>
        <v>0</v>
      </c>
      <c r="AA56" s="83">
        <f t="shared" si="33"/>
        <v>0</v>
      </c>
      <c r="AB56" s="83">
        <f t="shared" si="34"/>
        <v>0</v>
      </c>
      <c r="AC56" s="83">
        <f t="shared" si="35"/>
        <v>0</v>
      </c>
      <c r="AD56" s="83">
        <f t="shared" si="36"/>
        <v>0</v>
      </c>
      <c r="AE56" s="83">
        <f t="shared" si="37"/>
        <v>0</v>
      </c>
      <c r="AF56" s="83">
        <f t="shared" si="38"/>
        <v>0</v>
      </c>
      <c r="AG56" s="83">
        <f t="shared" si="39"/>
        <v>0</v>
      </c>
      <c r="AH56" s="83">
        <f t="shared" si="40"/>
        <v>0</v>
      </c>
      <c r="AI56" s="83">
        <f t="shared" si="41"/>
        <v>0</v>
      </c>
      <c r="AJ56" s="718">
        <f t="shared" si="42"/>
        <v>8905</v>
      </c>
      <c r="AL56">
        <f t="shared" si="43"/>
        <v>0</v>
      </c>
      <c r="AM56">
        <f t="shared" si="44"/>
        <v>0</v>
      </c>
    </row>
    <row r="57" spans="1:39" ht="15.75" x14ac:dyDescent="0.25">
      <c r="A57" s="561"/>
      <c r="B57" s="561"/>
      <c r="C57" s="561"/>
      <c r="D57" s="672" t="s">
        <v>1847</v>
      </c>
      <c r="E57" s="209">
        <v>1</v>
      </c>
      <c r="F57" s="209"/>
      <c r="G57" s="209"/>
      <c r="H57" s="176">
        <f t="shared" si="22"/>
        <v>0</v>
      </c>
      <c r="I57" s="209"/>
      <c r="J57" s="209"/>
      <c r="K57" s="176">
        <f t="shared" si="23"/>
        <v>0</v>
      </c>
      <c r="L57" s="209">
        <v>141465</v>
      </c>
      <c r="M57" s="177">
        <f t="shared" si="24"/>
        <v>141465</v>
      </c>
      <c r="N57" s="1012" t="s">
        <v>1894</v>
      </c>
      <c r="O57" s="1012"/>
      <c r="P57" s="485"/>
      <c r="Q57" s="778"/>
      <c r="R57" s="778"/>
      <c r="S57" s="785" t="str">
        <f t="shared" si="25"/>
        <v/>
      </c>
      <c r="T57" s="548" t="str">
        <f t="shared" si="26"/>
        <v>Sheet Metal Takeoff</v>
      </c>
      <c r="U57" s="83">
        <f t="shared" si="27"/>
        <v>0</v>
      </c>
      <c r="V57" s="83">
        <f t="shared" si="28"/>
        <v>0</v>
      </c>
      <c r="W57" s="83">
        <f t="shared" si="29"/>
        <v>0</v>
      </c>
      <c r="X57" s="781">
        <f t="shared" si="30"/>
        <v>0</v>
      </c>
      <c r="Y57" s="781">
        <f t="shared" si="31"/>
        <v>0</v>
      </c>
      <c r="Z57" s="781">
        <f t="shared" si="32"/>
        <v>0</v>
      </c>
      <c r="AA57" s="83">
        <f t="shared" si="33"/>
        <v>0</v>
      </c>
      <c r="AB57" s="83">
        <f t="shared" si="34"/>
        <v>0</v>
      </c>
      <c r="AC57" s="83">
        <f t="shared" si="35"/>
        <v>0</v>
      </c>
      <c r="AD57" s="83">
        <f t="shared" si="36"/>
        <v>0</v>
      </c>
      <c r="AE57" s="83">
        <f t="shared" si="37"/>
        <v>0</v>
      </c>
      <c r="AF57" s="83">
        <f t="shared" si="38"/>
        <v>0</v>
      </c>
      <c r="AG57" s="83">
        <f t="shared" si="39"/>
        <v>0</v>
      </c>
      <c r="AH57" s="83">
        <f t="shared" si="40"/>
        <v>0</v>
      </c>
      <c r="AI57" s="83">
        <f t="shared" si="41"/>
        <v>0</v>
      </c>
      <c r="AJ57" s="718">
        <f t="shared" si="42"/>
        <v>141465</v>
      </c>
      <c r="AL57">
        <f t="shared" si="43"/>
        <v>0</v>
      </c>
      <c r="AM57">
        <f t="shared" si="44"/>
        <v>0</v>
      </c>
    </row>
    <row r="58" spans="1:39" ht="15.75" x14ac:dyDescent="0.25">
      <c r="A58" s="561"/>
      <c r="B58" s="561"/>
      <c r="C58" s="561"/>
      <c r="D58" s="672" t="s">
        <v>1846</v>
      </c>
      <c r="E58" s="209">
        <v>1</v>
      </c>
      <c r="F58" s="209"/>
      <c r="G58" s="209"/>
      <c r="H58" s="176">
        <f t="shared" si="22"/>
        <v>0</v>
      </c>
      <c r="I58" s="209"/>
      <c r="J58" s="209"/>
      <c r="K58" s="176">
        <f t="shared" si="23"/>
        <v>0</v>
      </c>
      <c r="L58" s="209">
        <v>2500</v>
      </c>
      <c r="M58" s="177">
        <f t="shared" si="24"/>
        <v>2500</v>
      </c>
      <c r="N58" s="1012" t="s">
        <v>49</v>
      </c>
      <c r="O58" s="1012"/>
      <c r="P58" s="485"/>
      <c r="Q58" s="778"/>
      <c r="R58" s="778"/>
      <c r="S58" s="785" t="str">
        <f t="shared" si="25"/>
        <v/>
      </c>
      <c r="T58" s="548" t="str">
        <f t="shared" si="26"/>
        <v>Sheet Metal Takeoff</v>
      </c>
      <c r="U58" s="83">
        <f t="shared" si="27"/>
        <v>0</v>
      </c>
      <c r="V58" s="83">
        <f t="shared" si="28"/>
        <v>0</v>
      </c>
      <c r="W58" s="83">
        <f t="shared" si="29"/>
        <v>0</v>
      </c>
      <c r="X58" s="781">
        <f t="shared" si="30"/>
        <v>0</v>
      </c>
      <c r="Y58" s="781">
        <f t="shared" si="31"/>
        <v>0</v>
      </c>
      <c r="Z58" s="781">
        <f t="shared" si="32"/>
        <v>0</v>
      </c>
      <c r="AA58" s="83">
        <f t="shared" si="33"/>
        <v>0</v>
      </c>
      <c r="AB58" s="83">
        <f t="shared" si="34"/>
        <v>0</v>
      </c>
      <c r="AC58" s="83">
        <f t="shared" si="35"/>
        <v>0</v>
      </c>
      <c r="AD58" s="83">
        <f t="shared" si="36"/>
        <v>0</v>
      </c>
      <c r="AE58" s="83">
        <f t="shared" si="37"/>
        <v>0</v>
      </c>
      <c r="AF58" s="83">
        <f t="shared" si="38"/>
        <v>0</v>
      </c>
      <c r="AG58" s="83">
        <f t="shared" si="39"/>
        <v>0</v>
      </c>
      <c r="AH58" s="83">
        <f t="shared" si="40"/>
        <v>0</v>
      </c>
      <c r="AI58" s="83">
        <f t="shared" si="41"/>
        <v>0</v>
      </c>
      <c r="AJ58" s="718">
        <f t="shared" si="42"/>
        <v>2500</v>
      </c>
      <c r="AL58">
        <f t="shared" si="43"/>
        <v>0</v>
      </c>
      <c r="AM58">
        <f t="shared" si="44"/>
        <v>0</v>
      </c>
    </row>
    <row r="59" spans="1:39" ht="15.75" x14ac:dyDescent="0.25">
      <c r="A59" s="561"/>
      <c r="B59" s="561"/>
      <c r="C59" s="561"/>
      <c r="D59" s="672" t="s">
        <v>1848</v>
      </c>
      <c r="E59" s="209">
        <v>1</v>
      </c>
      <c r="F59" s="209"/>
      <c r="G59" s="209"/>
      <c r="H59" s="176">
        <f t="shared" si="22"/>
        <v>0</v>
      </c>
      <c r="I59" s="209"/>
      <c r="J59" s="209"/>
      <c r="K59" s="176">
        <f t="shared" si="23"/>
        <v>0</v>
      </c>
      <c r="L59" s="209">
        <v>47500</v>
      </c>
      <c r="M59" s="177">
        <f t="shared" si="24"/>
        <v>47500</v>
      </c>
      <c r="N59" s="1012" t="s">
        <v>1889</v>
      </c>
      <c r="O59" s="1012"/>
      <c r="P59" s="485"/>
      <c r="Q59" s="778"/>
      <c r="R59" s="778"/>
      <c r="S59" s="785" t="str">
        <f t="shared" si="25"/>
        <v/>
      </c>
      <c r="T59" s="548" t="str">
        <f t="shared" si="26"/>
        <v>Sheet Metal Takeoff</v>
      </c>
      <c r="U59" s="83">
        <f t="shared" si="27"/>
        <v>0</v>
      </c>
      <c r="V59" s="83">
        <f t="shared" si="28"/>
        <v>0</v>
      </c>
      <c r="W59" s="83">
        <f t="shared" si="29"/>
        <v>0</v>
      </c>
      <c r="X59" s="781">
        <f t="shared" si="30"/>
        <v>0</v>
      </c>
      <c r="Y59" s="781">
        <f t="shared" si="31"/>
        <v>0</v>
      </c>
      <c r="Z59" s="781">
        <f t="shared" si="32"/>
        <v>0</v>
      </c>
      <c r="AA59" s="83">
        <f t="shared" si="33"/>
        <v>0</v>
      </c>
      <c r="AB59" s="83">
        <f t="shared" si="34"/>
        <v>0</v>
      </c>
      <c r="AC59" s="83">
        <f t="shared" si="35"/>
        <v>0</v>
      </c>
      <c r="AD59" s="83">
        <f t="shared" si="36"/>
        <v>0</v>
      </c>
      <c r="AE59" s="83">
        <f t="shared" si="37"/>
        <v>0</v>
      </c>
      <c r="AF59" s="83">
        <f t="shared" si="38"/>
        <v>0</v>
      </c>
      <c r="AG59" s="83">
        <f t="shared" si="39"/>
        <v>0</v>
      </c>
      <c r="AH59" s="83">
        <f t="shared" si="40"/>
        <v>0</v>
      </c>
      <c r="AI59" s="83">
        <f t="shared" si="41"/>
        <v>0</v>
      </c>
      <c r="AJ59" s="718">
        <f t="shared" si="42"/>
        <v>47500</v>
      </c>
      <c r="AL59">
        <f t="shared" si="43"/>
        <v>0</v>
      </c>
      <c r="AM59">
        <f t="shared" si="44"/>
        <v>0</v>
      </c>
    </row>
    <row r="60" spans="1:39" ht="15.75" x14ac:dyDescent="0.25">
      <c r="A60" s="561"/>
      <c r="B60" s="561"/>
      <c r="C60" s="561"/>
      <c r="D60" s="672" t="s">
        <v>1849</v>
      </c>
      <c r="E60" s="209">
        <v>1</v>
      </c>
      <c r="F60" s="209"/>
      <c r="G60" s="209"/>
      <c r="H60" s="176">
        <f t="shared" si="22"/>
        <v>0</v>
      </c>
      <c r="I60" s="209"/>
      <c r="J60" s="209"/>
      <c r="K60" s="176">
        <f t="shared" si="23"/>
        <v>0</v>
      </c>
      <c r="L60" s="209">
        <v>411869</v>
      </c>
      <c r="M60" s="177">
        <f t="shared" si="24"/>
        <v>411869</v>
      </c>
      <c r="N60" s="1012" t="s">
        <v>1890</v>
      </c>
      <c r="O60" s="1012"/>
      <c r="P60" s="485"/>
      <c r="Q60" s="778"/>
      <c r="R60" s="778"/>
      <c r="S60" s="785" t="str">
        <f t="shared" si="25"/>
        <v/>
      </c>
      <c r="T60" s="548" t="str">
        <f t="shared" si="26"/>
        <v>Sheet Metal Takeoff</v>
      </c>
      <c r="U60" s="83">
        <f t="shared" si="27"/>
        <v>0</v>
      </c>
      <c r="V60" s="83">
        <f t="shared" si="28"/>
        <v>0</v>
      </c>
      <c r="W60" s="83">
        <f t="shared" si="29"/>
        <v>0</v>
      </c>
      <c r="X60" s="781">
        <f t="shared" si="30"/>
        <v>0</v>
      </c>
      <c r="Y60" s="781">
        <f t="shared" si="31"/>
        <v>0</v>
      </c>
      <c r="Z60" s="781">
        <f t="shared" si="32"/>
        <v>0</v>
      </c>
      <c r="AA60" s="83">
        <f t="shared" si="33"/>
        <v>0</v>
      </c>
      <c r="AB60" s="83">
        <f t="shared" si="34"/>
        <v>0</v>
      </c>
      <c r="AC60" s="83">
        <f t="shared" si="35"/>
        <v>0</v>
      </c>
      <c r="AD60" s="83">
        <f t="shared" si="36"/>
        <v>0</v>
      </c>
      <c r="AE60" s="83">
        <f t="shared" si="37"/>
        <v>0</v>
      </c>
      <c r="AF60" s="83">
        <f t="shared" si="38"/>
        <v>0</v>
      </c>
      <c r="AG60" s="83">
        <f t="shared" si="39"/>
        <v>0</v>
      </c>
      <c r="AH60" s="83">
        <f t="shared" si="40"/>
        <v>0</v>
      </c>
      <c r="AI60" s="83">
        <f t="shared" si="41"/>
        <v>0</v>
      </c>
      <c r="AJ60" s="718">
        <f t="shared" si="42"/>
        <v>411869</v>
      </c>
      <c r="AL60">
        <f t="shared" si="43"/>
        <v>0</v>
      </c>
      <c r="AM60">
        <f t="shared" si="44"/>
        <v>0</v>
      </c>
    </row>
    <row r="61" spans="1:39" ht="15.75" x14ac:dyDescent="0.25">
      <c r="A61" s="561"/>
      <c r="B61" s="561"/>
      <c r="C61" s="561"/>
      <c r="D61" s="672" t="s">
        <v>1898</v>
      </c>
      <c r="E61" s="209">
        <v>1</v>
      </c>
      <c r="F61" s="209"/>
      <c r="G61" s="209"/>
      <c r="H61" s="176">
        <f t="shared" si="22"/>
        <v>0</v>
      </c>
      <c r="I61" s="209"/>
      <c r="J61" s="209"/>
      <c r="K61" s="176">
        <f t="shared" si="23"/>
        <v>0</v>
      </c>
      <c r="L61" s="209">
        <v>35750</v>
      </c>
      <c r="M61" s="177">
        <f t="shared" si="24"/>
        <v>35750</v>
      </c>
      <c r="N61" s="1012" t="s">
        <v>1899</v>
      </c>
      <c r="O61" s="1012"/>
      <c r="P61" s="485"/>
      <c r="Q61" s="778"/>
      <c r="R61" s="778"/>
      <c r="S61" s="785" t="str">
        <f t="shared" si="25"/>
        <v/>
      </c>
      <c r="T61" s="548" t="str">
        <f t="shared" si="26"/>
        <v>Sheet Metal Takeoff</v>
      </c>
      <c r="U61" s="83">
        <f t="shared" si="27"/>
        <v>0</v>
      </c>
      <c r="V61" s="83">
        <f t="shared" si="28"/>
        <v>0</v>
      </c>
      <c r="W61" s="83">
        <f t="shared" si="29"/>
        <v>0</v>
      </c>
      <c r="X61" s="781">
        <f t="shared" si="30"/>
        <v>0</v>
      </c>
      <c r="Y61" s="781">
        <f t="shared" si="31"/>
        <v>0</v>
      </c>
      <c r="Z61" s="781">
        <f t="shared" si="32"/>
        <v>0</v>
      </c>
      <c r="AA61" s="83">
        <f t="shared" si="33"/>
        <v>0</v>
      </c>
      <c r="AB61" s="83">
        <f t="shared" si="34"/>
        <v>0</v>
      </c>
      <c r="AC61" s="83">
        <f t="shared" si="35"/>
        <v>0</v>
      </c>
      <c r="AD61" s="83">
        <f t="shared" si="36"/>
        <v>0</v>
      </c>
      <c r="AE61" s="83">
        <f t="shared" si="37"/>
        <v>0</v>
      </c>
      <c r="AF61" s="83">
        <f t="shared" si="38"/>
        <v>0</v>
      </c>
      <c r="AG61" s="83">
        <f t="shared" si="39"/>
        <v>0</v>
      </c>
      <c r="AH61" s="83">
        <f t="shared" si="40"/>
        <v>0</v>
      </c>
      <c r="AI61" s="83">
        <f t="shared" si="41"/>
        <v>0</v>
      </c>
      <c r="AJ61" s="718">
        <f t="shared" si="42"/>
        <v>35750</v>
      </c>
      <c r="AL61">
        <f t="shared" si="43"/>
        <v>0</v>
      </c>
      <c r="AM61">
        <f t="shared" si="44"/>
        <v>0</v>
      </c>
    </row>
    <row r="62" spans="1:39" ht="15.75" x14ac:dyDescent="0.25">
      <c r="A62" s="561"/>
      <c r="B62" s="561"/>
      <c r="C62" s="561"/>
      <c r="D62" s="672" t="s">
        <v>1671</v>
      </c>
      <c r="E62" s="209">
        <v>1</v>
      </c>
      <c r="F62" s="209"/>
      <c r="G62" s="209"/>
      <c r="H62" s="176">
        <f t="shared" si="22"/>
        <v>0</v>
      </c>
      <c r="I62" s="209"/>
      <c r="J62" s="209"/>
      <c r="K62" s="176">
        <f t="shared" si="23"/>
        <v>0</v>
      </c>
      <c r="L62" s="209"/>
      <c r="M62" s="177">
        <f t="shared" si="24"/>
        <v>0</v>
      </c>
      <c r="N62" s="1012"/>
      <c r="O62" s="1012"/>
      <c r="P62" s="485"/>
      <c r="Q62" s="778"/>
      <c r="R62" s="778"/>
      <c r="S62" s="785" t="str">
        <f t="shared" si="25"/>
        <v/>
      </c>
      <c r="T62" s="548" t="str">
        <f t="shared" si="26"/>
        <v>Sheet Metal Takeoff</v>
      </c>
      <c r="U62" s="83">
        <f t="shared" si="27"/>
        <v>0</v>
      </c>
      <c r="V62" s="83">
        <f t="shared" si="28"/>
        <v>0</v>
      </c>
      <c r="W62" s="83">
        <f t="shared" si="29"/>
        <v>0</v>
      </c>
      <c r="X62" s="781">
        <f t="shared" si="30"/>
        <v>0</v>
      </c>
      <c r="Y62" s="781">
        <f t="shared" si="31"/>
        <v>0</v>
      </c>
      <c r="Z62" s="781">
        <f t="shared" si="32"/>
        <v>0</v>
      </c>
      <c r="AA62" s="83">
        <f t="shared" si="33"/>
        <v>0</v>
      </c>
      <c r="AB62" s="83">
        <f t="shared" si="34"/>
        <v>0</v>
      </c>
      <c r="AC62" s="83">
        <f t="shared" si="35"/>
        <v>0</v>
      </c>
      <c r="AD62" s="83">
        <f t="shared" si="36"/>
        <v>0</v>
      </c>
      <c r="AE62" s="83">
        <f t="shared" si="37"/>
        <v>0</v>
      </c>
      <c r="AF62" s="83">
        <f t="shared" si="38"/>
        <v>0</v>
      </c>
      <c r="AG62" s="83">
        <f t="shared" si="39"/>
        <v>0</v>
      </c>
      <c r="AH62" s="83">
        <f t="shared" si="40"/>
        <v>0</v>
      </c>
      <c r="AI62" s="83">
        <f t="shared" si="41"/>
        <v>0</v>
      </c>
      <c r="AJ62" s="718">
        <f t="shared" si="42"/>
        <v>0</v>
      </c>
      <c r="AL62">
        <f t="shared" si="43"/>
        <v>0</v>
      </c>
      <c r="AM62">
        <f t="shared" si="44"/>
        <v>0</v>
      </c>
    </row>
    <row r="63" spans="1:39" ht="15.75" x14ac:dyDescent="0.25">
      <c r="A63" s="561"/>
      <c r="B63" s="561"/>
      <c r="C63" s="561"/>
      <c r="D63" s="672" t="s">
        <v>1900</v>
      </c>
      <c r="E63" s="209">
        <v>1</v>
      </c>
      <c r="F63" s="209"/>
      <c r="G63" s="209"/>
      <c r="H63" s="176">
        <f t="shared" si="22"/>
        <v>0</v>
      </c>
      <c r="I63" s="209"/>
      <c r="J63" s="209"/>
      <c r="K63" s="176">
        <f t="shared" si="23"/>
        <v>0</v>
      </c>
      <c r="L63" s="209">
        <v>29150</v>
      </c>
      <c r="M63" s="177">
        <f t="shared" si="24"/>
        <v>29150</v>
      </c>
      <c r="N63" s="1012" t="s">
        <v>1899</v>
      </c>
      <c r="O63" s="1012"/>
      <c r="P63" s="485"/>
      <c r="Q63" s="778"/>
      <c r="R63" s="778"/>
      <c r="S63" s="785" t="str">
        <f t="shared" si="25"/>
        <v/>
      </c>
      <c r="T63" s="548" t="str">
        <f t="shared" si="26"/>
        <v>Sheet Metal Takeoff</v>
      </c>
      <c r="U63" s="83">
        <f t="shared" si="27"/>
        <v>0</v>
      </c>
      <c r="V63" s="83">
        <f t="shared" si="28"/>
        <v>0</v>
      </c>
      <c r="W63" s="83">
        <f t="shared" si="29"/>
        <v>0</v>
      </c>
      <c r="X63" s="781">
        <f t="shared" si="30"/>
        <v>0</v>
      </c>
      <c r="Y63" s="781">
        <f t="shared" si="31"/>
        <v>0</v>
      </c>
      <c r="Z63" s="781">
        <f t="shared" si="32"/>
        <v>0</v>
      </c>
      <c r="AA63" s="83">
        <f t="shared" si="33"/>
        <v>0</v>
      </c>
      <c r="AB63" s="83">
        <f t="shared" si="34"/>
        <v>0</v>
      </c>
      <c r="AC63" s="83">
        <f t="shared" si="35"/>
        <v>0</v>
      </c>
      <c r="AD63" s="83">
        <f t="shared" si="36"/>
        <v>0</v>
      </c>
      <c r="AE63" s="83">
        <f t="shared" si="37"/>
        <v>0</v>
      </c>
      <c r="AF63" s="83">
        <f t="shared" si="38"/>
        <v>0</v>
      </c>
      <c r="AG63" s="83">
        <f t="shared" si="39"/>
        <v>0</v>
      </c>
      <c r="AH63" s="83">
        <f t="shared" si="40"/>
        <v>0</v>
      </c>
      <c r="AI63" s="83">
        <f t="shared" si="41"/>
        <v>0</v>
      </c>
      <c r="AJ63" s="718">
        <f t="shared" si="42"/>
        <v>29150</v>
      </c>
      <c r="AL63">
        <f t="shared" si="43"/>
        <v>0</v>
      </c>
      <c r="AM63">
        <f t="shared" si="44"/>
        <v>0</v>
      </c>
    </row>
    <row r="64" spans="1:39" ht="15.75" x14ac:dyDescent="0.25">
      <c r="A64" s="561"/>
      <c r="B64" s="561"/>
      <c r="C64" s="561"/>
      <c r="D64" s="672" t="s">
        <v>1901</v>
      </c>
      <c r="E64" s="209">
        <v>1</v>
      </c>
      <c r="F64" s="209"/>
      <c r="G64" s="209"/>
      <c r="H64" s="176">
        <f t="shared" si="22"/>
        <v>0</v>
      </c>
      <c r="I64" s="209"/>
      <c r="J64" s="209"/>
      <c r="K64" s="176">
        <f t="shared" si="23"/>
        <v>0</v>
      </c>
      <c r="L64" s="209">
        <v>250</v>
      </c>
      <c r="M64" s="177">
        <f t="shared" si="24"/>
        <v>250</v>
      </c>
      <c r="N64" s="1012" t="s">
        <v>1899</v>
      </c>
      <c r="O64" s="1012"/>
      <c r="P64" s="485"/>
      <c r="Q64" s="778"/>
      <c r="R64" s="778"/>
      <c r="S64" s="785" t="str">
        <f t="shared" si="25"/>
        <v/>
      </c>
      <c r="T64" s="548" t="str">
        <f t="shared" si="26"/>
        <v>Sheet Metal Takeoff</v>
      </c>
      <c r="U64" s="83">
        <f t="shared" si="27"/>
        <v>0</v>
      </c>
      <c r="V64" s="83">
        <f t="shared" si="28"/>
        <v>0</v>
      </c>
      <c r="W64" s="83">
        <f t="shared" si="29"/>
        <v>0</v>
      </c>
      <c r="X64" s="781">
        <f t="shared" si="30"/>
        <v>0</v>
      </c>
      <c r="Y64" s="781">
        <f t="shared" si="31"/>
        <v>0</v>
      </c>
      <c r="Z64" s="781">
        <f t="shared" si="32"/>
        <v>0</v>
      </c>
      <c r="AA64" s="83">
        <f t="shared" si="33"/>
        <v>0</v>
      </c>
      <c r="AB64" s="83">
        <f t="shared" si="34"/>
        <v>0</v>
      </c>
      <c r="AC64" s="83">
        <f t="shared" si="35"/>
        <v>0</v>
      </c>
      <c r="AD64" s="83">
        <f t="shared" si="36"/>
        <v>0</v>
      </c>
      <c r="AE64" s="83">
        <f t="shared" si="37"/>
        <v>0</v>
      </c>
      <c r="AF64" s="83">
        <f t="shared" si="38"/>
        <v>0</v>
      </c>
      <c r="AG64" s="83">
        <f t="shared" si="39"/>
        <v>0</v>
      </c>
      <c r="AH64" s="83">
        <f t="shared" si="40"/>
        <v>0</v>
      </c>
      <c r="AI64" s="83">
        <f t="shared" si="41"/>
        <v>0</v>
      </c>
      <c r="AJ64" s="718">
        <f t="shared" si="42"/>
        <v>250</v>
      </c>
      <c r="AL64">
        <f t="shared" si="43"/>
        <v>0</v>
      </c>
      <c r="AM64">
        <f t="shared" si="44"/>
        <v>0</v>
      </c>
    </row>
    <row r="65" spans="1:39" ht="15.75" x14ac:dyDescent="0.25">
      <c r="A65" s="561"/>
      <c r="B65" s="561"/>
      <c r="C65" s="561"/>
      <c r="D65" s="672" t="s">
        <v>1902</v>
      </c>
      <c r="E65" s="209">
        <v>1</v>
      </c>
      <c r="F65" s="209"/>
      <c r="G65" s="209"/>
      <c r="H65" s="176">
        <f t="shared" ref="H65:H66" si="55">IF(SM_ExludeGroup1=TRUE,0,IF(G65="",E65*F65*IF(AND(S65="LOP",R65="SWING"),1+CrewRate_PlumbFitter_SwingLOP,1)*IF(AND(S65="LOP",R65="GRAVE"),1+CrewRate_PlumbFitter_GraveLOP,1)*IF(AND(S65="LOP",R65="SPECIAL"),1+CrewRate_PlumbFitter_SwingLOP,1),E65*F65*G65*IF(AND(S65="LOP",R65="SWING"),1+CrewRate_PlumbFitter_SwingLOP,1)*IF(AND(S65="LOP",R65="GRAVE"),1+CrewRate_PlumbFitter_GraveLOP,1)*IF(AND(S65="LOP",R65="SPECIAL"),1+CrewRate_PlumbFitter_SwingLOP,1)))</f>
        <v>0</v>
      </c>
      <c r="I65" s="209"/>
      <c r="J65" s="209"/>
      <c r="K65" s="176">
        <f t="shared" ref="K65:K66" si="56">IF(SM_ExludeGroup1=TRUE,0,IF(J65="",E65*I65,E65*I65*J65))</f>
        <v>0</v>
      </c>
      <c r="L65" s="209">
        <v>2500</v>
      </c>
      <c r="M65" s="177">
        <f t="shared" ref="M65:M66" si="57">IF(SM_ExludeGroup1=TRUE,0,E65*L65)</f>
        <v>2500</v>
      </c>
      <c r="N65" s="1012" t="s">
        <v>1903</v>
      </c>
      <c r="O65" s="1012"/>
      <c r="P65" s="485"/>
      <c r="Q65" s="778"/>
      <c r="R65" s="778"/>
      <c r="S65" s="785" t="str">
        <f t="shared" ref="S65:S66" si="58">IF(T65="Sheet Metal Takeoff","",IF(R65="","","LOP"))</f>
        <v/>
      </c>
      <c r="T65" s="548" t="str">
        <f t="shared" si="26"/>
        <v>Sheet Metal Takeoff</v>
      </c>
      <c r="U65" s="83">
        <f t="shared" si="27"/>
        <v>0</v>
      </c>
      <c r="V65" s="83">
        <f t="shared" si="28"/>
        <v>0</v>
      </c>
      <c r="W65" s="83">
        <f t="shared" si="29"/>
        <v>0</v>
      </c>
      <c r="X65" s="781">
        <f t="shared" si="30"/>
        <v>0</v>
      </c>
      <c r="Y65" s="781">
        <f t="shared" si="31"/>
        <v>0</v>
      </c>
      <c r="Z65" s="781">
        <f t="shared" si="32"/>
        <v>0</v>
      </c>
      <c r="AA65" s="83">
        <f t="shared" si="33"/>
        <v>0</v>
      </c>
      <c r="AB65" s="83">
        <f t="shared" si="34"/>
        <v>0</v>
      </c>
      <c r="AC65" s="83">
        <f t="shared" si="35"/>
        <v>0</v>
      </c>
      <c r="AD65" s="83">
        <f t="shared" si="36"/>
        <v>0</v>
      </c>
      <c r="AE65" s="83">
        <f t="shared" si="37"/>
        <v>0</v>
      </c>
      <c r="AF65" s="83">
        <f t="shared" si="38"/>
        <v>0</v>
      </c>
      <c r="AG65" s="83">
        <f t="shared" ref="AG65:AG66" si="59">SUM(U65:Z65)</f>
        <v>0</v>
      </c>
      <c r="AH65" s="83">
        <f t="shared" ref="AH65:AH66" si="60">SUM(AA65:AF65)</f>
        <v>0</v>
      </c>
      <c r="AI65" s="83">
        <f t="shared" ref="AI65:AI66" si="61">SUM(U65:AF65)</f>
        <v>0</v>
      </c>
      <c r="AJ65" s="718">
        <f t="shared" ref="AJ65:AJ66" si="62">SUM(M65,AI65)</f>
        <v>2500</v>
      </c>
      <c r="AL65">
        <f t="shared" ref="AL65:AL66" si="63">SUM(V65:Z65)</f>
        <v>0</v>
      </c>
      <c r="AM65">
        <f t="shared" ref="AM65:AM66" si="64">SUM(AB65:AF65)</f>
        <v>0</v>
      </c>
    </row>
    <row r="66" spans="1:39" ht="15.75" x14ac:dyDescent="0.25">
      <c r="A66" s="561"/>
      <c r="B66" s="561"/>
      <c r="C66" s="561"/>
      <c r="D66" s="672"/>
      <c r="E66" s="209"/>
      <c r="F66" s="209"/>
      <c r="G66" s="209"/>
      <c r="H66" s="176">
        <f t="shared" si="55"/>
        <v>0</v>
      </c>
      <c r="I66" s="209"/>
      <c r="J66" s="209"/>
      <c r="K66" s="176">
        <f t="shared" si="56"/>
        <v>0</v>
      </c>
      <c r="L66" s="209"/>
      <c r="M66" s="177">
        <f t="shared" si="57"/>
        <v>0</v>
      </c>
      <c r="N66" s="1012"/>
      <c r="O66" s="1012"/>
      <c r="P66" s="485"/>
      <c r="Q66" s="778"/>
      <c r="R66" s="778"/>
      <c r="S66" s="785" t="str">
        <f t="shared" si="58"/>
        <v/>
      </c>
      <c r="T66" s="548" t="str">
        <f t="shared" si="26"/>
        <v>Sheet Metal Takeoff</v>
      </c>
      <c r="U66" s="83">
        <f t="shared" si="27"/>
        <v>0</v>
      </c>
      <c r="V66" s="83">
        <f t="shared" si="28"/>
        <v>0</v>
      </c>
      <c r="W66" s="83">
        <f t="shared" si="29"/>
        <v>0</v>
      </c>
      <c r="X66" s="781">
        <f t="shared" si="30"/>
        <v>0</v>
      </c>
      <c r="Y66" s="781">
        <f t="shared" si="31"/>
        <v>0</v>
      </c>
      <c r="Z66" s="781">
        <f t="shared" si="32"/>
        <v>0</v>
      </c>
      <c r="AA66" s="83">
        <f t="shared" si="33"/>
        <v>0</v>
      </c>
      <c r="AB66" s="83">
        <f t="shared" si="34"/>
        <v>0</v>
      </c>
      <c r="AC66" s="83">
        <f t="shared" si="35"/>
        <v>0</v>
      </c>
      <c r="AD66" s="83">
        <f t="shared" si="36"/>
        <v>0</v>
      </c>
      <c r="AE66" s="83">
        <f t="shared" si="37"/>
        <v>0</v>
      </c>
      <c r="AF66" s="83">
        <f t="shared" si="38"/>
        <v>0</v>
      </c>
      <c r="AG66" s="83">
        <f t="shared" si="59"/>
        <v>0</v>
      </c>
      <c r="AH66" s="83">
        <f t="shared" si="60"/>
        <v>0</v>
      </c>
      <c r="AI66" s="83">
        <f t="shared" si="61"/>
        <v>0</v>
      </c>
      <c r="AJ66" s="718">
        <f t="shared" si="62"/>
        <v>0</v>
      </c>
      <c r="AL66">
        <f t="shared" si="63"/>
        <v>0</v>
      </c>
      <c r="AM66">
        <f t="shared" si="64"/>
        <v>0</v>
      </c>
    </row>
    <row r="67" spans="1:39" ht="15.75" x14ac:dyDescent="0.25">
      <c r="A67" s="561"/>
      <c r="B67" s="561"/>
      <c r="C67" s="561"/>
      <c r="D67" s="672"/>
      <c r="E67" s="209"/>
      <c r="F67" s="209"/>
      <c r="G67" s="209"/>
      <c r="H67" s="176">
        <f t="shared" si="22"/>
        <v>0</v>
      </c>
      <c r="I67" s="209"/>
      <c r="J67" s="209"/>
      <c r="K67" s="176">
        <f t="shared" si="23"/>
        <v>0</v>
      </c>
      <c r="L67" s="209"/>
      <c r="M67" s="177">
        <f t="shared" si="24"/>
        <v>0</v>
      </c>
      <c r="N67" s="1012"/>
      <c r="O67" s="1012"/>
      <c r="P67" s="485"/>
      <c r="Q67" s="778"/>
      <c r="R67" s="778"/>
      <c r="S67" s="785" t="str">
        <f t="shared" si="25"/>
        <v/>
      </c>
      <c r="T67" s="548" t="str">
        <f t="shared" si="26"/>
        <v>Sheet Metal Takeoff</v>
      </c>
      <c r="U67" s="83">
        <f t="shared" si="27"/>
        <v>0</v>
      </c>
      <c r="V67" s="83">
        <f t="shared" si="28"/>
        <v>0</v>
      </c>
      <c r="W67" s="83">
        <f t="shared" si="29"/>
        <v>0</v>
      </c>
      <c r="X67" s="781">
        <f t="shared" si="30"/>
        <v>0</v>
      </c>
      <c r="Y67" s="781">
        <f t="shared" si="31"/>
        <v>0</v>
      </c>
      <c r="Z67" s="781">
        <f t="shared" si="32"/>
        <v>0</v>
      </c>
      <c r="AA67" s="83">
        <f t="shared" si="33"/>
        <v>0</v>
      </c>
      <c r="AB67" s="83">
        <f t="shared" si="34"/>
        <v>0</v>
      </c>
      <c r="AC67" s="83">
        <f t="shared" si="35"/>
        <v>0</v>
      </c>
      <c r="AD67" s="83">
        <f t="shared" si="36"/>
        <v>0</v>
      </c>
      <c r="AE67" s="83">
        <f t="shared" si="37"/>
        <v>0</v>
      </c>
      <c r="AF67" s="83">
        <f t="shared" si="38"/>
        <v>0</v>
      </c>
      <c r="AG67" s="83">
        <f t="shared" si="39"/>
        <v>0</v>
      </c>
      <c r="AH67" s="83">
        <f t="shared" si="40"/>
        <v>0</v>
      </c>
      <c r="AI67" s="83">
        <f t="shared" si="41"/>
        <v>0</v>
      </c>
      <c r="AJ67" s="718">
        <f t="shared" si="42"/>
        <v>0</v>
      </c>
      <c r="AL67">
        <f t="shared" si="43"/>
        <v>0</v>
      </c>
      <c r="AM67">
        <f t="shared" si="44"/>
        <v>0</v>
      </c>
    </row>
    <row r="68" spans="1:39" ht="15.75" x14ac:dyDescent="0.25">
      <c r="A68" s="561"/>
      <c r="B68" s="561"/>
      <c r="C68" s="561"/>
      <c r="D68" s="672"/>
      <c r="E68" s="209"/>
      <c r="F68" s="209"/>
      <c r="G68" s="209"/>
      <c r="H68" s="176">
        <f t="shared" si="22"/>
        <v>0</v>
      </c>
      <c r="I68" s="209"/>
      <c r="J68" s="209"/>
      <c r="K68" s="176">
        <f t="shared" si="23"/>
        <v>0</v>
      </c>
      <c r="L68" s="209"/>
      <c r="M68" s="177">
        <f t="shared" si="24"/>
        <v>0</v>
      </c>
      <c r="N68" s="1012"/>
      <c r="O68" s="1012"/>
      <c r="P68" s="485"/>
      <c r="Q68" s="778"/>
      <c r="R68" s="778"/>
      <c r="S68" s="785" t="str">
        <f t="shared" si="25"/>
        <v/>
      </c>
      <c r="T68" s="548" t="str">
        <f t="shared" si="26"/>
        <v>Sheet Metal Takeoff</v>
      </c>
      <c r="U68" s="83">
        <f t="shared" si="27"/>
        <v>0</v>
      </c>
      <c r="V68" s="83">
        <f t="shared" si="28"/>
        <v>0</v>
      </c>
      <c r="W68" s="83">
        <f t="shared" si="29"/>
        <v>0</v>
      </c>
      <c r="X68" s="781">
        <f t="shared" si="30"/>
        <v>0</v>
      </c>
      <c r="Y68" s="781">
        <f t="shared" si="31"/>
        <v>0</v>
      </c>
      <c r="Z68" s="781">
        <f t="shared" si="32"/>
        <v>0</v>
      </c>
      <c r="AA68" s="83">
        <f t="shared" si="33"/>
        <v>0</v>
      </c>
      <c r="AB68" s="83">
        <f t="shared" si="34"/>
        <v>0</v>
      </c>
      <c r="AC68" s="83">
        <f t="shared" si="35"/>
        <v>0</v>
      </c>
      <c r="AD68" s="83">
        <f t="shared" si="36"/>
        <v>0</v>
      </c>
      <c r="AE68" s="83">
        <f t="shared" si="37"/>
        <v>0</v>
      </c>
      <c r="AF68" s="83">
        <f t="shared" si="38"/>
        <v>0</v>
      </c>
      <c r="AG68" s="83">
        <f t="shared" si="39"/>
        <v>0</v>
      </c>
      <c r="AH68" s="83">
        <f t="shared" si="40"/>
        <v>0</v>
      </c>
      <c r="AI68" s="83">
        <f t="shared" si="41"/>
        <v>0</v>
      </c>
      <c r="AJ68" s="718">
        <f t="shared" si="42"/>
        <v>0</v>
      </c>
      <c r="AL68">
        <f t="shared" si="43"/>
        <v>0</v>
      </c>
      <c r="AM68">
        <f t="shared" si="44"/>
        <v>0</v>
      </c>
    </row>
    <row r="69" spans="1:39" ht="15.75" hidden="1" x14ac:dyDescent="0.25">
      <c r="A69" s="561"/>
      <c r="B69" s="561"/>
      <c r="C69" s="561"/>
      <c r="D69" s="672"/>
      <c r="E69" s="209"/>
      <c r="F69" s="209"/>
      <c r="G69" s="209"/>
      <c r="H69" s="176">
        <f t="shared" si="22"/>
        <v>0</v>
      </c>
      <c r="I69" s="209"/>
      <c r="J69" s="209"/>
      <c r="K69" s="176">
        <f t="shared" si="23"/>
        <v>0</v>
      </c>
      <c r="L69" s="209"/>
      <c r="M69" s="177">
        <f t="shared" si="24"/>
        <v>0</v>
      </c>
      <c r="N69" s="1012"/>
      <c r="O69" s="1012"/>
      <c r="P69" s="554"/>
      <c r="Q69" s="778"/>
      <c r="R69" s="778"/>
      <c r="S69" s="785" t="str">
        <f t="shared" si="25"/>
        <v/>
      </c>
      <c r="T69" s="548" t="str">
        <f t="shared" si="26"/>
        <v>Sheet Metal Takeoff</v>
      </c>
      <c r="U69" s="83">
        <f>ROUND(IF($T69="Plumb Takeoff",$H69*U$3,IF($T69="Pipe Takeoff",$H69*U$4,$H69*U$2)),2)</f>
        <v>0</v>
      </c>
      <c r="V69" s="83">
        <f t="shared" si="28"/>
        <v>0</v>
      </c>
      <c r="W69" s="83">
        <f t="shared" si="29"/>
        <v>0</v>
      </c>
      <c r="X69" s="781">
        <f t="shared" si="30"/>
        <v>0</v>
      </c>
      <c r="Y69" s="781">
        <f t="shared" si="31"/>
        <v>0</v>
      </c>
      <c r="Z69" s="781">
        <f t="shared" si="32"/>
        <v>0</v>
      </c>
      <c r="AA69" s="83">
        <f t="shared" si="33"/>
        <v>0</v>
      </c>
      <c r="AB69" s="83">
        <f t="shared" si="34"/>
        <v>0</v>
      </c>
      <c r="AC69" s="83">
        <f t="shared" si="35"/>
        <v>0</v>
      </c>
      <c r="AD69" s="83">
        <f t="shared" si="36"/>
        <v>0</v>
      </c>
      <c r="AE69" s="83">
        <f t="shared" si="37"/>
        <v>0</v>
      </c>
      <c r="AF69" s="83">
        <f t="shared" si="38"/>
        <v>0</v>
      </c>
      <c r="AG69" s="83">
        <f t="shared" si="39"/>
        <v>0</v>
      </c>
      <c r="AH69" s="83">
        <f t="shared" si="40"/>
        <v>0</v>
      </c>
      <c r="AI69" s="83">
        <f t="shared" si="41"/>
        <v>0</v>
      </c>
      <c r="AJ69" s="718">
        <f t="shared" si="42"/>
        <v>0</v>
      </c>
      <c r="AL69">
        <f t="shared" si="43"/>
        <v>0</v>
      </c>
      <c r="AM69">
        <f t="shared" si="44"/>
        <v>0</v>
      </c>
    </row>
    <row r="70" spans="1:39" ht="15.75" x14ac:dyDescent="0.25">
      <c r="A70" s="551"/>
      <c r="B70" s="551"/>
      <c r="C70" s="551"/>
      <c r="D70" s="673"/>
      <c r="E70" s="552"/>
      <c r="F70" s="553"/>
      <c r="G70" s="553"/>
      <c r="H70" s="181">
        <f>SUM(H41:H69)</f>
        <v>915</v>
      </c>
      <c r="I70" s="182"/>
      <c r="J70" s="182"/>
      <c r="K70" s="181">
        <f>SUM(K41:K69)</f>
        <v>60</v>
      </c>
      <c r="L70" s="182"/>
      <c r="M70" s="177">
        <f>SUM(M41:M69)</f>
        <v>699689</v>
      </c>
      <c r="O70" s="486"/>
      <c r="AJ70" s="718"/>
    </row>
    <row r="71" spans="1:39" ht="15.75" thickBot="1" x14ac:dyDescent="0.3">
      <c r="AJ71" s="718"/>
    </row>
    <row r="72" spans="1:39" ht="16.5" thickBot="1" x14ac:dyDescent="0.3">
      <c r="E72" s="678" t="s">
        <v>1122</v>
      </c>
      <c r="F72" s="1017" t="s">
        <v>1630</v>
      </c>
      <c r="G72" s="1018"/>
      <c r="H72" s="344"/>
      <c r="I72" s="1019" t="s">
        <v>1628</v>
      </c>
      <c r="J72" s="1020"/>
      <c r="K72" s="679" t="b">
        <v>0</v>
      </c>
      <c r="AJ72" s="718"/>
    </row>
    <row r="73" spans="1:39" ht="38.25" thickBot="1" x14ac:dyDescent="0.35">
      <c r="A73" s="477" t="s">
        <v>1063</v>
      </c>
      <c r="B73" s="477" t="s">
        <v>348</v>
      </c>
      <c r="C73" s="477" t="s">
        <v>349</v>
      </c>
      <c r="D73" s="666" t="s">
        <v>0</v>
      </c>
      <c r="E73" s="477" t="s">
        <v>1</v>
      </c>
      <c r="F73" s="480" t="s">
        <v>2</v>
      </c>
      <c r="G73" s="480" t="s">
        <v>1123</v>
      </c>
      <c r="H73" s="480" t="s">
        <v>3</v>
      </c>
      <c r="I73" s="483" t="s">
        <v>4</v>
      </c>
      <c r="J73" s="480" t="s">
        <v>1124</v>
      </c>
      <c r="K73" s="680" t="s">
        <v>5</v>
      </c>
      <c r="L73" s="480" t="s">
        <v>6</v>
      </c>
      <c r="M73" s="484" t="s">
        <v>7</v>
      </c>
      <c r="N73" s="1013" t="s">
        <v>1079</v>
      </c>
      <c r="O73" s="1014"/>
      <c r="P73" s="1009" t="s">
        <v>1629</v>
      </c>
      <c r="Q73" s="1009" t="s">
        <v>1147</v>
      </c>
      <c r="R73" s="1009" t="s">
        <v>1792</v>
      </c>
      <c r="T73" s="2"/>
      <c r="AJ73" s="718"/>
    </row>
    <row r="74" spans="1:39" ht="16.5" customHeight="1" thickBot="1" x14ac:dyDescent="0.3">
      <c r="A74" s="183"/>
      <c r="B74" s="183"/>
      <c r="C74" s="183"/>
      <c r="D74" s="671" t="s">
        <v>1840</v>
      </c>
      <c r="E74" s="183"/>
      <c r="F74" s="183"/>
      <c r="G74" s="183"/>
      <c r="H74" s="183"/>
      <c r="I74" s="183"/>
      <c r="J74" s="183"/>
      <c r="K74" s="183"/>
      <c r="L74" s="183"/>
      <c r="M74" s="183"/>
      <c r="N74" s="1015"/>
      <c r="O74" s="1016"/>
      <c r="P74" s="1010" t="s">
        <v>1362</v>
      </c>
      <c r="Q74" s="1010"/>
      <c r="R74" s="1010"/>
      <c r="T74" s="1"/>
      <c r="AJ74" s="718"/>
    </row>
    <row r="75" spans="1:39" ht="15.75" x14ac:dyDescent="0.25">
      <c r="A75" s="561"/>
      <c r="B75" s="561"/>
      <c r="C75" s="561"/>
      <c r="D75" s="672"/>
      <c r="E75" s="209"/>
      <c r="F75" s="209"/>
      <c r="G75" s="209"/>
      <c r="H75" s="176">
        <f t="shared" ref="H75:H100" si="65">IF(SM_ExludeGroup2=TRUE,0,IF(G75="",E75*F75*IF(AND(S75="LOP",R75="SWING"),1+CrewRate_PlumbFitter_SwingLOP,1)*IF(AND(S75="LOP",R75="GRAVE"),1+CrewRate_PlumbFitter_GraveLOP,1)*IF(AND(S75="LOP",R75="SPECIAL"),1+CrewRate_PlumbFitter_SwingLOP,1),E75*F75*G75*IF(AND(S75="LOP",R75="SWING"),1+CrewRate_PlumbFitter_SwingLOP,1)*IF(AND(S75="LOP",R75="GRAVE"),1+CrewRate_PlumbFitter_GraveLOP,1)*IF(AND(S75="LOP",R75="SPECIAL"),1+CrewRate_PlumbFitter_SwingLOP,1)))</f>
        <v>0</v>
      </c>
      <c r="I75" s="209"/>
      <c r="J75" s="209"/>
      <c r="K75" s="176">
        <f t="shared" ref="K75:K100" si="66">IF(SM_ExludeGroup2=TRUE,0,IF(J75="",E75*I75,E75*I75*J75))</f>
        <v>0</v>
      </c>
      <c r="L75" s="209"/>
      <c r="M75" s="177">
        <f t="shared" ref="M75:M100" si="67">IF(SM_ExludeGroup2=TRUE,0,E75*L75)</f>
        <v>0</v>
      </c>
      <c r="N75" s="1012"/>
      <c r="O75" s="1012"/>
      <c r="P75" s="485"/>
      <c r="Q75" s="778"/>
      <c r="R75" s="778"/>
      <c r="S75" s="785" t="str">
        <f>IF(T75="Sheet Metal Takeoff","",IF(R75="","","LOP"))</f>
        <v/>
      </c>
      <c r="T75" s="548" t="str">
        <f t="shared" ref="T75:T100" si="68">IF($F$72="","Sheet Metal Takeoff",$F$72)</f>
        <v>Sheet Metal Takeoff</v>
      </c>
      <c r="U75" s="83">
        <f>ROUND(IF($T75="Plumb Takeoff",$H75*U$3,IF($T75="Pipe Takeoff",$H75*U$4,$H75*U$2)),2)</f>
        <v>0</v>
      </c>
      <c r="V75" s="83">
        <f>ROUND(IF($T75="Plumb Takeoff",IF($Q75="OT",$H75*V$3,0),IF($T75="Pipe Takeoff",IF($Q75="OT",$H75*V$4,0),IF($Q75="OT",$H75*V$2,0))),2)</f>
        <v>0</v>
      </c>
      <c r="W75" s="83">
        <f>ROUND(IF($T75="Plumb Takeoff",IF($Q75="DBLT",$H75*W$3,0),IF($T75="Pipe Takeoff",IF($Q75="DBLT",$H75*W$4,0),IF($Q75="DBLT",$H75*W$2,0))),2)</f>
        <v>0</v>
      </c>
      <c r="X75" s="781">
        <f>ROUND(SUM(IF($T75="Plumb Takeoff",IF($R75="SWING",ROUND(SUM($H75)*X$3,2))),IF($T75="Pipe Takeoff",IF($R75="SWING",ROUND(SUM($H75)*X$4,2))),IF($T75="Sheet Metal Takeoff",IF($R75="SWING",ROUND(SUM($H75)*X$2,2)))),2)</f>
        <v>0</v>
      </c>
      <c r="Y75" s="781">
        <f>ROUND(SUM(IF($T75="Plumb Takeoff",IF($R75="GRAVE",ROUND(SUM($H75)*Y$3,2))),IF($T75="Pipe Takeoff",IF($R75="GRAVE",ROUND(SUM($H75)*Y$4,2))),IF($T75="Sheet Metal Takeoff",IF($R75="GRAVE",ROUND(SUM($H75)*Y$2,2)))),2)</f>
        <v>0</v>
      </c>
      <c r="Z75" s="781">
        <f>ROUND(SUM(IF($T75="Plumb Takeoff",IF($R75="SPECIAL",ROUND(SUM($H75)*Z$3,2))),IF($T75="Pipe Takeoff",IF($R75="SPECIAL",ROUND(SUM($H75)*Z$4,2))),IF($T75="Sheet Metal Takeoff",IF($R75="SPECIAL",ROUND(SUM($H75)*Z$2,2)))),2)</f>
        <v>0</v>
      </c>
      <c r="AA75" s="83">
        <f>ROUND($K75*AA$2,2)</f>
        <v>0</v>
      </c>
      <c r="AB75" s="83">
        <f>ROUND(IF($Q75="OT",$K75*AB$2,0),2)</f>
        <v>0</v>
      </c>
      <c r="AC75" s="83">
        <f>ROUND(IF($Q75="DBLT",$K75*AC$2,0),2)</f>
        <v>0</v>
      </c>
      <c r="AD75" s="83">
        <f>ROUND(IF($R75="SWING",$K75*AD$2,0),2)</f>
        <v>0</v>
      </c>
      <c r="AE75" s="83">
        <f>ROUND(IF($R75="GRAVE",$K75*AE$2,0),2)</f>
        <v>0</v>
      </c>
      <c r="AF75" s="83">
        <f>ROUND(IF($R75="SPECIAL",$K75*AF$2,0),2)</f>
        <v>0</v>
      </c>
      <c r="AG75" s="83">
        <f>SUM(U75:Z75)</f>
        <v>0</v>
      </c>
      <c r="AH75" s="83">
        <f>SUM(AA75:AF75)</f>
        <v>0</v>
      </c>
      <c r="AI75" s="83">
        <f>SUM(U75:AF75)</f>
        <v>0</v>
      </c>
      <c r="AJ75" s="718">
        <f>SUM(M75,AI75)</f>
        <v>0</v>
      </c>
      <c r="AL75">
        <f>SUM(V75:Z75)</f>
        <v>0</v>
      </c>
      <c r="AM75">
        <f>SUM(AB75:AF75)</f>
        <v>0</v>
      </c>
    </row>
    <row r="76" spans="1:39" ht="15.75" x14ac:dyDescent="0.25">
      <c r="A76" s="561"/>
      <c r="B76" s="561"/>
      <c r="C76" s="561"/>
      <c r="D76" s="672" t="s">
        <v>1841</v>
      </c>
      <c r="E76" s="209">
        <v>2</v>
      </c>
      <c r="F76" s="209">
        <v>16</v>
      </c>
      <c r="G76" s="209"/>
      <c r="H76" s="176">
        <f t="shared" si="65"/>
        <v>32</v>
      </c>
      <c r="I76" s="209"/>
      <c r="J76" s="209"/>
      <c r="K76" s="176">
        <f t="shared" si="66"/>
        <v>0</v>
      </c>
      <c r="L76" s="209"/>
      <c r="M76" s="177">
        <f t="shared" si="67"/>
        <v>0</v>
      </c>
      <c r="N76" s="1012"/>
      <c r="O76" s="1012"/>
      <c r="P76" s="485"/>
      <c r="Q76" s="778"/>
      <c r="R76" s="778"/>
      <c r="S76" s="785" t="str">
        <f t="shared" ref="S76:S100" si="69">IF(T76="Sheet Metal Takeoff","",IF(R76="","","LOP"))</f>
        <v/>
      </c>
      <c r="T76" s="548" t="str">
        <f t="shared" si="68"/>
        <v>Sheet Metal Takeoff</v>
      </c>
      <c r="U76" s="83">
        <f t="shared" ref="U76:U99" si="70">ROUND(IF($T76="Plumb Takeoff",$H76*U$3,IF($T76="Pipe Takeoff",$H76*U$4,$H76*U$2)),2)</f>
        <v>3114.24</v>
      </c>
      <c r="V76" s="83">
        <f t="shared" ref="V76:V100" si="71">ROUND(IF($T76="Plumb Takeoff",IF($Q76="OT",$H76*V$3,0),IF($T76="Pipe Takeoff",IF($Q76="OT",$H76*V$4,0),IF($Q76="OT",$H76*V$2,0))),2)</f>
        <v>0</v>
      </c>
      <c r="W76" s="83">
        <f t="shared" ref="W76:W100" si="72">ROUND(IF($T76="Plumb Takeoff",IF($Q76="DBLT",$H76*W$3,0),IF($T76="Pipe Takeoff",IF($Q76="DBLT",$H76*W$4,0),IF($Q76="DBLT",$H76*W$2,0))),2)</f>
        <v>0</v>
      </c>
      <c r="X76" s="781">
        <f t="shared" ref="X76:X100" si="73">ROUND(SUM(IF($T76="Plumb Takeoff",IF($R76="SWING",ROUND(SUM($H76)*X$3,2))),IF($T76="Pipe Takeoff",IF($R76="SWING",ROUND(SUM($H76)*X$4,2))),IF($T76="Sheet Metal Takeoff",IF($R76="SWING",ROUND(SUM($H76)*X$2,2)))),2)</f>
        <v>0</v>
      </c>
      <c r="Y76" s="781">
        <f t="shared" ref="Y76:Y100" si="74">ROUND(SUM(IF($T76="Plumb Takeoff",IF($R76="GRAVE",ROUND(SUM($H76)*Y$3,2))),IF($T76="Pipe Takeoff",IF($R76="GRAVE",ROUND(SUM($H76)*Y$4,2))),IF($T76="Sheet Metal Takeoff",IF($R76="GRAVE",ROUND(SUM($H76)*Y$2,2)))),2)</f>
        <v>0</v>
      </c>
      <c r="Z76" s="781">
        <f t="shared" ref="Z76:Z100" si="75">ROUND(SUM(IF($T76="Plumb Takeoff",IF($R76="SPECIAL",ROUND(SUM($H76)*Z$3,2))),IF($T76="Pipe Takeoff",IF($R76="SPECIAL",ROUND(SUM($H76)*Z$4,2))),IF($T76="Sheet Metal Takeoff",IF($R76="SPECIAL",ROUND(SUM($H76)*Z$2,2)))),2)</f>
        <v>0</v>
      </c>
      <c r="AA76" s="83">
        <f t="shared" ref="AA76:AA100" si="76">ROUND($K76*AA$2,2)</f>
        <v>0</v>
      </c>
      <c r="AB76" s="83">
        <f t="shared" ref="AB76:AB100" si="77">ROUND(IF($Q76="OT",$K76*AB$2,0),2)</f>
        <v>0</v>
      </c>
      <c r="AC76" s="83">
        <f t="shared" ref="AC76:AC100" si="78">ROUND(IF($Q76="DBLT",$K76*AC$2,0),2)</f>
        <v>0</v>
      </c>
      <c r="AD76" s="83">
        <f t="shared" ref="AD76:AD100" si="79">ROUND(IF($R76="SWING",$K76*AD$2,0),2)</f>
        <v>0</v>
      </c>
      <c r="AE76" s="83">
        <f t="shared" ref="AE76:AE100" si="80">ROUND(IF($R76="GRAVE",$K76*AE$2,0),2)</f>
        <v>0</v>
      </c>
      <c r="AF76" s="83">
        <f t="shared" ref="AF76:AF100" si="81">ROUND(IF($R76="SPECIAL",$K76*AF$2,0),2)</f>
        <v>0</v>
      </c>
      <c r="AG76" s="83">
        <f t="shared" ref="AG76:AG100" si="82">SUM(U76:Z76)</f>
        <v>3114.24</v>
      </c>
      <c r="AH76" s="83">
        <f t="shared" ref="AH76:AH100" si="83">SUM(AA76:AF76)</f>
        <v>0</v>
      </c>
      <c r="AI76" s="83">
        <f t="shared" ref="AI76:AI100" si="84">SUM(U76:AF76)</f>
        <v>3114.24</v>
      </c>
      <c r="AJ76" s="718">
        <f t="shared" ref="AJ76:AJ100" si="85">SUM(M76,AI76)</f>
        <v>3114.24</v>
      </c>
      <c r="AL76">
        <f t="shared" ref="AL76:AL100" si="86">SUM(V76:Z76)</f>
        <v>0</v>
      </c>
      <c r="AM76">
        <f t="shared" ref="AM76:AM100" si="87">SUM(AB76:AF76)</f>
        <v>0</v>
      </c>
    </row>
    <row r="77" spans="1:39" ht="15.75" x14ac:dyDescent="0.25">
      <c r="A77" s="561"/>
      <c r="B77" s="561"/>
      <c r="C77" s="561"/>
      <c r="D77" s="672"/>
      <c r="E77" s="209"/>
      <c r="F77" s="209"/>
      <c r="G77" s="209"/>
      <c r="H77" s="176">
        <f t="shared" si="65"/>
        <v>0</v>
      </c>
      <c r="I77" s="209"/>
      <c r="J77" s="209"/>
      <c r="K77" s="176">
        <f t="shared" si="66"/>
        <v>0</v>
      </c>
      <c r="L77" s="209"/>
      <c r="M77" s="177">
        <f t="shared" si="67"/>
        <v>0</v>
      </c>
      <c r="N77" s="1012"/>
      <c r="O77" s="1012"/>
      <c r="P77" s="485"/>
      <c r="Q77" s="778"/>
      <c r="R77" s="778"/>
      <c r="S77" s="785" t="str">
        <f t="shared" si="69"/>
        <v/>
      </c>
      <c r="T77" s="548" t="str">
        <f t="shared" si="68"/>
        <v>Sheet Metal Takeoff</v>
      </c>
      <c r="U77" s="83">
        <f t="shared" si="70"/>
        <v>0</v>
      </c>
      <c r="V77" s="83">
        <f t="shared" si="71"/>
        <v>0</v>
      </c>
      <c r="W77" s="83">
        <f t="shared" si="72"/>
        <v>0</v>
      </c>
      <c r="X77" s="781">
        <f t="shared" si="73"/>
        <v>0</v>
      </c>
      <c r="Y77" s="781">
        <f t="shared" si="74"/>
        <v>0</v>
      </c>
      <c r="Z77" s="781">
        <f t="shared" si="75"/>
        <v>0</v>
      </c>
      <c r="AA77" s="83">
        <f t="shared" si="76"/>
        <v>0</v>
      </c>
      <c r="AB77" s="83">
        <f t="shared" si="77"/>
        <v>0</v>
      </c>
      <c r="AC77" s="83">
        <f t="shared" si="78"/>
        <v>0</v>
      </c>
      <c r="AD77" s="83">
        <f t="shared" si="79"/>
        <v>0</v>
      </c>
      <c r="AE77" s="83">
        <f t="shared" si="80"/>
        <v>0</v>
      </c>
      <c r="AF77" s="83">
        <f t="shared" si="81"/>
        <v>0</v>
      </c>
      <c r="AG77" s="83">
        <f t="shared" si="82"/>
        <v>0</v>
      </c>
      <c r="AH77" s="83">
        <f t="shared" si="83"/>
        <v>0</v>
      </c>
      <c r="AI77" s="83">
        <f t="shared" si="84"/>
        <v>0</v>
      </c>
      <c r="AJ77" s="718">
        <f t="shared" si="85"/>
        <v>0</v>
      </c>
      <c r="AL77">
        <f t="shared" si="86"/>
        <v>0</v>
      </c>
      <c r="AM77">
        <f t="shared" si="87"/>
        <v>0</v>
      </c>
    </row>
    <row r="78" spans="1:39" ht="15.75" x14ac:dyDescent="0.25">
      <c r="A78" s="561"/>
      <c r="B78" s="561"/>
      <c r="C78" s="561"/>
      <c r="D78" s="672" t="s">
        <v>1842</v>
      </c>
      <c r="E78" s="209"/>
      <c r="F78" s="209"/>
      <c r="G78" s="209"/>
      <c r="H78" s="176">
        <f t="shared" si="65"/>
        <v>0</v>
      </c>
      <c r="I78" s="209"/>
      <c r="J78" s="209"/>
      <c r="K78" s="176">
        <f t="shared" si="66"/>
        <v>0</v>
      </c>
      <c r="L78" s="209"/>
      <c r="M78" s="177">
        <f t="shared" si="67"/>
        <v>0</v>
      </c>
      <c r="N78" s="1012"/>
      <c r="O78" s="1012"/>
      <c r="P78" s="485"/>
      <c r="Q78" s="778"/>
      <c r="R78" s="778"/>
      <c r="S78" s="785" t="str">
        <f t="shared" si="69"/>
        <v/>
      </c>
      <c r="T78" s="548" t="str">
        <f t="shared" si="68"/>
        <v>Sheet Metal Takeoff</v>
      </c>
      <c r="U78" s="83">
        <f t="shared" si="70"/>
        <v>0</v>
      </c>
      <c r="V78" s="83">
        <f t="shared" si="71"/>
        <v>0</v>
      </c>
      <c r="W78" s="83">
        <f t="shared" si="72"/>
        <v>0</v>
      </c>
      <c r="X78" s="781">
        <f t="shared" si="73"/>
        <v>0</v>
      </c>
      <c r="Y78" s="781">
        <f t="shared" si="74"/>
        <v>0</v>
      </c>
      <c r="Z78" s="781">
        <f t="shared" si="75"/>
        <v>0</v>
      </c>
      <c r="AA78" s="83">
        <f t="shared" si="76"/>
        <v>0</v>
      </c>
      <c r="AB78" s="83">
        <f t="shared" si="77"/>
        <v>0</v>
      </c>
      <c r="AC78" s="83">
        <f t="shared" si="78"/>
        <v>0</v>
      </c>
      <c r="AD78" s="83">
        <f t="shared" si="79"/>
        <v>0</v>
      </c>
      <c r="AE78" s="83">
        <f t="shared" si="80"/>
        <v>0</v>
      </c>
      <c r="AF78" s="83">
        <f t="shared" si="81"/>
        <v>0</v>
      </c>
      <c r="AG78" s="83">
        <f t="shared" si="82"/>
        <v>0</v>
      </c>
      <c r="AH78" s="83">
        <f t="shared" si="83"/>
        <v>0</v>
      </c>
      <c r="AI78" s="83">
        <f t="shared" si="84"/>
        <v>0</v>
      </c>
      <c r="AJ78" s="718">
        <f t="shared" si="85"/>
        <v>0</v>
      </c>
      <c r="AL78">
        <f t="shared" si="86"/>
        <v>0</v>
      </c>
      <c r="AM78">
        <f t="shared" si="87"/>
        <v>0</v>
      </c>
    </row>
    <row r="79" spans="1:39" ht="15.75" x14ac:dyDescent="0.25">
      <c r="A79" s="561"/>
      <c r="B79" s="561"/>
      <c r="C79" s="561"/>
      <c r="D79" s="672"/>
      <c r="E79" s="209"/>
      <c r="F79" s="209"/>
      <c r="G79" s="209"/>
      <c r="H79" s="176">
        <f t="shared" si="65"/>
        <v>0</v>
      </c>
      <c r="I79" s="209"/>
      <c r="J79" s="209"/>
      <c r="K79" s="176">
        <f t="shared" si="66"/>
        <v>0</v>
      </c>
      <c r="L79" s="209"/>
      <c r="M79" s="177">
        <f t="shared" si="67"/>
        <v>0</v>
      </c>
      <c r="N79" s="1012"/>
      <c r="O79" s="1012"/>
      <c r="P79" s="485"/>
      <c r="Q79" s="778"/>
      <c r="R79" s="778"/>
      <c r="S79" s="785" t="str">
        <f t="shared" si="69"/>
        <v/>
      </c>
      <c r="T79" s="548" t="str">
        <f t="shared" si="68"/>
        <v>Sheet Metal Takeoff</v>
      </c>
      <c r="U79" s="83">
        <f t="shared" si="70"/>
        <v>0</v>
      </c>
      <c r="V79" s="83">
        <f t="shared" si="71"/>
        <v>0</v>
      </c>
      <c r="W79" s="83">
        <f t="shared" si="72"/>
        <v>0</v>
      </c>
      <c r="X79" s="781">
        <f t="shared" si="73"/>
        <v>0</v>
      </c>
      <c r="Y79" s="781">
        <f t="shared" si="74"/>
        <v>0</v>
      </c>
      <c r="Z79" s="781">
        <f t="shared" si="75"/>
        <v>0</v>
      </c>
      <c r="AA79" s="83">
        <f t="shared" si="76"/>
        <v>0</v>
      </c>
      <c r="AB79" s="83">
        <f t="shared" si="77"/>
        <v>0</v>
      </c>
      <c r="AC79" s="83">
        <f t="shared" si="78"/>
        <v>0</v>
      </c>
      <c r="AD79" s="83">
        <f t="shared" si="79"/>
        <v>0</v>
      </c>
      <c r="AE79" s="83">
        <f t="shared" si="80"/>
        <v>0</v>
      </c>
      <c r="AF79" s="83">
        <f t="shared" si="81"/>
        <v>0</v>
      </c>
      <c r="AG79" s="83">
        <f t="shared" si="82"/>
        <v>0</v>
      </c>
      <c r="AH79" s="83">
        <f t="shared" si="83"/>
        <v>0</v>
      </c>
      <c r="AI79" s="83">
        <f t="shared" si="84"/>
        <v>0</v>
      </c>
      <c r="AJ79" s="718">
        <f t="shared" si="85"/>
        <v>0</v>
      </c>
      <c r="AL79">
        <f t="shared" si="86"/>
        <v>0</v>
      </c>
      <c r="AM79">
        <f t="shared" si="87"/>
        <v>0</v>
      </c>
    </row>
    <row r="80" spans="1:39" ht="15.75" x14ac:dyDescent="0.25">
      <c r="A80" s="561"/>
      <c r="B80" s="561"/>
      <c r="C80" s="561"/>
      <c r="D80" s="672" t="s">
        <v>1879</v>
      </c>
      <c r="E80" s="209">
        <v>1</v>
      </c>
      <c r="F80" s="209">
        <v>8</v>
      </c>
      <c r="G80" s="209"/>
      <c r="H80" s="176">
        <f t="shared" si="65"/>
        <v>8</v>
      </c>
      <c r="I80" s="209"/>
      <c r="J80" s="209"/>
      <c r="K80" s="176">
        <f t="shared" si="66"/>
        <v>0</v>
      </c>
      <c r="L80" s="209"/>
      <c r="M80" s="177">
        <f t="shared" si="67"/>
        <v>0</v>
      </c>
      <c r="N80" s="1012"/>
      <c r="O80" s="1012"/>
      <c r="P80" s="485"/>
      <c r="Q80" s="778"/>
      <c r="R80" s="778"/>
      <c r="S80" s="785" t="str">
        <f t="shared" si="69"/>
        <v/>
      </c>
      <c r="T80" s="548" t="str">
        <f t="shared" si="68"/>
        <v>Sheet Metal Takeoff</v>
      </c>
      <c r="U80" s="83">
        <f t="shared" si="70"/>
        <v>778.56</v>
      </c>
      <c r="V80" s="83">
        <f t="shared" si="71"/>
        <v>0</v>
      </c>
      <c r="W80" s="83">
        <f t="shared" si="72"/>
        <v>0</v>
      </c>
      <c r="X80" s="781">
        <f t="shared" si="73"/>
        <v>0</v>
      </c>
      <c r="Y80" s="781">
        <f t="shared" si="74"/>
        <v>0</v>
      </c>
      <c r="Z80" s="781">
        <f t="shared" si="75"/>
        <v>0</v>
      </c>
      <c r="AA80" s="83">
        <f t="shared" si="76"/>
        <v>0</v>
      </c>
      <c r="AB80" s="83">
        <f t="shared" si="77"/>
        <v>0</v>
      </c>
      <c r="AC80" s="83">
        <f t="shared" si="78"/>
        <v>0</v>
      </c>
      <c r="AD80" s="83">
        <f t="shared" si="79"/>
        <v>0</v>
      </c>
      <c r="AE80" s="83">
        <f t="shared" si="80"/>
        <v>0</v>
      </c>
      <c r="AF80" s="83">
        <f t="shared" si="81"/>
        <v>0</v>
      </c>
      <c r="AG80" s="83">
        <f t="shared" si="82"/>
        <v>778.56</v>
      </c>
      <c r="AH80" s="83">
        <f t="shared" si="83"/>
        <v>0</v>
      </c>
      <c r="AI80" s="83">
        <f t="shared" si="84"/>
        <v>778.56</v>
      </c>
      <c r="AJ80" s="718">
        <f t="shared" si="85"/>
        <v>778.56</v>
      </c>
      <c r="AL80">
        <f t="shared" si="86"/>
        <v>0</v>
      </c>
      <c r="AM80">
        <f t="shared" si="87"/>
        <v>0</v>
      </c>
    </row>
    <row r="81" spans="1:39" ht="15.75" x14ac:dyDescent="0.25">
      <c r="A81" s="561"/>
      <c r="B81" s="561"/>
      <c r="C81" s="561"/>
      <c r="D81" s="672" t="s">
        <v>1880</v>
      </c>
      <c r="E81" s="209">
        <v>1</v>
      </c>
      <c r="F81" s="209">
        <v>6</v>
      </c>
      <c r="G81" s="209"/>
      <c r="H81" s="176">
        <f t="shared" si="65"/>
        <v>6</v>
      </c>
      <c r="I81" s="209"/>
      <c r="J81" s="209"/>
      <c r="K81" s="176">
        <f t="shared" si="66"/>
        <v>0</v>
      </c>
      <c r="L81" s="209"/>
      <c r="M81" s="177">
        <f t="shared" si="67"/>
        <v>0</v>
      </c>
      <c r="N81" s="1012"/>
      <c r="O81" s="1012"/>
      <c r="P81" s="485"/>
      <c r="Q81" s="778"/>
      <c r="R81" s="778"/>
      <c r="S81" s="785" t="str">
        <f t="shared" si="69"/>
        <v/>
      </c>
      <c r="T81" s="548" t="str">
        <f t="shared" si="68"/>
        <v>Sheet Metal Takeoff</v>
      </c>
      <c r="U81" s="83">
        <f t="shared" si="70"/>
        <v>583.91999999999996</v>
      </c>
      <c r="V81" s="83">
        <f t="shared" si="71"/>
        <v>0</v>
      </c>
      <c r="W81" s="83">
        <f t="shared" si="72"/>
        <v>0</v>
      </c>
      <c r="X81" s="781">
        <f t="shared" si="73"/>
        <v>0</v>
      </c>
      <c r="Y81" s="781">
        <f t="shared" si="74"/>
        <v>0</v>
      </c>
      <c r="Z81" s="781">
        <f t="shared" si="75"/>
        <v>0</v>
      </c>
      <c r="AA81" s="83">
        <f t="shared" si="76"/>
        <v>0</v>
      </c>
      <c r="AB81" s="83">
        <f t="shared" si="77"/>
        <v>0</v>
      </c>
      <c r="AC81" s="83">
        <f t="shared" si="78"/>
        <v>0</v>
      </c>
      <c r="AD81" s="83">
        <f t="shared" si="79"/>
        <v>0</v>
      </c>
      <c r="AE81" s="83">
        <f t="shared" si="80"/>
        <v>0</v>
      </c>
      <c r="AF81" s="83">
        <f t="shared" si="81"/>
        <v>0</v>
      </c>
      <c r="AG81" s="83">
        <f t="shared" si="82"/>
        <v>583.91999999999996</v>
      </c>
      <c r="AH81" s="83">
        <f t="shared" si="83"/>
        <v>0</v>
      </c>
      <c r="AI81" s="83">
        <f t="shared" si="84"/>
        <v>583.91999999999996</v>
      </c>
      <c r="AJ81" s="718">
        <f t="shared" si="85"/>
        <v>583.91999999999996</v>
      </c>
      <c r="AL81">
        <f t="shared" si="86"/>
        <v>0</v>
      </c>
      <c r="AM81">
        <f t="shared" si="87"/>
        <v>0</v>
      </c>
    </row>
    <row r="82" spans="1:39" ht="15.75" x14ac:dyDescent="0.25">
      <c r="A82" s="561"/>
      <c r="B82" s="561"/>
      <c r="C82" s="561"/>
      <c r="D82" s="672"/>
      <c r="E82" s="209"/>
      <c r="F82" s="209"/>
      <c r="G82" s="209"/>
      <c r="H82" s="176">
        <f t="shared" si="65"/>
        <v>0</v>
      </c>
      <c r="I82" s="209"/>
      <c r="J82" s="209"/>
      <c r="K82" s="176">
        <f t="shared" si="66"/>
        <v>0</v>
      </c>
      <c r="L82" s="209"/>
      <c r="M82" s="177">
        <f t="shared" si="67"/>
        <v>0</v>
      </c>
      <c r="N82" s="1012"/>
      <c r="O82" s="1012"/>
      <c r="P82" s="485"/>
      <c r="Q82" s="778"/>
      <c r="R82" s="778"/>
      <c r="S82" s="785" t="str">
        <f t="shared" si="69"/>
        <v/>
      </c>
      <c r="T82" s="548" t="str">
        <f t="shared" si="68"/>
        <v>Sheet Metal Takeoff</v>
      </c>
      <c r="U82" s="83">
        <f t="shared" si="70"/>
        <v>0</v>
      </c>
      <c r="V82" s="83">
        <f t="shared" si="71"/>
        <v>0</v>
      </c>
      <c r="W82" s="83">
        <f t="shared" si="72"/>
        <v>0</v>
      </c>
      <c r="X82" s="781">
        <f t="shared" si="73"/>
        <v>0</v>
      </c>
      <c r="Y82" s="781">
        <f t="shared" si="74"/>
        <v>0</v>
      </c>
      <c r="Z82" s="781">
        <f t="shared" si="75"/>
        <v>0</v>
      </c>
      <c r="AA82" s="83">
        <f t="shared" si="76"/>
        <v>0</v>
      </c>
      <c r="AB82" s="83">
        <f t="shared" si="77"/>
        <v>0</v>
      </c>
      <c r="AC82" s="83">
        <f t="shared" si="78"/>
        <v>0</v>
      </c>
      <c r="AD82" s="83">
        <f t="shared" si="79"/>
        <v>0</v>
      </c>
      <c r="AE82" s="83">
        <f t="shared" si="80"/>
        <v>0</v>
      </c>
      <c r="AF82" s="83">
        <f t="shared" si="81"/>
        <v>0</v>
      </c>
      <c r="AG82" s="83">
        <f t="shared" si="82"/>
        <v>0</v>
      </c>
      <c r="AH82" s="83">
        <f t="shared" si="83"/>
        <v>0</v>
      </c>
      <c r="AI82" s="83">
        <f t="shared" si="84"/>
        <v>0</v>
      </c>
      <c r="AJ82" s="718">
        <f t="shared" si="85"/>
        <v>0</v>
      </c>
      <c r="AL82">
        <f t="shared" si="86"/>
        <v>0</v>
      </c>
      <c r="AM82">
        <f t="shared" si="87"/>
        <v>0</v>
      </c>
    </row>
    <row r="83" spans="1:39" ht="15.75" x14ac:dyDescent="0.25">
      <c r="A83" s="561"/>
      <c r="B83" s="561"/>
      <c r="C83" s="561"/>
      <c r="D83" s="672" t="s">
        <v>1883</v>
      </c>
      <c r="E83" s="209">
        <v>2</v>
      </c>
      <c r="F83" s="209">
        <v>4</v>
      </c>
      <c r="G83" s="209"/>
      <c r="H83" s="176">
        <f t="shared" si="65"/>
        <v>8</v>
      </c>
      <c r="I83" s="209">
        <v>4</v>
      </c>
      <c r="J83" s="209"/>
      <c r="K83" s="176">
        <f t="shared" si="66"/>
        <v>8</v>
      </c>
      <c r="L83" s="209">
        <v>150</v>
      </c>
      <c r="M83" s="177">
        <f t="shared" si="67"/>
        <v>300</v>
      </c>
      <c r="N83" s="1012"/>
      <c r="O83" s="1012"/>
      <c r="P83" s="485"/>
      <c r="Q83" s="778"/>
      <c r="R83" s="778"/>
      <c r="S83" s="785" t="str">
        <f t="shared" si="69"/>
        <v/>
      </c>
      <c r="T83" s="548" t="str">
        <f t="shared" si="68"/>
        <v>Sheet Metal Takeoff</v>
      </c>
      <c r="U83" s="83">
        <f t="shared" si="70"/>
        <v>778.56</v>
      </c>
      <c r="V83" s="83">
        <f t="shared" si="71"/>
        <v>0</v>
      </c>
      <c r="W83" s="83">
        <f t="shared" si="72"/>
        <v>0</v>
      </c>
      <c r="X83" s="781">
        <f t="shared" si="73"/>
        <v>0</v>
      </c>
      <c r="Y83" s="781">
        <f t="shared" si="74"/>
        <v>0</v>
      </c>
      <c r="Z83" s="781">
        <f t="shared" si="75"/>
        <v>0</v>
      </c>
      <c r="AA83" s="83">
        <f t="shared" si="76"/>
        <v>852</v>
      </c>
      <c r="AB83" s="83">
        <f t="shared" si="77"/>
        <v>0</v>
      </c>
      <c r="AC83" s="83">
        <f t="shared" si="78"/>
        <v>0</v>
      </c>
      <c r="AD83" s="83">
        <f t="shared" si="79"/>
        <v>0</v>
      </c>
      <c r="AE83" s="83">
        <f t="shared" si="80"/>
        <v>0</v>
      </c>
      <c r="AF83" s="83">
        <f t="shared" si="81"/>
        <v>0</v>
      </c>
      <c r="AG83" s="83">
        <f t="shared" si="82"/>
        <v>778.56</v>
      </c>
      <c r="AH83" s="83">
        <f t="shared" si="83"/>
        <v>852</v>
      </c>
      <c r="AI83" s="83">
        <f t="shared" si="84"/>
        <v>1630.56</v>
      </c>
      <c r="AJ83" s="718">
        <f t="shared" si="85"/>
        <v>1930.56</v>
      </c>
      <c r="AL83">
        <f t="shared" si="86"/>
        <v>0</v>
      </c>
      <c r="AM83">
        <f t="shared" si="87"/>
        <v>0</v>
      </c>
    </row>
    <row r="84" spans="1:39" ht="15.75" x14ac:dyDescent="0.25">
      <c r="A84" s="561"/>
      <c r="B84" s="561"/>
      <c r="C84" s="561"/>
      <c r="D84" s="672"/>
      <c r="E84" s="209"/>
      <c r="F84" s="209"/>
      <c r="G84" s="209"/>
      <c r="H84" s="176">
        <f t="shared" si="65"/>
        <v>0</v>
      </c>
      <c r="I84" s="209"/>
      <c r="J84" s="209"/>
      <c r="K84" s="176">
        <f t="shared" si="66"/>
        <v>0</v>
      </c>
      <c r="L84" s="209"/>
      <c r="M84" s="177">
        <f t="shared" si="67"/>
        <v>0</v>
      </c>
      <c r="N84" s="1012"/>
      <c r="O84" s="1012"/>
      <c r="P84" s="485"/>
      <c r="Q84" s="778"/>
      <c r="R84" s="778"/>
      <c r="S84" s="785" t="str">
        <f t="shared" si="69"/>
        <v/>
      </c>
      <c r="T84" s="548" t="str">
        <f t="shared" si="68"/>
        <v>Sheet Metal Takeoff</v>
      </c>
      <c r="U84" s="83">
        <f t="shared" si="70"/>
        <v>0</v>
      </c>
      <c r="V84" s="83">
        <f t="shared" si="71"/>
        <v>0</v>
      </c>
      <c r="W84" s="83">
        <f t="shared" si="72"/>
        <v>0</v>
      </c>
      <c r="X84" s="781">
        <f t="shared" si="73"/>
        <v>0</v>
      </c>
      <c r="Y84" s="781">
        <f t="shared" si="74"/>
        <v>0</v>
      </c>
      <c r="Z84" s="781">
        <f t="shared" si="75"/>
        <v>0</v>
      </c>
      <c r="AA84" s="83">
        <f t="shared" si="76"/>
        <v>0</v>
      </c>
      <c r="AB84" s="83">
        <f t="shared" si="77"/>
        <v>0</v>
      </c>
      <c r="AC84" s="83">
        <f t="shared" si="78"/>
        <v>0</v>
      </c>
      <c r="AD84" s="83">
        <f t="shared" si="79"/>
        <v>0</v>
      </c>
      <c r="AE84" s="83">
        <f t="shared" si="80"/>
        <v>0</v>
      </c>
      <c r="AF84" s="83">
        <f t="shared" si="81"/>
        <v>0</v>
      </c>
      <c r="AG84" s="83">
        <f t="shared" si="82"/>
        <v>0</v>
      </c>
      <c r="AH84" s="83">
        <f t="shared" si="83"/>
        <v>0</v>
      </c>
      <c r="AI84" s="83">
        <f t="shared" si="84"/>
        <v>0</v>
      </c>
      <c r="AJ84" s="718">
        <f t="shared" si="85"/>
        <v>0</v>
      </c>
      <c r="AL84">
        <f t="shared" si="86"/>
        <v>0</v>
      </c>
      <c r="AM84">
        <f t="shared" si="87"/>
        <v>0</v>
      </c>
    </row>
    <row r="85" spans="1:39" ht="15.75" x14ac:dyDescent="0.25">
      <c r="A85" s="561"/>
      <c r="B85" s="561"/>
      <c r="C85" s="561"/>
      <c r="D85" s="672"/>
      <c r="E85" s="209"/>
      <c r="F85" s="209"/>
      <c r="G85" s="209"/>
      <c r="H85" s="176">
        <f t="shared" si="65"/>
        <v>0</v>
      </c>
      <c r="I85" s="209"/>
      <c r="J85" s="209"/>
      <c r="K85" s="176">
        <f t="shared" si="66"/>
        <v>0</v>
      </c>
      <c r="L85" s="209"/>
      <c r="M85" s="177">
        <f t="shared" si="67"/>
        <v>0</v>
      </c>
      <c r="N85" s="1012"/>
      <c r="O85" s="1012"/>
      <c r="P85" s="485"/>
      <c r="Q85" s="778"/>
      <c r="R85" s="778"/>
      <c r="S85" s="785" t="str">
        <f t="shared" si="69"/>
        <v/>
      </c>
      <c r="T85" s="548" t="str">
        <f t="shared" si="68"/>
        <v>Sheet Metal Takeoff</v>
      </c>
      <c r="U85" s="83">
        <f t="shared" si="70"/>
        <v>0</v>
      </c>
      <c r="V85" s="83">
        <f t="shared" si="71"/>
        <v>0</v>
      </c>
      <c r="W85" s="83">
        <f t="shared" si="72"/>
        <v>0</v>
      </c>
      <c r="X85" s="781">
        <f t="shared" si="73"/>
        <v>0</v>
      </c>
      <c r="Y85" s="781">
        <f t="shared" si="74"/>
        <v>0</v>
      </c>
      <c r="Z85" s="781">
        <f t="shared" si="75"/>
        <v>0</v>
      </c>
      <c r="AA85" s="83">
        <f t="shared" si="76"/>
        <v>0</v>
      </c>
      <c r="AB85" s="83">
        <f t="shared" si="77"/>
        <v>0</v>
      </c>
      <c r="AC85" s="83">
        <f t="shared" si="78"/>
        <v>0</v>
      </c>
      <c r="AD85" s="83">
        <f t="shared" si="79"/>
        <v>0</v>
      </c>
      <c r="AE85" s="83">
        <f t="shared" si="80"/>
        <v>0</v>
      </c>
      <c r="AF85" s="83">
        <f t="shared" si="81"/>
        <v>0</v>
      </c>
      <c r="AG85" s="83">
        <f t="shared" si="82"/>
        <v>0</v>
      </c>
      <c r="AH85" s="83">
        <f t="shared" si="83"/>
        <v>0</v>
      </c>
      <c r="AI85" s="83">
        <f t="shared" si="84"/>
        <v>0</v>
      </c>
      <c r="AJ85" s="718">
        <f t="shared" si="85"/>
        <v>0</v>
      </c>
      <c r="AL85">
        <f t="shared" si="86"/>
        <v>0</v>
      </c>
      <c r="AM85">
        <f t="shared" si="87"/>
        <v>0</v>
      </c>
    </row>
    <row r="86" spans="1:39" ht="15.75" x14ac:dyDescent="0.25">
      <c r="A86" s="561"/>
      <c r="B86" s="561"/>
      <c r="C86" s="561"/>
      <c r="D86" s="672"/>
      <c r="E86" s="209"/>
      <c r="F86" s="209"/>
      <c r="G86" s="209"/>
      <c r="H86" s="176">
        <f t="shared" si="65"/>
        <v>0</v>
      </c>
      <c r="I86" s="209"/>
      <c r="J86" s="209"/>
      <c r="K86" s="176">
        <f t="shared" si="66"/>
        <v>0</v>
      </c>
      <c r="L86" s="209"/>
      <c r="M86" s="177">
        <f t="shared" si="67"/>
        <v>0</v>
      </c>
      <c r="N86" s="1012"/>
      <c r="O86" s="1012"/>
      <c r="P86" s="485"/>
      <c r="Q86" s="778"/>
      <c r="R86" s="778"/>
      <c r="S86" s="785" t="str">
        <f t="shared" si="69"/>
        <v/>
      </c>
      <c r="T86" s="548" t="str">
        <f t="shared" si="68"/>
        <v>Sheet Metal Takeoff</v>
      </c>
      <c r="U86" s="83">
        <f t="shared" si="70"/>
        <v>0</v>
      </c>
      <c r="V86" s="83">
        <f t="shared" si="71"/>
        <v>0</v>
      </c>
      <c r="W86" s="83">
        <f t="shared" si="72"/>
        <v>0</v>
      </c>
      <c r="X86" s="781">
        <f t="shared" si="73"/>
        <v>0</v>
      </c>
      <c r="Y86" s="781">
        <f t="shared" si="74"/>
        <v>0</v>
      </c>
      <c r="Z86" s="781">
        <f t="shared" si="75"/>
        <v>0</v>
      </c>
      <c r="AA86" s="83">
        <f t="shared" si="76"/>
        <v>0</v>
      </c>
      <c r="AB86" s="83">
        <f t="shared" si="77"/>
        <v>0</v>
      </c>
      <c r="AC86" s="83">
        <f t="shared" si="78"/>
        <v>0</v>
      </c>
      <c r="AD86" s="83">
        <f t="shared" si="79"/>
        <v>0</v>
      </c>
      <c r="AE86" s="83">
        <f t="shared" si="80"/>
        <v>0</v>
      </c>
      <c r="AF86" s="83">
        <f t="shared" si="81"/>
        <v>0</v>
      </c>
      <c r="AG86" s="83">
        <f t="shared" si="82"/>
        <v>0</v>
      </c>
      <c r="AH86" s="83">
        <f t="shared" si="83"/>
        <v>0</v>
      </c>
      <c r="AI86" s="83">
        <f t="shared" si="84"/>
        <v>0</v>
      </c>
      <c r="AJ86" s="718">
        <f t="shared" si="85"/>
        <v>0</v>
      </c>
      <c r="AL86">
        <f t="shared" si="86"/>
        <v>0</v>
      </c>
      <c r="AM86">
        <f t="shared" si="87"/>
        <v>0</v>
      </c>
    </row>
    <row r="87" spans="1:39" ht="15.75" x14ac:dyDescent="0.25">
      <c r="A87" s="561"/>
      <c r="B87" s="561"/>
      <c r="C87" s="561"/>
      <c r="D87" s="672"/>
      <c r="E87" s="209"/>
      <c r="F87" s="209"/>
      <c r="G87" s="209"/>
      <c r="H87" s="176">
        <f t="shared" si="65"/>
        <v>0</v>
      </c>
      <c r="I87" s="209"/>
      <c r="J87" s="209"/>
      <c r="K87" s="176">
        <f t="shared" si="66"/>
        <v>0</v>
      </c>
      <c r="L87" s="209"/>
      <c r="M87" s="177">
        <f t="shared" si="67"/>
        <v>0</v>
      </c>
      <c r="N87" s="1012"/>
      <c r="O87" s="1012"/>
      <c r="P87" s="485"/>
      <c r="Q87" s="778"/>
      <c r="R87" s="778"/>
      <c r="S87" s="785" t="str">
        <f t="shared" si="69"/>
        <v/>
      </c>
      <c r="T87" s="548" t="str">
        <f t="shared" si="68"/>
        <v>Sheet Metal Takeoff</v>
      </c>
      <c r="U87" s="83">
        <f t="shared" si="70"/>
        <v>0</v>
      </c>
      <c r="V87" s="83">
        <f t="shared" si="71"/>
        <v>0</v>
      </c>
      <c r="W87" s="83">
        <f t="shared" si="72"/>
        <v>0</v>
      </c>
      <c r="X87" s="781">
        <f t="shared" si="73"/>
        <v>0</v>
      </c>
      <c r="Y87" s="781">
        <f t="shared" si="74"/>
        <v>0</v>
      </c>
      <c r="Z87" s="781">
        <f t="shared" si="75"/>
        <v>0</v>
      </c>
      <c r="AA87" s="83">
        <f t="shared" si="76"/>
        <v>0</v>
      </c>
      <c r="AB87" s="83">
        <f t="shared" si="77"/>
        <v>0</v>
      </c>
      <c r="AC87" s="83">
        <f t="shared" si="78"/>
        <v>0</v>
      </c>
      <c r="AD87" s="83">
        <f t="shared" si="79"/>
        <v>0</v>
      </c>
      <c r="AE87" s="83">
        <f t="shared" si="80"/>
        <v>0</v>
      </c>
      <c r="AF87" s="83">
        <f t="shared" si="81"/>
        <v>0</v>
      </c>
      <c r="AG87" s="83">
        <f t="shared" si="82"/>
        <v>0</v>
      </c>
      <c r="AH87" s="83">
        <f t="shared" si="83"/>
        <v>0</v>
      </c>
      <c r="AI87" s="83">
        <f t="shared" si="84"/>
        <v>0</v>
      </c>
      <c r="AJ87" s="718">
        <f t="shared" si="85"/>
        <v>0</v>
      </c>
      <c r="AL87">
        <f t="shared" si="86"/>
        <v>0</v>
      </c>
      <c r="AM87">
        <f t="shared" si="87"/>
        <v>0</v>
      </c>
    </row>
    <row r="88" spans="1:39" ht="15.75" x14ac:dyDescent="0.25">
      <c r="A88" s="561"/>
      <c r="B88" s="561"/>
      <c r="C88" s="561"/>
      <c r="D88" s="672"/>
      <c r="E88" s="209"/>
      <c r="F88" s="209"/>
      <c r="G88" s="209"/>
      <c r="H88" s="176">
        <f t="shared" si="65"/>
        <v>0</v>
      </c>
      <c r="I88" s="209"/>
      <c r="J88" s="209"/>
      <c r="K88" s="176">
        <f t="shared" si="66"/>
        <v>0</v>
      </c>
      <c r="L88" s="209"/>
      <c r="M88" s="177">
        <f t="shared" si="67"/>
        <v>0</v>
      </c>
      <c r="N88" s="1012"/>
      <c r="O88" s="1012"/>
      <c r="P88" s="485"/>
      <c r="Q88" s="778"/>
      <c r="R88" s="778"/>
      <c r="S88" s="785" t="str">
        <f t="shared" si="69"/>
        <v/>
      </c>
      <c r="T88" s="548" t="str">
        <f t="shared" si="68"/>
        <v>Sheet Metal Takeoff</v>
      </c>
      <c r="U88" s="83">
        <f t="shared" si="70"/>
        <v>0</v>
      </c>
      <c r="V88" s="83">
        <f t="shared" si="71"/>
        <v>0</v>
      </c>
      <c r="W88" s="83">
        <f t="shared" si="72"/>
        <v>0</v>
      </c>
      <c r="X88" s="781">
        <f t="shared" si="73"/>
        <v>0</v>
      </c>
      <c r="Y88" s="781">
        <f t="shared" si="74"/>
        <v>0</v>
      </c>
      <c r="Z88" s="781">
        <f t="shared" si="75"/>
        <v>0</v>
      </c>
      <c r="AA88" s="83">
        <f t="shared" si="76"/>
        <v>0</v>
      </c>
      <c r="AB88" s="83">
        <f t="shared" si="77"/>
        <v>0</v>
      </c>
      <c r="AC88" s="83">
        <f t="shared" si="78"/>
        <v>0</v>
      </c>
      <c r="AD88" s="83">
        <f t="shared" si="79"/>
        <v>0</v>
      </c>
      <c r="AE88" s="83">
        <f t="shared" si="80"/>
        <v>0</v>
      </c>
      <c r="AF88" s="83">
        <f t="shared" si="81"/>
        <v>0</v>
      </c>
      <c r="AG88" s="83">
        <f t="shared" si="82"/>
        <v>0</v>
      </c>
      <c r="AH88" s="83">
        <f t="shared" si="83"/>
        <v>0</v>
      </c>
      <c r="AI88" s="83">
        <f t="shared" si="84"/>
        <v>0</v>
      </c>
      <c r="AJ88" s="718">
        <f t="shared" si="85"/>
        <v>0</v>
      </c>
      <c r="AL88">
        <f t="shared" si="86"/>
        <v>0</v>
      </c>
      <c r="AM88">
        <f t="shared" si="87"/>
        <v>0</v>
      </c>
    </row>
    <row r="89" spans="1:39" ht="15.75" x14ac:dyDescent="0.25">
      <c r="A89" s="561"/>
      <c r="B89" s="561"/>
      <c r="C89" s="561"/>
      <c r="D89" s="672"/>
      <c r="E89" s="209"/>
      <c r="F89" s="209"/>
      <c r="G89" s="209"/>
      <c r="H89" s="176">
        <f t="shared" si="65"/>
        <v>0</v>
      </c>
      <c r="I89" s="209"/>
      <c r="J89" s="209"/>
      <c r="K89" s="176">
        <f t="shared" si="66"/>
        <v>0</v>
      </c>
      <c r="L89" s="209"/>
      <c r="M89" s="177">
        <f t="shared" si="67"/>
        <v>0</v>
      </c>
      <c r="N89" s="1012"/>
      <c r="O89" s="1012"/>
      <c r="P89" s="485"/>
      <c r="Q89" s="778"/>
      <c r="R89" s="778"/>
      <c r="S89" s="785" t="str">
        <f t="shared" si="69"/>
        <v/>
      </c>
      <c r="T89" s="548" t="str">
        <f t="shared" si="68"/>
        <v>Sheet Metal Takeoff</v>
      </c>
      <c r="U89" s="83">
        <f t="shared" si="70"/>
        <v>0</v>
      </c>
      <c r="V89" s="83">
        <f t="shared" si="71"/>
        <v>0</v>
      </c>
      <c r="W89" s="83">
        <f t="shared" si="72"/>
        <v>0</v>
      </c>
      <c r="X89" s="781">
        <f t="shared" si="73"/>
        <v>0</v>
      </c>
      <c r="Y89" s="781">
        <f t="shared" si="74"/>
        <v>0</v>
      </c>
      <c r="Z89" s="781">
        <f t="shared" si="75"/>
        <v>0</v>
      </c>
      <c r="AA89" s="83">
        <f t="shared" si="76"/>
        <v>0</v>
      </c>
      <c r="AB89" s="83">
        <f t="shared" si="77"/>
        <v>0</v>
      </c>
      <c r="AC89" s="83">
        <f t="shared" si="78"/>
        <v>0</v>
      </c>
      <c r="AD89" s="83">
        <f t="shared" si="79"/>
        <v>0</v>
      </c>
      <c r="AE89" s="83">
        <f t="shared" si="80"/>
        <v>0</v>
      </c>
      <c r="AF89" s="83">
        <f t="shared" si="81"/>
        <v>0</v>
      </c>
      <c r="AG89" s="83">
        <f t="shared" si="82"/>
        <v>0</v>
      </c>
      <c r="AH89" s="83">
        <f t="shared" si="83"/>
        <v>0</v>
      </c>
      <c r="AI89" s="83">
        <f t="shared" si="84"/>
        <v>0</v>
      </c>
      <c r="AJ89" s="718">
        <f t="shared" si="85"/>
        <v>0</v>
      </c>
      <c r="AL89">
        <f t="shared" si="86"/>
        <v>0</v>
      </c>
      <c r="AM89">
        <f t="shared" si="87"/>
        <v>0</v>
      </c>
    </row>
    <row r="90" spans="1:39" ht="15.75" x14ac:dyDescent="0.25">
      <c r="A90" s="561"/>
      <c r="B90" s="561"/>
      <c r="C90" s="561"/>
      <c r="D90" s="672"/>
      <c r="E90" s="209"/>
      <c r="F90" s="209"/>
      <c r="G90" s="209"/>
      <c r="H90" s="176">
        <f t="shared" si="65"/>
        <v>0</v>
      </c>
      <c r="I90" s="209"/>
      <c r="J90" s="209"/>
      <c r="K90" s="176">
        <f t="shared" si="66"/>
        <v>0</v>
      </c>
      <c r="L90" s="209"/>
      <c r="M90" s="177">
        <f t="shared" si="67"/>
        <v>0</v>
      </c>
      <c r="N90" s="1012"/>
      <c r="O90" s="1012"/>
      <c r="P90" s="485"/>
      <c r="Q90" s="778"/>
      <c r="R90" s="778"/>
      <c r="S90" s="785" t="str">
        <f t="shared" si="69"/>
        <v/>
      </c>
      <c r="T90" s="548" t="str">
        <f t="shared" si="68"/>
        <v>Sheet Metal Takeoff</v>
      </c>
      <c r="U90" s="83">
        <f t="shared" si="70"/>
        <v>0</v>
      </c>
      <c r="V90" s="83">
        <f t="shared" si="71"/>
        <v>0</v>
      </c>
      <c r="W90" s="83">
        <f t="shared" si="72"/>
        <v>0</v>
      </c>
      <c r="X90" s="781">
        <f t="shared" si="73"/>
        <v>0</v>
      </c>
      <c r="Y90" s="781">
        <f t="shared" si="74"/>
        <v>0</v>
      </c>
      <c r="Z90" s="781">
        <f t="shared" si="75"/>
        <v>0</v>
      </c>
      <c r="AA90" s="83">
        <f t="shared" si="76"/>
        <v>0</v>
      </c>
      <c r="AB90" s="83">
        <f t="shared" si="77"/>
        <v>0</v>
      </c>
      <c r="AC90" s="83">
        <f t="shared" si="78"/>
        <v>0</v>
      </c>
      <c r="AD90" s="83">
        <f t="shared" si="79"/>
        <v>0</v>
      </c>
      <c r="AE90" s="83">
        <f t="shared" si="80"/>
        <v>0</v>
      </c>
      <c r="AF90" s="83">
        <f t="shared" si="81"/>
        <v>0</v>
      </c>
      <c r="AG90" s="83">
        <f t="shared" si="82"/>
        <v>0</v>
      </c>
      <c r="AH90" s="83">
        <f t="shared" si="83"/>
        <v>0</v>
      </c>
      <c r="AI90" s="83">
        <f t="shared" si="84"/>
        <v>0</v>
      </c>
      <c r="AJ90" s="718">
        <f t="shared" si="85"/>
        <v>0</v>
      </c>
      <c r="AL90">
        <f t="shared" si="86"/>
        <v>0</v>
      </c>
      <c r="AM90">
        <f t="shared" si="87"/>
        <v>0</v>
      </c>
    </row>
    <row r="91" spans="1:39" ht="15.75" x14ac:dyDescent="0.25">
      <c r="A91" s="561"/>
      <c r="B91" s="561"/>
      <c r="C91" s="561"/>
      <c r="D91" s="672"/>
      <c r="E91" s="209"/>
      <c r="F91" s="209"/>
      <c r="G91" s="209"/>
      <c r="H91" s="176">
        <f t="shared" si="65"/>
        <v>0</v>
      </c>
      <c r="I91" s="209"/>
      <c r="J91" s="209"/>
      <c r="K91" s="176">
        <f t="shared" si="66"/>
        <v>0</v>
      </c>
      <c r="L91" s="209"/>
      <c r="M91" s="177">
        <f t="shared" si="67"/>
        <v>0</v>
      </c>
      <c r="N91" s="1012"/>
      <c r="O91" s="1012"/>
      <c r="P91" s="485"/>
      <c r="Q91" s="778"/>
      <c r="R91" s="778"/>
      <c r="S91" s="785" t="str">
        <f t="shared" si="69"/>
        <v/>
      </c>
      <c r="T91" s="548" t="str">
        <f t="shared" si="68"/>
        <v>Sheet Metal Takeoff</v>
      </c>
      <c r="U91" s="83">
        <f t="shared" si="70"/>
        <v>0</v>
      </c>
      <c r="V91" s="83">
        <f t="shared" si="71"/>
        <v>0</v>
      </c>
      <c r="W91" s="83">
        <f t="shared" si="72"/>
        <v>0</v>
      </c>
      <c r="X91" s="781">
        <f t="shared" si="73"/>
        <v>0</v>
      </c>
      <c r="Y91" s="781">
        <f t="shared" si="74"/>
        <v>0</v>
      </c>
      <c r="Z91" s="781">
        <f t="shared" si="75"/>
        <v>0</v>
      </c>
      <c r="AA91" s="83">
        <f t="shared" si="76"/>
        <v>0</v>
      </c>
      <c r="AB91" s="83">
        <f t="shared" si="77"/>
        <v>0</v>
      </c>
      <c r="AC91" s="83">
        <f t="shared" si="78"/>
        <v>0</v>
      </c>
      <c r="AD91" s="83">
        <f t="shared" si="79"/>
        <v>0</v>
      </c>
      <c r="AE91" s="83">
        <f t="shared" si="80"/>
        <v>0</v>
      </c>
      <c r="AF91" s="83">
        <f t="shared" si="81"/>
        <v>0</v>
      </c>
      <c r="AG91" s="83">
        <f t="shared" si="82"/>
        <v>0</v>
      </c>
      <c r="AH91" s="83">
        <f t="shared" si="83"/>
        <v>0</v>
      </c>
      <c r="AI91" s="83">
        <f t="shared" si="84"/>
        <v>0</v>
      </c>
      <c r="AJ91" s="718">
        <f t="shared" si="85"/>
        <v>0</v>
      </c>
      <c r="AL91">
        <f t="shared" si="86"/>
        <v>0</v>
      </c>
      <c r="AM91">
        <f t="shared" si="87"/>
        <v>0</v>
      </c>
    </row>
    <row r="92" spans="1:39" ht="15.75" x14ac:dyDescent="0.25">
      <c r="A92" s="561"/>
      <c r="B92" s="561"/>
      <c r="C92" s="561"/>
      <c r="D92" s="672"/>
      <c r="E92" s="209"/>
      <c r="F92" s="209"/>
      <c r="G92" s="209"/>
      <c r="H92" s="176">
        <f t="shared" si="65"/>
        <v>0</v>
      </c>
      <c r="I92" s="209"/>
      <c r="J92" s="209"/>
      <c r="K92" s="176">
        <f t="shared" si="66"/>
        <v>0</v>
      </c>
      <c r="L92" s="209"/>
      <c r="M92" s="177">
        <f t="shared" si="67"/>
        <v>0</v>
      </c>
      <c r="N92" s="1012"/>
      <c r="O92" s="1012"/>
      <c r="P92" s="485"/>
      <c r="Q92" s="778"/>
      <c r="R92" s="778"/>
      <c r="S92" s="785" t="str">
        <f t="shared" si="69"/>
        <v/>
      </c>
      <c r="T92" s="548" t="str">
        <f t="shared" si="68"/>
        <v>Sheet Metal Takeoff</v>
      </c>
      <c r="U92" s="83">
        <f t="shared" si="70"/>
        <v>0</v>
      </c>
      <c r="V92" s="83">
        <f t="shared" si="71"/>
        <v>0</v>
      </c>
      <c r="W92" s="83">
        <f t="shared" si="72"/>
        <v>0</v>
      </c>
      <c r="X92" s="781">
        <f t="shared" si="73"/>
        <v>0</v>
      </c>
      <c r="Y92" s="781">
        <f t="shared" si="74"/>
        <v>0</v>
      </c>
      <c r="Z92" s="781">
        <f t="shared" si="75"/>
        <v>0</v>
      </c>
      <c r="AA92" s="83">
        <f t="shared" si="76"/>
        <v>0</v>
      </c>
      <c r="AB92" s="83">
        <f t="shared" si="77"/>
        <v>0</v>
      </c>
      <c r="AC92" s="83">
        <f t="shared" si="78"/>
        <v>0</v>
      </c>
      <c r="AD92" s="83">
        <f t="shared" si="79"/>
        <v>0</v>
      </c>
      <c r="AE92" s="83">
        <f t="shared" si="80"/>
        <v>0</v>
      </c>
      <c r="AF92" s="83">
        <f t="shared" si="81"/>
        <v>0</v>
      </c>
      <c r="AG92" s="83">
        <f t="shared" si="82"/>
        <v>0</v>
      </c>
      <c r="AH92" s="83">
        <f t="shared" si="83"/>
        <v>0</v>
      </c>
      <c r="AI92" s="83">
        <f t="shared" si="84"/>
        <v>0</v>
      </c>
      <c r="AJ92" s="718">
        <f t="shared" si="85"/>
        <v>0</v>
      </c>
      <c r="AL92">
        <f t="shared" si="86"/>
        <v>0</v>
      </c>
      <c r="AM92">
        <f t="shared" si="87"/>
        <v>0</v>
      </c>
    </row>
    <row r="93" spans="1:39" ht="15.75" x14ac:dyDescent="0.25">
      <c r="A93" s="561"/>
      <c r="B93" s="561"/>
      <c r="C93" s="561"/>
      <c r="D93" s="672" t="s">
        <v>1881</v>
      </c>
      <c r="E93" s="209">
        <v>1</v>
      </c>
      <c r="F93" s="209"/>
      <c r="G93" s="209"/>
      <c r="H93" s="176">
        <f t="shared" si="65"/>
        <v>0</v>
      </c>
      <c r="I93" s="209"/>
      <c r="J93" s="209"/>
      <c r="K93" s="176">
        <f t="shared" si="66"/>
        <v>0</v>
      </c>
      <c r="L93" s="209">
        <v>15100</v>
      </c>
      <c r="M93" s="177">
        <f t="shared" si="67"/>
        <v>15100</v>
      </c>
      <c r="N93" s="1012" t="s">
        <v>1899</v>
      </c>
      <c r="O93" s="1012"/>
      <c r="P93" s="485"/>
      <c r="Q93" s="778"/>
      <c r="R93" s="778"/>
      <c r="S93" s="785" t="str">
        <f t="shared" si="69"/>
        <v/>
      </c>
      <c r="T93" s="548" t="str">
        <f t="shared" si="68"/>
        <v>Sheet Metal Takeoff</v>
      </c>
      <c r="U93" s="83">
        <f t="shared" si="70"/>
        <v>0</v>
      </c>
      <c r="V93" s="83">
        <f t="shared" si="71"/>
        <v>0</v>
      </c>
      <c r="W93" s="83">
        <f t="shared" si="72"/>
        <v>0</v>
      </c>
      <c r="X93" s="781">
        <f t="shared" si="73"/>
        <v>0</v>
      </c>
      <c r="Y93" s="781">
        <f t="shared" si="74"/>
        <v>0</v>
      </c>
      <c r="Z93" s="781">
        <f t="shared" si="75"/>
        <v>0</v>
      </c>
      <c r="AA93" s="83">
        <f t="shared" si="76"/>
        <v>0</v>
      </c>
      <c r="AB93" s="83">
        <f t="shared" si="77"/>
        <v>0</v>
      </c>
      <c r="AC93" s="83">
        <f t="shared" si="78"/>
        <v>0</v>
      </c>
      <c r="AD93" s="83">
        <f t="shared" si="79"/>
        <v>0</v>
      </c>
      <c r="AE93" s="83">
        <f t="shared" si="80"/>
        <v>0</v>
      </c>
      <c r="AF93" s="83">
        <f t="shared" si="81"/>
        <v>0</v>
      </c>
      <c r="AG93" s="83">
        <f t="shared" si="82"/>
        <v>0</v>
      </c>
      <c r="AH93" s="83">
        <f t="shared" si="83"/>
        <v>0</v>
      </c>
      <c r="AI93" s="83">
        <f t="shared" si="84"/>
        <v>0</v>
      </c>
      <c r="AJ93" s="718">
        <f t="shared" si="85"/>
        <v>15100</v>
      </c>
      <c r="AL93">
        <f t="shared" si="86"/>
        <v>0</v>
      </c>
      <c r="AM93">
        <f t="shared" si="87"/>
        <v>0</v>
      </c>
    </row>
    <row r="94" spans="1:39" ht="15.75" x14ac:dyDescent="0.25">
      <c r="A94" s="561"/>
      <c r="B94" s="561"/>
      <c r="C94" s="561"/>
      <c r="D94" s="672" t="s">
        <v>1847</v>
      </c>
      <c r="E94" s="209">
        <v>1</v>
      </c>
      <c r="F94" s="209"/>
      <c r="G94" s="209"/>
      <c r="H94" s="176">
        <f t="shared" si="65"/>
        <v>0</v>
      </c>
      <c r="I94" s="209"/>
      <c r="J94" s="209"/>
      <c r="K94" s="176">
        <f t="shared" si="66"/>
        <v>0</v>
      </c>
      <c r="L94" s="209"/>
      <c r="M94" s="177">
        <f t="shared" si="67"/>
        <v>0</v>
      </c>
      <c r="N94" s="1012" t="s">
        <v>1893</v>
      </c>
      <c r="O94" s="1012"/>
      <c r="P94" s="485"/>
      <c r="Q94" s="778"/>
      <c r="R94" s="778"/>
      <c r="S94" s="785" t="str">
        <f t="shared" si="69"/>
        <v/>
      </c>
      <c r="T94" s="548" t="str">
        <f t="shared" si="68"/>
        <v>Sheet Metal Takeoff</v>
      </c>
      <c r="U94" s="83">
        <f t="shared" si="70"/>
        <v>0</v>
      </c>
      <c r="V94" s="83">
        <f t="shared" si="71"/>
        <v>0</v>
      </c>
      <c r="W94" s="83">
        <f t="shared" si="72"/>
        <v>0</v>
      </c>
      <c r="X94" s="781">
        <f t="shared" si="73"/>
        <v>0</v>
      </c>
      <c r="Y94" s="781">
        <f t="shared" si="74"/>
        <v>0</v>
      </c>
      <c r="Z94" s="781">
        <f t="shared" si="75"/>
        <v>0</v>
      </c>
      <c r="AA94" s="83">
        <f t="shared" si="76"/>
        <v>0</v>
      </c>
      <c r="AB94" s="83">
        <f t="shared" si="77"/>
        <v>0</v>
      </c>
      <c r="AC94" s="83">
        <f t="shared" si="78"/>
        <v>0</v>
      </c>
      <c r="AD94" s="83">
        <f t="shared" si="79"/>
        <v>0</v>
      </c>
      <c r="AE94" s="83">
        <f t="shared" si="80"/>
        <v>0</v>
      </c>
      <c r="AF94" s="83">
        <f t="shared" si="81"/>
        <v>0</v>
      </c>
      <c r="AG94" s="83">
        <f t="shared" si="82"/>
        <v>0</v>
      </c>
      <c r="AH94" s="83">
        <f t="shared" si="83"/>
        <v>0</v>
      </c>
      <c r="AI94" s="83">
        <f t="shared" si="84"/>
        <v>0</v>
      </c>
      <c r="AJ94" s="718">
        <f t="shared" si="85"/>
        <v>0</v>
      </c>
      <c r="AL94">
        <f t="shared" si="86"/>
        <v>0</v>
      </c>
      <c r="AM94">
        <f t="shared" si="87"/>
        <v>0</v>
      </c>
    </row>
    <row r="95" spans="1:39" ht="15.75" x14ac:dyDescent="0.25">
      <c r="A95" s="561"/>
      <c r="B95" s="561"/>
      <c r="C95" s="561"/>
      <c r="D95" s="672" t="s">
        <v>27</v>
      </c>
      <c r="E95" s="209"/>
      <c r="F95" s="209"/>
      <c r="G95" s="209"/>
      <c r="H95" s="176">
        <f t="shared" si="65"/>
        <v>0</v>
      </c>
      <c r="I95" s="209"/>
      <c r="J95" s="209"/>
      <c r="K95" s="176">
        <f t="shared" si="66"/>
        <v>0</v>
      </c>
      <c r="L95" s="209"/>
      <c r="M95" s="177">
        <f t="shared" si="67"/>
        <v>0</v>
      </c>
      <c r="N95" s="1012" t="s">
        <v>1893</v>
      </c>
      <c r="O95" s="1012"/>
      <c r="P95" s="485"/>
      <c r="Q95" s="778"/>
      <c r="R95" s="778"/>
      <c r="S95" s="785" t="str">
        <f t="shared" si="69"/>
        <v/>
      </c>
      <c r="T95" s="548" t="str">
        <f t="shared" si="68"/>
        <v>Sheet Metal Takeoff</v>
      </c>
      <c r="U95" s="83">
        <f t="shared" si="70"/>
        <v>0</v>
      </c>
      <c r="V95" s="83">
        <f t="shared" si="71"/>
        <v>0</v>
      </c>
      <c r="W95" s="83">
        <f t="shared" si="72"/>
        <v>0</v>
      </c>
      <c r="X95" s="781">
        <f t="shared" si="73"/>
        <v>0</v>
      </c>
      <c r="Y95" s="781">
        <f t="shared" si="74"/>
        <v>0</v>
      </c>
      <c r="Z95" s="781">
        <f t="shared" si="75"/>
        <v>0</v>
      </c>
      <c r="AA95" s="83">
        <f t="shared" si="76"/>
        <v>0</v>
      </c>
      <c r="AB95" s="83">
        <f t="shared" si="77"/>
        <v>0</v>
      </c>
      <c r="AC95" s="83">
        <f t="shared" si="78"/>
        <v>0</v>
      </c>
      <c r="AD95" s="83">
        <f t="shared" si="79"/>
        <v>0</v>
      </c>
      <c r="AE95" s="83">
        <f t="shared" si="80"/>
        <v>0</v>
      </c>
      <c r="AF95" s="83">
        <f t="shared" si="81"/>
        <v>0</v>
      </c>
      <c r="AG95" s="83">
        <f t="shared" si="82"/>
        <v>0</v>
      </c>
      <c r="AH95" s="83">
        <f t="shared" si="83"/>
        <v>0</v>
      </c>
      <c r="AI95" s="83">
        <f t="shared" si="84"/>
        <v>0</v>
      </c>
      <c r="AJ95" s="718">
        <f t="shared" si="85"/>
        <v>0</v>
      </c>
      <c r="AL95">
        <f t="shared" si="86"/>
        <v>0</v>
      </c>
      <c r="AM95">
        <f t="shared" si="87"/>
        <v>0</v>
      </c>
    </row>
    <row r="96" spans="1:39" ht="15.75" x14ac:dyDescent="0.25">
      <c r="A96" s="561"/>
      <c r="B96" s="561"/>
      <c r="C96" s="561"/>
      <c r="D96" s="672"/>
      <c r="E96" s="209"/>
      <c r="F96" s="209"/>
      <c r="G96" s="209"/>
      <c r="H96" s="176">
        <f t="shared" si="65"/>
        <v>0</v>
      </c>
      <c r="I96" s="209"/>
      <c r="J96" s="209"/>
      <c r="K96" s="176">
        <f t="shared" si="66"/>
        <v>0</v>
      </c>
      <c r="L96" s="209"/>
      <c r="M96" s="177">
        <f t="shared" si="67"/>
        <v>0</v>
      </c>
      <c r="N96" s="1012"/>
      <c r="O96" s="1012"/>
      <c r="P96" s="485"/>
      <c r="Q96" s="778"/>
      <c r="R96" s="778"/>
      <c r="S96" s="785" t="str">
        <f t="shared" si="69"/>
        <v/>
      </c>
      <c r="T96" s="548" t="str">
        <f t="shared" si="68"/>
        <v>Sheet Metal Takeoff</v>
      </c>
      <c r="U96" s="83">
        <f t="shared" si="70"/>
        <v>0</v>
      </c>
      <c r="V96" s="83">
        <f t="shared" si="71"/>
        <v>0</v>
      </c>
      <c r="W96" s="83">
        <f t="shared" si="72"/>
        <v>0</v>
      </c>
      <c r="X96" s="781">
        <f t="shared" si="73"/>
        <v>0</v>
      </c>
      <c r="Y96" s="781">
        <f t="shared" si="74"/>
        <v>0</v>
      </c>
      <c r="Z96" s="781">
        <f t="shared" si="75"/>
        <v>0</v>
      </c>
      <c r="AA96" s="83">
        <f t="shared" si="76"/>
        <v>0</v>
      </c>
      <c r="AB96" s="83">
        <f t="shared" si="77"/>
        <v>0</v>
      </c>
      <c r="AC96" s="83">
        <f t="shared" si="78"/>
        <v>0</v>
      </c>
      <c r="AD96" s="83">
        <f t="shared" si="79"/>
        <v>0</v>
      </c>
      <c r="AE96" s="83">
        <f t="shared" si="80"/>
        <v>0</v>
      </c>
      <c r="AF96" s="83">
        <f t="shared" si="81"/>
        <v>0</v>
      </c>
      <c r="AG96" s="83">
        <f t="shared" si="82"/>
        <v>0</v>
      </c>
      <c r="AH96" s="83">
        <f t="shared" si="83"/>
        <v>0</v>
      </c>
      <c r="AI96" s="83">
        <f t="shared" si="84"/>
        <v>0</v>
      </c>
      <c r="AJ96" s="718">
        <f t="shared" si="85"/>
        <v>0</v>
      </c>
      <c r="AL96">
        <f t="shared" si="86"/>
        <v>0</v>
      </c>
      <c r="AM96">
        <f t="shared" si="87"/>
        <v>0</v>
      </c>
    </row>
    <row r="97" spans="1:39" ht="15.75" x14ac:dyDescent="0.25">
      <c r="A97" s="561"/>
      <c r="B97" s="561"/>
      <c r="C97" s="561"/>
      <c r="D97" s="672"/>
      <c r="E97" s="209"/>
      <c r="F97" s="209"/>
      <c r="G97" s="209"/>
      <c r="H97" s="176">
        <f t="shared" si="65"/>
        <v>0</v>
      </c>
      <c r="I97" s="209"/>
      <c r="J97" s="209"/>
      <c r="K97" s="176">
        <f t="shared" si="66"/>
        <v>0</v>
      </c>
      <c r="L97" s="209"/>
      <c r="M97" s="177">
        <f t="shared" si="67"/>
        <v>0</v>
      </c>
      <c r="N97" s="1012"/>
      <c r="O97" s="1012"/>
      <c r="P97" s="485"/>
      <c r="Q97" s="778"/>
      <c r="R97" s="778"/>
      <c r="S97" s="785" t="str">
        <f t="shared" si="69"/>
        <v/>
      </c>
      <c r="T97" s="548" t="str">
        <f t="shared" si="68"/>
        <v>Sheet Metal Takeoff</v>
      </c>
      <c r="U97" s="83">
        <f t="shared" si="70"/>
        <v>0</v>
      </c>
      <c r="V97" s="83">
        <f t="shared" si="71"/>
        <v>0</v>
      </c>
      <c r="W97" s="83">
        <f t="shared" si="72"/>
        <v>0</v>
      </c>
      <c r="X97" s="781">
        <f t="shared" si="73"/>
        <v>0</v>
      </c>
      <c r="Y97" s="781">
        <f t="shared" si="74"/>
        <v>0</v>
      </c>
      <c r="Z97" s="781">
        <f t="shared" si="75"/>
        <v>0</v>
      </c>
      <c r="AA97" s="83">
        <f t="shared" si="76"/>
        <v>0</v>
      </c>
      <c r="AB97" s="83">
        <f t="shared" si="77"/>
        <v>0</v>
      </c>
      <c r="AC97" s="83">
        <f t="shared" si="78"/>
        <v>0</v>
      </c>
      <c r="AD97" s="83">
        <f t="shared" si="79"/>
        <v>0</v>
      </c>
      <c r="AE97" s="83">
        <f t="shared" si="80"/>
        <v>0</v>
      </c>
      <c r="AF97" s="83">
        <f t="shared" si="81"/>
        <v>0</v>
      </c>
      <c r="AG97" s="83">
        <f t="shared" si="82"/>
        <v>0</v>
      </c>
      <c r="AH97" s="83">
        <f t="shared" si="83"/>
        <v>0</v>
      </c>
      <c r="AI97" s="83">
        <f t="shared" si="84"/>
        <v>0</v>
      </c>
      <c r="AJ97" s="718">
        <f t="shared" si="85"/>
        <v>0</v>
      </c>
      <c r="AL97">
        <f t="shared" si="86"/>
        <v>0</v>
      </c>
      <c r="AM97">
        <f t="shared" si="87"/>
        <v>0</v>
      </c>
    </row>
    <row r="98" spans="1:39" ht="15.75" x14ac:dyDescent="0.25">
      <c r="A98" s="561"/>
      <c r="B98" s="561"/>
      <c r="C98" s="561"/>
      <c r="D98" s="672"/>
      <c r="E98" s="209"/>
      <c r="F98" s="209"/>
      <c r="G98" s="209"/>
      <c r="H98" s="176">
        <f t="shared" si="65"/>
        <v>0</v>
      </c>
      <c r="I98" s="209"/>
      <c r="J98" s="209"/>
      <c r="K98" s="176">
        <f t="shared" si="66"/>
        <v>0</v>
      </c>
      <c r="L98" s="209"/>
      <c r="M98" s="177">
        <f t="shared" si="67"/>
        <v>0</v>
      </c>
      <c r="N98" s="1012"/>
      <c r="O98" s="1012"/>
      <c r="P98" s="485"/>
      <c r="Q98" s="778"/>
      <c r="R98" s="778"/>
      <c r="S98" s="785" t="str">
        <f t="shared" si="69"/>
        <v/>
      </c>
      <c r="T98" s="548" t="str">
        <f t="shared" si="68"/>
        <v>Sheet Metal Takeoff</v>
      </c>
      <c r="U98" s="83">
        <f t="shared" si="70"/>
        <v>0</v>
      </c>
      <c r="V98" s="83">
        <f t="shared" si="71"/>
        <v>0</v>
      </c>
      <c r="W98" s="83">
        <f t="shared" si="72"/>
        <v>0</v>
      </c>
      <c r="X98" s="781">
        <f t="shared" si="73"/>
        <v>0</v>
      </c>
      <c r="Y98" s="781">
        <f t="shared" si="74"/>
        <v>0</v>
      </c>
      <c r="Z98" s="781">
        <f t="shared" si="75"/>
        <v>0</v>
      </c>
      <c r="AA98" s="83">
        <f t="shared" si="76"/>
        <v>0</v>
      </c>
      <c r="AB98" s="83">
        <f t="shared" si="77"/>
        <v>0</v>
      </c>
      <c r="AC98" s="83">
        <f t="shared" si="78"/>
        <v>0</v>
      </c>
      <c r="AD98" s="83">
        <f t="shared" si="79"/>
        <v>0</v>
      </c>
      <c r="AE98" s="83">
        <f t="shared" si="80"/>
        <v>0</v>
      </c>
      <c r="AF98" s="83">
        <f t="shared" si="81"/>
        <v>0</v>
      </c>
      <c r="AG98" s="83">
        <f t="shared" si="82"/>
        <v>0</v>
      </c>
      <c r="AH98" s="83">
        <f t="shared" si="83"/>
        <v>0</v>
      </c>
      <c r="AI98" s="83">
        <f t="shared" si="84"/>
        <v>0</v>
      </c>
      <c r="AJ98" s="718">
        <f t="shared" si="85"/>
        <v>0</v>
      </c>
      <c r="AL98">
        <f t="shared" si="86"/>
        <v>0</v>
      </c>
      <c r="AM98">
        <f t="shared" si="87"/>
        <v>0</v>
      </c>
    </row>
    <row r="99" spans="1:39" ht="15.75" x14ac:dyDescent="0.25">
      <c r="A99" s="561"/>
      <c r="B99" s="561"/>
      <c r="C99" s="561"/>
      <c r="D99" s="672"/>
      <c r="E99" s="209"/>
      <c r="F99" s="209"/>
      <c r="G99" s="209"/>
      <c r="H99" s="176">
        <f t="shared" si="65"/>
        <v>0</v>
      </c>
      <c r="I99" s="209"/>
      <c r="J99" s="209"/>
      <c r="K99" s="176">
        <f t="shared" si="66"/>
        <v>0</v>
      </c>
      <c r="L99" s="209"/>
      <c r="M99" s="177">
        <f t="shared" si="67"/>
        <v>0</v>
      </c>
      <c r="N99" s="1012"/>
      <c r="O99" s="1012"/>
      <c r="P99" s="485"/>
      <c r="Q99" s="778"/>
      <c r="R99" s="778"/>
      <c r="S99" s="785" t="str">
        <f t="shared" si="69"/>
        <v/>
      </c>
      <c r="T99" s="548" t="str">
        <f t="shared" si="68"/>
        <v>Sheet Metal Takeoff</v>
      </c>
      <c r="U99" s="83">
        <f t="shared" si="70"/>
        <v>0</v>
      </c>
      <c r="V99" s="83">
        <f t="shared" si="71"/>
        <v>0</v>
      </c>
      <c r="W99" s="83">
        <f t="shared" si="72"/>
        <v>0</v>
      </c>
      <c r="X99" s="781">
        <f t="shared" si="73"/>
        <v>0</v>
      </c>
      <c r="Y99" s="781">
        <f t="shared" si="74"/>
        <v>0</v>
      </c>
      <c r="Z99" s="781">
        <f t="shared" si="75"/>
        <v>0</v>
      </c>
      <c r="AA99" s="83">
        <f t="shared" si="76"/>
        <v>0</v>
      </c>
      <c r="AB99" s="83">
        <f t="shared" si="77"/>
        <v>0</v>
      </c>
      <c r="AC99" s="83">
        <f t="shared" si="78"/>
        <v>0</v>
      </c>
      <c r="AD99" s="83">
        <f t="shared" si="79"/>
        <v>0</v>
      </c>
      <c r="AE99" s="83">
        <f t="shared" si="80"/>
        <v>0</v>
      </c>
      <c r="AF99" s="83">
        <f t="shared" si="81"/>
        <v>0</v>
      </c>
      <c r="AG99" s="83">
        <f t="shared" si="82"/>
        <v>0</v>
      </c>
      <c r="AH99" s="83">
        <f t="shared" si="83"/>
        <v>0</v>
      </c>
      <c r="AI99" s="83">
        <f t="shared" si="84"/>
        <v>0</v>
      </c>
      <c r="AJ99" s="718">
        <f t="shared" si="85"/>
        <v>0</v>
      </c>
      <c r="AL99">
        <f t="shared" si="86"/>
        <v>0</v>
      </c>
      <c r="AM99">
        <f t="shared" si="87"/>
        <v>0</v>
      </c>
    </row>
    <row r="100" spans="1:39" ht="15.75" hidden="1" customHeight="1" x14ac:dyDescent="0.25">
      <c r="A100" s="561"/>
      <c r="B100" s="561"/>
      <c r="C100" s="561"/>
      <c r="D100" s="672"/>
      <c r="E100" s="209"/>
      <c r="F100" s="209"/>
      <c r="G100" s="209"/>
      <c r="H100" s="176">
        <f t="shared" si="65"/>
        <v>0</v>
      </c>
      <c r="I100" s="209"/>
      <c r="J100" s="209"/>
      <c r="K100" s="176">
        <f t="shared" si="66"/>
        <v>0</v>
      </c>
      <c r="L100" s="209"/>
      <c r="M100" s="177">
        <f t="shared" si="67"/>
        <v>0</v>
      </c>
      <c r="N100" s="1012"/>
      <c r="O100" s="1012"/>
      <c r="P100" s="485"/>
      <c r="Q100" s="778"/>
      <c r="R100" s="778"/>
      <c r="S100" s="785" t="str">
        <f t="shared" si="69"/>
        <v/>
      </c>
      <c r="T100" s="548" t="str">
        <f t="shared" si="68"/>
        <v>Sheet Metal Takeoff</v>
      </c>
      <c r="U100" s="83">
        <f>ROUND(IF($T100="Plumb Takeoff",$H100*U$3,IF($T100="Pipe Takeoff",$H100*U$4,$H100*U$2)),2)</f>
        <v>0</v>
      </c>
      <c r="V100" s="83">
        <f t="shared" si="71"/>
        <v>0</v>
      </c>
      <c r="W100" s="83">
        <f t="shared" si="72"/>
        <v>0</v>
      </c>
      <c r="X100" s="781">
        <f t="shared" si="73"/>
        <v>0</v>
      </c>
      <c r="Y100" s="781">
        <f t="shared" si="74"/>
        <v>0</v>
      </c>
      <c r="Z100" s="781">
        <f t="shared" si="75"/>
        <v>0</v>
      </c>
      <c r="AA100" s="83">
        <f t="shared" si="76"/>
        <v>0</v>
      </c>
      <c r="AB100" s="83">
        <f t="shared" si="77"/>
        <v>0</v>
      </c>
      <c r="AC100" s="83">
        <f t="shared" si="78"/>
        <v>0</v>
      </c>
      <c r="AD100" s="83">
        <f t="shared" si="79"/>
        <v>0</v>
      </c>
      <c r="AE100" s="83">
        <f t="shared" si="80"/>
        <v>0</v>
      </c>
      <c r="AF100" s="83">
        <f t="shared" si="81"/>
        <v>0</v>
      </c>
      <c r="AG100" s="83">
        <f t="shared" si="82"/>
        <v>0</v>
      </c>
      <c r="AH100" s="83">
        <f t="shared" si="83"/>
        <v>0</v>
      </c>
      <c r="AI100" s="83">
        <f t="shared" si="84"/>
        <v>0</v>
      </c>
      <c r="AJ100" s="718">
        <f t="shared" si="85"/>
        <v>0</v>
      </c>
      <c r="AL100">
        <f t="shared" si="86"/>
        <v>0</v>
      </c>
      <c r="AM100">
        <f t="shared" si="87"/>
        <v>0</v>
      </c>
    </row>
    <row r="101" spans="1:39" ht="15.75" x14ac:dyDescent="0.25">
      <c r="A101" s="551"/>
      <c r="B101" s="551"/>
      <c r="C101" s="551"/>
      <c r="D101" s="673"/>
      <c r="E101" s="552"/>
      <c r="F101" s="553"/>
      <c r="G101" s="553"/>
      <c r="H101" s="181">
        <f>SUM(H75:H100)</f>
        <v>54</v>
      </c>
      <c r="I101" s="182"/>
      <c r="J101" s="182"/>
      <c r="K101" s="181">
        <f>SUM(K75:K100)</f>
        <v>8</v>
      </c>
      <c r="L101" s="182"/>
      <c r="M101" s="177">
        <f>SUM(M75:M100)</f>
        <v>15400</v>
      </c>
      <c r="O101" s="486"/>
      <c r="AJ101" s="718"/>
    </row>
    <row r="102" spans="1:39" ht="15.75" thickBot="1" x14ac:dyDescent="0.3">
      <c r="AJ102" s="718"/>
    </row>
    <row r="103" spans="1:39" ht="16.5" thickBot="1" x14ac:dyDescent="0.3">
      <c r="E103" s="678" t="s">
        <v>1122</v>
      </c>
      <c r="F103" s="1017" t="s">
        <v>1630</v>
      </c>
      <c r="G103" s="1018"/>
      <c r="H103" s="344"/>
      <c r="I103" s="1019" t="s">
        <v>1628</v>
      </c>
      <c r="J103" s="1020"/>
      <c r="K103" s="679" t="b">
        <v>0</v>
      </c>
      <c r="AJ103" s="718"/>
    </row>
    <row r="104" spans="1:39" ht="38.25" thickBot="1" x14ac:dyDescent="0.35">
      <c r="A104" s="477" t="s">
        <v>1063</v>
      </c>
      <c r="B104" s="477" t="s">
        <v>348</v>
      </c>
      <c r="C104" s="477" t="s">
        <v>349</v>
      </c>
      <c r="D104" s="666" t="s">
        <v>0</v>
      </c>
      <c r="E104" s="477" t="s">
        <v>1</v>
      </c>
      <c r="F104" s="480" t="s">
        <v>2</v>
      </c>
      <c r="G104" s="480" t="s">
        <v>1123</v>
      </c>
      <c r="H104" s="480" t="s">
        <v>3</v>
      </c>
      <c r="I104" s="483" t="s">
        <v>4</v>
      </c>
      <c r="J104" s="480" t="s">
        <v>1124</v>
      </c>
      <c r="K104" s="680" t="s">
        <v>5</v>
      </c>
      <c r="L104" s="480" t="s">
        <v>6</v>
      </c>
      <c r="M104" s="484" t="s">
        <v>7</v>
      </c>
      <c r="N104" s="1013" t="s">
        <v>1079</v>
      </c>
      <c r="O104" s="1014"/>
      <c r="P104" s="1009" t="s">
        <v>1629</v>
      </c>
      <c r="Q104" s="1009" t="s">
        <v>1147</v>
      </c>
      <c r="R104" s="1009" t="s">
        <v>1792</v>
      </c>
      <c r="T104" s="2"/>
      <c r="AJ104" s="718"/>
    </row>
    <row r="105" spans="1:39" ht="16.5" thickBot="1" x14ac:dyDescent="0.3">
      <c r="A105" s="183"/>
      <c r="B105" s="183"/>
      <c r="C105" s="183"/>
      <c r="D105" s="671" t="s">
        <v>1852</v>
      </c>
      <c r="E105" s="183"/>
      <c r="F105" s="183"/>
      <c r="G105" s="183"/>
      <c r="H105" s="183"/>
      <c r="I105" s="183"/>
      <c r="J105" s="183"/>
      <c r="K105" s="183"/>
      <c r="L105" s="183"/>
      <c r="M105" s="183"/>
      <c r="N105" s="1015"/>
      <c r="O105" s="1016"/>
      <c r="P105" s="1010" t="s">
        <v>1362</v>
      </c>
      <c r="Q105" s="1010"/>
      <c r="R105" s="1010"/>
      <c r="T105" s="1"/>
      <c r="AJ105" s="718"/>
    </row>
    <row r="106" spans="1:39" ht="15.75" x14ac:dyDescent="0.25">
      <c r="A106" s="561"/>
      <c r="B106" s="561"/>
      <c r="C106" s="561"/>
      <c r="D106" s="672"/>
      <c r="E106" s="209"/>
      <c r="F106" s="209"/>
      <c r="G106" s="209"/>
      <c r="H106" s="176">
        <f t="shared" ref="H106:H133" si="88">IF(SM_ExludeGroup3=TRUE,0,IF(G106="",E106*F106*IF(AND(S106="LOP",R106="SWING"),1+CrewRate_PlumbFitter_SwingLOP,1)*IF(AND(S106="LOP",R106="GRAVE"),1+CrewRate_PlumbFitter_GraveLOP,1)*IF(AND(S106="LOP",R106="SPECIAL"),1+CrewRate_PlumbFitter_SwingLOP,1),E106*F106*G106*IF(AND(S106="LOP",R106="SWING"),1+CrewRate_PlumbFitter_SwingLOP,1)*IF(AND(S106="LOP",R106="GRAVE"),1+CrewRate_PlumbFitter_GraveLOP,1)*IF(AND(S106="LOP",R106="SPECIAL"),1+CrewRate_PlumbFitter_SwingLOP,1)))</f>
        <v>0</v>
      </c>
      <c r="I106" s="209"/>
      <c r="J106" s="209"/>
      <c r="K106" s="176">
        <f t="shared" ref="K106:K133" si="89">IF(SM_ExludeGroup3=TRUE,0,IF(J106="",E106*I106,E106*I106*J106))</f>
        <v>0</v>
      </c>
      <c r="L106" s="209"/>
      <c r="M106" s="177">
        <f t="shared" ref="M106:M133" si="90">IF(SM_ExludeGroup3=TRUE,0,E106*L106)</f>
        <v>0</v>
      </c>
      <c r="N106" s="1012"/>
      <c r="O106" s="1012"/>
      <c r="P106" s="485"/>
      <c r="Q106" s="778"/>
      <c r="R106" s="778"/>
      <c r="S106" s="785" t="str">
        <f>IF(T106="Sheet Metal Takeoff","",IF(R106="","","LOP"))</f>
        <v/>
      </c>
      <c r="T106" s="548" t="str">
        <f t="shared" ref="T106:T133" si="91">IF($F$103="","Sheet Metal Takeoff",$F$103)</f>
        <v>Sheet Metal Takeoff</v>
      </c>
      <c r="U106" s="83">
        <f>ROUND(IF($T106="Plumb Takeoff",$H106*U$3,IF($T106="Pipe Takeoff",$H106*U$4,$H106*U$2)),2)</f>
        <v>0</v>
      </c>
      <c r="V106" s="83">
        <f>ROUND(IF($T106="Plumb Takeoff",IF($Q106="OT",$H106*V$3,0),IF($T106="Pipe Takeoff",IF($Q106="OT",$H106*V$4,0),IF($Q106="OT",$H106*V$2,0))),2)</f>
        <v>0</v>
      </c>
      <c r="W106" s="83">
        <f>ROUND(IF($T106="Plumb Takeoff",IF($Q106="DBLT",$H106*W$3,0),IF($T106="Pipe Takeoff",IF($Q106="DBLT",$H106*W$4,0),IF($Q106="DBLT",$H106*W$2,0))),2)</f>
        <v>0</v>
      </c>
      <c r="X106" s="781">
        <f>ROUND(SUM(IF($T106="Plumb Takeoff",IF($R106="SWING",ROUND(SUM($H106)*X$3,2))),IF($T106="Pipe Takeoff",IF($R106="SWING",ROUND(SUM($H106)*X$4,2))),IF($T106="Sheet Metal Takeoff",IF($R106="SWING",ROUND(SUM($H106)*X$2,2)))),2)</f>
        <v>0</v>
      </c>
      <c r="Y106" s="781">
        <f>ROUND(SUM(IF($T106="Plumb Takeoff",IF($R106="GRAVE",ROUND(SUM($H106)*Y$3,2))),IF($T106="Pipe Takeoff",IF($R106="GRAVE",ROUND(SUM($H106)*Y$4,2))),IF($T106="Sheet Metal Takeoff",IF($R106="GRAVE",ROUND(SUM($H106)*Y$2,2)))),2)</f>
        <v>0</v>
      </c>
      <c r="Z106" s="781">
        <f>ROUND(SUM(IF($T106="Plumb Takeoff",IF($R106="SPECIAL",ROUND(SUM($H106)*Z$3,2))),IF($T106="Pipe Takeoff",IF($R106="SPECIAL",ROUND(SUM($H106)*Z$4,2))),IF($T106="Sheet Metal Takeoff",IF($R106="SPECIAL",ROUND(SUM($H106)*Z$2,2)))),2)</f>
        <v>0</v>
      </c>
      <c r="AA106" s="83">
        <f t="shared" ref="AA106:AA133" si="92">ROUND($K106*AA$2,2)</f>
        <v>0</v>
      </c>
      <c r="AB106" s="83">
        <f>ROUND(IF($Q106="OT",$K106*AB$2,0),2)</f>
        <v>0</v>
      </c>
      <c r="AC106" s="83">
        <f>ROUND(IF($Q106="DBLT",$K106*AC$2,0),2)</f>
        <v>0</v>
      </c>
      <c r="AD106" s="83">
        <f>ROUND(IF($R106="SWING",$K106*AD$2,0),2)</f>
        <v>0</v>
      </c>
      <c r="AE106" s="83">
        <f>ROUND(IF($R106="GRAVE",$K106*AE$2,0),2)</f>
        <v>0</v>
      </c>
      <c r="AF106" s="83">
        <f>ROUND(IF($R106="SPECIAL",$K106*AF$2,0),2)</f>
        <v>0</v>
      </c>
      <c r="AG106" s="83">
        <f>SUM(U106:Z106)</f>
        <v>0</v>
      </c>
      <c r="AH106" s="83">
        <f>SUM(AA106:AF106)</f>
        <v>0</v>
      </c>
      <c r="AI106" s="83">
        <f>SUM(U106:AF106)</f>
        <v>0</v>
      </c>
      <c r="AJ106" s="718">
        <f>SUM(M106,AI106)</f>
        <v>0</v>
      </c>
      <c r="AL106">
        <f>SUM(V106:Z106)</f>
        <v>0</v>
      </c>
      <c r="AM106">
        <f>SUM(AB106:AF106)</f>
        <v>0</v>
      </c>
    </row>
    <row r="107" spans="1:39" ht="15.75" x14ac:dyDescent="0.25">
      <c r="A107" s="561"/>
      <c r="B107" s="561"/>
      <c r="C107" s="561"/>
      <c r="D107" s="672" t="s">
        <v>1853</v>
      </c>
      <c r="E107" s="209">
        <v>5</v>
      </c>
      <c r="F107" s="209">
        <v>80</v>
      </c>
      <c r="G107" s="209"/>
      <c r="H107" s="176">
        <f t="shared" si="88"/>
        <v>400</v>
      </c>
      <c r="I107" s="209"/>
      <c r="J107" s="209"/>
      <c r="K107" s="176">
        <f t="shared" si="89"/>
        <v>0</v>
      </c>
      <c r="L107" s="209"/>
      <c r="M107" s="177">
        <f t="shared" si="90"/>
        <v>0</v>
      </c>
      <c r="N107" s="1012"/>
      <c r="O107" s="1012"/>
      <c r="P107" s="485"/>
      <c r="Q107" s="778"/>
      <c r="R107" s="778"/>
      <c r="S107" s="785" t="str">
        <f t="shared" ref="S107:S133" si="93">IF(T107="Sheet Metal Takeoff","",IF(R107="","","LOP"))</f>
        <v/>
      </c>
      <c r="T107" s="548" t="str">
        <f t="shared" si="91"/>
        <v>Sheet Metal Takeoff</v>
      </c>
      <c r="U107" s="83">
        <f t="shared" ref="U107:U132" si="94">ROUND(IF($T107="Plumb Takeoff",$H107*U$3,IF($T107="Pipe Takeoff",$H107*U$4,$H107*U$2)),2)</f>
        <v>38928</v>
      </c>
      <c r="V107" s="83">
        <f t="shared" ref="V107:V133" si="95">ROUND(IF($T107="Plumb Takeoff",IF($Q107="OT",$H107*V$3,0),IF($T107="Pipe Takeoff",IF($Q107="OT",$H107*V$4,0),IF($Q107="OT",$H107*V$2,0))),2)</f>
        <v>0</v>
      </c>
      <c r="W107" s="83">
        <f t="shared" ref="W107:W133" si="96">ROUND(IF($T107="Plumb Takeoff",IF($Q107="DBLT",$H107*W$3,0),IF($T107="Pipe Takeoff",IF($Q107="DBLT",$H107*W$4,0),IF($Q107="DBLT",$H107*W$2,0))),2)</f>
        <v>0</v>
      </c>
      <c r="X107" s="781">
        <f t="shared" ref="X107:X133" si="97">ROUND(SUM(IF($T107="Plumb Takeoff",IF($R107="SWING",ROUND(SUM($H107)*X$3,2))),IF($T107="Pipe Takeoff",IF($R107="SWING",ROUND(SUM($H107)*X$4,2))),IF($T107="Sheet Metal Takeoff",IF($R107="SWING",ROUND(SUM($H107)*X$2,2)))),2)</f>
        <v>0</v>
      </c>
      <c r="Y107" s="781">
        <f t="shared" ref="Y107:Y133" si="98">ROUND(SUM(IF($T107="Plumb Takeoff",IF($R107="GRAVE",ROUND(SUM($H107)*Y$3,2))),IF($T107="Pipe Takeoff",IF($R107="GRAVE",ROUND(SUM($H107)*Y$4,2))),IF($T107="Sheet Metal Takeoff",IF($R107="GRAVE",ROUND(SUM($H107)*Y$2,2)))),2)</f>
        <v>0</v>
      </c>
      <c r="Z107" s="781">
        <f t="shared" ref="Z107:Z133" si="99">ROUND(SUM(IF($T107="Plumb Takeoff",IF($R107="SPECIAL",ROUND(SUM($H107)*Z$3,2))),IF($T107="Pipe Takeoff",IF($R107="SPECIAL",ROUND(SUM($H107)*Z$4,2))),IF($T107="Sheet Metal Takeoff",IF($R107="SPECIAL",ROUND(SUM($H107)*Z$2,2)))),2)</f>
        <v>0</v>
      </c>
      <c r="AA107" s="83">
        <f t="shared" si="92"/>
        <v>0</v>
      </c>
      <c r="AB107" s="83">
        <f t="shared" ref="AB107:AB133" si="100">ROUND(IF($Q107="OT",$K107*AB$2,0),2)</f>
        <v>0</v>
      </c>
      <c r="AC107" s="83">
        <f t="shared" ref="AC107:AC133" si="101">ROUND(IF($Q107="DBLT",$K107*AC$2,0),2)</f>
        <v>0</v>
      </c>
      <c r="AD107" s="83">
        <f t="shared" ref="AD107:AD133" si="102">ROUND(IF($R107="SWING",$K107*AD$2,0),2)</f>
        <v>0</v>
      </c>
      <c r="AE107" s="83">
        <f t="shared" ref="AE107:AE133" si="103">ROUND(IF($R107="GRAVE",$K107*AE$2,0),2)</f>
        <v>0</v>
      </c>
      <c r="AF107" s="83">
        <f t="shared" ref="AF107:AF133" si="104">ROUND(IF($R107="SPECIAL",$K107*AF$2,0),2)</f>
        <v>0</v>
      </c>
      <c r="AG107" s="83">
        <f t="shared" ref="AG107:AG133" si="105">SUM(U107:Z107)</f>
        <v>38928</v>
      </c>
      <c r="AH107" s="83">
        <f t="shared" ref="AH107:AH133" si="106">SUM(AA107:AF107)</f>
        <v>0</v>
      </c>
      <c r="AI107" s="83">
        <f t="shared" ref="AI107:AI133" si="107">SUM(U107:AF107)</f>
        <v>38928</v>
      </c>
      <c r="AJ107" s="718">
        <f t="shared" ref="AJ107:AJ133" si="108">SUM(M107,AI107)</f>
        <v>38928</v>
      </c>
      <c r="AL107">
        <f t="shared" ref="AL107:AL133" si="109">SUM(V107:Z107)</f>
        <v>0</v>
      </c>
      <c r="AM107">
        <f t="shared" ref="AM107:AM133" si="110">SUM(AB107:AF107)</f>
        <v>0</v>
      </c>
    </row>
    <row r="108" spans="1:39" ht="15.75" x14ac:dyDescent="0.25">
      <c r="A108" s="561"/>
      <c r="B108" s="561"/>
      <c r="C108" s="561"/>
      <c r="D108" s="672" t="s">
        <v>1854</v>
      </c>
      <c r="E108" s="209">
        <v>1</v>
      </c>
      <c r="F108" s="209">
        <v>32</v>
      </c>
      <c r="G108" s="209"/>
      <c r="H108" s="176">
        <f t="shared" si="88"/>
        <v>32</v>
      </c>
      <c r="I108" s="209"/>
      <c r="J108" s="209"/>
      <c r="K108" s="176">
        <f t="shared" si="89"/>
        <v>0</v>
      </c>
      <c r="L108" s="209"/>
      <c r="M108" s="177">
        <f t="shared" si="90"/>
        <v>0</v>
      </c>
      <c r="N108" s="1012"/>
      <c r="O108" s="1012"/>
      <c r="P108" s="485"/>
      <c r="Q108" s="778"/>
      <c r="R108" s="778"/>
      <c r="S108" s="785" t="str">
        <f t="shared" si="93"/>
        <v/>
      </c>
      <c r="T108" s="548" t="str">
        <f t="shared" si="91"/>
        <v>Sheet Metal Takeoff</v>
      </c>
      <c r="U108" s="83">
        <f t="shared" si="94"/>
        <v>3114.24</v>
      </c>
      <c r="V108" s="83">
        <f t="shared" si="95"/>
        <v>0</v>
      </c>
      <c r="W108" s="83">
        <f t="shared" si="96"/>
        <v>0</v>
      </c>
      <c r="X108" s="781">
        <f t="shared" si="97"/>
        <v>0</v>
      </c>
      <c r="Y108" s="781">
        <f t="shared" si="98"/>
        <v>0</v>
      </c>
      <c r="Z108" s="781">
        <f t="shared" si="99"/>
        <v>0</v>
      </c>
      <c r="AA108" s="83">
        <f t="shared" si="92"/>
        <v>0</v>
      </c>
      <c r="AB108" s="83">
        <f t="shared" si="100"/>
        <v>0</v>
      </c>
      <c r="AC108" s="83">
        <f t="shared" si="101"/>
        <v>0</v>
      </c>
      <c r="AD108" s="83">
        <f t="shared" si="102"/>
        <v>0</v>
      </c>
      <c r="AE108" s="83">
        <f t="shared" si="103"/>
        <v>0</v>
      </c>
      <c r="AF108" s="83">
        <f t="shared" si="104"/>
        <v>0</v>
      </c>
      <c r="AG108" s="83">
        <f t="shared" si="105"/>
        <v>3114.24</v>
      </c>
      <c r="AH108" s="83">
        <f t="shared" si="106"/>
        <v>0</v>
      </c>
      <c r="AI108" s="83">
        <f t="shared" si="107"/>
        <v>3114.24</v>
      </c>
      <c r="AJ108" s="718">
        <f t="shared" si="108"/>
        <v>3114.24</v>
      </c>
      <c r="AL108">
        <f t="shared" si="109"/>
        <v>0</v>
      </c>
      <c r="AM108">
        <f t="shared" si="110"/>
        <v>0</v>
      </c>
    </row>
    <row r="109" spans="1:39" ht="15.75" x14ac:dyDescent="0.25">
      <c r="A109" s="561"/>
      <c r="B109" s="561"/>
      <c r="C109" s="561"/>
      <c r="D109" s="672"/>
      <c r="E109" s="209"/>
      <c r="F109" s="209"/>
      <c r="G109" s="209"/>
      <c r="H109" s="176">
        <f t="shared" si="88"/>
        <v>0</v>
      </c>
      <c r="I109" s="209"/>
      <c r="J109" s="209"/>
      <c r="K109" s="176">
        <f t="shared" si="89"/>
        <v>0</v>
      </c>
      <c r="L109" s="209"/>
      <c r="M109" s="177">
        <f t="shared" si="90"/>
        <v>0</v>
      </c>
      <c r="N109" s="1012"/>
      <c r="O109" s="1012"/>
      <c r="P109" s="485"/>
      <c r="Q109" s="778"/>
      <c r="R109" s="778"/>
      <c r="S109" s="785" t="str">
        <f t="shared" si="93"/>
        <v/>
      </c>
      <c r="T109" s="548" t="str">
        <f t="shared" si="91"/>
        <v>Sheet Metal Takeoff</v>
      </c>
      <c r="U109" s="83">
        <f t="shared" si="94"/>
        <v>0</v>
      </c>
      <c r="V109" s="83">
        <f t="shared" si="95"/>
        <v>0</v>
      </c>
      <c r="W109" s="83">
        <f t="shared" si="96"/>
        <v>0</v>
      </c>
      <c r="X109" s="781">
        <f t="shared" si="97"/>
        <v>0</v>
      </c>
      <c r="Y109" s="781">
        <f t="shared" si="98"/>
        <v>0</v>
      </c>
      <c r="Z109" s="781">
        <f t="shared" si="99"/>
        <v>0</v>
      </c>
      <c r="AA109" s="83">
        <f t="shared" si="92"/>
        <v>0</v>
      </c>
      <c r="AB109" s="83">
        <f t="shared" si="100"/>
        <v>0</v>
      </c>
      <c r="AC109" s="83">
        <f t="shared" si="101"/>
        <v>0</v>
      </c>
      <c r="AD109" s="83">
        <f t="shared" si="102"/>
        <v>0</v>
      </c>
      <c r="AE109" s="83">
        <f t="shared" si="103"/>
        <v>0</v>
      </c>
      <c r="AF109" s="83">
        <f t="shared" si="104"/>
        <v>0</v>
      </c>
      <c r="AG109" s="83">
        <f t="shared" si="105"/>
        <v>0</v>
      </c>
      <c r="AH109" s="83">
        <f t="shared" si="106"/>
        <v>0</v>
      </c>
      <c r="AI109" s="83">
        <f t="shared" si="107"/>
        <v>0</v>
      </c>
      <c r="AJ109" s="718">
        <f t="shared" si="108"/>
        <v>0</v>
      </c>
      <c r="AL109">
        <f t="shared" si="109"/>
        <v>0</v>
      </c>
      <c r="AM109">
        <f t="shared" si="110"/>
        <v>0</v>
      </c>
    </row>
    <row r="110" spans="1:39" ht="15.75" x14ac:dyDescent="0.25">
      <c r="A110" s="561"/>
      <c r="B110" s="561"/>
      <c r="C110" s="561"/>
      <c r="D110" s="672" t="s">
        <v>1855</v>
      </c>
      <c r="E110" s="209">
        <v>1</v>
      </c>
      <c r="F110" s="209">
        <v>515</v>
      </c>
      <c r="G110" s="209">
        <v>1.5</v>
      </c>
      <c r="H110" s="176">
        <f t="shared" si="88"/>
        <v>772.5</v>
      </c>
      <c r="I110" s="209">
        <v>333</v>
      </c>
      <c r="J110" s="209">
        <v>1.2</v>
      </c>
      <c r="K110" s="176">
        <f t="shared" si="89"/>
        <v>399.59999999999997</v>
      </c>
      <c r="L110" s="209">
        <v>30000</v>
      </c>
      <c r="M110" s="177">
        <f t="shared" si="90"/>
        <v>30000</v>
      </c>
      <c r="N110" s="1012"/>
      <c r="O110" s="1012"/>
      <c r="P110" s="485"/>
      <c r="Q110" s="778"/>
      <c r="R110" s="778"/>
      <c r="S110" s="785" t="str">
        <f t="shared" si="93"/>
        <v/>
      </c>
      <c r="T110" s="548" t="str">
        <f t="shared" si="91"/>
        <v>Sheet Metal Takeoff</v>
      </c>
      <c r="U110" s="83">
        <f t="shared" si="94"/>
        <v>75179.7</v>
      </c>
      <c r="V110" s="83">
        <f t="shared" si="95"/>
        <v>0</v>
      </c>
      <c r="W110" s="83">
        <f t="shared" si="96"/>
        <v>0</v>
      </c>
      <c r="X110" s="781">
        <f t="shared" si="97"/>
        <v>0</v>
      </c>
      <c r="Y110" s="781">
        <f t="shared" si="98"/>
        <v>0</v>
      </c>
      <c r="Z110" s="781">
        <f t="shared" si="99"/>
        <v>0</v>
      </c>
      <c r="AA110" s="83">
        <f t="shared" si="92"/>
        <v>42557.4</v>
      </c>
      <c r="AB110" s="83">
        <f t="shared" si="100"/>
        <v>0</v>
      </c>
      <c r="AC110" s="83">
        <f t="shared" si="101"/>
        <v>0</v>
      </c>
      <c r="AD110" s="83">
        <f t="shared" si="102"/>
        <v>0</v>
      </c>
      <c r="AE110" s="83">
        <f t="shared" si="103"/>
        <v>0</v>
      </c>
      <c r="AF110" s="83">
        <f t="shared" si="104"/>
        <v>0</v>
      </c>
      <c r="AG110" s="83">
        <f t="shared" si="105"/>
        <v>75179.7</v>
      </c>
      <c r="AH110" s="83">
        <f t="shared" si="106"/>
        <v>42557.4</v>
      </c>
      <c r="AI110" s="83">
        <f t="shared" si="107"/>
        <v>117737.1</v>
      </c>
      <c r="AJ110" s="718">
        <f t="shared" si="108"/>
        <v>147737.1</v>
      </c>
      <c r="AL110">
        <f t="shared" si="109"/>
        <v>0</v>
      </c>
      <c r="AM110">
        <f t="shared" si="110"/>
        <v>0</v>
      </c>
    </row>
    <row r="111" spans="1:39" ht="15.75" x14ac:dyDescent="0.25">
      <c r="A111" s="561"/>
      <c r="B111" s="561"/>
      <c r="C111" s="561"/>
      <c r="D111" s="672"/>
      <c r="E111" s="209"/>
      <c r="F111" s="209"/>
      <c r="G111" s="209"/>
      <c r="H111" s="176">
        <f t="shared" si="88"/>
        <v>0</v>
      </c>
      <c r="I111" s="209"/>
      <c r="J111" s="209"/>
      <c r="K111" s="176">
        <f t="shared" si="89"/>
        <v>0</v>
      </c>
      <c r="L111" s="209"/>
      <c r="M111" s="177">
        <f t="shared" si="90"/>
        <v>0</v>
      </c>
      <c r="N111" s="1012"/>
      <c r="O111" s="1012"/>
      <c r="P111" s="485"/>
      <c r="Q111" s="778"/>
      <c r="R111" s="778"/>
      <c r="S111" s="785" t="str">
        <f t="shared" si="93"/>
        <v/>
      </c>
      <c r="T111" s="548" t="str">
        <f t="shared" si="91"/>
        <v>Sheet Metal Takeoff</v>
      </c>
      <c r="U111" s="83">
        <f t="shared" si="94"/>
        <v>0</v>
      </c>
      <c r="V111" s="83">
        <f t="shared" si="95"/>
        <v>0</v>
      </c>
      <c r="W111" s="83">
        <f t="shared" si="96"/>
        <v>0</v>
      </c>
      <c r="X111" s="781">
        <f t="shared" si="97"/>
        <v>0</v>
      </c>
      <c r="Y111" s="781">
        <f t="shared" si="98"/>
        <v>0</v>
      </c>
      <c r="Z111" s="781">
        <f t="shared" si="99"/>
        <v>0</v>
      </c>
      <c r="AA111" s="83">
        <f t="shared" si="92"/>
        <v>0</v>
      </c>
      <c r="AB111" s="83">
        <f t="shared" si="100"/>
        <v>0</v>
      </c>
      <c r="AC111" s="83">
        <f t="shared" si="101"/>
        <v>0</v>
      </c>
      <c r="AD111" s="83">
        <f t="shared" si="102"/>
        <v>0</v>
      </c>
      <c r="AE111" s="83">
        <f t="shared" si="103"/>
        <v>0</v>
      </c>
      <c r="AF111" s="83">
        <f t="shared" si="104"/>
        <v>0</v>
      </c>
      <c r="AG111" s="83">
        <f t="shared" si="105"/>
        <v>0</v>
      </c>
      <c r="AH111" s="83">
        <f t="shared" si="106"/>
        <v>0</v>
      </c>
      <c r="AI111" s="83">
        <f t="shared" si="107"/>
        <v>0</v>
      </c>
      <c r="AJ111" s="718">
        <f t="shared" si="108"/>
        <v>0</v>
      </c>
      <c r="AL111">
        <f t="shared" si="109"/>
        <v>0</v>
      </c>
      <c r="AM111">
        <f t="shared" si="110"/>
        <v>0</v>
      </c>
    </row>
    <row r="112" spans="1:39" ht="15.75" x14ac:dyDescent="0.25">
      <c r="A112" s="561"/>
      <c r="B112" s="561"/>
      <c r="C112" s="561"/>
      <c r="D112" s="672" t="s">
        <v>1856</v>
      </c>
      <c r="E112" s="209">
        <v>4</v>
      </c>
      <c r="F112" s="209">
        <v>100</v>
      </c>
      <c r="G112" s="209"/>
      <c r="H112" s="176">
        <f t="shared" si="88"/>
        <v>400</v>
      </c>
      <c r="I112" s="209"/>
      <c r="J112" s="209"/>
      <c r="K112" s="176">
        <f t="shared" si="89"/>
        <v>0</v>
      </c>
      <c r="L112" s="209"/>
      <c r="M112" s="177">
        <f t="shared" si="90"/>
        <v>0</v>
      </c>
      <c r="N112" s="1012"/>
      <c r="O112" s="1012"/>
      <c r="P112" s="485"/>
      <c r="Q112" s="778"/>
      <c r="R112" s="778"/>
      <c r="S112" s="785" t="str">
        <f t="shared" si="93"/>
        <v/>
      </c>
      <c r="T112" s="548" t="str">
        <f t="shared" si="91"/>
        <v>Sheet Metal Takeoff</v>
      </c>
      <c r="U112" s="83">
        <f t="shared" si="94"/>
        <v>38928</v>
      </c>
      <c r="V112" s="83">
        <f t="shared" si="95"/>
        <v>0</v>
      </c>
      <c r="W112" s="83">
        <f t="shared" si="96"/>
        <v>0</v>
      </c>
      <c r="X112" s="781">
        <f t="shared" si="97"/>
        <v>0</v>
      </c>
      <c r="Y112" s="781">
        <f t="shared" si="98"/>
        <v>0</v>
      </c>
      <c r="Z112" s="781">
        <f t="shared" si="99"/>
        <v>0</v>
      </c>
      <c r="AA112" s="83">
        <f t="shared" si="92"/>
        <v>0</v>
      </c>
      <c r="AB112" s="83">
        <f t="shared" si="100"/>
        <v>0</v>
      </c>
      <c r="AC112" s="83">
        <f t="shared" si="101"/>
        <v>0</v>
      </c>
      <c r="AD112" s="83">
        <f t="shared" si="102"/>
        <v>0</v>
      </c>
      <c r="AE112" s="83">
        <f t="shared" si="103"/>
        <v>0</v>
      </c>
      <c r="AF112" s="83">
        <f t="shared" si="104"/>
        <v>0</v>
      </c>
      <c r="AG112" s="83">
        <f t="shared" si="105"/>
        <v>38928</v>
      </c>
      <c r="AH112" s="83">
        <f t="shared" si="106"/>
        <v>0</v>
      </c>
      <c r="AI112" s="83">
        <f t="shared" si="107"/>
        <v>38928</v>
      </c>
      <c r="AJ112" s="718">
        <f t="shared" si="108"/>
        <v>38928</v>
      </c>
      <c r="AL112">
        <f t="shared" si="109"/>
        <v>0</v>
      </c>
      <c r="AM112">
        <f t="shared" si="110"/>
        <v>0</v>
      </c>
    </row>
    <row r="113" spans="1:39" ht="15.75" x14ac:dyDescent="0.25">
      <c r="A113" s="561"/>
      <c r="B113" s="561"/>
      <c r="C113" s="561"/>
      <c r="D113" s="672" t="s">
        <v>1845</v>
      </c>
      <c r="E113" s="209">
        <v>4</v>
      </c>
      <c r="F113" s="209">
        <v>24</v>
      </c>
      <c r="G113" s="209"/>
      <c r="H113" s="176">
        <f t="shared" si="88"/>
        <v>96</v>
      </c>
      <c r="I113" s="209"/>
      <c r="J113" s="209"/>
      <c r="K113" s="176">
        <f t="shared" si="89"/>
        <v>0</v>
      </c>
      <c r="L113" s="209"/>
      <c r="M113" s="177">
        <f t="shared" si="90"/>
        <v>0</v>
      </c>
      <c r="N113" s="1012"/>
      <c r="O113" s="1012"/>
      <c r="P113" s="485"/>
      <c r="Q113" s="778"/>
      <c r="R113" s="778"/>
      <c r="S113" s="785" t="str">
        <f t="shared" si="93"/>
        <v/>
      </c>
      <c r="T113" s="548" t="str">
        <f t="shared" si="91"/>
        <v>Sheet Metal Takeoff</v>
      </c>
      <c r="U113" s="83">
        <f t="shared" si="94"/>
        <v>9342.7199999999993</v>
      </c>
      <c r="V113" s="83">
        <f t="shared" si="95"/>
        <v>0</v>
      </c>
      <c r="W113" s="83">
        <f t="shared" si="96"/>
        <v>0</v>
      </c>
      <c r="X113" s="781">
        <f t="shared" si="97"/>
        <v>0</v>
      </c>
      <c r="Y113" s="781">
        <f t="shared" si="98"/>
        <v>0</v>
      </c>
      <c r="Z113" s="781">
        <f t="shared" si="99"/>
        <v>0</v>
      </c>
      <c r="AA113" s="83">
        <f t="shared" si="92"/>
        <v>0</v>
      </c>
      <c r="AB113" s="83">
        <f t="shared" si="100"/>
        <v>0</v>
      </c>
      <c r="AC113" s="83">
        <f t="shared" si="101"/>
        <v>0</v>
      </c>
      <c r="AD113" s="83">
        <f t="shared" si="102"/>
        <v>0</v>
      </c>
      <c r="AE113" s="83">
        <f t="shared" si="103"/>
        <v>0</v>
      </c>
      <c r="AF113" s="83">
        <f t="shared" si="104"/>
        <v>0</v>
      </c>
      <c r="AG113" s="83">
        <f t="shared" si="105"/>
        <v>9342.7199999999993</v>
      </c>
      <c r="AH113" s="83">
        <f t="shared" si="106"/>
        <v>0</v>
      </c>
      <c r="AI113" s="83">
        <f t="shared" si="107"/>
        <v>9342.7199999999993</v>
      </c>
      <c r="AJ113" s="718">
        <f t="shared" si="108"/>
        <v>9342.7199999999993</v>
      </c>
      <c r="AL113">
        <f t="shared" si="109"/>
        <v>0</v>
      </c>
      <c r="AM113">
        <f t="shared" si="110"/>
        <v>0</v>
      </c>
    </row>
    <row r="114" spans="1:39" ht="15.75" x14ac:dyDescent="0.25">
      <c r="A114" s="561"/>
      <c r="B114" s="561"/>
      <c r="C114" s="561"/>
      <c r="D114" s="672" t="s">
        <v>1857</v>
      </c>
      <c r="E114" s="209">
        <v>6</v>
      </c>
      <c r="F114" s="209">
        <v>3</v>
      </c>
      <c r="G114" s="209"/>
      <c r="H114" s="176">
        <f t="shared" si="88"/>
        <v>18</v>
      </c>
      <c r="I114" s="209"/>
      <c r="J114" s="209"/>
      <c r="K114" s="176">
        <f t="shared" si="89"/>
        <v>0</v>
      </c>
      <c r="L114" s="209"/>
      <c r="M114" s="177">
        <f t="shared" si="90"/>
        <v>0</v>
      </c>
      <c r="N114" s="1012"/>
      <c r="O114" s="1012"/>
      <c r="P114" s="485"/>
      <c r="Q114" s="778"/>
      <c r="R114" s="778"/>
      <c r="S114" s="785" t="str">
        <f t="shared" si="93"/>
        <v/>
      </c>
      <c r="T114" s="548" t="str">
        <f t="shared" si="91"/>
        <v>Sheet Metal Takeoff</v>
      </c>
      <c r="U114" s="83">
        <f t="shared" si="94"/>
        <v>1751.76</v>
      </c>
      <c r="V114" s="83">
        <f t="shared" si="95"/>
        <v>0</v>
      </c>
      <c r="W114" s="83">
        <f t="shared" si="96"/>
        <v>0</v>
      </c>
      <c r="X114" s="781">
        <f t="shared" si="97"/>
        <v>0</v>
      </c>
      <c r="Y114" s="781">
        <f t="shared" si="98"/>
        <v>0</v>
      </c>
      <c r="Z114" s="781">
        <f t="shared" si="99"/>
        <v>0</v>
      </c>
      <c r="AA114" s="83">
        <f t="shared" si="92"/>
        <v>0</v>
      </c>
      <c r="AB114" s="83">
        <f t="shared" si="100"/>
        <v>0</v>
      </c>
      <c r="AC114" s="83">
        <f t="shared" si="101"/>
        <v>0</v>
      </c>
      <c r="AD114" s="83">
        <f t="shared" si="102"/>
        <v>0</v>
      </c>
      <c r="AE114" s="83">
        <f t="shared" si="103"/>
        <v>0</v>
      </c>
      <c r="AF114" s="83">
        <f t="shared" si="104"/>
        <v>0</v>
      </c>
      <c r="AG114" s="83">
        <f t="shared" si="105"/>
        <v>1751.76</v>
      </c>
      <c r="AH114" s="83">
        <f t="shared" si="106"/>
        <v>0</v>
      </c>
      <c r="AI114" s="83">
        <f t="shared" si="107"/>
        <v>1751.76</v>
      </c>
      <c r="AJ114" s="718">
        <f t="shared" si="108"/>
        <v>1751.76</v>
      </c>
      <c r="AL114">
        <f t="shared" si="109"/>
        <v>0</v>
      </c>
      <c r="AM114">
        <f t="shared" si="110"/>
        <v>0</v>
      </c>
    </row>
    <row r="115" spans="1:39" ht="15.75" x14ac:dyDescent="0.25">
      <c r="A115" s="561"/>
      <c r="B115" s="561"/>
      <c r="C115" s="561"/>
      <c r="D115" s="672" t="s">
        <v>1859</v>
      </c>
      <c r="E115" s="209">
        <v>2</v>
      </c>
      <c r="F115" s="209">
        <v>16</v>
      </c>
      <c r="G115" s="209"/>
      <c r="H115" s="176">
        <f t="shared" si="88"/>
        <v>32</v>
      </c>
      <c r="I115" s="209"/>
      <c r="J115" s="209"/>
      <c r="K115" s="176">
        <f t="shared" si="89"/>
        <v>0</v>
      </c>
      <c r="L115" s="209"/>
      <c r="M115" s="177">
        <f t="shared" si="90"/>
        <v>0</v>
      </c>
      <c r="N115" s="1012"/>
      <c r="O115" s="1012"/>
      <c r="P115" s="485"/>
      <c r="Q115" s="778"/>
      <c r="R115" s="778"/>
      <c r="S115" s="785" t="str">
        <f t="shared" si="93"/>
        <v/>
      </c>
      <c r="T115" s="548" t="str">
        <f t="shared" si="91"/>
        <v>Sheet Metal Takeoff</v>
      </c>
      <c r="U115" s="83">
        <f t="shared" si="94"/>
        <v>3114.24</v>
      </c>
      <c r="V115" s="83">
        <f t="shared" si="95"/>
        <v>0</v>
      </c>
      <c r="W115" s="83">
        <f t="shared" si="96"/>
        <v>0</v>
      </c>
      <c r="X115" s="781">
        <f t="shared" si="97"/>
        <v>0</v>
      </c>
      <c r="Y115" s="781">
        <f t="shared" si="98"/>
        <v>0</v>
      </c>
      <c r="Z115" s="781">
        <f t="shared" si="99"/>
        <v>0</v>
      </c>
      <c r="AA115" s="83">
        <f t="shared" si="92"/>
        <v>0</v>
      </c>
      <c r="AB115" s="83">
        <f t="shared" si="100"/>
        <v>0</v>
      </c>
      <c r="AC115" s="83">
        <f t="shared" si="101"/>
        <v>0</v>
      </c>
      <c r="AD115" s="83">
        <f t="shared" si="102"/>
        <v>0</v>
      </c>
      <c r="AE115" s="83">
        <f t="shared" si="103"/>
        <v>0</v>
      </c>
      <c r="AF115" s="83">
        <f t="shared" si="104"/>
        <v>0</v>
      </c>
      <c r="AG115" s="83">
        <f t="shared" si="105"/>
        <v>3114.24</v>
      </c>
      <c r="AH115" s="83">
        <f t="shared" si="106"/>
        <v>0</v>
      </c>
      <c r="AI115" s="83">
        <f t="shared" si="107"/>
        <v>3114.24</v>
      </c>
      <c r="AJ115" s="718">
        <f t="shared" si="108"/>
        <v>3114.24</v>
      </c>
      <c r="AL115">
        <f t="shared" si="109"/>
        <v>0</v>
      </c>
      <c r="AM115">
        <f t="shared" si="110"/>
        <v>0</v>
      </c>
    </row>
    <row r="116" spans="1:39" ht="15.75" x14ac:dyDescent="0.25">
      <c r="A116" s="561"/>
      <c r="B116" s="561"/>
      <c r="C116" s="561"/>
      <c r="D116" s="672" t="s">
        <v>1860</v>
      </c>
      <c r="E116" s="209">
        <v>7</v>
      </c>
      <c r="F116" s="209">
        <v>2</v>
      </c>
      <c r="G116" s="209"/>
      <c r="H116" s="176">
        <f t="shared" ref="H116:H117" si="111">IF(SM_ExludeGroup3=TRUE,0,IF(G116="",E116*F116*IF(AND(S116="LOP",R116="SWING"),1+CrewRate_PlumbFitter_SwingLOP,1)*IF(AND(S116="LOP",R116="GRAVE"),1+CrewRate_PlumbFitter_GraveLOP,1)*IF(AND(S116="LOP",R116="SPECIAL"),1+CrewRate_PlumbFitter_SwingLOP,1),E116*F116*G116*IF(AND(S116="LOP",R116="SWING"),1+CrewRate_PlumbFitter_SwingLOP,1)*IF(AND(S116="LOP",R116="GRAVE"),1+CrewRate_PlumbFitter_GraveLOP,1)*IF(AND(S116="LOP",R116="SPECIAL"),1+CrewRate_PlumbFitter_SwingLOP,1)))</f>
        <v>14</v>
      </c>
      <c r="I116" s="209"/>
      <c r="J116" s="209"/>
      <c r="K116" s="176">
        <f t="shared" ref="K116:K117" si="112">IF(SM_ExludeGroup3=TRUE,0,IF(J116="",E116*I116,E116*I116*J116))</f>
        <v>0</v>
      </c>
      <c r="L116" s="209"/>
      <c r="M116" s="177">
        <f t="shared" ref="M116:M117" si="113">IF(SM_ExludeGroup3=TRUE,0,E116*L116)</f>
        <v>0</v>
      </c>
      <c r="N116" s="1012"/>
      <c r="O116" s="1012"/>
      <c r="P116" s="485"/>
      <c r="Q116" s="778"/>
      <c r="R116" s="778"/>
      <c r="S116" s="785" t="str">
        <f t="shared" ref="S116:S117" si="114">IF(T116="Sheet Metal Takeoff","",IF(R116="","","LOP"))</f>
        <v/>
      </c>
      <c r="T116" s="548" t="str">
        <f t="shared" si="91"/>
        <v>Sheet Metal Takeoff</v>
      </c>
      <c r="U116" s="83">
        <f t="shared" si="94"/>
        <v>1362.48</v>
      </c>
      <c r="V116" s="83">
        <f t="shared" si="95"/>
        <v>0</v>
      </c>
      <c r="W116" s="83">
        <f t="shared" si="96"/>
        <v>0</v>
      </c>
      <c r="X116" s="781">
        <f t="shared" si="97"/>
        <v>0</v>
      </c>
      <c r="Y116" s="781">
        <f t="shared" si="98"/>
        <v>0</v>
      </c>
      <c r="Z116" s="781">
        <f t="shared" si="99"/>
        <v>0</v>
      </c>
      <c r="AA116" s="83">
        <f t="shared" si="92"/>
        <v>0</v>
      </c>
      <c r="AB116" s="83">
        <f t="shared" si="100"/>
        <v>0</v>
      </c>
      <c r="AC116" s="83">
        <f t="shared" si="101"/>
        <v>0</v>
      </c>
      <c r="AD116" s="83">
        <f t="shared" si="102"/>
        <v>0</v>
      </c>
      <c r="AE116" s="83">
        <f t="shared" si="103"/>
        <v>0</v>
      </c>
      <c r="AF116" s="83">
        <f t="shared" si="104"/>
        <v>0</v>
      </c>
      <c r="AG116" s="83">
        <f t="shared" ref="AG116:AG117" si="115">SUM(U116:Z116)</f>
        <v>1362.48</v>
      </c>
      <c r="AH116" s="83">
        <f t="shared" ref="AH116:AH117" si="116">SUM(AA116:AF116)</f>
        <v>0</v>
      </c>
      <c r="AI116" s="83">
        <f t="shared" ref="AI116:AI117" si="117">SUM(U116:AF116)</f>
        <v>1362.48</v>
      </c>
      <c r="AJ116" s="718">
        <f t="shared" ref="AJ116:AJ117" si="118">SUM(M116,AI116)</f>
        <v>1362.48</v>
      </c>
      <c r="AL116">
        <f t="shared" ref="AL116:AL117" si="119">SUM(V116:Z116)</f>
        <v>0</v>
      </c>
      <c r="AM116">
        <f t="shared" ref="AM116:AM117" si="120">SUM(AB116:AF116)</f>
        <v>0</v>
      </c>
    </row>
    <row r="117" spans="1:39" ht="15.75" x14ac:dyDescent="0.25">
      <c r="A117" s="561"/>
      <c r="B117" s="561"/>
      <c r="C117" s="561"/>
      <c r="D117" s="672"/>
      <c r="E117" s="209"/>
      <c r="F117" s="209"/>
      <c r="G117" s="209"/>
      <c r="H117" s="176">
        <f t="shared" si="111"/>
        <v>0</v>
      </c>
      <c r="I117" s="209"/>
      <c r="J117" s="209"/>
      <c r="K117" s="176">
        <f t="shared" si="112"/>
        <v>0</v>
      </c>
      <c r="L117" s="209"/>
      <c r="M117" s="177">
        <f t="shared" si="113"/>
        <v>0</v>
      </c>
      <c r="N117" s="1012"/>
      <c r="O117" s="1012"/>
      <c r="P117" s="485"/>
      <c r="Q117" s="778"/>
      <c r="R117" s="778"/>
      <c r="S117" s="785" t="str">
        <f t="shared" si="114"/>
        <v/>
      </c>
      <c r="T117" s="548" t="str">
        <f t="shared" si="91"/>
        <v>Sheet Metal Takeoff</v>
      </c>
      <c r="U117" s="83">
        <f t="shared" si="94"/>
        <v>0</v>
      </c>
      <c r="V117" s="83">
        <f t="shared" si="95"/>
        <v>0</v>
      </c>
      <c r="W117" s="83">
        <f t="shared" si="96"/>
        <v>0</v>
      </c>
      <c r="X117" s="781">
        <f t="shared" si="97"/>
        <v>0</v>
      </c>
      <c r="Y117" s="781">
        <f t="shared" si="98"/>
        <v>0</v>
      </c>
      <c r="Z117" s="781">
        <f t="shared" si="99"/>
        <v>0</v>
      </c>
      <c r="AA117" s="83">
        <f t="shared" si="92"/>
        <v>0</v>
      </c>
      <c r="AB117" s="83">
        <f t="shared" si="100"/>
        <v>0</v>
      </c>
      <c r="AC117" s="83">
        <f t="shared" si="101"/>
        <v>0</v>
      </c>
      <c r="AD117" s="83">
        <f t="shared" si="102"/>
        <v>0</v>
      </c>
      <c r="AE117" s="83">
        <f t="shared" si="103"/>
        <v>0</v>
      </c>
      <c r="AF117" s="83">
        <f t="shared" si="104"/>
        <v>0</v>
      </c>
      <c r="AG117" s="83">
        <f t="shared" si="115"/>
        <v>0</v>
      </c>
      <c r="AH117" s="83">
        <f t="shared" si="116"/>
        <v>0</v>
      </c>
      <c r="AI117" s="83">
        <f t="shared" si="117"/>
        <v>0</v>
      </c>
      <c r="AJ117" s="718">
        <f t="shared" si="118"/>
        <v>0</v>
      </c>
      <c r="AL117">
        <f t="shared" si="119"/>
        <v>0</v>
      </c>
      <c r="AM117">
        <f t="shared" si="120"/>
        <v>0</v>
      </c>
    </row>
    <row r="118" spans="1:39" ht="15.75" x14ac:dyDescent="0.25">
      <c r="A118" s="561"/>
      <c r="B118" s="561"/>
      <c r="C118" s="561"/>
      <c r="D118" s="672" t="s">
        <v>1850</v>
      </c>
      <c r="E118" s="209">
        <v>1</v>
      </c>
      <c r="F118" s="209">
        <v>200</v>
      </c>
      <c r="G118" s="209"/>
      <c r="H118" s="176">
        <f t="shared" si="88"/>
        <v>200</v>
      </c>
      <c r="I118" s="209"/>
      <c r="J118" s="209"/>
      <c r="K118" s="176">
        <f t="shared" si="89"/>
        <v>0</v>
      </c>
      <c r="L118" s="209"/>
      <c r="M118" s="177">
        <f t="shared" si="90"/>
        <v>0</v>
      </c>
      <c r="N118" s="1012"/>
      <c r="O118" s="1012"/>
      <c r="P118" s="485"/>
      <c r="Q118" s="778"/>
      <c r="R118" s="778"/>
      <c r="S118" s="785" t="str">
        <f t="shared" si="93"/>
        <v/>
      </c>
      <c r="T118" s="548" t="str">
        <f t="shared" si="91"/>
        <v>Sheet Metal Takeoff</v>
      </c>
      <c r="U118" s="83">
        <f t="shared" si="94"/>
        <v>19464</v>
      </c>
      <c r="V118" s="83">
        <f t="shared" si="95"/>
        <v>0</v>
      </c>
      <c r="W118" s="83">
        <f t="shared" si="96"/>
        <v>0</v>
      </c>
      <c r="X118" s="781">
        <f t="shared" si="97"/>
        <v>0</v>
      </c>
      <c r="Y118" s="781">
        <f t="shared" si="98"/>
        <v>0</v>
      </c>
      <c r="Z118" s="781">
        <f t="shared" si="99"/>
        <v>0</v>
      </c>
      <c r="AA118" s="83">
        <f t="shared" si="92"/>
        <v>0</v>
      </c>
      <c r="AB118" s="83">
        <f t="shared" si="100"/>
        <v>0</v>
      </c>
      <c r="AC118" s="83">
        <f t="shared" si="101"/>
        <v>0</v>
      </c>
      <c r="AD118" s="83">
        <f t="shared" si="102"/>
        <v>0</v>
      </c>
      <c r="AE118" s="83">
        <f t="shared" si="103"/>
        <v>0</v>
      </c>
      <c r="AF118" s="83">
        <f t="shared" si="104"/>
        <v>0</v>
      </c>
      <c r="AG118" s="83">
        <f t="shared" si="105"/>
        <v>19464</v>
      </c>
      <c r="AH118" s="83">
        <f t="shared" si="106"/>
        <v>0</v>
      </c>
      <c r="AI118" s="83">
        <f t="shared" si="107"/>
        <v>19464</v>
      </c>
      <c r="AJ118" s="718">
        <f t="shared" si="108"/>
        <v>19464</v>
      </c>
      <c r="AL118">
        <f t="shared" si="109"/>
        <v>0</v>
      </c>
      <c r="AM118">
        <f t="shared" si="110"/>
        <v>0</v>
      </c>
    </row>
    <row r="119" spans="1:39" ht="15.75" x14ac:dyDescent="0.25">
      <c r="A119" s="561"/>
      <c r="B119" s="561"/>
      <c r="C119" s="561"/>
      <c r="D119" s="672" t="s">
        <v>1851</v>
      </c>
      <c r="E119" s="209">
        <v>1</v>
      </c>
      <c r="F119" s="209"/>
      <c r="G119" s="209"/>
      <c r="H119" s="176">
        <f t="shared" si="88"/>
        <v>0</v>
      </c>
      <c r="I119" s="209">
        <v>30</v>
      </c>
      <c r="J119" s="209"/>
      <c r="K119" s="176">
        <f t="shared" si="89"/>
        <v>30</v>
      </c>
      <c r="L119" s="209">
        <v>5000</v>
      </c>
      <c r="M119" s="177">
        <f t="shared" si="90"/>
        <v>5000</v>
      </c>
      <c r="N119" s="1012"/>
      <c r="O119" s="1012"/>
      <c r="P119" s="485"/>
      <c r="Q119" s="778"/>
      <c r="R119" s="778"/>
      <c r="S119" s="785" t="str">
        <f t="shared" si="93"/>
        <v/>
      </c>
      <c r="T119" s="548" t="str">
        <f t="shared" si="91"/>
        <v>Sheet Metal Takeoff</v>
      </c>
      <c r="U119" s="83">
        <f t="shared" si="94"/>
        <v>0</v>
      </c>
      <c r="V119" s="83">
        <f t="shared" si="95"/>
        <v>0</v>
      </c>
      <c r="W119" s="83">
        <f t="shared" si="96"/>
        <v>0</v>
      </c>
      <c r="X119" s="781">
        <f t="shared" si="97"/>
        <v>0</v>
      </c>
      <c r="Y119" s="781">
        <f t="shared" si="98"/>
        <v>0</v>
      </c>
      <c r="Z119" s="781">
        <f t="shared" si="99"/>
        <v>0</v>
      </c>
      <c r="AA119" s="83">
        <f t="shared" si="92"/>
        <v>3195</v>
      </c>
      <c r="AB119" s="83">
        <f t="shared" si="100"/>
        <v>0</v>
      </c>
      <c r="AC119" s="83">
        <f t="shared" si="101"/>
        <v>0</v>
      </c>
      <c r="AD119" s="83">
        <f t="shared" si="102"/>
        <v>0</v>
      </c>
      <c r="AE119" s="83">
        <f t="shared" si="103"/>
        <v>0</v>
      </c>
      <c r="AF119" s="83">
        <f t="shared" si="104"/>
        <v>0</v>
      </c>
      <c r="AG119" s="83">
        <f t="shared" si="105"/>
        <v>0</v>
      </c>
      <c r="AH119" s="83">
        <f t="shared" si="106"/>
        <v>3195</v>
      </c>
      <c r="AI119" s="83">
        <f t="shared" si="107"/>
        <v>3195</v>
      </c>
      <c r="AJ119" s="718">
        <f t="shared" si="108"/>
        <v>8195</v>
      </c>
      <c r="AL119">
        <f t="shared" si="109"/>
        <v>0</v>
      </c>
      <c r="AM119">
        <f t="shared" si="110"/>
        <v>0</v>
      </c>
    </row>
    <row r="120" spans="1:39" ht="15.75" x14ac:dyDescent="0.25">
      <c r="A120" s="561"/>
      <c r="B120" s="561"/>
      <c r="C120" s="561"/>
      <c r="D120" s="672"/>
      <c r="E120" s="209"/>
      <c r="F120" s="209"/>
      <c r="G120" s="209"/>
      <c r="H120" s="176">
        <f t="shared" si="88"/>
        <v>0</v>
      </c>
      <c r="I120" s="209"/>
      <c r="J120" s="209"/>
      <c r="K120" s="176">
        <f t="shared" si="89"/>
        <v>0</v>
      </c>
      <c r="L120" s="209"/>
      <c r="M120" s="177">
        <f t="shared" si="90"/>
        <v>0</v>
      </c>
      <c r="N120" s="1012"/>
      <c r="O120" s="1012"/>
      <c r="P120" s="485"/>
      <c r="Q120" s="778"/>
      <c r="R120" s="778"/>
      <c r="S120" s="785" t="str">
        <f t="shared" si="93"/>
        <v/>
      </c>
      <c r="T120" s="548" t="str">
        <f t="shared" si="91"/>
        <v>Sheet Metal Takeoff</v>
      </c>
      <c r="U120" s="83">
        <f t="shared" si="94"/>
        <v>0</v>
      </c>
      <c r="V120" s="83">
        <f t="shared" si="95"/>
        <v>0</v>
      </c>
      <c r="W120" s="83">
        <f t="shared" si="96"/>
        <v>0</v>
      </c>
      <c r="X120" s="781">
        <f t="shared" si="97"/>
        <v>0</v>
      </c>
      <c r="Y120" s="781">
        <f t="shared" si="98"/>
        <v>0</v>
      </c>
      <c r="Z120" s="781">
        <f t="shared" si="99"/>
        <v>0</v>
      </c>
      <c r="AA120" s="83">
        <f t="shared" si="92"/>
        <v>0</v>
      </c>
      <c r="AB120" s="83">
        <f t="shared" si="100"/>
        <v>0</v>
      </c>
      <c r="AC120" s="83">
        <f t="shared" si="101"/>
        <v>0</v>
      </c>
      <c r="AD120" s="83">
        <f t="shared" si="102"/>
        <v>0</v>
      </c>
      <c r="AE120" s="83">
        <f t="shared" si="103"/>
        <v>0</v>
      </c>
      <c r="AF120" s="83">
        <f t="shared" si="104"/>
        <v>0</v>
      </c>
      <c r="AG120" s="83">
        <f t="shared" si="105"/>
        <v>0</v>
      </c>
      <c r="AH120" s="83">
        <f t="shared" si="106"/>
        <v>0</v>
      </c>
      <c r="AI120" s="83">
        <f t="shared" si="107"/>
        <v>0</v>
      </c>
      <c r="AJ120" s="718">
        <f t="shared" si="108"/>
        <v>0</v>
      </c>
      <c r="AL120">
        <f t="shared" si="109"/>
        <v>0</v>
      </c>
      <c r="AM120">
        <f t="shared" si="110"/>
        <v>0</v>
      </c>
    </row>
    <row r="121" spans="1:39" ht="15.75" x14ac:dyDescent="0.25">
      <c r="A121" s="561"/>
      <c r="B121" s="561"/>
      <c r="C121" s="561"/>
      <c r="D121" s="672" t="s">
        <v>186</v>
      </c>
      <c r="E121" s="209">
        <v>1</v>
      </c>
      <c r="F121" s="209"/>
      <c r="G121" s="209"/>
      <c r="H121" s="176">
        <f t="shared" si="88"/>
        <v>0</v>
      </c>
      <c r="I121" s="209"/>
      <c r="J121" s="209"/>
      <c r="K121" s="176">
        <f t="shared" si="89"/>
        <v>0</v>
      </c>
      <c r="L121" s="209"/>
      <c r="M121" s="177">
        <f t="shared" si="90"/>
        <v>0</v>
      </c>
      <c r="N121" s="1012"/>
      <c r="O121" s="1012"/>
      <c r="P121" s="485"/>
      <c r="Q121" s="778"/>
      <c r="R121" s="778"/>
      <c r="S121" s="785" t="str">
        <f t="shared" si="93"/>
        <v/>
      </c>
      <c r="T121" s="548" t="str">
        <f t="shared" si="91"/>
        <v>Sheet Metal Takeoff</v>
      </c>
      <c r="U121" s="83">
        <f t="shared" si="94"/>
        <v>0</v>
      </c>
      <c r="V121" s="83">
        <f t="shared" si="95"/>
        <v>0</v>
      </c>
      <c r="W121" s="83">
        <f t="shared" si="96"/>
        <v>0</v>
      </c>
      <c r="X121" s="781">
        <f t="shared" si="97"/>
        <v>0</v>
      </c>
      <c r="Y121" s="781">
        <f t="shared" si="98"/>
        <v>0</v>
      </c>
      <c r="Z121" s="781">
        <f t="shared" si="99"/>
        <v>0</v>
      </c>
      <c r="AA121" s="83">
        <f t="shared" si="92"/>
        <v>0</v>
      </c>
      <c r="AB121" s="83">
        <f t="shared" si="100"/>
        <v>0</v>
      </c>
      <c r="AC121" s="83">
        <f t="shared" si="101"/>
        <v>0</v>
      </c>
      <c r="AD121" s="83">
        <f t="shared" si="102"/>
        <v>0</v>
      </c>
      <c r="AE121" s="83">
        <f t="shared" si="103"/>
        <v>0</v>
      </c>
      <c r="AF121" s="83">
        <f t="shared" si="104"/>
        <v>0</v>
      </c>
      <c r="AG121" s="83">
        <f t="shared" si="105"/>
        <v>0</v>
      </c>
      <c r="AH121" s="83">
        <f t="shared" si="106"/>
        <v>0</v>
      </c>
      <c r="AI121" s="83">
        <f t="shared" si="107"/>
        <v>0</v>
      </c>
      <c r="AJ121" s="718">
        <f t="shared" si="108"/>
        <v>0</v>
      </c>
      <c r="AL121">
        <f t="shared" si="109"/>
        <v>0</v>
      </c>
      <c r="AM121">
        <f t="shared" si="110"/>
        <v>0</v>
      </c>
    </row>
    <row r="122" spans="1:39" ht="15.75" x14ac:dyDescent="0.25">
      <c r="A122" s="561"/>
      <c r="B122" s="561"/>
      <c r="C122" s="561"/>
      <c r="D122" s="672" t="s">
        <v>1844</v>
      </c>
      <c r="E122" s="209">
        <v>1</v>
      </c>
      <c r="F122" s="209"/>
      <c r="G122" s="209"/>
      <c r="H122" s="176">
        <f t="shared" si="88"/>
        <v>0</v>
      </c>
      <c r="I122" s="209"/>
      <c r="J122" s="209"/>
      <c r="K122" s="176">
        <f t="shared" si="89"/>
        <v>0</v>
      </c>
      <c r="L122" s="209"/>
      <c r="M122" s="177">
        <f t="shared" si="90"/>
        <v>0</v>
      </c>
      <c r="N122" s="1012" t="s">
        <v>1893</v>
      </c>
      <c r="O122" s="1012"/>
      <c r="P122" s="485"/>
      <c r="Q122" s="778"/>
      <c r="R122" s="778"/>
      <c r="S122" s="785" t="str">
        <f t="shared" si="93"/>
        <v/>
      </c>
      <c r="T122" s="548" t="str">
        <f t="shared" si="91"/>
        <v>Sheet Metal Takeoff</v>
      </c>
      <c r="U122" s="83">
        <f t="shared" si="94"/>
        <v>0</v>
      </c>
      <c r="V122" s="83">
        <f t="shared" si="95"/>
        <v>0</v>
      </c>
      <c r="W122" s="83">
        <f t="shared" si="96"/>
        <v>0</v>
      </c>
      <c r="X122" s="781">
        <f t="shared" si="97"/>
        <v>0</v>
      </c>
      <c r="Y122" s="781">
        <f t="shared" si="98"/>
        <v>0</v>
      </c>
      <c r="Z122" s="781">
        <f t="shared" si="99"/>
        <v>0</v>
      </c>
      <c r="AA122" s="83">
        <f t="shared" si="92"/>
        <v>0</v>
      </c>
      <c r="AB122" s="83">
        <f t="shared" si="100"/>
        <v>0</v>
      </c>
      <c r="AC122" s="83">
        <f t="shared" si="101"/>
        <v>0</v>
      </c>
      <c r="AD122" s="83">
        <f t="shared" si="102"/>
        <v>0</v>
      </c>
      <c r="AE122" s="83">
        <f t="shared" si="103"/>
        <v>0</v>
      </c>
      <c r="AF122" s="83">
        <f t="shared" si="104"/>
        <v>0</v>
      </c>
      <c r="AG122" s="83">
        <f t="shared" si="105"/>
        <v>0</v>
      </c>
      <c r="AH122" s="83">
        <f t="shared" si="106"/>
        <v>0</v>
      </c>
      <c r="AI122" s="83">
        <f t="shared" si="107"/>
        <v>0</v>
      </c>
      <c r="AJ122" s="718">
        <f t="shared" si="108"/>
        <v>0</v>
      </c>
      <c r="AL122">
        <f t="shared" si="109"/>
        <v>0</v>
      </c>
      <c r="AM122">
        <f t="shared" si="110"/>
        <v>0</v>
      </c>
    </row>
    <row r="123" spans="1:39" ht="15.75" x14ac:dyDescent="0.25">
      <c r="A123" s="561"/>
      <c r="B123" s="561"/>
      <c r="C123" s="561"/>
      <c r="D123" s="672" t="s">
        <v>1847</v>
      </c>
      <c r="E123" s="209">
        <v>1</v>
      </c>
      <c r="F123" s="209"/>
      <c r="G123" s="209"/>
      <c r="H123" s="176">
        <f t="shared" si="88"/>
        <v>0</v>
      </c>
      <c r="I123" s="209"/>
      <c r="J123" s="209"/>
      <c r="K123" s="176">
        <f t="shared" si="89"/>
        <v>0</v>
      </c>
      <c r="L123" s="209"/>
      <c r="M123" s="177">
        <f t="shared" si="90"/>
        <v>0</v>
      </c>
      <c r="N123" s="1012" t="s">
        <v>1893</v>
      </c>
      <c r="O123" s="1012"/>
      <c r="P123" s="485"/>
      <c r="Q123" s="778"/>
      <c r="R123" s="778"/>
      <c r="S123" s="785" t="str">
        <f t="shared" si="93"/>
        <v/>
      </c>
      <c r="T123" s="548" t="str">
        <f t="shared" si="91"/>
        <v>Sheet Metal Takeoff</v>
      </c>
      <c r="U123" s="83">
        <f t="shared" si="94"/>
        <v>0</v>
      </c>
      <c r="V123" s="83">
        <f t="shared" si="95"/>
        <v>0</v>
      </c>
      <c r="W123" s="83">
        <f t="shared" si="96"/>
        <v>0</v>
      </c>
      <c r="X123" s="781">
        <f t="shared" si="97"/>
        <v>0</v>
      </c>
      <c r="Y123" s="781">
        <f t="shared" si="98"/>
        <v>0</v>
      </c>
      <c r="Z123" s="781">
        <f t="shared" si="99"/>
        <v>0</v>
      </c>
      <c r="AA123" s="83">
        <f t="shared" si="92"/>
        <v>0</v>
      </c>
      <c r="AB123" s="83">
        <f t="shared" si="100"/>
        <v>0</v>
      </c>
      <c r="AC123" s="83">
        <f t="shared" si="101"/>
        <v>0</v>
      </c>
      <c r="AD123" s="83">
        <f t="shared" si="102"/>
        <v>0</v>
      </c>
      <c r="AE123" s="83">
        <f t="shared" si="103"/>
        <v>0</v>
      </c>
      <c r="AF123" s="83">
        <f t="shared" si="104"/>
        <v>0</v>
      </c>
      <c r="AG123" s="83">
        <f t="shared" si="105"/>
        <v>0</v>
      </c>
      <c r="AH123" s="83">
        <f t="shared" si="106"/>
        <v>0</v>
      </c>
      <c r="AI123" s="83">
        <f t="shared" si="107"/>
        <v>0</v>
      </c>
      <c r="AJ123" s="718">
        <f t="shared" si="108"/>
        <v>0</v>
      </c>
      <c r="AL123">
        <f t="shared" si="109"/>
        <v>0</v>
      </c>
      <c r="AM123">
        <f t="shared" si="110"/>
        <v>0</v>
      </c>
    </row>
    <row r="124" spans="1:39" ht="15.75" x14ac:dyDescent="0.25">
      <c r="A124" s="561"/>
      <c r="B124" s="561"/>
      <c r="C124" s="561"/>
      <c r="D124" s="672" t="s">
        <v>1846</v>
      </c>
      <c r="E124" s="209">
        <v>1</v>
      </c>
      <c r="F124" s="209"/>
      <c r="G124" s="209"/>
      <c r="H124" s="176">
        <f t="shared" si="88"/>
        <v>0</v>
      </c>
      <c r="I124" s="209"/>
      <c r="J124" s="209"/>
      <c r="K124" s="176">
        <f t="shared" si="89"/>
        <v>0</v>
      </c>
      <c r="L124" s="209"/>
      <c r="M124" s="177">
        <f t="shared" si="90"/>
        <v>0</v>
      </c>
      <c r="N124" s="1012" t="s">
        <v>1893</v>
      </c>
      <c r="O124" s="1012"/>
      <c r="P124" s="485"/>
      <c r="Q124" s="778"/>
      <c r="R124" s="778"/>
      <c r="S124" s="785" t="str">
        <f t="shared" si="93"/>
        <v/>
      </c>
      <c r="T124" s="548" t="str">
        <f t="shared" si="91"/>
        <v>Sheet Metal Takeoff</v>
      </c>
      <c r="U124" s="83">
        <f t="shared" si="94"/>
        <v>0</v>
      </c>
      <c r="V124" s="83">
        <f t="shared" si="95"/>
        <v>0</v>
      </c>
      <c r="W124" s="83">
        <f t="shared" si="96"/>
        <v>0</v>
      </c>
      <c r="X124" s="781">
        <f t="shared" si="97"/>
        <v>0</v>
      </c>
      <c r="Y124" s="781">
        <f t="shared" si="98"/>
        <v>0</v>
      </c>
      <c r="Z124" s="781">
        <f t="shared" si="99"/>
        <v>0</v>
      </c>
      <c r="AA124" s="83">
        <f t="shared" si="92"/>
        <v>0</v>
      </c>
      <c r="AB124" s="83">
        <f t="shared" si="100"/>
        <v>0</v>
      </c>
      <c r="AC124" s="83">
        <f t="shared" si="101"/>
        <v>0</v>
      </c>
      <c r="AD124" s="83">
        <f t="shared" si="102"/>
        <v>0</v>
      </c>
      <c r="AE124" s="83">
        <f t="shared" si="103"/>
        <v>0</v>
      </c>
      <c r="AF124" s="83">
        <f t="shared" si="104"/>
        <v>0</v>
      </c>
      <c r="AG124" s="83">
        <f t="shared" si="105"/>
        <v>0</v>
      </c>
      <c r="AH124" s="83">
        <f t="shared" si="106"/>
        <v>0</v>
      </c>
      <c r="AI124" s="83">
        <f t="shared" si="107"/>
        <v>0</v>
      </c>
      <c r="AJ124" s="718">
        <f t="shared" si="108"/>
        <v>0</v>
      </c>
      <c r="AL124">
        <f t="shared" si="109"/>
        <v>0</v>
      </c>
      <c r="AM124">
        <f t="shared" si="110"/>
        <v>0</v>
      </c>
    </row>
    <row r="125" spans="1:39" ht="15.75" x14ac:dyDescent="0.25">
      <c r="A125" s="561"/>
      <c r="B125" s="561"/>
      <c r="C125" s="561"/>
      <c r="D125" s="672" t="s">
        <v>1848</v>
      </c>
      <c r="E125" s="209">
        <v>1</v>
      </c>
      <c r="F125" s="209"/>
      <c r="G125" s="209"/>
      <c r="H125" s="176">
        <f t="shared" si="88"/>
        <v>0</v>
      </c>
      <c r="I125" s="209"/>
      <c r="J125" s="209"/>
      <c r="K125" s="176">
        <f t="shared" si="89"/>
        <v>0</v>
      </c>
      <c r="L125" s="209"/>
      <c r="M125" s="177">
        <f t="shared" si="90"/>
        <v>0</v>
      </c>
      <c r="N125" s="1012" t="s">
        <v>1893</v>
      </c>
      <c r="O125" s="1012"/>
      <c r="P125" s="485"/>
      <c r="Q125" s="778"/>
      <c r="R125" s="778"/>
      <c r="S125" s="785" t="str">
        <f t="shared" si="93"/>
        <v/>
      </c>
      <c r="T125" s="548" t="str">
        <f t="shared" si="91"/>
        <v>Sheet Metal Takeoff</v>
      </c>
      <c r="U125" s="83">
        <f t="shared" si="94"/>
        <v>0</v>
      </c>
      <c r="V125" s="83">
        <f t="shared" si="95"/>
        <v>0</v>
      </c>
      <c r="W125" s="83">
        <f t="shared" si="96"/>
        <v>0</v>
      </c>
      <c r="X125" s="781">
        <f t="shared" si="97"/>
        <v>0</v>
      </c>
      <c r="Y125" s="781">
        <f t="shared" si="98"/>
        <v>0</v>
      </c>
      <c r="Z125" s="781">
        <f t="shared" si="99"/>
        <v>0</v>
      </c>
      <c r="AA125" s="83">
        <f t="shared" si="92"/>
        <v>0</v>
      </c>
      <c r="AB125" s="83">
        <f t="shared" si="100"/>
        <v>0</v>
      </c>
      <c r="AC125" s="83">
        <f t="shared" si="101"/>
        <v>0</v>
      </c>
      <c r="AD125" s="83">
        <f t="shared" si="102"/>
        <v>0</v>
      </c>
      <c r="AE125" s="83">
        <f t="shared" si="103"/>
        <v>0</v>
      </c>
      <c r="AF125" s="83">
        <f t="shared" si="104"/>
        <v>0</v>
      </c>
      <c r="AG125" s="83">
        <f t="shared" si="105"/>
        <v>0</v>
      </c>
      <c r="AH125" s="83">
        <f t="shared" si="106"/>
        <v>0</v>
      </c>
      <c r="AI125" s="83">
        <f t="shared" si="107"/>
        <v>0</v>
      </c>
      <c r="AJ125" s="718">
        <f t="shared" si="108"/>
        <v>0</v>
      </c>
      <c r="AL125">
        <f t="shared" si="109"/>
        <v>0</v>
      </c>
      <c r="AM125">
        <f t="shared" si="110"/>
        <v>0</v>
      </c>
    </row>
    <row r="126" spans="1:39" ht="15.75" x14ac:dyDescent="0.25">
      <c r="A126" s="561"/>
      <c r="B126" s="561"/>
      <c r="C126" s="561"/>
      <c r="D126" s="672" t="s">
        <v>1849</v>
      </c>
      <c r="E126" s="209">
        <v>1</v>
      </c>
      <c r="F126" s="209"/>
      <c r="G126" s="209"/>
      <c r="H126" s="176">
        <f t="shared" si="88"/>
        <v>0</v>
      </c>
      <c r="I126" s="209"/>
      <c r="J126" s="209"/>
      <c r="K126" s="176">
        <f t="shared" si="89"/>
        <v>0</v>
      </c>
      <c r="L126" s="209"/>
      <c r="M126" s="177">
        <f t="shared" si="90"/>
        <v>0</v>
      </c>
      <c r="N126" s="1012" t="s">
        <v>1893</v>
      </c>
      <c r="O126" s="1012"/>
      <c r="P126" s="485"/>
      <c r="Q126" s="778"/>
      <c r="R126" s="778"/>
      <c r="S126" s="785" t="str">
        <f t="shared" si="93"/>
        <v/>
      </c>
      <c r="T126" s="548" t="str">
        <f t="shared" si="91"/>
        <v>Sheet Metal Takeoff</v>
      </c>
      <c r="U126" s="83">
        <f t="shared" si="94"/>
        <v>0</v>
      </c>
      <c r="V126" s="83">
        <f t="shared" si="95"/>
        <v>0</v>
      </c>
      <c r="W126" s="83">
        <f t="shared" si="96"/>
        <v>0</v>
      </c>
      <c r="X126" s="781">
        <f t="shared" si="97"/>
        <v>0</v>
      </c>
      <c r="Y126" s="781">
        <f t="shared" si="98"/>
        <v>0</v>
      </c>
      <c r="Z126" s="781">
        <f t="shared" si="99"/>
        <v>0</v>
      </c>
      <c r="AA126" s="83">
        <f t="shared" si="92"/>
        <v>0</v>
      </c>
      <c r="AB126" s="83">
        <f t="shared" si="100"/>
        <v>0</v>
      </c>
      <c r="AC126" s="83">
        <f t="shared" si="101"/>
        <v>0</v>
      </c>
      <c r="AD126" s="83">
        <f t="shared" si="102"/>
        <v>0</v>
      </c>
      <c r="AE126" s="83">
        <f t="shared" si="103"/>
        <v>0</v>
      </c>
      <c r="AF126" s="83">
        <f t="shared" si="104"/>
        <v>0</v>
      </c>
      <c r="AG126" s="83">
        <f t="shared" si="105"/>
        <v>0</v>
      </c>
      <c r="AH126" s="83">
        <f t="shared" si="106"/>
        <v>0</v>
      </c>
      <c r="AI126" s="83">
        <f t="shared" si="107"/>
        <v>0</v>
      </c>
      <c r="AJ126" s="718">
        <f t="shared" si="108"/>
        <v>0</v>
      </c>
      <c r="AL126">
        <f t="shared" si="109"/>
        <v>0</v>
      </c>
      <c r="AM126">
        <f t="shared" si="110"/>
        <v>0</v>
      </c>
    </row>
    <row r="127" spans="1:39" ht="15.75" x14ac:dyDescent="0.25">
      <c r="A127" s="561"/>
      <c r="B127" s="561"/>
      <c r="C127" s="561"/>
      <c r="D127" s="672" t="s">
        <v>1695</v>
      </c>
      <c r="E127" s="209">
        <v>1</v>
      </c>
      <c r="F127" s="209"/>
      <c r="G127" s="209"/>
      <c r="H127" s="176">
        <f t="shared" si="88"/>
        <v>0</v>
      </c>
      <c r="I127" s="209"/>
      <c r="J127" s="209"/>
      <c r="K127" s="176">
        <f t="shared" si="89"/>
        <v>0</v>
      </c>
      <c r="L127" s="209"/>
      <c r="M127" s="177">
        <f t="shared" si="90"/>
        <v>0</v>
      </c>
      <c r="N127" s="1012" t="s">
        <v>1893</v>
      </c>
      <c r="O127" s="1012"/>
      <c r="P127" s="485"/>
      <c r="Q127" s="778"/>
      <c r="R127" s="778"/>
      <c r="S127" s="785" t="str">
        <f t="shared" si="93"/>
        <v/>
      </c>
      <c r="T127" s="548" t="str">
        <f t="shared" si="91"/>
        <v>Sheet Metal Takeoff</v>
      </c>
      <c r="U127" s="83">
        <f t="shared" si="94"/>
        <v>0</v>
      </c>
      <c r="V127" s="83">
        <f t="shared" si="95"/>
        <v>0</v>
      </c>
      <c r="W127" s="83">
        <f t="shared" si="96"/>
        <v>0</v>
      </c>
      <c r="X127" s="781">
        <f t="shared" si="97"/>
        <v>0</v>
      </c>
      <c r="Y127" s="781">
        <f t="shared" si="98"/>
        <v>0</v>
      </c>
      <c r="Z127" s="781">
        <f t="shared" si="99"/>
        <v>0</v>
      </c>
      <c r="AA127" s="83">
        <f t="shared" si="92"/>
        <v>0</v>
      </c>
      <c r="AB127" s="83">
        <f t="shared" si="100"/>
        <v>0</v>
      </c>
      <c r="AC127" s="83">
        <f t="shared" si="101"/>
        <v>0</v>
      </c>
      <c r="AD127" s="83">
        <f t="shared" si="102"/>
        <v>0</v>
      </c>
      <c r="AE127" s="83">
        <f t="shared" si="103"/>
        <v>0</v>
      </c>
      <c r="AF127" s="83">
        <f t="shared" si="104"/>
        <v>0</v>
      </c>
      <c r="AG127" s="83">
        <f t="shared" si="105"/>
        <v>0</v>
      </c>
      <c r="AH127" s="83">
        <f t="shared" si="106"/>
        <v>0</v>
      </c>
      <c r="AI127" s="83">
        <f t="shared" si="107"/>
        <v>0</v>
      </c>
      <c r="AJ127" s="718">
        <f t="shared" si="108"/>
        <v>0</v>
      </c>
      <c r="AL127">
        <f t="shared" si="109"/>
        <v>0</v>
      </c>
      <c r="AM127">
        <f t="shared" si="110"/>
        <v>0</v>
      </c>
    </row>
    <row r="128" spans="1:39" ht="15.75" x14ac:dyDescent="0.25">
      <c r="A128" s="561"/>
      <c r="B128" s="561"/>
      <c r="C128" s="561"/>
      <c r="D128" s="672" t="s">
        <v>1864</v>
      </c>
      <c r="E128" s="209">
        <v>1</v>
      </c>
      <c r="F128" s="209"/>
      <c r="G128" s="209"/>
      <c r="H128" s="176">
        <f t="shared" si="88"/>
        <v>0</v>
      </c>
      <c r="I128" s="209"/>
      <c r="J128" s="209"/>
      <c r="K128" s="176">
        <f t="shared" si="89"/>
        <v>0</v>
      </c>
      <c r="L128" s="209"/>
      <c r="M128" s="177">
        <f t="shared" si="90"/>
        <v>0</v>
      </c>
      <c r="N128" s="1012"/>
      <c r="O128" s="1012"/>
      <c r="P128" s="485"/>
      <c r="Q128" s="778"/>
      <c r="R128" s="778"/>
      <c r="S128" s="785" t="str">
        <f t="shared" si="93"/>
        <v/>
      </c>
      <c r="T128" s="548" t="str">
        <f t="shared" si="91"/>
        <v>Sheet Metal Takeoff</v>
      </c>
      <c r="U128" s="83">
        <f t="shared" si="94"/>
        <v>0</v>
      </c>
      <c r="V128" s="83">
        <f t="shared" si="95"/>
        <v>0</v>
      </c>
      <c r="W128" s="83">
        <f t="shared" si="96"/>
        <v>0</v>
      </c>
      <c r="X128" s="781">
        <f t="shared" si="97"/>
        <v>0</v>
      </c>
      <c r="Y128" s="781">
        <f t="shared" si="98"/>
        <v>0</v>
      </c>
      <c r="Z128" s="781">
        <f t="shared" si="99"/>
        <v>0</v>
      </c>
      <c r="AA128" s="83">
        <f t="shared" si="92"/>
        <v>0</v>
      </c>
      <c r="AB128" s="83">
        <f t="shared" si="100"/>
        <v>0</v>
      </c>
      <c r="AC128" s="83">
        <f t="shared" si="101"/>
        <v>0</v>
      </c>
      <c r="AD128" s="83">
        <f t="shared" si="102"/>
        <v>0</v>
      </c>
      <c r="AE128" s="83">
        <f t="shared" si="103"/>
        <v>0</v>
      </c>
      <c r="AF128" s="83">
        <f t="shared" si="104"/>
        <v>0</v>
      </c>
      <c r="AG128" s="83">
        <f t="shared" si="105"/>
        <v>0</v>
      </c>
      <c r="AH128" s="83">
        <f t="shared" si="106"/>
        <v>0</v>
      </c>
      <c r="AI128" s="83">
        <f t="shared" si="107"/>
        <v>0</v>
      </c>
      <c r="AJ128" s="718">
        <f t="shared" si="108"/>
        <v>0</v>
      </c>
      <c r="AL128">
        <f t="shared" si="109"/>
        <v>0</v>
      </c>
      <c r="AM128">
        <f t="shared" si="110"/>
        <v>0</v>
      </c>
    </row>
    <row r="129" spans="1:39" ht="15.75" x14ac:dyDescent="0.25">
      <c r="A129" s="561"/>
      <c r="B129" s="561"/>
      <c r="C129" s="561"/>
      <c r="D129" s="672"/>
      <c r="E129" s="209"/>
      <c r="F129" s="209"/>
      <c r="G129" s="209"/>
      <c r="H129" s="176">
        <f t="shared" si="88"/>
        <v>0</v>
      </c>
      <c r="I129" s="209"/>
      <c r="J129" s="209"/>
      <c r="K129" s="176">
        <f t="shared" si="89"/>
        <v>0</v>
      </c>
      <c r="L129" s="209"/>
      <c r="M129" s="177">
        <f t="shared" si="90"/>
        <v>0</v>
      </c>
      <c r="N129" s="1012"/>
      <c r="O129" s="1012"/>
      <c r="P129" s="485"/>
      <c r="Q129" s="778"/>
      <c r="R129" s="778"/>
      <c r="S129" s="785" t="str">
        <f t="shared" si="93"/>
        <v/>
      </c>
      <c r="T129" s="548" t="str">
        <f t="shared" si="91"/>
        <v>Sheet Metal Takeoff</v>
      </c>
      <c r="U129" s="83">
        <f t="shared" si="94"/>
        <v>0</v>
      </c>
      <c r="V129" s="83">
        <f t="shared" si="95"/>
        <v>0</v>
      </c>
      <c r="W129" s="83">
        <f t="shared" si="96"/>
        <v>0</v>
      </c>
      <c r="X129" s="781">
        <f t="shared" si="97"/>
        <v>0</v>
      </c>
      <c r="Y129" s="781">
        <f t="shared" si="98"/>
        <v>0</v>
      </c>
      <c r="Z129" s="781">
        <f t="shared" si="99"/>
        <v>0</v>
      </c>
      <c r="AA129" s="83">
        <f t="shared" si="92"/>
        <v>0</v>
      </c>
      <c r="AB129" s="83">
        <f t="shared" si="100"/>
        <v>0</v>
      </c>
      <c r="AC129" s="83">
        <f t="shared" si="101"/>
        <v>0</v>
      </c>
      <c r="AD129" s="83">
        <f t="shared" si="102"/>
        <v>0</v>
      </c>
      <c r="AE129" s="83">
        <f t="shared" si="103"/>
        <v>0</v>
      </c>
      <c r="AF129" s="83">
        <f t="shared" si="104"/>
        <v>0</v>
      </c>
      <c r="AG129" s="83">
        <f t="shared" si="105"/>
        <v>0</v>
      </c>
      <c r="AH129" s="83">
        <f t="shared" si="106"/>
        <v>0</v>
      </c>
      <c r="AI129" s="83">
        <f t="shared" si="107"/>
        <v>0</v>
      </c>
      <c r="AJ129" s="718">
        <f t="shared" si="108"/>
        <v>0</v>
      </c>
      <c r="AL129">
        <f t="shared" si="109"/>
        <v>0</v>
      </c>
      <c r="AM129">
        <f t="shared" si="110"/>
        <v>0</v>
      </c>
    </row>
    <row r="130" spans="1:39" ht="15.75" x14ac:dyDescent="0.25">
      <c r="A130" s="561"/>
      <c r="B130" s="561"/>
      <c r="C130" s="561"/>
      <c r="D130" s="672"/>
      <c r="E130" s="209"/>
      <c r="F130" s="209"/>
      <c r="G130" s="209"/>
      <c r="H130" s="176">
        <f t="shared" si="88"/>
        <v>0</v>
      </c>
      <c r="I130" s="209"/>
      <c r="J130" s="209"/>
      <c r="K130" s="176">
        <f t="shared" si="89"/>
        <v>0</v>
      </c>
      <c r="L130" s="209"/>
      <c r="M130" s="177">
        <f t="shared" si="90"/>
        <v>0</v>
      </c>
      <c r="N130" s="1012"/>
      <c r="O130" s="1012"/>
      <c r="P130" s="485"/>
      <c r="Q130" s="778"/>
      <c r="R130" s="778"/>
      <c r="S130" s="785" t="str">
        <f t="shared" si="93"/>
        <v/>
      </c>
      <c r="T130" s="548" t="str">
        <f t="shared" si="91"/>
        <v>Sheet Metal Takeoff</v>
      </c>
      <c r="U130" s="83">
        <f t="shared" si="94"/>
        <v>0</v>
      </c>
      <c r="V130" s="83">
        <f t="shared" si="95"/>
        <v>0</v>
      </c>
      <c r="W130" s="83">
        <f t="shared" si="96"/>
        <v>0</v>
      </c>
      <c r="X130" s="781">
        <f t="shared" si="97"/>
        <v>0</v>
      </c>
      <c r="Y130" s="781">
        <f t="shared" si="98"/>
        <v>0</v>
      </c>
      <c r="Z130" s="781">
        <f t="shared" si="99"/>
        <v>0</v>
      </c>
      <c r="AA130" s="83">
        <f t="shared" si="92"/>
        <v>0</v>
      </c>
      <c r="AB130" s="83">
        <f t="shared" si="100"/>
        <v>0</v>
      </c>
      <c r="AC130" s="83">
        <f t="shared" si="101"/>
        <v>0</v>
      </c>
      <c r="AD130" s="83">
        <f t="shared" si="102"/>
        <v>0</v>
      </c>
      <c r="AE130" s="83">
        <f t="shared" si="103"/>
        <v>0</v>
      </c>
      <c r="AF130" s="83">
        <f t="shared" si="104"/>
        <v>0</v>
      </c>
      <c r="AG130" s="83">
        <f t="shared" si="105"/>
        <v>0</v>
      </c>
      <c r="AH130" s="83">
        <f t="shared" si="106"/>
        <v>0</v>
      </c>
      <c r="AI130" s="83">
        <f t="shared" si="107"/>
        <v>0</v>
      </c>
      <c r="AJ130" s="718">
        <f t="shared" si="108"/>
        <v>0</v>
      </c>
      <c r="AL130">
        <f t="shared" si="109"/>
        <v>0</v>
      </c>
      <c r="AM130">
        <f t="shared" si="110"/>
        <v>0</v>
      </c>
    </row>
    <row r="131" spans="1:39" ht="15.75" x14ac:dyDescent="0.25">
      <c r="A131" s="561"/>
      <c r="B131" s="561"/>
      <c r="C131" s="561"/>
      <c r="D131" s="672"/>
      <c r="E131" s="209"/>
      <c r="F131" s="209"/>
      <c r="G131" s="209"/>
      <c r="H131" s="176">
        <f t="shared" si="88"/>
        <v>0</v>
      </c>
      <c r="I131" s="209"/>
      <c r="J131" s="209"/>
      <c r="K131" s="176">
        <f t="shared" si="89"/>
        <v>0</v>
      </c>
      <c r="L131" s="209"/>
      <c r="M131" s="177">
        <f t="shared" si="90"/>
        <v>0</v>
      </c>
      <c r="N131" s="1012"/>
      <c r="O131" s="1012"/>
      <c r="P131" s="485"/>
      <c r="Q131" s="778"/>
      <c r="R131" s="778"/>
      <c r="S131" s="785" t="str">
        <f t="shared" si="93"/>
        <v/>
      </c>
      <c r="T131" s="548" t="str">
        <f t="shared" si="91"/>
        <v>Sheet Metal Takeoff</v>
      </c>
      <c r="U131" s="83">
        <f t="shared" si="94"/>
        <v>0</v>
      </c>
      <c r="V131" s="83">
        <f t="shared" si="95"/>
        <v>0</v>
      </c>
      <c r="W131" s="83">
        <f t="shared" si="96"/>
        <v>0</v>
      </c>
      <c r="X131" s="781">
        <f t="shared" si="97"/>
        <v>0</v>
      </c>
      <c r="Y131" s="781">
        <f t="shared" si="98"/>
        <v>0</v>
      </c>
      <c r="Z131" s="781">
        <f t="shared" si="99"/>
        <v>0</v>
      </c>
      <c r="AA131" s="83">
        <f t="shared" si="92"/>
        <v>0</v>
      </c>
      <c r="AB131" s="83">
        <f t="shared" si="100"/>
        <v>0</v>
      </c>
      <c r="AC131" s="83">
        <f t="shared" si="101"/>
        <v>0</v>
      </c>
      <c r="AD131" s="83">
        <f t="shared" si="102"/>
        <v>0</v>
      </c>
      <c r="AE131" s="83">
        <f t="shared" si="103"/>
        <v>0</v>
      </c>
      <c r="AF131" s="83">
        <f t="shared" si="104"/>
        <v>0</v>
      </c>
      <c r="AG131" s="83">
        <f t="shared" si="105"/>
        <v>0</v>
      </c>
      <c r="AH131" s="83">
        <f t="shared" si="106"/>
        <v>0</v>
      </c>
      <c r="AI131" s="83">
        <f t="shared" si="107"/>
        <v>0</v>
      </c>
      <c r="AJ131" s="718">
        <f t="shared" si="108"/>
        <v>0</v>
      </c>
      <c r="AL131">
        <f t="shared" si="109"/>
        <v>0</v>
      </c>
      <c r="AM131">
        <f t="shared" si="110"/>
        <v>0</v>
      </c>
    </row>
    <row r="132" spans="1:39" ht="15.75" x14ac:dyDescent="0.25">
      <c r="A132" s="561"/>
      <c r="B132" s="561"/>
      <c r="C132" s="561"/>
      <c r="D132" s="672"/>
      <c r="E132" s="209"/>
      <c r="F132" s="209"/>
      <c r="G132" s="209"/>
      <c r="H132" s="176">
        <f t="shared" si="88"/>
        <v>0</v>
      </c>
      <c r="I132" s="209"/>
      <c r="J132" s="209"/>
      <c r="K132" s="176">
        <f t="shared" si="89"/>
        <v>0</v>
      </c>
      <c r="L132" s="209"/>
      <c r="M132" s="177">
        <f t="shared" si="90"/>
        <v>0</v>
      </c>
      <c r="N132" s="1012"/>
      <c r="O132" s="1012"/>
      <c r="P132" s="485"/>
      <c r="Q132" s="778"/>
      <c r="R132" s="778"/>
      <c r="S132" s="785" t="str">
        <f t="shared" si="93"/>
        <v/>
      </c>
      <c r="T132" s="548" t="str">
        <f t="shared" si="91"/>
        <v>Sheet Metal Takeoff</v>
      </c>
      <c r="U132" s="83">
        <f t="shared" si="94"/>
        <v>0</v>
      </c>
      <c r="V132" s="83">
        <f t="shared" si="95"/>
        <v>0</v>
      </c>
      <c r="W132" s="83">
        <f t="shared" si="96"/>
        <v>0</v>
      </c>
      <c r="X132" s="781">
        <f t="shared" si="97"/>
        <v>0</v>
      </c>
      <c r="Y132" s="781">
        <f t="shared" si="98"/>
        <v>0</v>
      </c>
      <c r="Z132" s="781">
        <f t="shared" si="99"/>
        <v>0</v>
      </c>
      <c r="AA132" s="83">
        <f t="shared" si="92"/>
        <v>0</v>
      </c>
      <c r="AB132" s="83">
        <f t="shared" si="100"/>
        <v>0</v>
      </c>
      <c r="AC132" s="83">
        <f t="shared" si="101"/>
        <v>0</v>
      </c>
      <c r="AD132" s="83">
        <f t="shared" si="102"/>
        <v>0</v>
      </c>
      <c r="AE132" s="83">
        <f t="shared" si="103"/>
        <v>0</v>
      </c>
      <c r="AF132" s="83">
        <f t="shared" si="104"/>
        <v>0</v>
      </c>
      <c r="AG132" s="83">
        <f t="shared" si="105"/>
        <v>0</v>
      </c>
      <c r="AH132" s="83">
        <f t="shared" si="106"/>
        <v>0</v>
      </c>
      <c r="AI132" s="83">
        <f t="shared" si="107"/>
        <v>0</v>
      </c>
      <c r="AJ132" s="718">
        <f t="shared" si="108"/>
        <v>0</v>
      </c>
      <c r="AL132">
        <f t="shared" si="109"/>
        <v>0</v>
      </c>
      <c r="AM132">
        <f t="shared" si="110"/>
        <v>0</v>
      </c>
    </row>
    <row r="133" spans="1:39" ht="15.75" hidden="1" customHeight="1" x14ac:dyDescent="0.25">
      <c r="A133" s="561"/>
      <c r="B133" s="561"/>
      <c r="C133" s="561"/>
      <c r="D133" s="672"/>
      <c r="E133" s="209"/>
      <c r="F133" s="209"/>
      <c r="G133" s="209"/>
      <c r="H133" s="176">
        <f t="shared" si="88"/>
        <v>0</v>
      </c>
      <c r="I133" s="209"/>
      <c r="J133" s="209"/>
      <c r="K133" s="176">
        <f t="shared" si="89"/>
        <v>0</v>
      </c>
      <c r="L133" s="209"/>
      <c r="M133" s="177">
        <f t="shared" si="90"/>
        <v>0</v>
      </c>
      <c r="N133" s="1012"/>
      <c r="O133" s="1012"/>
      <c r="P133" s="485"/>
      <c r="Q133" s="778"/>
      <c r="R133" s="778"/>
      <c r="S133" s="785" t="str">
        <f t="shared" si="93"/>
        <v/>
      </c>
      <c r="T133" s="548" t="str">
        <f t="shared" si="91"/>
        <v>Sheet Metal Takeoff</v>
      </c>
      <c r="U133" s="83">
        <f>ROUND(IF($T133="Plumb Takeoff",$H133*U$3,IF($T133="Pipe Takeoff",$H133*U$4,$H133*U$2)),2)</f>
        <v>0</v>
      </c>
      <c r="V133" s="83">
        <f t="shared" si="95"/>
        <v>0</v>
      </c>
      <c r="W133" s="83">
        <f t="shared" si="96"/>
        <v>0</v>
      </c>
      <c r="X133" s="781">
        <f t="shared" si="97"/>
        <v>0</v>
      </c>
      <c r="Y133" s="781">
        <f t="shared" si="98"/>
        <v>0</v>
      </c>
      <c r="Z133" s="781">
        <f t="shared" si="99"/>
        <v>0</v>
      </c>
      <c r="AA133" s="83">
        <f t="shared" si="92"/>
        <v>0</v>
      </c>
      <c r="AB133" s="83">
        <f t="shared" si="100"/>
        <v>0</v>
      </c>
      <c r="AC133" s="83">
        <f t="shared" si="101"/>
        <v>0</v>
      </c>
      <c r="AD133" s="83">
        <f t="shared" si="102"/>
        <v>0</v>
      </c>
      <c r="AE133" s="83">
        <f t="shared" si="103"/>
        <v>0</v>
      </c>
      <c r="AF133" s="83">
        <f t="shared" si="104"/>
        <v>0</v>
      </c>
      <c r="AG133" s="83">
        <f t="shared" si="105"/>
        <v>0</v>
      </c>
      <c r="AH133" s="83">
        <f t="shared" si="106"/>
        <v>0</v>
      </c>
      <c r="AI133" s="83">
        <f t="shared" si="107"/>
        <v>0</v>
      </c>
      <c r="AJ133" s="718">
        <f t="shared" si="108"/>
        <v>0</v>
      </c>
      <c r="AL133">
        <f t="shared" si="109"/>
        <v>0</v>
      </c>
      <c r="AM133">
        <f t="shared" si="110"/>
        <v>0</v>
      </c>
    </row>
    <row r="134" spans="1:39" ht="15.75" x14ac:dyDescent="0.25">
      <c r="A134" s="551"/>
      <c r="B134" s="551"/>
      <c r="C134" s="551"/>
      <c r="D134" s="673"/>
      <c r="E134" s="552"/>
      <c r="F134" s="553"/>
      <c r="G134" s="553"/>
      <c r="H134" s="181">
        <f>SUM(H106:H133)</f>
        <v>1964.5</v>
      </c>
      <c r="I134" s="182"/>
      <c r="J134" s="182"/>
      <c r="K134" s="181">
        <f>SUM(K106:K133)</f>
        <v>429.59999999999997</v>
      </c>
      <c r="L134" s="182"/>
      <c r="M134" s="177">
        <f>SUM(M106:M133)</f>
        <v>35000</v>
      </c>
      <c r="O134" s="486"/>
      <c r="AJ134" s="718"/>
    </row>
    <row r="135" spans="1:39" ht="15.75" thickBot="1" x14ac:dyDescent="0.3">
      <c r="AJ135" s="718"/>
    </row>
    <row r="136" spans="1:39" ht="16.5" thickBot="1" x14ac:dyDescent="0.3">
      <c r="E136" s="678" t="s">
        <v>1122</v>
      </c>
      <c r="F136" s="1017" t="s">
        <v>1630</v>
      </c>
      <c r="G136" s="1018"/>
      <c r="H136" s="344"/>
      <c r="I136" s="1019" t="s">
        <v>1628</v>
      </c>
      <c r="J136" s="1020"/>
      <c r="K136" s="679" t="b">
        <v>0</v>
      </c>
      <c r="AJ136" s="718"/>
    </row>
    <row r="137" spans="1:39" ht="38.25" thickBot="1" x14ac:dyDescent="0.35">
      <c r="A137" s="477" t="s">
        <v>1063</v>
      </c>
      <c r="B137" s="477" t="s">
        <v>348</v>
      </c>
      <c r="C137" s="477" t="s">
        <v>349</v>
      </c>
      <c r="D137" s="666" t="s">
        <v>0</v>
      </c>
      <c r="E137" s="477" t="s">
        <v>1</v>
      </c>
      <c r="F137" s="480" t="s">
        <v>2</v>
      </c>
      <c r="G137" s="480" t="s">
        <v>1123</v>
      </c>
      <c r="H137" s="480" t="s">
        <v>3</v>
      </c>
      <c r="I137" s="483" t="s">
        <v>4</v>
      </c>
      <c r="J137" s="480" t="s">
        <v>1124</v>
      </c>
      <c r="K137" s="680" t="s">
        <v>5</v>
      </c>
      <c r="L137" s="480" t="s">
        <v>6</v>
      </c>
      <c r="M137" s="484" t="s">
        <v>7</v>
      </c>
      <c r="N137" s="1013" t="s">
        <v>1079</v>
      </c>
      <c r="O137" s="1014"/>
      <c r="P137" s="1009" t="s">
        <v>1629</v>
      </c>
      <c r="Q137" s="1009" t="s">
        <v>1147</v>
      </c>
      <c r="R137" s="1009" t="s">
        <v>1792</v>
      </c>
      <c r="T137" s="2"/>
      <c r="AJ137" s="718"/>
    </row>
    <row r="138" spans="1:39" ht="16.5" thickBot="1" x14ac:dyDescent="0.3">
      <c r="A138" s="183"/>
      <c r="B138" s="183"/>
      <c r="C138" s="183"/>
      <c r="D138" s="671" t="s">
        <v>1861</v>
      </c>
      <c r="E138" s="183"/>
      <c r="F138" s="183"/>
      <c r="G138" s="183"/>
      <c r="H138" s="183"/>
      <c r="I138" s="183"/>
      <c r="J138" s="183"/>
      <c r="K138" s="183"/>
      <c r="L138" s="183"/>
      <c r="M138" s="183"/>
      <c r="N138" s="1015"/>
      <c r="O138" s="1016"/>
      <c r="P138" s="1010" t="s">
        <v>1362</v>
      </c>
      <c r="Q138" s="1010"/>
      <c r="R138" s="1010"/>
      <c r="T138" s="1"/>
      <c r="AJ138" s="718"/>
    </row>
    <row r="139" spans="1:39" ht="15.75" x14ac:dyDescent="0.25">
      <c r="A139" s="561"/>
      <c r="B139" s="561"/>
      <c r="C139" s="561"/>
      <c r="D139" s="672"/>
      <c r="E139" s="209"/>
      <c r="F139" s="209"/>
      <c r="G139" s="209"/>
      <c r="H139" s="176">
        <f t="shared" ref="H139:H168" si="121">IF(SM_ExludeGroup4=TRUE,0,IF(G139="",E139*F139*IF(AND(S139="LOP",R139="SWING"),1+CrewRate_PlumbFitter_SwingLOP,1)*IF(AND(S139="LOP",R139="GRAVE"),1+CrewRate_PlumbFitter_GraveLOP,1)*IF(AND(S139="LOP",R139="SPECIAL"),1+CrewRate_PlumbFitter_SwingLOP,1),E139*F139*G139*IF(AND(S139="LOP",R139="SWING"),1+CrewRate_PlumbFitter_SwingLOP,1)*IF(AND(S139="LOP",R139="GRAVE"),1+CrewRate_PlumbFitter_GraveLOP,1)*IF(AND(S139="LOP",R139="SPECIAL"),1+CrewRate_PlumbFitter_SwingLOP,1)))</f>
        <v>0</v>
      </c>
      <c r="I139" s="209"/>
      <c r="J139" s="209"/>
      <c r="K139" s="176">
        <f t="shared" ref="K139:K168" si="122">IF(SM_ExludeGroup4=TRUE,0,IF(J139="",E139*I139,E139*I139*J139))</f>
        <v>0</v>
      </c>
      <c r="L139" s="209"/>
      <c r="M139" s="177">
        <f t="shared" ref="M139:M168" si="123">IF(SM_ExludeGroup4=TRUE,0,E139*L139)</f>
        <v>0</v>
      </c>
      <c r="N139" s="1012"/>
      <c r="O139" s="1012"/>
      <c r="P139" s="485"/>
      <c r="Q139" s="778"/>
      <c r="R139" s="778"/>
      <c r="S139" s="785" t="str">
        <f>IF(T139="Sheet Metal Takeoff","",IF(R139="","","LOP"))</f>
        <v/>
      </c>
      <c r="T139" s="548" t="str">
        <f t="shared" ref="T139:T168" si="124">IF($F$136="","Sheet Metal Takeoff",$F$136)</f>
        <v>Sheet Metal Takeoff</v>
      </c>
      <c r="U139" s="83">
        <f>ROUND(IF($T139="Plumb Takeoff",$H139*U$3,IF($T139="Pipe Takeoff",$H139*U$4,$H139*U$2)),2)</f>
        <v>0</v>
      </c>
      <c r="V139" s="83">
        <f>ROUND(IF($T139="Plumb Takeoff",IF($Q139="OT",$H139*V$3,0),IF($T139="Pipe Takeoff",IF($Q139="OT",$H139*V$4,0),IF($Q139="OT",$H139*V$2,0))),2)</f>
        <v>0</v>
      </c>
      <c r="W139" s="83">
        <f>ROUND(IF($T139="Plumb Takeoff",IF($Q139="DBLT",$H139*W$3,0),IF($T139="Pipe Takeoff",IF($Q139="DBLT",$H139*W$4,0),IF($Q139="DBLT",$H139*W$2,0))),2)</f>
        <v>0</v>
      </c>
      <c r="X139" s="781">
        <f>ROUND(SUM(IF($T139="Plumb Takeoff",IF($R139="SWING",ROUND(SUM($H139)*X$3,2))),IF($T139="Pipe Takeoff",IF($R139="SWING",ROUND(SUM($H139)*X$4,2))),IF($T139="Sheet Metal Takeoff",IF($R139="SWING",ROUND(SUM($H139)*X$2,2)))),2)</f>
        <v>0</v>
      </c>
      <c r="Y139" s="781">
        <f>ROUND(SUM(IF($T139="Plumb Takeoff",IF($R139="GRAVE",ROUND(SUM($H139)*Y$3,2))),IF($T139="Pipe Takeoff",IF($R139="GRAVE",ROUND(SUM($H139)*Y$4,2))),IF($T139="Sheet Metal Takeoff",IF($R139="GRAVE",ROUND(SUM($H139)*Y$2,2)))),2)</f>
        <v>0</v>
      </c>
      <c r="Z139" s="781">
        <f>ROUND(SUM(IF($T139="Plumb Takeoff",IF($R139="SPECIAL",ROUND(SUM($H139)*Z$3,2))),IF($T139="Pipe Takeoff",IF($R139="SPECIAL",ROUND(SUM($H139)*Z$4,2))),IF($T139="Sheet Metal Takeoff",IF($R139="SPECIAL",ROUND(SUM($H139)*Z$2,2)))),2)</f>
        <v>0</v>
      </c>
      <c r="AA139" s="83">
        <f t="shared" ref="AA139:AA168" si="125">ROUND($K139*AA$2,2)</f>
        <v>0</v>
      </c>
      <c r="AB139" s="83">
        <f>ROUND(IF($Q139="OT",$K139*AB$2,0),2)</f>
        <v>0</v>
      </c>
      <c r="AC139" s="83">
        <f>ROUND(IF($Q139="DBLT",$K139*AC$2,0),2)</f>
        <v>0</v>
      </c>
      <c r="AD139" s="83">
        <f>ROUND(IF($R139="SWING",$K139*AD$2,0),2)</f>
        <v>0</v>
      </c>
      <c r="AE139" s="83">
        <f>ROUND(IF($R139="GRAVE",$K139*AE$2,0),2)</f>
        <v>0</v>
      </c>
      <c r="AF139" s="83">
        <f>ROUND(IF($R139="SPECIAL",$K139*AF$2,0),2)</f>
        <v>0</v>
      </c>
      <c r="AG139" s="83">
        <f>SUM(U139:Z139)</f>
        <v>0</v>
      </c>
      <c r="AH139" s="83">
        <f>SUM(AA139:AF139)</f>
        <v>0</v>
      </c>
      <c r="AI139" s="83">
        <f>SUM(U139:AF139)</f>
        <v>0</v>
      </c>
      <c r="AJ139" s="718">
        <f>SUM(M139,AI139)</f>
        <v>0</v>
      </c>
      <c r="AL139">
        <f>SUM(V139:Z139)</f>
        <v>0</v>
      </c>
      <c r="AM139">
        <f>SUM(AB139:AF139)</f>
        <v>0</v>
      </c>
    </row>
    <row r="140" spans="1:39" ht="15.75" x14ac:dyDescent="0.25">
      <c r="A140" s="561"/>
      <c r="B140" s="561"/>
      <c r="C140" s="561"/>
      <c r="D140" s="672" t="s">
        <v>1862</v>
      </c>
      <c r="E140" s="209">
        <v>5</v>
      </c>
      <c r="F140" s="209">
        <v>40</v>
      </c>
      <c r="G140" s="209"/>
      <c r="H140" s="176">
        <f t="shared" si="121"/>
        <v>200</v>
      </c>
      <c r="I140" s="209"/>
      <c r="J140" s="209"/>
      <c r="K140" s="176">
        <f t="shared" si="122"/>
        <v>0</v>
      </c>
      <c r="L140" s="209"/>
      <c r="M140" s="177">
        <f t="shared" si="123"/>
        <v>0</v>
      </c>
      <c r="N140" s="1012"/>
      <c r="O140" s="1012"/>
      <c r="P140" s="485"/>
      <c r="Q140" s="778"/>
      <c r="R140" s="778"/>
      <c r="S140" s="785" t="str">
        <f t="shared" ref="S140:S168" si="126">IF(T140="Sheet Metal Takeoff","",IF(R140="","","LOP"))</f>
        <v/>
      </c>
      <c r="T140" s="548" t="str">
        <f t="shared" si="124"/>
        <v>Sheet Metal Takeoff</v>
      </c>
      <c r="U140" s="83">
        <f t="shared" ref="U140:U167" si="127">ROUND(IF($T140="Plumb Takeoff",$H140*U$3,IF($T140="Pipe Takeoff",$H140*U$4,$H140*U$2)),2)</f>
        <v>19464</v>
      </c>
      <c r="V140" s="83">
        <f t="shared" ref="V140:V168" si="128">ROUND(IF($T140="Plumb Takeoff",IF($Q140="OT",$H140*V$3,0),IF($T140="Pipe Takeoff",IF($Q140="OT",$H140*V$4,0),IF($Q140="OT",$H140*V$2,0))),2)</f>
        <v>0</v>
      </c>
      <c r="W140" s="83">
        <f t="shared" ref="W140:W168" si="129">ROUND(IF($T140="Plumb Takeoff",IF($Q140="DBLT",$H140*W$3,0),IF($T140="Pipe Takeoff",IF($Q140="DBLT",$H140*W$4,0),IF($Q140="DBLT",$H140*W$2,0))),2)</f>
        <v>0</v>
      </c>
      <c r="X140" s="781">
        <f t="shared" ref="X140:X168" si="130">ROUND(SUM(IF($T140="Plumb Takeoff",IF($R140="SWING",ROUND(SUM($H140)*X$3,2))),IF($T140="Pipe Takeoff",IF($R140="SWING",ROUND(SUM($H140)*X$4,2))),IF($T140="Sheet Metal Takeoff",IF($R140="SWING",ROUND(SUM($H140)*X$2,2)))),2)</f>
        <v>0</v>
      </c>
      <c r="Y140" s="781">
        <f t="shared" ref="Y140:Y168" si="131">ROUND(SUM(IF($T140="Plumb Takeoff",IF($R140="GRAVE",ROUND(SUM($H140)*Y$3,2))),IF($T140="Pipe Takeoff",IF($R140="GRAVE",ROUND(SUM($H140)*Y$4,2))),IF($T140="Sheet Metal Takeoff",IF($R140="GRAVE",ROUND(SUM($H140)*Y$2,2)))),2)</f>
        <v>0</v>
      </c>
      <c r="Z140" s="781">
        <f t="shared" ref="Z140:Z168" si="132">ROUND(SUM(IF($T140="Plumb Takeoff",IF($R140="SPECIAL",ROUND(SUM($H140)*Z$3,2))),IF($T140="Pipe Takeoff",IF($R140="SPECIAL",ROUND(SUM($H140)*Z$4,2))),IF($T140="Sheet Metal Takeoff",IF($R140="SPECIAL",ROUND(SUM($H140)*Z$2,2)))),2)</f>
        <v>0</v>
      </c>
      <c r="AA140" s="83">
        <f t="shared" si="125"/>
        <v>0</v>
      </c>
      <c r="AB140" s="83">
        <f t="shared" ref="AB140:AB168" si="133">ROUND(IF($Q140="OT",$K140*AB$2,0),2)</f>
        <v>0</v>
      </c>
      <c r="AC140" s="83">
        <f t="shared" ref="AC140:AC168" si="134">ROUND(IF($Q140="DBLT",$K140*AC$2,0),2)</f>
        <v>0</v>
      </c>
      <c r="AD140" s="83">
        <f t="shared" ref="AD140:AD168" si="135">ROUND(IF($R140="SWING",$K140*AD$2,0),2)</f>
        <v>0</v>
      </c>
      <c r="AE140" s="83">
        <f t="shared" ref="AE140:AE168" si="136">ROUND(IF($R140="GRAVE",$K140*AE$2,0),2)</f>
        <v>0</v>
      </c>
      <c r="AF140" s="83">
        <f t="shared" ref="AF140:AF168" si="137">ROUND(IF($R140="SPECIAL",$K140*AF$2,0),2)</f>
        <v>0</v>
      </c>
      <c r="AG140" s="83">
        <f t="shared" ref="AG140:AG168" si="138">SUM(U140:Z140)</f>
        <v>19464</v>
      </c>
      <c r="AH140" s="83">
        <f t="shared" ref="AH140:AH168" si="139">SUM(AA140:AF140)</f>
        <v>0</v>
      </c>
      <c r="AI140" s="83">
        <f t="shared" ref="AI140:AI168" si="140">SUM(U140:AF140)</f>
        <v>19464</v>
      </c>
      <c r="AJ140" s="718">
        <f t="shared" ref="AJ140:AJ168" si="141">SUM(M140,AI140)</f>
        <v>19464</v>
      </c>
      <c r="AL140">
        <f t="shared" ref="AL140:AL168" si="142">SUM(V140:Z140)</f>
        <v>0</v>
      </c>
      <c r="AM140">
        <f t="shared" ref="AM140:AM168" si="143">SUM(AB140:AF140)</f>
        <v>0</v>
      </c>
    </row>
    <row r="141" spans="1:39" ht="15.75" x14ac:dyDescent="0.25">
      <c r="A141" s="561"/>
      <c r="B141" s="561"/>
      <c r="C141" s="561"/>
      <c r="D141" s="672"/>
      <c r="E141" s="209"/>
      <c r="F141" s="209"/>
      <c r="G141" s="209"/>
      <c r="H141" s="176">
        <f t="shared" si="121"/>
        <v>0</v>
      </c>
      <c r="I141" s="209"/>
      <c r="J141" s="209"/>
      <c r="K141" s="176">
        <f t="shared" si="122"/>
        <v>0</v>
      </c>
      <c r="L141" s="209"/>
      <c r="M141" s="177">
        <f t="shared" si="123"/>
        <v>0</v>
      </c>
      <c r="N141" s="1012"/>
      <c r="O141" s="1012"/>
      <c r="P141" s="485"/>
      <c r="Q141" s="778"/>
      <c r="R141" s="778"/>
      <c r="S141" s="785" t="str">
        <f t="shared" si="126"/>
        <v/>
      </c>
      <c r="T141" s="548" t="str">
        <f t="shared" si="124"/>
        <v>Sheet Metal Takeoff</v>
      </c>
      <c r="U141" s="83">
        <f t="shared" si="127"/>
        <v>0</v>
      </c>
      <c r="V141" s="83">
        <f t="shared" si="128"/>
        <v>0</v>
      </c>
      <c r="W141" s="83">
        <f t="shared" si="129"/>
        <v>0</v>
      </c>
      <c r="X141" s="781">
        <f t="shared" si="130"/>
        <v>0</v>
      </c>
      <c r="Y141" s="781">
        <f t="shared" si="131"/>
        <v>0</v>
      </c>
      <c r="Z141" s="781">
        <f t="shared" si="132"/>
        <v>0</v>
      </c>
      <c r="AA141" s="83">
        <f t="shared" si="125"/>
        <v>0</v>
      </c>
      <c r="AB141" s="83">
        <f t="shared" si="133"/>
        <v>0</v>
      </c>
      <c r="AC141" s="83">
        <f t="shared" si="134"/>
        <v>0</v>
      </c>
      <c r="AD141" s="83">
        <f t="shared" si="135"/>
        <v>0</v>
      </c>
      <c r="AE141" s="83">
        <f t="shared" si="136"/>
        <v>0</v>
      </c>
      <c r="AF141" s="83">
        <f t="shared" si="137"/>
        <v>0</v>
      </c>
      <c r="AG141" s="83">
        <f t="shared" si="138"/>
        <v>0</v>
      </c>
      <c r="AH141" s="83">
        <f t="shared" si="139"/>
        <v>0</v>
      </c>
      <c r="AI141" s="83">
        <f t="shared" si="140"/>
        <v>0</v>
      </c>
      <c r="AJ141" s="718">
        <f t="shared" si="141"/>
        <v>0</v>
      </c>
      <c r="AL141">
        <f t="shared" si="142"/>
        <v>0</v>
      </c>
      <c r="AM141">
        <f t="shared" si="143"/>
        <v>0</v>
      </c>
    </row>
    <row r="142" spans="1:39" ht="15.75" x14ac:dyDescent="0.25">
      <c r="A142" s="561"/>
      <c r="B142" s="561"/>
      <c r="C142" s="561"/>
      <c r="D142" s="672" t="s">
        <v>1863</v>
      </c>
      <c r="E142" s="209">
        <v>1</v>
      </c>
      <c r="F142" s="209"/>
      <c r="G142" s="209"/>
      <c r="H142" s="176">
        <f t="shared" si="121"/>
        <v>0</v>
      </c>
      <c r="I142" s="209"/>
      <c r="J142" s="209"/>
      <c r="K142" s="176">
        <f t="shared" si="122"/>
        <v>0</v>
      </c>
      <c r="L142" s="209"/>
      <c r="M142" s="177">
        <f t="shared" si="123"/>
        <v>0</v>
      </c>
      <c r="N142" s="1012"/>
      <c r="O142" s="1012"/>
      <c r="P142" s="485"/>
      <c r="Q142" s="778"/>
      <c r="R142" s="778"/>
      <c r="S142" s="785" t="str">
        <f t="shared" si="126"/>
        <v/>
      </c>
      <c r="T142" s="548" t="str">
        <f t="shared" si="124"/>
        <v>Sheet Metal Takeoff</v>
      </c>
      <c r="U142" s="83">
        <f t="shared" si="127"/>
        <v>0</v>
      </c>
      <c r="V142" s="83">
        <f t="shared" si="128"/>
        <v>0</v>
      </c>
      <c r="W142" s="83">
        <f t="shared" si="129"/>
        <v>0</v>
      </c>
      <c r="X142" s="781">
        <f t="shared" si="130"/>
        <v>0</v>
      </c>
      <c r="Y142" s="781">
        <f t="shared" si="131"/>
        <v>0</v>
      </c>
      <c r="Z142" s="781">
        <f t="shared" si="132"/>
        <v>0</v>
      </c>
      <c r="AA142" s="83">
        <f t="shared" si="125"/>
        <v>0</v>
      </c>
      <c r="AB142" s="83">
        <f t="shared" si="133"/>
        <v>0</v>
      </c>
      <c r="AC142" s="83">
        <f t="shared" si="134"/>
        <v>0</v>
      </c>
      <c r="AD142" s="83">
        <f t="shared" si="135"/>
        <v>0</v>
      </c>
      <c r="AE142" s="83">
        <f t="shared" si="136"/>
        <v>0</v>
      </c>
      <c r="AF142" s="83">
        <f t="shared" si="137"/>
        <v>0</v>
      </c>
      <c r="AG142" s="83">
        <f t="shared" si="138"/>
        <v>0</v>
      </c>
      <c r="AH142" s="83">
        <f t="shared" si="139"/>
        <v>0</v>
      </c>
      <c r="AI142" s="83">
        <f t="shared" si="140"/>
        <v>0</v>
      </c>
      <c r="AJ142" s="718">
        <f t="shared" si="141"/>
        <v>0</v>
      </c>
      <c r="AL142">
        <f t="shared" si="142"/>
        <v>0</v>
      </c>
      <c r="AM142">
        <f t="shared" si="143"/>
        <v>0</v>
      </c>
    </row>
    <row r="143" spans="1:39" ht="15.75" x14ac:dyDescent="0.25">
      <c r="A143" s="561"/>
      <c r="B143" s="561"/>
      <c r="C143" s="561"/>
      <c r="D143" s="672" t="s">
        <v>1872</v>
      </c>
      <c r="E143" s="209">
        <v>1</v>
      </c>
      <c r="F143" s="209">
        <v>80</v>
      </c>
      <c r="G143" s="209"/>
      <c r="H143" s="176">
        <f t="shared" si="121"/>
        <v>80</v>
      </c>
      <c r="I143" s="209"/>
      <c r="J143" s="209"/>
      <c r="K143" s="176">
        <f t="shared" si="122"/>
        <v>0</v>
      </c>
      <c r="L143" s="209">
        <v>7500</v>
      </c>
      <c r="M143" s="177">
        <f t="shared" si="123"/>
        <v>7500</v>
      </c>
      <c r="N143" s="1012"/>
      <c r="O143" s="1012"/>
      <c r="P143" s="485"/>
      <c r="Q143" s="778"/>
      <c r="R143" s="778"/>
      <c r="S143" s="785" t="str">
        <f t="shared" si="126"/>
        <v/>
      </c>
      <c r="T143" s="548" t="str">
        <f t="shared" si="124"/>
        <v>Sheet Metal Takeoff</v>
      </c>
      <c r="U143" s="83">
        <f t="shared" si="127"/>
        <v>7785.6</v>
      </c>
      <c r="V143" s="83">
        <f t="shared" si="128"/>
        <v>0</v>
      </c>
      <c r="W143" s="83">
        <f t="shared" si="129"/>
        <v>0</v>
      </c>
      <c r="X143" s="781">
        <f t="shared" si="130"/>
        <v>0</v>
      </c>
      <c r="Y143" s="781">
        <f t="shared" si="131"/>
        <v>0</v>
      </c>
      <c r="Z143" s="781">
        <f t="shared" si="132"/>
        <v>0</v>
      </c>
      <c r="AA143" s="83">
        <f t="shared" si="125"/>
        <v>0</v>
      </c>
      <c r="AB143" s="83">
        <f t="shared" si="133"/>
        <v>0</v>
      </c>
      <c r="AC143" s="83">
        <f t="shared" si="134"/>
        <v>0</v>
      </c>
      <c r="AD143" s="83">
        <f t="shared" si="135"/>
        <v>0</v>
      </c>
      <c r="AE143" s="83">
        <f t="shared" si="136"/>
        <v>0</v>
      </c>
      <c r="AF143" s="83">
        <f t="shared" si="137"/>
        <v>0</v>
      </c>
      <c r="AG143" s="83">
        <f t="shared" si="138"/>
        <v>7785.6</v>
      </c>
      <c r="AH143" s="83">
        <f t="shared" si="139"/>
        <v>0</v>
      </c>
      <c r="AI143" s="83">
        <f t="shared" si="140"/>
        <v>7785.6</v>
      </c>
      <c r="AJ143" s="718">
        <f t="shared" si="141"/>
        <v>15285.6</v>
      </c>
      <c r="AL143">
        <f t="shared" si="142"/>
        <v>0</v>
      </c>
      <c r="AM143">
        <f t="shared" si="143"/>
        <v>0</v>
      </c>
    </row>
    <row r="144" spans="1:39" ht="15.75" x14ac:dyDescent="0.25">
      <c r="A144" s="561"/>
      <c r="B144" s="561"/>
      <c r="C144" s="561"/>
      <c r="D144" s="672" t="s">
        <v>1866</v>
      </c>
      <c r="E144" s="209">
        <v>2</v>
      </c>
      <c r="F144" s="209">
        <v>32</v>
      </c>
      <c r="G144" s="209"/>
      <c r="H144" s="176">
        <f t="shared" ref="H144" si="144">IF(SM_ExludeGroup4=TRUE,0,IF(G144="",E144*F144*IF(AND(S144="LOP",R144="SWING"),1+CrewRate_PlumbFitter_SwingLOP,1)*IF(AND(S144="LOP",R144="GRAVE"),1+CrewRate_PlumbFitter_GraveLOP,1)*IF(AND(S144="LOP",R144="SPECIAL"),1+CrewRate_PlumbFitter_SwingLOP,1),E144*F144*G144*IF(AND(S144="LOP",R144="SWING"),1+CrewRate_PlumbFitter_SwingLOP,1)*IF(AND(S144="LOP",R144="GRAVE"),1+CrewRate_PlumbFitter_GraveLOP,1)*IF(AND(S144="LOP",R144="SPECIAL"),1+CrewRate_PlumbFitter_SwingLOP,1)))</f>
        <v>64</v>
      </c>
      <c r="I144" s="209"/>
      <c r="J144" s="209"/>
      <c r="K144" s="176">
        <f t="shared" ref="K144" si="145">IF(SM_ExludeGroup4=TRUE,0,IF(J144="",E144*I144,E144*I144*J144))</f>
        <v>0</v>
      </c>
      <c r="L144" s="209"/>
      <c r="M144" s="177">
        <f t="shared" ref="M144" si="146">IF(SM_ExludeGroup4=TRUE,0,E144*L144)</f>
        <v>0</v>
      </c>
      <c r="N144" s="1012"/>
      <c r="O144" s="1012"/>
      <c r="P144" s="485"/>
      <c r="Q144" s="778"/>
      <c r="R144" s="778"/>
      <c r="S144" s="785" t="str">
        <f t="shared" ref="S144" si="147">IF(T144="Sheet Metal Takeoff","",IF(R144="","","LOP"))</f>
        <v/>
      </c>
      <c r="T144" s="548" t="str">
        <f t="shared" si="124"/>
        <v>Sheet Metal Takeoff</v>
      </c>
      <c r="U144" s="83">
        <f t="shared" si="127"/>
        <v>6228.48</v>
      </c>
      <c r="V144" s="83">
        <f t="shared" si="128"/>
        <v>0</v>
      </c>
      <c r="W144" s="83">
        <f t="shared" si="129"/>
        <v>0</v>
      </c>
      <c r="X144" s="781">
        <f t="shared" si="130"/>
        <v>0</v>
      </c>
      <c r="Y144" s="781">
        <f t="shared" si="131"/>
        <v>0</v>
      </c>
      <c r="Z144" s="781">
        <f t="shared" si="132"/>
        <v>0</v>
      </c>
      <c r="AA144" s="83">
        <f t="shared" si="125"/>
        <v>0</v>
      </c>
      <c r="AB144" s="83">
        <f t="shared" si="133"/>
        <v>0</v>
      </c>
      <c r="AC144" s="83">
        <f t="shared" si="134"/>
        <v>0</v>
      </c>
      <c r="AD144" s="83">
        <f t="shared" si="135"/>
        <v>0</v>
      </c>
      <c r="AE144" s="83">
        <f t="shared" si="136"/>
        <v>0</v>
      </c>
      <c r="AF144" s="83">
        <f t="shared" si="137"/>
        <v>0</v>
      </c>
      <c r="AG144" s="83">
        <f t="shared" ref="AG144" si="148">SUM(U144:Z144)</f>
        <v>6228.48</v>
      </c>
      <c r="AH144" s="83">
        <f t="shared" ref="AH144" si="149">SUM(AA144:AF144)</f>
        <v>0</v>
      </c>
      <c r="AI144" s="83">
        <f t="shared" ref="AI144" si="150">SUM(U144:AF144)</f>
        <v>6228.48</v>
      </c>
      <c r="AJ144" s="718">
        <f t="shared" ref="AJ144" si="151">SUM(M144,AI144)</f>
        <v>6228.48</v>
      </c>
      <c r="AL144">
        <f t="shared" ref="AL144" si="152">SUM(V144:Z144)</f>
        <v>0</v>
      </c>
      <c r="AM144">
        <f t="shared" ref="AM144" si="153">SUM(AB144:AF144)</f>
        <v>0</v>
      </c>
    </row>
    <row r="145" spans="1:39" ht="15.75" x14ac:dyDescent="0.25">
      <c r="A145" s="561"/>
      <c r="B145" s="561"/>
      <c r="C145" s="561"/>
      <c r="D145" s="672" t="s">
        <v>1865</v>
      </c>
      <c r="E145" s="209">
        <v>2</v>
      </c>
      <c r="F145" s="209">
        <v>40</v>
      </c>
      <c r="G145" s="209"/>
      <c r="H145" s="176">
        <f t="shared" si="121"/>
        <v>80</v>
      </c>
      <c r="I145" s="209"/>
      <c r="J145" s="209"/>
      <c r="K145" s="176">
        <f t="shared" si="122"/>
        <v>0</v>
      </c>
      <c r="L145" s="209"/>
      <c r="M145" s="177">
        <f t="shared" si="123"/>
        <v>0</v>
      </c>
      <c r="N145" s="1012"/>
      <c r="O145" s="1012"/>
      <c r="P145" s="485"/>
      <c r="Q145" s="778"/>
      <c r="R145" s="778"/>
      <c r="S145" s="785" t="str">
        <f t="shared" si="126"/>
        <v/>
      </c>
      <c r="T145" s="548" t="str">
        <f t="shared" si="124"/>
        <v>Sheet Metal Takeoff</v>
      </c>
      <c r="U145" s="83">
        <f t="shared" si="127"/>
        <v>7785.6</v>
      </c>
      <c r="V145" s="83">
        <f t="shared" si="128"/>
        <v>0</v>
      </c>
      <c r="W145" s="83">
        <f t="shared" si="129"/>
        <v>0</v>
      </c>
      <c r="X145" s="781">
        <f t="shared" si="130"/>
        <v>0</v>
      </c>
      <c r="Y145" s="781">
        <f t="shared" si="131"/>
        <v>0</v>
      </c>
      <c r="Z145" s="781">
        <f t="shared" si="132"/>
        <v>0</v>
      </c>
      <c r="AA145" s="83">
        <f t="shared" si="125"/>
        <v>0</v>
      </c>
      <c r="AB145" s="83">
        <f t="shared" si="133"/>
        <v>0</v>
      </c>
      <c r="AC145" s="83">
        <f t="shared" si="134"/>
        <v>0</v>
      </c>
      <c r="AD145" s="83">
        <f t="shared" si="135"/>
        <v>0</v>
      </c>
      <c r="AE145" s="83">
        <f t="shared" si="136"/>
        <v>0</v>
      </c>
      <c r="AF145" s="83">
        <f t="shared" si="137"/>
        <v>0</v>
      </c>
      <c r="AG145" s="83">
        <f t="shared" si="138"/>
        <v>7785.6</v>
      </c>
      <c r="AH145" s="83">
        <f t="shared" si="139"/>
        <v>0</v>
      </c>
      <c r="AI145" s="83">
        <f t="shared" si="140"/>
        <v>7785.6</v>
      </c>
      <c r="AJ145" s="718">
        <f t="shared" si="141"/>
        <v>7785.6</v>
      </c>
      <c r="AL145">
        <f t="shared" si="142"/>
        <v>0</v>
      </c>
      <c r="AM145">
        <f t="shared" si="143"/>
        <v>0</v>
      </c>
    </row>
    <row r="146" spans="1:39" ht="15.75" x14ac:dyDescent="0.25">
      <c r="A146" s="561"/>
      <c r="B146" s="561"/>
      <c r="C146" s="561"/>
      <c r="D146" s="672" t="s">
        <v>1867</v>
      </c>
      <c r="E146" s="209">
        <v>2</v>
      </c>
      <c r="F146" s="209">
        <v>24</v>
      </c>
      <c r="G146" s="209"/>
      <c r="H146" s="176">
        <f t="shared" si="121"/>
        <v>48</v>
      </c>
      <c r="I146" s="209"/>
      <c r="J146" s="209"/>
      <c r="K146" s="176">
        <f t="shared" si="122"/>
        <v>0</v>
      </c>
      <c r="L146" s="209"/>
      <c r="M146" s="177">
        <f t="shared" si="123"/>
        <v>0</v>
      </c>
      <c r="N146" s="1012"/>
      <c r="O146" s="1012"/>
      <c r="P146" s="485"/>
      <c r="Q146" s="778"/>
      <c r="R146" s="778"/>
      <c r="S146" s="785" t="str">
        <f t="shared" si="126"/>
        <v/>
      </c>
      <c r="T146" s="548" t="str">
        <f t="shared" si="124"/>
        <v>Sheet Metal Takeoff</v>
      </c>
      <c r="U146" s="83">
        <f t="shared" si="127"/>
        <v>4671.3599999999997</v>
      </c>
      <c r="V146" s="83">
        <f t="shared" si="128"/>
        <v>0</v>
      </c>
      <c r="W146" s="83">
        <f t="shared" si="129"/>
        <v>0</v>
      </c>
      <c r="X146" s="781">
        <f t="shared" si="130"/>
        <v>0</v>
      </c>
      <c r="Y146" s="781">
        <f t="shared" si="131"/>
        <v>0</v>
      </c>
      <c r="Z146" s="781">
        <f t="shared" si="132"/>
        <v>0</v>
      </c>
      <c r="AA146" s="83">
        <f t="shared" si="125"/>
        <v>0</v>
      </c>
      <c r="AB146" s="83">
        <f t="shared" si="133"/>
        <v>0</v>
      </c>
      <c r="AC146" s="83">
        <f t="shared" si="134"/>
        <v>0</v>
      </c>
      <c r="AD146" s="83">
        <f t="shared" si="135"/>
        <v>0</v>
      </c>
      <c r="AE146" s="83">
        <f t="shared" si="136"/>
        <v>0</v>
      </c>
      <c r="AF146" s="83">
        <f t="shared" si="137"/>
        <v>0</v>
      </c>
      <c r="AG146" s="83">
        <f t="shared" si="138"/>
        <v>4671.3599999999997</v>
      </c>
      <c r="AH146" s="83">
        <f t="shared" si="139"/>
        <v>0</v>
      </c>
      <c r="AI146" s="83">
        <f t="shared" si="140"/>
        <v>4671.3599999999997</v>
      </c>
      <c r="AJ146" s="718">
        <f t="shared" si="141"/>
        <v>4671.3599999999997</v>
      </c>
      <c r="AL146">
        <f t="shared" si="142"/>
        <v>0</v>
      </c>
      <c r="AM146">
        <f t="shared" si="143"/>
        <v>0</v>
      </c>
    </row>
    <row r="147" spans="1:39" ht="15.75" x14ac:dyDescent="0.25">
      <c r="A147" s="561"/>
      <c r="B147" s="561"/>
      <c r="C147" s="561"/>
      <c r="D147" s="672" t="s">
        <v>1868</v>
      </c>
      <c r="E147" s="209">
        <v>1</v>
      </c>
      <c r="F147" s="209">
        <v>16</v>
      </c>
      <c r="G147" s="209"/>
      <c r="H147" s="176">
        <f t="shared" si="121"/>
        <v>16</v>
      </c>
      <c r="I147" s="209">
        <v>2</v>
      </c>
      <c r="J147" s="209"/>
      <c r="K147" s="176">
        <f t="shared" si="122"/>
        <v>2</v>
      </c>
      <c r="L147" s="209">
        <v>250</v>
      </c>
      <c r="M147" s="177">
        <f t="shared" si="123"/>
        <v>250</v>
      </c>
      <c r="N147" s="1012"/>
      <c r="O147" s="1012"/>
      <c r="P147" s="485"/>
      <c r="Q147" s="778"/>
      <c r="R147" s="778"/>
      <c r="S147" s="785" t="str">
        <f t="shared" si="126"/>
        <v/>
      </c>
      <c r="T147" s="548" t="str">
        <f t="shared" si="124"/>
        <v>Sheet Metal Takeoff</v>
      </c>
      <c r="U147" s="83">
        <f t="shared" si="127"/>
        <v>1557.12</v>
      </c>
      <c r="V147" s="83">
        <f t="shared" si="128"/>
        <v>0</v>
      </c>
      <c r="W147" s="83">
        <f t="shared" si="129"/>
        <v>0</v>
      </c>
      <c r="X147" s="781">
        <f t="shared" si="130"/>
        <v>0</v>
      </c>
      <c r="Y147" s="781">
        <f t="shared" si="131"/>
        <v>0</v>
      </c>
      <c r="Z147" s="781">
        <f t="shared" si="132"/>
        <v>0</v>
      </c>
      <c r="AA147" s="83">
        <f t="shared" si="125"/>
        <v>213</v>
      </c>
      <c r="AB147" s="83">
        <f t="shared" si="133"/>
        <v>0</v>
      </c>
      <c r="AC147" s="83">
        <f t="shared" si="134"/>
        <v>0</v>
      </c>
      <c r="AD147" s="83">
        <f t="shared" si="135"/>
        <v>0</v>
      </c>
      <c r="AE147" s="83">
        <f t="shared" si="136"/>
        <v>0</v>
      </c>
      <c r="AF147" s="83">
        <f t="shared" si="137"/>
        <v>0</v>
      </c>
      <c r="AG147" s="83">
        <f t="shared" si="138"/>
        <v>1557.12</v>
      </c>
      <c r="AH147" s="83">
        <f t="shared" si="139"/>
        <v>213</v>
      </c>
      <c r="AI147" s="83">
        <f t="shared" si="140"/>
        <v>1770.12</v>
      </c>
      <c r="AJ147" s="718">
        <f t="shared" si="141"/>
        <v>2020.12</v>
      </c>
      <c r="AL147">
        <f t="shared" si="142"/>
        <v>0</v>
      </c>
      <c r="AM147">
        <f t="shared" si="143"/>
        <v>0</v>
      </c>
    </row>
    <row r="148" spans="1:39" ht="15.75" x14ac:dyDescent="0.25">
      <c r="A148" s="561"/>
      <c r="B148" s="561"/>
      <c r="C148" s="561"/>
      <c r="D148" s="672" t="s">
        <v>1874</v>
      </c>
      <c r="E148" s="209">
        <v>1</v>
      </c>
      <c r="F148" s="209">
        <v>6</v>
      </c>
      <c r="G148" s="209"/>
      <c r="H148" s="176">
        <f t="shared" si="121"/>
        <v>6</v>
      </c>
      <c r="I148" s="209"/>
      <c r="J148" s="209"/>
      <c r="K148" s="176">
        <f t="shared" si="122"/>
        <v>0</v>
      </c>
      <c r="L148" s="209"/>
      <c r="M148" s="177">
        <f t="shared" si="123"/>
        <v>0</v>
      </c>
      <c r="N148" s="1012"/>
      <c r="O148" s="1012"/>
      <c r="P148" s="485"/>
      <c r="Q148" s="778"/>
      <c r="R148" s="778"/>
      <c r="S148" s="785" t="str">
        <f t="shared" si="126"/>
        <v/>
      </c>
      <c r="T148" s="548" t="str">
        <f t="shared" si="124"/>
        <v>Sheet Metal Takeoff</v>
      </c>
      <c r="U148" s="83">
        <f t="shared" si="127"/>
        <v>583.91999999999996</v>
      </c>
      <c r="V148" s="83">
        <f t="shared" si="128"/>
        <v>0</v>
      </c>
      <c r="W148" s="83">
        <f t="shared" si="129"/>
        <v>0</v>
      </c>
      <c r="X148" s="781">
        <f t="shared" si="130"/>
        <v>0</v>
      </c>
      <c r="Y148" s="781">
        <f t="shared" si="131"/>
        <v>0</v>
      </c>
      <c r="Z148" s="781">
        <f t="shared" si="132"/>
        <v>0</v>
      </c>
      <c r="AA148" s="83">
        <f t="shared" si="125"/>
        <v>0</v>
      </c>
      <c r="AB148" s="83">
        <f t="shared" si="133"/>
        <v>0</v>
      </c>
      <c r="AC148" s="83">
        <f t="shared" si="134"/>
        <v>0</v>
      </c>
      <c r="AD148" s="83">
        <f t="shared" si="135"/>
        <v>0</v>
      </c>
      <c r="AE148" s="83">
        <f t="shared" si="136"/>
        <v>0</v>
      </c>
      <c r="AF148" s="83">
        <f t="shared" si="137"/>
        <v>0</v>
      </c>
      <c r="AG148" s="83">
        <f t="shared" si="138"/>
        <v>583.91999999999996</v>
      </c>
      <c r="AH148" s="83">
        <f t="shared" si="139"/>
        <v>0</v>
      </c>
      <c r="AI148" s="83">
        <f t="shared" si="140"/>
        <v>583.91999999999996</v>
      </c>
      <c r="AJ148" s="718">
        <f t="shared" si="141"/>
        <v>583.91999999999996</v>
      </c>
      <c r="AL148">
        <f t="shared" si="142"/>
        <v>0</v>
      </c>
      <c r="AM148">
        <f t="shared" si="143"/>
        <v>0</v>
      </c>
    </row>
    <row r="149" spans="1:39" ht="15.75" x14ac:dyDescent="0.25">
      <c r="A149" s="561"/>
      <c r="B149" s="561"/>
      <c r="C149" s="561"/>
      <c r="D149" s="672" t="s">
        <v>1869</v>
      </c>
      <c r="E149" s="209">
        <v>1</v>
      </c>
      <c r="F149" s="209">
        <v>80</v>
      </c>
      <c r="G149" s="209"/>
      <c r="H149" s="176">
        <f t="shared" si="121"/>
        <v>80</v>
      </c>
      <c r="I149" s="209">
        <v>20</v>
      </c>
      <c r="J149" s="209"/>
      <c r="K149" s="176">
        <f t="shared" si="122"/>
        <v>20</v>
      </c>
      <c r="L149" s="209">
        <v>2500</v>
      </c>
      <c r="M149" s="177">
        <f t="shared" si="123"/>
        <v>2500</v>
      </c>
      <c r="N149" s="1012"/>
      <c r="O149" s="1012"/>
      <c r="P149" s="485"/>
      <c r="Q149" s="778"/>
      <c r="R149" s="778"/>
      <c r="S149" s="785" t="str">
        <f t="shared" si="126"/>
        <v/>
      </c>
      <c r="T149" s="548" t="str">
        <f t="shared" si="124"/>
        <v>Sheet Metal Takeoff</v>
      </c>
      <c r="U149" s="83">
        <f t="shared" si="127"/>
        <v>7785.6</v>
      </c>
      <c r="V149" s="83">
        <f t="shared" si="128"/>
        <v>0</v>
      </c>
      <c r="W149" s="83">
        <f t="shared" si="129"/>
        <v>0</v>
      </c>
      <c r="X149" s="781">
        <f t="shared" si="130"/>
        <v>0</v>
      </c>
      <c r="Y149" s="781">
        <f t="shared" si="131"/>
        <v>0</v>
      </c>
      <c r="Z149" s="781">
        <f t="shared" si="132"/>
        <v>0</v>
      </c>
      <c r="AA149" s="83">
        <f t="shared" si="125"/>
        <v>2130</v>
      </c>
      <c r="AB149" s="83">
        <f t="shared" si="133"/>
        <v>0</v>
      </c>
      <c r="AC149" s="83">
        <f t="shared" si="134"/>
        <v>0</v>
      </c>
      <c r="AD149" s="83">
        <f t="shared" si="135"/>
        <v>0</v>
      </c>
      <c r="AE149" s="83">
        <f t="shared" si="136"/>
        <v>0</v>
      </c>
      <c r="AF149" s="83">
        <f t="shared" si="137"/>
        <v>0</v>
      </c>
      <c r="AG149" s="83">
        <f t="shared" si="138"/>
        <v>7785.6</v>
      </c>
      <c r="AH149" s="83">
        <f t="shared" si="139"/>
        <v>2130</v>
      </c>
      <c r="AI149" s="83">
        <f t="shared" si="140"/>
        <v>9915.6</v>
      </c>
      <c r="AJ149" s="718">
        <f t="shared" si="141"/>
        <v>12415.6</v>
      </c>
      <c r="AL149">
        <f t="shared" si="142"/>
        <v>0</v>
      </c>
      <c r="AM149">
        <f t="shared" si="143"/>
        <v>0</v>
      </c>
    </row>
    <row r="150" spans="1:39" ht="15.75" x14ac:dyDescent="0.25">
      <c r="A150" s="561"/>
      <c r="B150" s="561"/>
      <c r="C150" s="561"/>
      <c r="D150" s="672"/>
      <c r="E150" s="209"/>
      <c r="F150" s="209"/>
      <c r="G150" s="209"/>
      <c r="H150" s="176">
        <f t="shared" si="121"/>
        <v>0</v>
      </c>
      <c r="I150" s="209"/>
      <c r="J150" s="209"/>
      <c r="K150" s="176">
        <f t="shared" si="122"/>
        <v>0</v>
      </c>
      <c r="L150" s="209"/>
      <c r="M150" s="177">
        <f t="shared" si="123"/>
        <v>0</v>
      </c>
      <c r="N150" s="1012"/>
      <c r="O150" s="1012"/>
      <c r="P150" s="485"/>
      <c r="Q150" s="778"/>
      <c r="R150" s="778"/>
      <c r="S150" s="785" t="str">
        <f t="shared" si="126"/>
        <v/>
      </c>
      <c r="T150" s="548" t="str">
        <f t="shared" si="124"/>
        <v>Sheet Metal Takeoff</v>
      </c>
      <c r="U150" s="83">
        <f t="shared" si="127"/>
        <v>0</v>
      </c>
      <c r="V150" s="83">
        <f t="shared" si="128"/>
        <v>0</v>
      </c>
      <c r="W150" s="83">
        <f t="shared" si="129"/>
        <v>0</v>
      </c>
      <c r="X150" s="781">
        <f t="shared" si="130"/>
        <v>0</v>
      </c>
      <c r="Y150" s="781">
        <f t="shared" si="131"/>
        <v>0</v>
      </c>
      <c r="Z150" s="781">
        <f t="shared" si="132"/>
        <v>0</v>
      </c>
      <c r="AA150" s="83">
        <f t="shared" si="125"/>
        <v>0</v>
      </c>
      <c r="AB150" s="83">
        <f t="shared" si="133"/>
        <v>0</v>
      </c>
      <c r="AC150" s="83">
        <f t="shared" si="134"/>
        <v>0</v>
      </c>
      <c r="AD150" s="83">
        <f t="shared" si="135"/>
        <v>0</v>
      </c>
      <c r="AE150" s="83">
        <f t="shared" si="136"/>
        <v>0</v>
      </c>
      <c r="AF150" s="83">
        <f t="shared" si="137"/>
        <v>0</v>
      </c>
      <c r="AG150" s="83">
        <f t="shared" si="138"/>
        <v>0</v>
      </c>
      <c r="AH150" s="83">
        <f t="shared" si="139"/>
        <v>0</v>
      </c>
      <c r="AI150" s="83">
        <f t="shared" si="140"/>
        <v>0</v>
      </c>
      <c r="AJ150" s="718">
        <f t="shared" si="141"/>
        <v>0</v>
      </c>
      <c r="AL150">
        <f t="shared" si="142"/>
        <v>0</v>
      </c>
      <c r="AM150">
        <f t="shared" si="143"/>
        <v>0</v>
      </c>
    </row>
    <row r="151" spans="1:39" ht="15.75" x14ac:dyDescent="0.25">
      <c r="A151" s="561"/>
      <c r="B151" s="561"/>
      <c r="C151" s="561"/>
      <c r="D151" s="672" t="s">
        <v>1876</v>
      </c>
      <c r="E151" s="209">
        <v>1</v>
      </c>
      <c r="F151" s="209">
        <v>16</v>
      </c>
      <c r="G151" s="209"/>
      <c r="H151" s="176">
        <f t="shared" ref="H151" si="154">IF(SM_ExludeGroup4=TRUE,0,IF(G151="",E151*F151*IF(AND(S151="LOP",R151="SWING"),1+CrewRate_PlumbFitter_SwingLOP,1)*IF(AND(S151="LOP",R151="GRAVE"),1+CrewRate_PlumbFitter_GraveLOP,1)*IF(AND(S151="LOP",R151="SPECIAL"),1+CrewRate_PlumbFitter_SwingLOP,1),E151*F151*G151*IF(AND(S151="LOP",R151="SWING"),1+CrewRate_PlumbFitter_SwingLOP,1)*IF(AND(S151="LOP",R151="GRAVE"),1+CrewRate_PlumbFitter_GraveLOP,1)*IF(AND(S151="LOP",R151="SPECIAL"),1+CrewRate_PlumbFitter_SwingLOP,1)))</f>
        <v>16</v>
      </c>
      <c r="I151" s="209"/>
      <c r="J151" s="209"/>
      <c r="K151" s="176">
        <f t="shared" ref="K151" si="155">IF(SM_ExludeGroup4=TRUE,0,IF(J151="",E151*I151,E151*I151*J151))</f>
        <v>0</v>
      </c>
      <c r="L151" s="209"/>
      <c r="M151" s="177">
        <f t="shared" ref="M151" si="156">IF(SM_ExludeGroup4=TRUE,0,E151*L151)</f>
        <v>0</v>
      </c>
      <c r="N151" s="1012"/>
      <c r="O151" s="1012"/>
      <c r="P151" s="485"/>
      <c r="Q151" s="778"/>
      <c r="R151" s="778"/>
      <c r="S151" s="785" t="str">
        <f t="shared" ref="S151" si="157">IF(T151="Sheet Metal Takeoff","",IF(R151="","","LOP"))</f>
        <v/>
      </c>
      <c r="T151" s="548" t="str">
        <f t="shared" si="124"/>
        <v>Sheet Metal Takeoff</v>
      </c>
      <c r="U151" s="83">
        <f t="shared" si="127"/>
        <v>1557.12</v>
      </c>
      <c r="V151" s="83">
        <f t="shared" si="128"/>
        <v>0</v>
      </c>
      <c r="W151" s="83">
        <f t="shared" si="129"/>
        <v>0</v>
      </c>
      <c r="X151" s="781">
        <f t="shared" si="130"/>
        <v>0</v>
      </c>
      <c r="Y151" s="781">
        <f t="shared" si="131"/>
        <v>0</v>
      </c>
      <c r="Z151" s="781">
        <f t="shared" si="132"/>
        <v>0</v>
      </c>
      <c r="AA151" s="83">
        <f t="shared" si="125"/>
        <v>0</v>
      </c>
      <c r="AB151" s="83">
        <f t="shared" si="133"/>
        <v>0</v>
      </c>
      <c r="AC151" s="83">
        <f t="shared" si="134"/>
        <v>0</v>
      </c>
      <c r="AD151" s="83">
        <f t="shared" si="135"/>
        <v>0</v>
      </c>
      <c r="AE151" s="83">
        <f t="shared" si="136"/>
        <v>0</v>
      </c>
      <c r="AF151" s="83">
        <f t="shared" si="137"/>
        <v>0</v>
      </c>
      <c r="AG151" s="83">
        <f t="shared" ref="AG151" si="158">SUM(U151:Z151)</f>
        <v>1557.12</v>
      </c>
      <c r="AH151" s="83">
        <f t="shared" ref="AH151" si="159">SUM(AA151:AF151)</f>
        <v>0</v>
      </c>
      <c r="AI151" s="83">
        <f t="shared" ref="AI151" si="160">SUM(U151:AF151)</f>
        <v>1557.12</v>
      </c>
      <c r="AJ151" s="718">
        <f t="shared" ref="AJ151" si="161">SUM(M151,AI151)</f>
        <v>1557.12</v>
      </c>
      <c r="AL151">
        <f t="shared" ref="AL151" si="162">SUM(V151:Z151)</f>
        <v>0</v>
      </c>
      <c r="AM151">
        <f t="shared" ref="AM151" si="163">SUM(AB151:AF151)</f>
        <v>0</v>
      </c>
    </row>
    <row r="152" spans="1:39" ht="15.75" x14ac:dyDescent="0.25">
      <c r="A152" s="561"/>
      <c r="B152" s="561"/>
      <c r="C152" s="561"/>
      <c r="D152" s="672" t="s">
        <v>1870</v>
      </c>
      <c r="E152" s="209">
        <v>1</v>
      </c>
      <c r="F152" s="209">
        <v>40</v>
      </c>
      <c r="G152" s="209"/>
      <c r="H152" s="176">
        <f t="shared" si="121"/>
        <v>40</v>
      </c>
      <c r="I152" s="209">
        <v>5</v>
      </c>
      <c r="J152" s="209"/>
      <c r="K152" s="176">
        <f t="shared" si="122"/>
        <v>5</v>
      </c>
      <c r="L152" s="209">
        <v>1200</v>
      </c>
      <c r="M152" s="177">
        <f t="shared" si="123"/>
        <v>1200</v>
      </c>
      <c r="N152" s="1012"/>
      <c r="O152" s="1012"/>
      <c r="P152" s="485"/>
      <c r="Q152" s="778"/>
      <c r="R152" s="778"/>
      <c r="S152" s="785" t="str">
        <f t="shared" si="126"/>
        <v/>
      </c>
      <c r="T152" s="548" t="str">
        <f t="shared" si="124"/>
        <v>Sheet Metal Takeoff</v>
      </c>
      <c r="U152" s="83">
        <f t="shared" si="127"/>
        <v>3892.8</v>
      </c>
      <c r="V152" s="83">
        <f t="shared" si="128"/>
        <v>0</v>
      </c>
      <c r="W152" s="83">
        <f t="shared" si="129"/>
        <v>0</v>
      </c>
      <c r="X152" s="781">
        <f t="shared" si="130"/>
        <v>0</v>
      </c>
      <c r="Y152" s="781">
        <f t="shared" si="131"/>
        <v>0</v>
      </c>
      <c r="Z152" s="781">
        <f t="shared" si="132"/>
        <v>0</v>
      </c>
      <c r="AA152" s="83">
        <f t="shared" si="125"/>
        <v>532.5</v>
      </c>
      <c r="AB152" s="83">
        <f t="shared" si="133"/>
        <v>0</v>
      </c>
      <c r="AC152" s="83">
        <f t="shared" si="134"/>
        <v>0</v>
      </c>
      <c r="AD152" s="83">
        <f t="shared" si="135"/>
        <v>0</v>
      </c>
      <c r="AE152" s="83">
        <f t="shared" si="136"/>
        <v>0</v>
      </c>
      <c r="AF152" s="83">
        <f t="shared" si="137"/>
        <v>0</v>
      </c>
      <c r="AG152" s="83">
        <f t="shared" si="138"/>
        <v>3892.8</v>
      </c>
      <c r="AH152" s="83">
        <f t="shared" si="139"/>
        <v>532.5</v>
      </c>
      <c r="AI152" s="83">
        <f t="shared" si="140"/>
        <v>4425.3</v>
      </c>
      <c r="AJ152" s="718">
        <f t="shared" si="141"/>
        <v>5625.3</v>
      </c>
      <c r="AL152">
        <f t="shared" si="142"/>
        <v>0</v>
      </c>
      <c r="AM152">
        <f t="shared" si="143"/>
        <v>0</v>
      </c>
    </row>
    <row r="153" spans="1:39" ht="15.75" x14ac:dyDescent="0.25">
      <c r="A153" s="561"/>
      <c r="B153" s="561"/>
      <c r="C153" s="561"/>
      <c r="D153" s="672" t="s">
        <v>1878</v>
      </c>
      <c r="E153" s="209">
        <v>1</v>
      </c>
      <c r="F153" s="209">
        <v>16</v>
      </c>
      <c r="G153" s="209"/>
      <c r="H153" s="176">
        <f t="shared" si="121"/>
        <v>16</v>
      </c>
      <c r="I153" s="209"/>
      <c r="J153" s="209"/>
      <c r="K153" s="176">
        <f t="shared" si="122"/>
        <v>0</v>
      </c>
      <c r="L153" s="209"/>
      <c r="M153" s="177">
        <f t="shared" si="123"/>
        <v>0</v>
      </c>
      <c r="N153" s="1012"/>
      <c r="O153" s="1012"/>
      <c r="P153" s="485"/>
      <c r="Q153" s="778"/>
      <c r="R153" s="778"/>
      <c r="S153" s="785" t="str">
        <f t="shared" si="126"/>
        <v/>
      </c>
      <c r="T153" s="548" t="str">
        <f t="shared" si="124"/>
        <v>Sheet Metal Takeoff</v>
      </c>
      <c r="U153" s="83">
        <f t="shared" si="127"/>
        <v>1557.12</v>
      </c>
      <c r="V153" s="83">
        <f t="shared" si="128"/>
        <v>0</v>
      </c>
      <c r="W153" s="83">
        <f t="shared" si="129"/>
        <v>0</v>
      </c>
      <c r="X153" s="781">
        <f t="shared" si="130"/>
        <v>0</v>
      </c>
      <c r="Y153" s="781">
        <f t="shared" si="131"/>
        <v>0</v>
      </c>
      <c r="Z153" s="781">
        <f t="shared" si="132"/>
        <v>0</v>
      </c>
      <c r="AA153" s="83">
        <f t="shared" si="125"/>
        <v>0</v>
      </c>
      <c r="AB153" s="83">
        <f t="shared" si="133"/>
        <v>0</v>
      </c>
      <c r="AC153" s="83">
        <f t="shared" si="134"/>
        <v>0</v>
      </c>
      <c r="AD153" s="83">
        <f t="shared" si="135"/>
        <v>0</v>
      </c>
      <c r="AE153" s="83">
        <f t="shared" si="136"/>
        <v>0</v>
      </c>
      <c r="AF153" s="83">
        <f t="shared" si="137"/>
        <v>0</v>
      </c>
      <c r="AG153" s="83">
        <f t="shared" si="138"/>
        <v>1557.12</v>
      </c>
      <c r="AH153" s="83">
        <f t="shared" si="139"/>
        <v>0</v>
      </c>
      <c r="AI153" s="83">
        <f t="shared" si="140"/>
        <v>1557.12</v>
      </c>
      <c r="AJ153" s="718">
        <f t="shared" si="141"/>
        <v>1557.12</v>
      </c>
      <c r="AL153">
        <f t="shared" si="142"/>
        <v>0</v>
      </c>
      <c r="AM153">
        <f t="shared" si="143"/>
        <v>0</v>
      </c>
    </row>
    <row r="154" spans="1:39" ht="15.75" x14ac:dyDescent="0.25">
      <c r="A154" s="561"/>
      <c r="B154" s="561"/>
      <c r="C154" s="561"/>
      <c r="D154" s="672"/>
      <c r="E154" s="209"/>
      <c r="F154" s="209"/>
      <c r="G154" s="209"/>
      <c r="H154" s="176">
        <f t="shared" si="121"/>
        <v>0</v>
      </c>
      <c r="I154" s="209"/>
      <c r="J154" s="209"/>
      <c r="K154" s="176">
        <f t="shared" si="122"/>
        <v>0</v>
      </c>
      <c r="L154" s="209"/>
      <c r="M154" s="177">
        <f t="shared" si="123"/>
        <v>0</v>
      </c>
      <c r="N154" s="1012"/>
      <c r="O154" s="1012"/>
      <c r="P154" s="485"/>
      <c r="Q154" s="778"/>
      <c r="R154" s="778"/>
      <c r="S154" s="785" t="str">
        <f t="shared" si="126"/>
        <v/>
      </c>
      <c r="T154" s="548" t="str">
        <f t="shared" si="124"/>
        <v>Sheet Metal Takeoff</v>
      </c>
      <c r="U154" s="83">
        <f t="shared" si="127"/>
        <v>0</v>
      </c>
      <c r="V154" s="83">
        <f t="shared" si="128"/>
        <v>0</v>
      </c>
      <c r="W154" s="83">
        <f t="shared" si="129"/>
        <v>0</v>
      </c>
      <c r="X154" s="781">
        <f t="shared" si="130"/>
        <v>0</v>
      </c>
      <c r="Y154" s="781">
        <f t="shared" si="131"/>
        <v>0</v>
      </c>
      <c r="Z154" s="781">
        <f t="shared" si="132"/>
        <v>0</v>
      </c>
      <c r="AA154" s="83">
        <f t="shared" si="125"/>
        <v>0</v>
      </c>
      <c r="AB154" s="83">
        <f t="shared" si="133"/>
        <v>0</v>
      </c>
      <c r="AC154" s="83">
        <f t="shared" si="134"/>
        <v>0</v>
      </c>
      <c r="AD154" s="83">
        <f t="shared" si="135"/>
        <v>0</v>
      </c>
      <c r="AE154" s="83">
        <f t="shared" si="136"/>
        <v>0</v>
      </c>
      <c r="AF154" s="83">
        <f t="shared" si="137"/>
        <v>0</v>
      </c>
      <c r="AG154" s="83">
        <f t="shared" si="138"/>
        <v>0</v>
      </c>
      <c r="AH154" s="83">
        <f t="shared" si="139"/>
        <v>0</v>
      </c>
      <c r="AI154" s="83">
        <f t="shared" si="140"/>
        <v>0</v>
      </c>
      <c r="AJ154" s="718">
        <f t="shared" si="141"/>
        <v>0</v>
      </c>
      <c r="AL154">
        <f t="shared" si="142"/>
        <v>0</v>
      </c>
      <c r="AM154">
        <f t="shared" si="143"/>
        <v>0</v>
      </c>
    </row>
    <row r="155" spans="1:39" ht="15.75" x14ac:dyDescent="0.25">
      <c r="A155" s="561"/>
      <c r="B155" s="561"/>
      <c r="C155" s="561"/>
      <c r="D155" s="672"/>
      <c r="E155" s="209"/>
      <c r="F155" s="209"/>
      <c r="G155" s="209"/>
      <c r="H155" s="176">
        <f t="shared" ref="H155:H156" si="164">IF(SM_ExludeGroup4=TRUE,0,IF(G155="",E155*F155*IF(AND(S155="LOP",R155="SWING"),1+CrewRate_PlumbFitter_SwingLOP,1)*IF(AND(S155="LOP",R155="GRAVE"),1+CrewRate_PlumbFitter_GraveLOP,1)*IF(AND(S155="LOP",R155="SPECIAL"),1+CrewRate_PlumbFitter_SwingLOP,1),E155*F155*G155*IF(AND(S155="LOP",R155="SWING"),1+CrewRate_PlumbFitter_SwingLOP,1)*IF(AND(S155="LOP",R155="GRAVE"),1+CrewRate_PlumbFitter_GraveLOP,1)*IF(AND(S155="LOP",R155="SPECIAL"),1+CrewRate_PlumbFitter_SwingLOP,1)))</f>
        <v>0</v>
      </c>
      <c r="I155" s="209"/>
      <c r="J155" s="209"/>
      <c r="K155" s="176">
        <f t="shared" ref="K155:K156" si="165">IF(SM_ExludeGroup4=TRUE,0,IF(J155="",E155*I155,E155*I155*J155))</f>
        <v>0</v>
      </c>
      <c r="L155" s="209"/>
      <c r="M155" s="177">
        <f t="shared" ref="M155:M156" si="166">IF(SM_ExludeGroup4=TRUE,0,E155*L155)</f>
        <v>0</v>
      </c>
      <c r="N155" s="1012"/>
      <c r="O155" s="1012"/>
      <c r="P155" s="485"/>
      <c r="Q155" s="778"/>
      <c r="R155" s="778"/>
      <c r="S155" s="785" t="str">
        <f t="shared" ref="S155:S156" si="167">IF(T155="Sheet Metal Takeoff","",IF(R155="","","LOP"))</f>
        <v/>
      </c>
      <c r="T155" s="548" t="str">
        <f t="shared" si="124"/>
        <v>Sheet Metal Takeoff</v>
      </c>
      <c r="U155" s="83">
        <f t="shared" si="127"/>
        <v>0</v>
      </c>
      <c r="V155" s="83">
        <f t="shared" si="128"/>
        <v>0</v>
      </c>
      <c r="W155" s="83">
        <f t="shared" si="129"/>
        <v>0</v>
      </c>
      <c r="X155" s="781">
        <f t="shared" si="130"/>
        <v>0</v>
      </c>
      <c r="Y155" s="781">
        <f t="shared" si="131"/>
        <v>0</v>
      </c>
      <c r="Z155" s="781">
        <f t="shared" si="132"/>
        <v>0</v>
      </c>
      <c r="AA155" s="83">
        <f t="shared" si="125"/>
        <v>0</v>
      </c>
      <c r="AB155" s="83">
        <f t="shared" si="133"/>
        <v>0</v>
      </c>
      <c r="AC155" s="83">
        <f t="shared" si="134"/>
        <v>0</v>
      </c>
      <c r="AD155" s="83">
        <f t="shared" si="135"/>
        <v>0</v>
      </c>
      <c r="AE155" s="83">
        <f t="shared" si="136"/>
        <v>0</v>
      </c>
      <c r="AF155" s="83">
        <f t="shared" si="137"/>
        <v>0</v>
      </c>
      <c r="AG155" s="83">
        <f t="shared" ref="AG155:AG156" si="168">SUM(U155:Z155)</f>
        <v>0</v>
      </c>
      <c r="AH155" s="83">
        <f t="shared" ref="AH155:AH156" si="169">SUM(AA155:AF155)</f>
        <v>0</v>
      </c>
      <c r="AI155" s="83">
        <f t="shared" ref="AI155:AI156" si="170">SUM(U155:AF155)</f>
        <v>0</v>
      </c>
      <c r="AJ155" s="718">
        <f t="shared" ref="AJ155:AJ156" si="171">SUM(M155,AI155)</f>
        <v>0</v>
      </c>
      <c r="AL155">
        <f t="shared" ref="AL155:AL156" si="172">SUM(V155:Z155)</f>
        <v>0</v>
      </c>
      <c r="AM155">
        <f t="shared" ref="AM155:AM156" si="173">SUM(AB155:AF155)</f>
        <v>0</v>
      </c>
    </row>
    <row r="156" spans="1:39" ht="15.75" x14ac:dyDescent="0.25">
      <c r="A156" s="561"/>
      <c r="B156" s="561"/>
      <c r="C156" s="561"/>
      <c r="D156" s="672" t="s">
        <v>1877</v>
      </c>
      <c r="E156" s="209">
        <v>1</v>
      </c>
      <c r="F156" s="209"/>
      <c r="G156" s="209"/>
      <c r="H156" s="176">
        <f t="shared" si="164"/>
        <v>0</v>
      </c>
      <c r="I156" s="209"/>
      <c r="J156" s="209"/>
      <c r="K156" s="176">
        <f t="shared" si="165"/>
        <v>0</v>
      </c>
      <c r="L156" s="209">
        <v>11040</v>
      </c>
      <c r="M156" s="177">
        <f t="shared" si="166"/>
        <v>11040</v>
      </c>
      <c r="N156" s="1012" t="s">
        <v>1891</v>
      </c>
      <c r="O156" s="1012"/>
      <c r="P156" s="485"/>
      <c r="Q156" s="778"/>
      <c r="R156" s="778"/>
      <c r="S156" s="785" t="str">
        <f t="shared" si="167"/>
        <v/>
      </c>
      <c r="T156" s="548" t="str">
        <f t="shared" si="124"/>
        <v>Sheet Metal Takeoff</v>
      </c>
      <c r="U156" s="83">
        <f t="shared" si="127"/>
        <v>0</v>
      </c>
      <c r="V156" s="83">
        <f t="shared" si="128"/>
        <v>0</v>
      </c>
      <c r="W156" s="83">
        <f t="shared" si="129"/>
        <v>0</v>
      </c>
      <c r="X156" s="781">
        <f t="shared" si="130"/>
        <v>0</v>
      </c>
      <c r="Y156" s="781">
        <f t="shared" si="131"/>
        <v>0</v>
      </c>
      <c r="Z156" s="781">
        <f t="shared" si="132"/>
        <v>0</v>
      </c>
      <c r="AA156" s="83">
        <f t="shared" si="125"/>
        <v>0</v>
      </c>
      <c r="AB156" s="83">
        <f t="shared" si="133"/>
        <v>0</v>
      </c>
      <c r="AC156" s="83">
        <f t="shared" si="134"/>
        <v>0</v>
      </c>
      <c r="AD156" s="83">
        <f t="shared" si="135"/>
        <v>0</v>
      </c>
      <c r="AE156" s="83">
        <f t="shared" si="136"/>
        <v>0</v>
      </c>
      <c r="AF156" s="83">
        <f t="shared" si="137"/>
        <v>0</v>
      </c>
      <c r="AG156" s="83">
        <f t="shared" si="168"/>
        <v>0</v>
      </c>
      <c r="AH156" s="83">
        <f t="shared" si="169"/>
        <v>0</v>
      </c>
      <c r="AI156" s="83">
        <f t="shared" si="170"/>
        <v>0</v>
      </c>
      <c r="AJ156" s="718">
        <f t="shared" si="171"/>
        <v>11040</v>
      </c>
      <c r="AL156">
        <f t="shared" si="172"/>
        <v>0</v>
      </c>
      <c r="AM156">
        <f t="shared" si="173"/>
        <v>0</v>
      </c>
    </row>
    <row r="157" spans="1:39" ht="15.75" x14ac:dyDescent="0.25">
      <c r="A157" s="561"/>
      <c r="B157" s="561"/>
      <c r="C157" s="561"/>
      <c r="D157" s="672" t="s">
        <v>1875</v>
      </c>
      <c r="E157" s="209">
        <v>1</v>
      </c>
      <c r="F157" s="209"/>
      <c r="G157" s="209"/>
      <c r="H157" s="176">
        <f t="shared" si="121"/>
        <v>0</v>
      </c>
      <c r="I157" s="209"/>
      <c r="J157" s="209"/>
      <c r="K157" s="176">
        <f t="shared" si="122"/>
        <v>0</v>
      </c>
      <c r="L157" s="209"/>
      <c r="M157" s="177">
        <f t="shared" si="123"/>
        <v>0</v>
      </c>
      <c r="N157" s="1012"/>
      <c r="O157" s="1012"/>
      <c r="P157" s="485"/>
      <c r="Q157" s="778"/>
      <c r="R157" s="778"/>
      <c r="S157" s="785" t="str">
        <f t="shared" si="126"/>
        <v/>
      </c>
      <c r="T157" s="548" t="str">
        <f t="shared" si="124"/>
        <v>Sheet Metal Takeoff</v>
      </c>
      <c r="U157" s="83">
        <f t="shared" si="127"/>
        <v>0</v>
      </c>
      <c r="V157" s="83">
        <f t="shared" si="128"/>
        <v>0</v>
      </c>
      <c r="W157" s="83">
        <f t="shared" si="129"/>
        <v>0</v>
      </c>
      <c r="X157" s="781">
        <f t="shared" si="130"/>
        <v>0</v>
      </c>
      <c r="Y157" s="781">
        <f t="shared" si="131"/>
        <v>0</v>
      </c>
      <c r="Z157" s="781">
        <f t="shared" si="132"/>
        <v>0</v>
      </c>
      <c r="AA157" s="83">
        <f t="shared" si="125"/>
        <v>0</v>
      </c>
      <c r="AB157" s="83">
        <f t="shared" si="133"/>
        <v>0</v>
      </c>
      <c r="AC157" s="83">
        <f t="shared" si="134"/>
        <v>0</v>
      </c>
      <c r="AD157" s="83">
        <f t="shared" si="135"/>
        <v>0</v>
      </c>
      <c r="AE157" s="83">
        <f t="shared" si="136"/>
        <v>0</v>
      </c>
      <c r="AF157" s="83">
        <f t="shared" si="137"/>
        <v>0</v>
      </c>
      <c r="AG157" s="83">
        <f t="shared" si="138"/>
        <v>0</v>
      </c>
      <c r="AH157" s="83">
        <f t="shared" si="139"/>
        <v>0</v>
      </c>
      <c r="AI157" s="83">
        <f t="shared" si="140"/>
        <v>0</v>
      </c>
      <c r="AJ157" s="718">
        <f t="shared" si="141"/>
        <v>0</v>
      </c>
      <c r="AL157">
        <f t="shared" si="142"/>
        <v>0</v>
      </c>
      <c r="AM157">
        <f t="shared" si="143"/>
        <v>0</v>
      </c>
    </row>
    <row r="158" spans="1:39" ht="15.75" x14ac:dyDescent="0.25">
      <c r="A158" s="561"/>
      <c r="B158" s="561"/>
      <c r="C158" s="561"/>
      <c r="D158" s="672" t="s">
        <v>1873</v>
      </c>
      <c r="E158" s="209">
        <v>1</v>
      </c>
      <c r="F158" s="209"/>
      <c r="G158" s="209"/>
      <c r="H158" s="176">
        <f t="shared" si="121"/>
        <v>0</v>
      </c>
      <c r="I158" s="209"/>
      <c r="J158" s="209"/>
      <c r="K158" s="176">
        <f t="shared" si="122"/>
        <v>0</v>
      </c>
      <c r="L158" s="209"/>
      <c r="M158" s="177">
        <f t="shared" si="123"/>
        <v>0</v>
      </c>
      <c r="N158" s="1012"/>
      <c r="O158" s="1012"/>
      <c r="P158" s="485"/>
      <c r="Q158" s="778"/>
      <c r="R158" s="778"/>
      <c r="S158" s="785" t="str">
        <f t="shared" si="126"/>
        <v/>
      </c>
      <c r="T158" s="548" t="str">
        <f t="shared" si="124"/>
        <v>Sheet Metal Takeoff</v>
      </c>
      <c r="U158" s="83">
        <f t="shared" si="127"/>
        <v>0</v>
      </c>
      <c r="V158" s="83">
        <f t="shared" si="128"/>
        <v>0</v>
      </c>
      <c r="W158" s="83">
        <f t="shared" si="129"/>
        <v>0</v>
      </c>
      <c r="X158" s="781">
        <f t="shared" si="130"/>
        <v>0</v>
      </c>
      <c r="Y158" s="781">
        <f t="shared" si="131"/>
        <v>0</v>
      </c>
      <c r="Z158" s="781">
        <f t="shared" si="132"/>
        <v>0</v>
      </c>
      <c r="AA158" s="83">
        <f t="shared" si="125"/>
        <v>0</v>
      </c>
      <c r="AB158" s="83">
        <f t="shared" si="133"/>
        <v>0</v>
      </c>
      <c r="AC158" s="83">
        <f t="shared" si="134"/>
        <v>0</v>
      </c>
      <c r="AD158" s="83">
        <f t="shared" si="135"/>
        <v>0</v>
      </c>
      <c r="AE158" s="83">
        <f t="shared" si="136"/>
        <v>0</v>
      </c>
      <c r="AF158" s="83">
        <f t="shared" si="137"/>
        <v>0</v>
      </c>
      <c r="AG158" s="83">
        <f t="shared" si="138"/>
        <v>0</v>
      </c>
      <c r="AH158" s="83">
        <f t="shared" si="139"/>
        <v>0</v>
      </c>
      <c r="AI158" s="83">
        <f t="shared" si="140"/>
        <v>0</v>
      </c>
      <c r="AJ158" s="718">
        <f t="shared" si="141"/>
        <v>0</v>
      </c>
      <c r="AL158">
        <f t="shared" si="142"/>
        <v>0</v>
      </c>
      <c r="AM158">
        <f t="shared" si="143"/>
        <v>0</v>
      </c>
    </row>
    <row r="159" spans="1:39" ht="15.75" x14ac:dyDescent="0.25">
      <c r="A159" s="561"/>
      <c r="B159" s="561"/>
      <c r="C159" s="561"/>
      <c r="D159" s="672" t="s">
        <v>1847</v>
      </c>
      <c r="E159" s="209">
        <v>1</v>
      </c>
      <c r="F159" s="209"/>
      <c r="G159" s="209"/>
      <c r="H159" s="176">
        <f t="shared" si="121"/>
        <v>0</v>
      </c>
      <c r="I159" s="209"/>
      <c r="J159" s="209"/>
      <c r="K159" s="176">
        <f t="shared" si="122"/>
        <v>0</v>
      </c>
      <c r="L159" s="209"/>
      <c r="M159" s="177">
        <f t="shared" si="123"/>
        <v>0</v>
      </c>
      <c r="N159" s="1012" t="s">
        <v>1892</v>
      </c>
      <c r="O159" s="1012"/>
      <c r="P159" s="485"/>
      <c r="Q159" s="778"/>
      <c r="R159" s="778"/>
      <c r="S159" s="785" t="str">
        <f t="shared" si="126"/>
        <v/>
      </c>
      <c r="T159" s="548" t="str">
        <f t="shared" si="124"/>
        <v>Sheet Metal Takeoff</v>
      </c>
      <c r="U159" s="83">
        <f t="shared" si="127"/>
        <v>0</v>
      </c>
      <c r="V159" s="83">
        <f t="shared" si="128"/>
        <v>0</v>
      </c>
      <c r="W159" s="83">
        <f t="shared" si="129"/>
        <v>0</v>
      </c>
      <c r="X159" s="781">
        <f t="shared" si="130"/>
        <v>0</v>
      </c>
      <c r="Y159" s="781">
        <f t="shared" si="131"/>
        <v>0</v>
      </c>
      <c r="Z159" s="781">
        <f t="shared" si="132"/>
        <v>0</v>
      </c>
      <c r="AA159" s="83">
        <f t="shared" si="125"/>
        <v>0</v>
      </c>
      <c r="AB159" s="83">
        <f t="shared" si="133"/>
        <v>0</v>
      </c>
      <c r="AC159" s="83">
        <f t="shared" si="134"/>
        <v>0</v>
      </c>
      <c r="AD159" s="83">
        <f t="shared" si="135"/>
        <v>0</v>
      </c>
      <c r="AE159" s="83">
        <f t="shared" si="136"/>
        <v>0</v>
      </c>
      <c r="AF159" s="83">
        <f t="shared" si="137"/>
        <v>0</v>
      </c>
      <c r="AG159" s="83">
        <f t="shared" si="138"/>
        <v>0</v>
      </c>
      <c r="AH159" s="83">
        <f t="shared" si="139"/>
        <v>0</v>
      </c>
      <c r="AI159" s="83">
        <f t="shared" si="140"/>
        <v>0</v>
      </c>
      <c r="AJ159" s="718">
        <f t="shared" si="141"/>
        <v>0</v>
      </c>
      <c r="AL159">
        <f t="shared" si="142"/>
        <v>0</v>
      </c>
      <c r="AM159">
        <f t="shared" si="143"/>
        <v>0</v>
      </c>
    </row>
    <row r="160" spans="1:39" ht="15.75" x14ac:dyDescent="0.25">
      <c r="A160" s="561"/>
      <c r="B160" s="561"/>
      <c r="C160" s="561"/>
      <c r="D160" s="672" t="s">
        <v>1846</v>
      </c>
      <c r="E160" s="209">
        <v>1</v>
      </c>
      <c r="F160" s="209"/>
      <c r="G160" s="209"/>
      <c r="H160" s="176">
        <f t="shared" si="121"/>
        <v>0</v>
      </c>
      <c r="I160" s="209"/>
      <c r="J160" s="209"/>
      <c r="K160" s="176">
        <f t="shared" si="122"/>
        <v>0</v>
      </c>
      <c r="L160" s="209"/>
      <c r="M160" s="177">
        <f t="shared" si="123"/>
        <v>0</v>
      </c>
      <c r="N160" s="1012" t="s">
        <v>1892</v>
      </c>
      <c r="O160" s="1012"/>
      <c r="P160" s="485"/>
      <c r="Q160" s="778"/>
      <c r="R160" s="778"/>
      <c r="S160" s="785" t="str">
        <f t="shared" si="126"/>
        <v/>
      </c>
      <c r="T160" s="548" t="str">
        <f t="shared" si="124"/>
        <v>Sheet Metal Takeoff</v>
      </c>
      <c r="U160" s="83">
        <f t="shared" si="127"/>
        <v>0</v>
      </c>
      <c r="V160" s="83">
        <f t="shared" si="128"/>
        <v>0</v>
      </c>
      <c r="W160" s="83">
        <f t="shared" si="129"/>
        <v>0</v>
      </c>
      <c r="X160" s="781">
        <f t="shared" si="130"/>
        <v>0</v>
      </c>
      <c r="Y160" s="781">
        <f t="shared" si="131"/>
        <v>0</v>
      </c>
      <c r="Z160" s="781">
        <f t="shared" si="132"/>
        <v>0</v>
      </c>
      <c r="AA160" s="83">
        <f t="shared" si="125"/>
        <v>0</v>
      </c>
      <c r="AB160" s="83">
        <f t="shared" si="133"/>
        <v>0</v>
      </c>
      <c r="AC160" s="83">
        <f t="shared" si="134"/>
        <v>0</v>
      </c>
      <c r="AD160" s="83">
        <f t="shared" si="135"/>
        <v>0</v>
      </c>
      <c r="AE160" s="83">
        <f t="shared" si="136"/>
        <v>0</v>
      </c>
      <c r="AF160" s="83">
        <f t="shared" si="137"/>
        <v>0</v>
      </c>
      <c r="AG160" s="83">
        <f t="shared" si="138"/>
        <v>0</v>
      </c>
      <c r="AH160" s="83">
        <f t="shared" si="139"/>
        <v>0</v>
      </c>
      <c r="AI160" s="83">
        <f t="shared" si="140"/>
        <v>0</v>
      </c>
      <c r="AJ160" s="718">
        <f t="shared" si="141"/>
        <v>0</v>
      </c>
      <c r="AL160">
        <f t="shared" si="142"/>
        <v>0</v>
      </c>
      <c r="AM160">
        <f t="shared" si="143"/>
        <v>0</v>
      </c>
    </row>
    <row r="161" spans="1:39" ht="15.75" x14ac:dyDescent="0.25">
      <c r="A161" s="561"/>
      <c r="B161" s="561"/>
      <c r="C161" s="561"/>
      <c r="D161" s="672" t="s">
        <v>1848</v>
      </c>
      <c r="E161" s="209">
        <v>1</v>
      </c>
      <c r="F161" s="209"/>
      <c r="G161" s="209"/>
      <c r="H161" s="176">
        <f t="shared" si="121"/>
        <v>0</v>
      </c>
      <c r="I161" s="209"/>
      <c r="J161" s="209"/>
      <c r="K161" s="176">
        <f t="shared" si="122"/>
        <v>0</v>
      </c>
      <c r="L161" s="209"/>
      <c r="M161" s="177">
        <f t="shared" si="123"/>
        <v>0</v>
      </c>
      <c r="N161" s="1012" t="s">
        <v>1892</v>
      </c>
      <c r="O161" s="1012"/>
      <c r="P161" s="485"/>
      <c r="Q161" s="778"/>
      <c r="R161" s="778"/>
      <c r="S161" s="785" t="str">
        <f t="shared" si="126"/>
        <v/>
      </c>
      <c r="T161" s="548" t="str">
        <f t="shared" si="124"/>
        <v>Sheet Metal Takeoff</v>
      </c>
      <c r="U161" s="83">
        <f t="shared" si="127"/>
        <v>0</v>
      </c>
      <c r="V161" s="83">
        <f t="shared" si="128"/>
        <v>0</v>
      </c>
      <c r="W161" s="83">
        <f t="shared" si="129"/>
        <v>0</v>
      </c>
      <c r="X161" s="781">
        <f t="shared" si="130"/>
        <v>0</v>
      </c>
      <c r="Y161" s="781">
        <f t="shared" si="131"/>
        <v>0</v>
      </c>
      <c r="Z161" s="781">
        <f t="shared" si="132"/>
        <v>0</v>
      </c>
      <c r="AA161" s="83">
        <f t="shared" si="125"/>
        <v>0</v>
      </c>
      <c r="AB161" s="83">
        <f t="shared" si="133"/>
        <v>0</v>
      </c>
      <c r="AC161" s="83">
        <f t="shared" si="134"/>
        <v>0</v>
      </c>
      <c r="AD161" s="83">
        <f t="shared" si="135"/>
        <v>0</v>
      </c>
      <c r="AE161" s="83">
        <f t="shared" si="136"/>
        <v>0</v>
      </c>
      <c r="AF161" s="83">
        <f t="shared" si="137"/>
        <v>0</v>
      </c>
      <c r="AG161" s="83">
        <f t="shared" si="138"/>
        <v>0</v>
      </c>
      <c r="AH161" s="83">
        <f t="shared" si="139"/>
        <v>0</v>
      </c>
      <c r="AI161" s="83">
        <f t="shared" si="140"/>
        <v>0</v>
      </c>
      <c r="AJ161" s="718">
        <f t="shared" si="141"/>
        <v>0</v>
      </c>
      <c r="AL161">
        <f t="shared" si="142"/>
        <v>0</v>
      </c>
      <c r="AM161">
        <f t="shared" si="143"/>
        <v>0</v>
      </c>
    </row>
    <row r="162" spans="1:39" ht="15.75" x14ac:dyDescent="0.25">
      <c r="A162" s="561"/>
      <c r="B162" s="561"/>
      <c r="C162" s="561"/>
      <c r="D162" s="672" t="s">
        <v>1849</v>
      </c>
      <c r="E162" s="209">
        <v>1</v>
      </c>
      <c r="F162" s="209"/>
      <c r="G162" s="209"/>
      <c r="H162" s="176">
        <f t="shared" si="121"/>
        <v>0</v>
      </c>
      <c r="I162" s="209"/>
      <c r="J162" s="209"/>
      <c r="K162" s="176">
        <f t="shared" si="122"/>
        <v>0</v>
      </c>
      <c r="L162" s="209"/>
      <c r="M162" s="177">
        <f t="shared" si="123"/>
        <v>0</v>
      </c>
      <c r="N162" s="1012" t="s">
        <v>1892</v>
      </c>
      <c r="O162" s="1012"/>
      <c r="P162" s="485"/>
      <c r="Q162" s="778"/>
      <c r="R162" s="778"/>
      <c r="S162" s="785" t="str">
        <f t="shared" si="126"/>
        <v/>
      </c>
      <c r="T162" s="548" t="str">
        <f t="shared" si="124"/>
        <v>Sheet Metal Takeoff</v>
      </c>
      <c r="U162" s="83">
        <f t="shared" si="127"/>
        <v>0</v>
      </c>
      <c r="V162" s="83">
        <f t="shared" si="128"/>
        <v>0</v>
      </c>
      <c r="W162" s="83">
        <f t="shared" si="129"/>
        <v>0</v>
      </c>
      <c r="X162" s="781">
        <f t="shared" si="130"/>
        <v>0</v>
      </c>
      <c r="Y162" s="781">
        <f t="shared" si="131"/>
        <v>0</v>
      </c>
      <c r="Z162" s="781">
        <f t="shared" si="132"/>
        <v>0</v>
      </c>
      <c r="AA162" s="83">
        <f t="shared" si="125"/>
        <v>0</v>
      </c>
      <c r="AB162" s="83">
        <f t="shared" si="133"/>
        <v>0</v>
      </c>
      <c r="AC162" s="83">
        <f t="shared" si="134"/>
        <v>0</v>
      </c>
      <c r="AD162" s="83">
        <f t="shared" si="135"/>
        <v>0</v>
      </c>
      <c r="AE162" s="83">
        <f t="shared" si="136"/>
        <v>0</v>
      </c>
      <c r="AF162" s="83">
        <f t="shared" si="137"/>
        <v>0</v>
      </c>
      <c r="AG162" s="83">
        <f t="shared" si="138"/>
        <v>0</v>
      </c>
      <c r="AH162" s="83">
        <f t="shared" si="139"/>
        <v>0</v>
      </c>
      <c r="AI162" s="83">
        <f t="shared" si="140"/>
        <v>0</v>
      </c>
      <c r="AJ162" s="718">
        <f t="shared" si="141"/>
        <v>0</v>
      </c>
      <c r="AL162">
        <f t="shared" si="142"/>
        <v>0</v>
      </c>
      <c r="AM162">
        <f t="shared" si="143"/>
        <v>0</v>
      </c>
    </row>
    <row r="163" spans="1:39" ht="15.75" x14ac:dyDescent="0.25">
      <c r="A163" s="561"/>
      <c r="B163" s="561"/>
      <c r="C163" s="561"/>
      <c r="D163" s="672" t="s">
        <v>1898</v>
      </c>
      <c r="E163" s="209">
        <v>1</v>
      </c>
      <c r="F163" s="209"/>
      <c r="G163" s="209"/>
      <c r="H163" s="176">
        <f t="shared" si="121"/>
        <v>0</v>
      </c>
      <c r="I163" s="209"/>
      <c r="J163" s="209"/>
      <c r="K163" s="176">
        <f t="shared" si="122"/>
        <v>0</v>
      </c>
      <c r="L163" s="209"/>
      <c r="M163" s="177">
        <f t="shared" si="123"/>
        <v>0</v>
      </c>
      <c r="N163" s="1012" t="s">
        <v>1892</v>
      </c>
      <c r="O163" s="1012"/>
      <c r="P163" s="485"/>
      <c r="Q163" s="778"/>
      <c r="R163" s="778"/>
      <c r="S163" s="785" t="str">
        <f t="shared" si="126"/>
        <v/>
      </c>
      <c r="T163" s="548" t="str">
        <f t="shared" si="124"/>
        <v>Sheet Metal Takeoff</v>
      </c>
      <c r="U163" s="83">
        <f t="shared" si="127"/>
        <v>0</v>
      </c>
      <c r="V163" s="83">
        <f t="shared" si="128"/>
        <v>0</v>
      </c>
      <c r="W163" s="83">
        <f t="shared" si="129"/>
        <v>0</v>
      </c>
      <c r="X163" s="781">
        <f t="shared" si="130"/>
        <v>0</v>
      </c>
      <c r="Y163" s="781">
        <f t="shared" si="131"/>
        <v>0</v>
      </c>
      <c r="Z163" s="781">
        <f t="shared" si="132"/>
        <v>0</v>
      </c>
      <c r="AA163" s="83">
        <f t="shared" si="125"/>
        <v>0</v>
      </c>
      <c r="AB163" s="83">
        <f t="shared" si="133"/>
        <v>0</v>
      </c>
      <c r="AC163" s="83">
        <f t="shared" si="134"/>
        <v>0</v>
      </c>
      <c r="AD163" s="83">
        <f t="shared" si="135"/>
        <v>0</v>
      </c>
      <c r="AE163" s="83">
        <f t="shared" si="136"/>
        <v>0</v>
      </c>
      <c r="AF163" s="83">
        <f t="shared" si="137"/>
        <v>0</v>
      </c>
      <c r="AG163" s="83">
        <f t="shared" si="138"/>
        <v>0</v>
      </c>
      <c r="AH163" s="83">
        <f t="shared" si="139"/>
        <v>0</v>
      </c>
      <c r="AI163" s="83">
        <f t="shared" si="140"/>
        <v>0</v>
      </c>
      <c r="AJ163" s="718">
        <f t="shared" si="141"/>
        <v>0</v>
      </c>
      <c r="AL163">
        <f t="shared" si="142"/>
        <v>0</v>
      </c>
      <c r="AM163">
        <f t="shared" si="143"/>
        <v>0</v>
      </c>
    </row>
    <row r="164" spans="1:39" ht="15.75" x14ac:dyDescent="0.25">
      <c r="A164" s="561"/>
      <c r="B164" s="561"/>
      <c r="C164" s="561"/>
      <c r="D164" s="672" t="s">
        <v>1864</v>
      </c>
      <c r="E164" s="209">
        <v>1</v>
      </c>
      <c r="F164" s="209"/>
      <c r="G164" s="209"/>
      <c r="H164" s="176">
        <f t="shared" si="121"/>
        <v>0</v>
      </c>
      <c r="I164" s="209"/>
      <c r="J164" s="209"/>
      <c r="K164" s="176">
        <f t="shared" si="122"/>
        <v>0</v>
      </c>
      <c r="L164" s="209"/>
      <c r="M164" s="177">
        <f t="shared" si="123"/>
        <v>0</v>
      </c>
      <c r="N164" s="1012"/>
      <c r="O164" s="1012"/>
      <c r="P164" s="485"/>
      <c r="Q164" s="778"/>
      <c r="R164" s="778"/>
      <c r="S164" s="785" t="str">
        <f t="shared" si="126"/>
        <v/>
      </c>
      <c r="T164" s="548" t="str">
        <f t="shared" si="124"/>
        <v>Sheet Metal Takeoff</v>
      </c>
      <c r="U164" s="83">
        <f t="shared" si="127"/>
        <v>0</v>
      </c>
      <c r="V164" s="83">
        <f t="shared" si="128"/>
        <v>0</v>
      </c>
      <c r="W164" s="83">
        <f t="shared" si="129"/>
        <v>0</v>
      </c>
      <c r="X164" s="781">
        <f t="shared" si="130"/>
        <v>0</v>
      </c>
      <c r="Y164" s="781">
        <f t="shared" si="131"/>
        <v>0</v>
      </c>
      <c r="Z164" s="781">
        <f t="shared" si="132"/>
        <v>0</v>
      </c>
      <c r="AA164" s="83">
        <f t="shared" si="125"/>
        <v>0</v>
      </c>
      <c r="AB164" s="83">
        <f t="shared" si="133"/>
        <v>0</v>
      </c>
      <c r="AC164" s="83">
        <f t="shared" si="134"/>
        <v>0</v>
      </c>
      <c r="AD164" s="83">
        <f t="shared" si="135"/>
        <v>0</v>
      </c>
      <c r="AE164" s="83">
        <f t="shared" si="136"/>
        <v>0</v>
      </c>
      <c r="AF164" s="83">
        <f t="shared" si="137"/>
        <v>0</v>
      </c>
      <c r="AG164" s="83">
        <f t="shared" si="138"/>
        <v>0</v>
      </c>
      <c r="AH164" s="83">
        <f t="shared" si="139"/>
        <v>0</v>
      </c>
      <c r="AI164" s="83">
        <f t="shared" si="140"/>
        <v>0</v>
      </c>
      <c r="AJ164" s="718">
        <f t="shared" si="141"/>
        <v>0</v>
      </c>
      <c r="AL164">
        <f t="shared" si="142"/>
        <v>0</v>
      </c>
      <c r="AM164">
        <f t="shared" si="143"/>
        <v>0</v>
      </c>
    </row>
    <row r="165" spans="1:39" ht="15.75" x14ac:dyDescent="0.25">
      <c r="A165" s="561"/>
      <c r="B165" s="561"/>
      <c r="C165" s="561"/>
      <c r="D165" s="672"/>
      <c r="E165" s="209"/>
      <c r="F165" s="209"/>
      <c r="G165" s="209"/>
      <c r="H165" s="176">
        <f t="shared" si="121"/>
        <v>0</v>
      </c>
      <c r="I165" s="209"/>
      <c r="J165" s="209"/>
      <c r="K165" s="176">
        <f t="shared" si="122"/>
        <v>0</v>
      </c>
      <c r="L165" s="209"/>
      <c r="M165" s="177">
        <f t="shared" si="123"/>
        <v>0</v>
      </c>
      <c r="N165" s="1012"/>
      <c r="O165" s="1012"/>
      <c r="P165" s="485"/>
      <c r="Q165" s="778"/>
      <c r="R165" s="778"/>
      <c r="S165" s="785" t="str">
        <f t="shared" si="126"/>
        <v/>
      </c>
      <c r="T165" s="548" t="str">
        <f t="shared" si="124"/>
        <v>Sheet Metal Takeoff</v>
      </c>
      <c r="U165" s="83">
        <f t="shared" si="127"/>
        <v>0</v>
      </c>
      <c r="V165" s="83">
        <f t="shared" si="128"/>
        <v>0</v>
      </c>
      <c r="W165" s="83">
        <f t="shared" si="129"/>
        <v>0</v>
      </c>
      <c r="X165" s="781">
        <f t="shared" si="130"/>
        <v>0</v>
      </c>
      <c r="Y165" s="781">
        <f t="shared" si="131"/>
        <v>0</v>
      </c>
      <c r="Z165" s="781">
        <f t="shared" si="132"/>
        <v>0</v>
      </c>
      <c r="AA165" s="83">
        <f t="shared" si="125"/>
        <v>0</v>
      </c>
      <c r="AB165" s="83">
        <f t="shared" si="133"/>
        <v>0</v>
      </c>
      <c r="AC165" s="83">
        <f t="shared" si="134"/>
        <v>0</v>
      </c>
      <c r="AD165" s="83">
        <f t="shared" si="135"/>
        <v>0</v>
      </c>
      <c r="AE165" s="83">
        <f t="shared" si="136"/>
        <v>0</v>
      </c>
      <c r="AF165" s="83">
        <f t="shared" si="137"/>
        <v>0</v>
      </c>
      <c r="AG165" s="83">
        <f t="shared" si="138"/>
        <v>0</v>
      </c>
      <c r="AH165" s="83">
        <f t="shared" si="139"/>
        <v>0</v>
      </c>
      <c r="AI165" s="83">
        <f t="shared" si="140"/>
        <v>0</v>
      </c>
      <c r="AJ165" s="718">
        <f t="shared" si="141"/>
        <v>0</v>
      </c>
      <c r="AL165">
        <f t="shared" si="142"/>
        <v>0</v>
      </c>
      <c r="AM165">
        <f t="shared" si="143"/>
        <v>0</v>
      </c>
    </row>
    <row r="166" spans="1:39" ht="15.75" x14ac:dyDescent="0.25">
      <c r="A166" s="561"/>
      <c r="B166" s="561"/>
      <c r="C166" s="561"/>
      <c r="D166" s="672"/>
      <c r="E166" s="209"/>
      <c r="F166" s="209"/>
      <c r="G166" s="209"/>
      <c r="H166" s="176">
        <f t="shared" si="121"/>
        <v>0</v>
      </c>
      <c r="I166" s="209"/>
      <c r="J166" s="209"/>
      <c r="K166" s="176">
        <f t="shared" si="122"/>
        <v>0</v>
      </c>
      <c r="L166" s="209"/>
      <c r="M166" s="177">
        <f t="shared" si="123"/>
        <v>0</v>
      </c>
      <c r="N166" s="1012"/>
      <c r="O166" s="1012"/>
      <c r="P166" s="485"/>
      <c r="Q166" s="778"/>
      <c r="R166" s="778"/>
      <c r="S166" s="785" t="str">
        <f t="shared" si="126"/>
        <v/>
      </c>
      <c r="T166" s="548" t="str">
        <f t="shared" si="124"/>
        <v>Sheet Metal Takeoff</v>
      </c>
      <c r="U166" s="83">
        <f t="shared" si="127"/>
        <v>0</v>
      </c>
      <c r="V166" s="83">
        <f t="shared" si="128"/>
        <v>0</v>
      </c>
      <c r="W166" s="83">
        <f t="shared" si="129"/>
        <v>0</v>
      </c>
      <c r="X166" s="781">
        <f t="shared" si="130"/>
        <v>0</v>
      </c>
      <c r="Y166" s="781">
        <f t="shared" si="131"/>
        <v>0</v>
      </c>
      <c r="Z166" s="781">
        <f t="shared" si="132"/>
        <v>0</v>
      </c>
      <c r="AA166" s="83">
        <f t="shared" si="125"/>
        <v>0</v>
      </c>
      <c r="AB166" s="83">
        <f t="shared" si="133"/>
        <v>0</v>
      </c>
      <c r="AC166" s="83">
        <f t="shared" si="134"/>
        <v>0</v>
      </c>
      <c r="AD166" s="83">
        <f t="shared" si="135"/>
        <v>0</v>
      </c>
      <c r="AE166" s="83">
        <f t="shared" si="136"/>
        <v>0</v>
      </c>
      <c r="AF166" s="83">
        <f t="shared" si="137"/>
        <v>0</v>
      </c>
      <c r="AG166" s="83">
        <f t="shared" si="138"/>
        <v>0</v>
      </c>
      <c r="AH166" s="83">
        <f t="shared" si="139"/>
        <v>0</v>
      </c>
      <c r="AI166" s="83">
        <f t="shared" si="140"/>
        <v>0</v>
      </c>
      <c r="AJ166" s="718">
        <f t="shared" si="141"/>
        <v>0</v>
      </c>
      <c r="AL166">
        <f t="shared" si="142"/>
        <v>0</v>
      </c>
      <c r="AM166">
        <f t="shared" si="143"/>
        <v>0</v>
      </c>
    </row>
    <row r="167" spans="1:39" ht="15.75" x14ac:dyDescent="0.25">
      <c r="A167" s="561"/>
      <c r="B167" s="561"/>
      <c r="C167" s="561"/>
      <c r="D167" s="672"/>
      <c r="E167" s="209"/>
      <c r="F167" s="209"/>
      <c r="G167" s="209"/>
      <c r="H167" s="176">
        <f t="shared" si="121"/>
        <v>0</v>
      </c>
      <c r="I167" s="209"/>
      <c r="J167" s="209"/>
      <c r="K167" s="176">
        <f t="shared" si="122"/>
        <v>0</v>
      </c>
      <c r="L167" s="209"/>
      <c r="M167" s="177">
        <f t="shared" si="123"/>
        <v>0</v>
      </c>
      <c r="N167" s="1012"/>
      <c r="O167" s="1012"/>
      <c r="P167" s="485"/>
      <c r="Q167" s="778"/>
      <c r="R167" s="778"/>
      <c r="S167" s="785" t="str">
        <f t="shared" si="126"/>
        <v/>
      </c>
      <c r="T167" s="548" t="str">
        <f t="shared" si="124"/>
        <v>Sheet Metal Takeoff</v>
      </c>
      <c r="U167" s="83">
        <f t="shared" si="127"/>
        <v>0</v>
      </c>
      <c r="V167" s="83">
        <f t="shared" si="128"/>
        <v>0</v>
      </c>
      <c r="W167" s="83">
        <f t="shared" si="129"/>
        <v>0</v>
      </c>
      <c r="X167" s="781">
        <f t="shared" si="130"/>
        <v>0</v>
      </c>
      <c r="Y167" s="781">
        <f t="shared" si="131"/>
        <v>0</v>
      </c>
      <c r="Z167" s="781">
        <f t="shared" si="132"/>
        <v>0</v>
      </c>
      <c r="AA167" s="83">
        <f t="shared" si="125"/>
        <v>0</v>
      </c>
      <c r="AB167" s="83">
        <f t="shared" si="133"/>
        <v>0</v>
      </c>
      <c r="AC167" s="83">
        <f t="shared" si="134"/>
        <v>0</v>
      </c>
      <c r="AD167" s="83">
        <f t="shared" si="135"/>
        <v>0</v>
      </c>
      <c r="AE167" s="83">
        <f t="shared" si="136"/>
        <v>0</v>
      </c>
      <c r="AF167" s="83">
        <f t="shared" si="137"/>
        <v>0</v>
      </c>
      <c r="AG167" s="83">
        <f t="shared" si="138"/>
        <v>0</v>
      </c>
      <c r="AH167" s="83">
        <f t="shared" si="139"/>
        <v>0</v>
      </c>
      <c r="AI167" s="83">
        <f t="shared" si="140"/>
        <v>0</v>
      </c>
      <c r="AJ167" s="718">
        <f t="shared" si="141"/>
        <v>0</v>
      </c>
      <c r="AL167">
        <f t="shared" si="142"/>
        <v>0</v>
      </c>
      <c r="AM167">
        <f t="shared" si="143"/>
        <v>0</v>
      </c>
    </row>
    <row r="168" spans="1:39" ht="15.75" hidden="1" customHeight="1" x14ac:dyDescent="0.25">
      <c r="A168" s="561"/>
      <c r="B168" s="561"/>
      <c r="C168" s="561"/>
      <c r="D168" s="672"/>
      <c r="E168" s="209"/>
      <c r="F168" s="209"/>
      <c r="G168" s="209"/>
      <c r="H168" s="176">
        <f t="shared" si="121"/>
        <v>0</v>
      </c>
      <c r="I168" s="209"/>
      <c r="J168" s="209"/>
      <c r="K168" s="176">
        <f t="shared" si="122"/>
        <v>0</v>
      </c>
      <c r="L168" s="209"/>
      <c r="M168" s="177">
        <f t="shared" si="123"/>
        <v>0</v>
      </c>
      <c r="N168" s="1012"/>
      <c r="O168" s="1012"/>
      <c r="P168" s="485"/>
      <c r="Q168" s="778"/>
      <c r="R168" s="778"/>
      <c r="S168" s="785" t="str">
        <f t="shared" si="126"/>
        <v/>
      </c>
      <c r="T168" s="548" t="str">
        <f t="shared" si="124"/>
        <v>Sheet Metal Takeoff</v>
      </c>
      <c r="U168" s="83">
        <f>ROUND(IF($T168="Plumb Takeoff",$H168*U$3,IF($T168="Pipe Takeoff",$H168*U$4,$H168*U$2)),2)</f>
        <v>0</v>
      </c>
      <c r="V168" s="83">
        <f t="shared" si="128"/>
        <v>0</v>
      </c>
      <c r="W168" s="83">
        <f t="shared" si="129"/>
        <v>0</v>
      </c>
      <c r="X168" s="781">
        <f t="shared" si="130"/>
        <v>0</v>
      </c>
      <c r="Y168" s="781">
        <f t="shared" si="131"/>
        <v>0</v>
      </c>
      <c r="Z168" s="781">
        <f t="shared" si="132"/>
        <v>0</v>
      </c>
      <c r="AA168" s="83">
        <f t="shared" si="125"/>
        <v>0</v>
      </c>
      <c r="AB168" s="83">
        <f t="shared" si="133"/>
        <v>0</v>
      </c>
      <c r="AC168" s="83">
        <f t="shared" si="134"/>
        <v>0</v>
      </c>
      <c r="AD168" s="83">
        <f t="shared" si="135"/>
        <v>0</v>
      </c>
      <c r="AE168" s="83">
        <f t="shared" si="136"/>
        <v>0</v>
      </c>
      <c r="AF168" s="83">
        <f t="shared" si="137"/>
        <v>0</v>
      </c>
      <c r="AG168" s="83">
        <f t="shared" si="138"/>
        <v>0</v>
      </c>
      <c r="AH168" s="83">
        <f t="shared" si="139"/>
        <v>0</v>
      </c>
      <c r="AI168" s="83">
        <f t="shared" si="140"/>
        <v>0</v>
      </c>
      <c r="AJ168" s="718">
        <f t="shared" si="141"/>
        <v>0</v>
      </c>
      <c r="AL168">
        <f t="shared" si="142"/>
        <v>0</v>
      </c>
      <c r="AM168">
        <f t="shared" si="143"/>
        <v>0</v>
      </c>
    </row>
    <row r="169" spans="1:39" ht="15.75" x14ac:dyDescent="0.25">
      <c r="A169" s="551"/>
      <c r="B169" s="551"/>
      <c r="C169" s="551"/>
      <c r="D169" s="673"/>
      <c r="E169" s="552"/>
      <c r="F169" s="553"/>
      <c r="G169" s="553"/>
      <c r="H169" s="181">
        <f>SUM(H139:H168)</f>
        <v>646</v>
      </c>
      <c r="I169" s="182"/>
      <c r="J169" s="182"/>
      <c r="K169" s="181">
        <f>SUM(K139:K168)</f>
        <v>27</v>
      </c>
      <c r="L169" s="182"/>
      <c r="M169" s="177">
        <f>SUM(M139:M168)</f>
        <v>22490</v>
      </c>
      <c r="O169" s="486"/>
      <c r="AJ169" s="718"/>
    </row>
    <row r="170" spans="1:39" ht="15.75" thickBot="1" x14ac:dyDescent="0.3">
      <c r="AJ170" s="718"/>
    </row>
    <row r="171" spans="1:39" ht="16.5" thickBot="1" x14ac:dyDescent="0.3">
      <c r="E171" s="678" t="s">
        <v>1122</v>
      </c>
      <c r="F171" s="1017" t="s">
        <v>1630</v>
      </c>
      <c r="G171" s="1018"/>
      <c r="H171" s="344"/>
      <c r="I171" s="1019" t="s">
        <v>1628</v>
      </c>
      <c r="J171" s="1020"/>
      <c r="K171" s="679" t="b">
        <v>0</v>
      </c>
      <c r="AJ171" s="718"/>
    </row>
    <row r="172" spans="1:39" ht="38.25" thickBot="1" x14ac:dyDescent="0.35">
      <c r="A172" s="477" t="s">
        <v>1063</v>
      </c>
      <c r="B172" s="477" t="s">
        <v>348</v>
      </c>
      <c r="C172" s="477" t="s">
        <v>349</v>
      </c>
      <c r="D172" s="666" t="s">
        <v>0</v>
      </c>
      <c r="E172" s="477" t="s">
        <v>1</v>
      </c>
      <c r="F172" s="480" t="s">
        <v>2</v>
      </c>
      <c r="G172" s="480" t="s">
        <v>1123</v>
      </c>
      <c r="H172" s="480" t="s">
        <v>3</v>
      </c>
      <c r="I172" s="483" t="s">
        <v>4</v>
      </c>
      <c r="J172" s="480" t="s">
        <v>1124</v>
      </c>
      <c r="K172" s="680" t="s">
        <v>5</v>
      </c>
      <c r="L172" s="480" t="s">
        <v>6</v>
      </c>
      <c r="M172" s="484" t="s">
        <v>7</v>
      </c>
      <c r="N172" s="1013" t="s">
        <v>1079</v>
      </c>
      <c r="O172" s="1014"/>
      <c r="P172" s="1009" t="s">
        <v>1629</v>
      </c>
      <c r="Q172" s="1009" t="s">
        <v>1147</v>
      </c>
      <c r="R172" s="1009" t="s">
        <v>1792</v>
      </c>
      <c r="T172" s="2"/>
      <c r="AJ172" s="718"/>
    </row>
    <row r="173" spans="1:39" ht="16.5" thickBot="1" x14ac:dyDescent="0.3">
      <c r="A173" s="183"/>
      <c r="B173" s="183"/>
      <c r="C173" s="183"/>
      <c r="D173" s="671" t="s">
        <v>1882</v>
      </c>
      <c r="E173" s="183"/>
      <c r="F173" s="183"/>
      <c r="G173" s="183"/>
      <c r="H173" s="183"/>
      <c r="I173" s="183"/>
      <c r="J173" s="183"/>
      <c r="K173" s="183"/>
      <c r="L173" s="183"/>
      <c r="M173" s="183"/>
      <c r="N173" s="1015"/>
      <c r="O173" s="1016"/>
      <c r="P173" s="1010" t="s">
        <v>1362</v>
      </c>
      <c r="Q173" s="1010"/>
      <c r="R173" s="1010"/>
      <c r="T173" s="1"/>
      <c r="AJ173" s="718"/>
    </row>
    <row r="174" spans="1:39" ht="15.75" x14ac:dyDescent="0.25">
      <c r="A174" s="561"/>
      <c r="B174" s="561"/>
      <c r="C174" s="561"/>
      <c r="D174" s="672"/>
      <c r="E174" s="209"/>
      <c r="F174" s="209"/>
      <c r="G174" s="209"/>
      <c r="H174" s="176">
        <f t="shared" ref="H174:H199" si="174">IF(SM_ExludeGroup5=TRUE,0,IF(G174="",E174*F174*IF(AND(S174="LOP",R174="SWING"),1+CrewRate_PlumbFitter_SwingLOP,1)*IF(AND(S174="LOP",R174="GRAVE"),1+CrewRate_PlumbFitter_GraveLOP,1)*IF(AND(S174="LOP",R174="SPECIAL"),1+CrewRate_PlumbFitter_SwingLOP,1),E174*F174*G174*IF(AND(S174="LOP",R174="SWING"),1+CrewRate_PlumbFitter_SwingLOP,1)*IF(AND(S174="LOP",R174="GRAVE"),1+CrewRate_PlumbFitter_GraveLOP,1)*IF(AND(S174="LOP",R174="SPECIAL"),1+CrewRate_PlumbFitter_SwingLOP,1)))</f>
        <v>0</v>
      </c>
      <c r="I174" s="209"/>
      <c r="J174" s="209"/>
      <c r="K174" s="176">
        <f t="shared" ref="K174:K199" si="175">IF(SM_ExludeGroup5=TRUE,0,IF(J174="",E174*I174,E174*I174*J174))</f>
        <v>0</v>
      </c>
      <c r="L174" s="209"/>
      <c r="M174" s="177">
        <f t="shared" ref="M174:M199" si="176">IF(SM_ExludeGroup5=TRUE,0,E174*L174)</f>
        <v>0</v>
      </c>
      <c r="N174" s="1012"/>
      <c r="O174" s="1012"/>
      <c r="P174" s="485"/>
      <c r="Q174" s="778"/>
      <c r="R174" s="778"/>
      <c r="S174" s="785" t="str">
        <f>IF(T174="Sheet Metal Takeoff","",IF(R174="","","LOP"))</f>
        <v/>
      </c>
      <c r="T174" s="548" t="str">
        <f t="shared" ref="T174:T199" si="177">IF($F$171="","Sheet Metal Takeoff",$F$171)</f>
        <v>Sheet Metal Takeoff</v>
      </c>
      <c r="U174" s="83">
        <f>ROUND(IF($T174="Plumb Takeoff",$H174*U$3,IF($T174="Pipe Takeoff",$H174*U$4,$H174*U$2)),2)</f>
        <v>0</v>
      </c>
      <c r="V174" s="83">
        <f>ROUND(IF($T174="Plumb Takeoff",IF($Q174="OT",$H174*V$3,0),IF($T174="Pipe Takeoff",IF($Q174="OT",$H174*V$4,0),IF($Q174="OT",$H174*V$2,0))),2)</f>
        <v>0</v>
      </c>
      <c r="W174" s="83">
        <f>ROUND(IF($T174="Plumb Takeoff",IF($Q174="DBLT",$H174*W$3,0),IF($T174="Pipe Takeoff",IF($Q174="DBLT",$H174*W$4,0),IF($Q174="DBLT",$H174*W$2,0))),2)</f>
        <v>0</v>
      </c>
      <c r="X174" s="781">
        <f>ROUND(SUM(IF($T174="Plumb Takeoff",IF($R174="SWING",ROUND(SUM($H174)*X$3,2))),IF($T174="Pipe Takeoff",IF($R174="SWING",ROUND(SUM($H174)*X$4,2))),IF($T174="Sheet Metal Takeoff",IF($R174="SWING",ROUND(SUM($H174)*X$2,2)))),2)</f>
        <v>0</v>
      </c>
      <c r="Y174" s="781">
        <f>ROUND(SUM(IF($T174="Plumb Takeoff",IF($R174="GRAVE",ROUND(SUM($H174)*Y$3,2))),IF($T174="Pipe Takeoff",IF($R174="GRAVE",ROUND(SUM($H174)*Y$4,2))),IF($T174="Sheet Metal Takeoff",IF($R174="GRAVE",ROUND(SUM($H174)*Y$2,2)))),2)</f>
        <v>0</v>
      </c>
      <c r="Z174" s="781">
        <f>ROUND(SUM(IF($T174="Plumb Takeoff",IF($R174="SPECIAL",ROUND(SUM($H174)*Z$3,2))),IF($T174="Pipe Takeoff",IF($R174="SPECIAL",ROUND(SUM($H174)*Z$4,2))),IF($T174="Sheet Metal Takeoff",IF($R174="SPECIAL",ROUND(SUM($H174)*Z$2,2)))),2)</f>
        <v>0</v>
      </c>
      <c r="AA174" s="83">
        <f t="shared" ref="AA174:AA199" si="178">ROUND($K174*AA$2,2)</f>
        <v>0</v>
      </c>
      <c r="AB174" s="83">
        <f>ROUND(IF($Q174="OT",$K174*AB$2,0),2)</f>
        <v>0</v>
      </c>
      <c r="AC174" s="83">
        <f>ROUND(IF($Q174="DBLT",$K174*AC$2,0),2)</f>
        <v>0</v>
      </c>
      <c r="AD174" s="83">
        <f>ROUND(IF($R174="SWING",$K174*AD$2,0),2)</f>
        <v>0</v>
      </c>
      <c r="AE174" s="83">
        <f>ROUND(IF($R174="GRAVE",$K174*AE$2,0),2)</f>
        <v>0</v>
      </c>
      <c r="AF174" s="83">
        <f>ROUND(IF($R174="SPECIAL",$K174*AF$2,0),2)</f>
        <v>0</v>
      </c>
      <c r="AG174" s="83">
        <f>SUM(U174:Z174)</f>
        <v>0</v>
      </c>
      <c r="AH174" s="83">
        <f>SUM(AA174:AF174)</f>
        <v>0</v>
      </c>
      <c r="AI174" s="83">
        <f>SUM(U174:AF174)</f>
        <v>0</v>
      </c>
      <c r="AJ174" s="718">
        <f>SUM(M174,AI174)</f>
        <v>0</v>
      </c>
      <c r="AL174">
        <f>SUM(V174:Z174)</f>
        <v>0</v>
      </c>
      <c r="AM174">
        <f>SUM(AB174:AF174)</f>
        <v>0</v>
      </c>
    </row>
    <row r="175" spans="1:39" ht="15.75" x14ac:dyDescent="0.25">
      <c r="A175" s="561"/>
      <c r="B175" s="561"/>
      <c r="C175" s="561"/>
      <c r="D175" s="672"/>
      <c r="E175" s="209"/>
      <c r="F175" s="209"/>
      <c r="G175" s="209"/>
      <c r="H175" s="176">
        <f t="shared" si="174"/>
        <v>0</v>
      </c>
      <c r="I175" s="209"/>
      <c r="J175" s="209"/>
      <c r="K175" s="176">
        <f t="shared" si="175"/>
        <v>0</v>
      </c>
      <c r="L175" s="209"/>
      <c r="M175" s="177">
        <f t="shared" si="176"/>
        <v>0</v>
      </c>
      <c r="N175" s="1012"/>
      <c r="O175" s="1012"/>
      <c r="P175" s="485"/>
      <c r="Q175" s="778"/>
      <c r="R175" s="778"/>
      <c r="S175" s="785" t="str">
        <f t="shared" ref="S175:S199" si="179">IF(T175="Sheet Metal Takeoff","",IF(R175="","","LOP"))</f>
        <v/>
      </c>
      <c r="T175" s="548" t="str">
        <f t="shared" si="177"/>
        <v>Sheet Metal Takeoff</v>
      </c>
      <c r="U175" s="83">
        <f t="shared" ref="U175:U198" si="180">ROUND(IF($T175="Plumb Takeoff",$H175*U$3,IF($T175="Pipe Takeoff",$H175*U$4,$H175*U$2)),2)</f>
        <v>0</v>
      </c>
      <c r="V175" s="83">
        <f t="shared" ref="V175:V199" si="181">ROUND(IF($T175="Plumb Takeoff",IF($Q175="OT",$H175*V$3,0),IF($T175="Pipe Takeoff",IF($Q175="OT",$H175*V$4,0),IF($Q175="OT",$H175*V$2,0))),2)</f>
        <v>0</v>
      </c>
      <c r="W175" s="83">
        <f t="shared" ref="W175:W199" si="182">ROUND(IF($T175="Plumb Takeoff",IF($Q175="DBLT",$H175*W$3,0),IF($T175="Pipe Takeoff",IF($Q175="DBLT",$H175*W$4,0),IF($Q175="DBLT",$H175*W$2,0))),2)</f>
        <v>0</v>
      </c>
      <c r="X175" s="781">
        <f t="shared" ref="X175:X199" si="183">ROUND(SUM(IF($T175="Plumb Takeoff",IF($R175="SWING",ROUND(SUM($H175)*X$3,2))),IF($T175="Pipe Takeoff",IF($R175="SWING",ROUND(SUM($H175)*X$4,2))),IF($T175="Sheet Metal Takeoff",IF($R175="SWING",ROUND(SUM($H175)*X$2,2)))),2)</f>
        <v>0</v>
      </c>
      <c r="Y175" s="781">
        <f t="shared" ref="Y175:Y199" si="184">ROUND(SUM(IF($T175="Plumb Takeoff",IF($R175="GRAVE",ROUND(SUM($H175)*Y$3,2))),IF($T175="Pipe Takeoff",IF($R175="GRAVE",ROUND(SUM($H175)*Y$4,2))),IF($T175="Sheet Metal Takeoff",IF($R175="GRAVE",ROUND(SUM($H175)*Y$2,2)))),2)</f>
        <v>0</v>
      </c>
      <c r="Z175" s="781">
        <f t="shared" ref="Z175:Z199" si="185">ROUND(SUM(IF($T175="Plumb Takeoff",IF($R175="SPECIAL",ROUND(SUM($H175)*Z$3,2))),IF($T175="Pipe Takeoff",IF($R175="SPECIAL",ROUND(SUM($H175)*Z$4,2))),IF($T175="Sheet Metal Takeoff",IF($R175="SPECIAL",ROUND(SUM($H175)*Z$2,2)))),2)</f>
        <v>0</v>
      </c>
      <c r="AA175" s="83">
        <f t="shared" si="178"/>
        <v>0</v>
      </c>
      <c r="AB175" s="83">
        <f t="shared" ref="AB175:AB199" si="186">ROUND(IF($Q175="OT",$K175*AB$2,0),2)</f>
        <v>0</v>
      </c>
      <c r="AC175" s="83">
        <f t="shared" ref="AC175:AC199" si="187">ROUND(IF($Q175="DBLT",$K175*AC$2,0),2)</f>
        <v>0</v>
      </c>
      <c r="AD175" s="83">
        <f t="shared" ref="AD175:AD199" si="188">ROUND(IF($R175="SWING",$K175*AD$2,0),2)</f>
        <v>0</v>
      </c>
      <c r="AE175" s="83">
        <f t="shared" ref="AE175:AE199" si="189">ROUND(IF($R175="GRAVE",$K175*AE$2,0),2)</f>
        <v>0</v>
      </c>
      <c r="AF175" s="83">
        <f t="shared" ref="AF175:AF199" si="190">ROUND(IF($R175="SPECIAL",$K175*AF$2,0),2)</f>
        <v>0</v>
      </c>
      <c r="AG175" s="83">
        <f t="shared" ref="AG175:AG199" si="191">SUM(U175:Z175)</f>
        <v>0</v>
      </c>
      <c r="AH175" s="83">
        <f t="shared" ref="AH175:AH199" si="192">SUM(AA175:AF175)</f>
        <v>0</v>
      </c>
      <c r="AI175" s="83">
        <f t="shared" ref="AI175:AI199" si="193">SUM(U175:AF175)</f>
        <v>0</v>
      </c>
      <c r="AJ175" s="718">
        <f t="shared" ref="AJ175:AJ199" si="194">SUM(M175,AI175)</f>
        <v>0</v>
      </c>
      <c r="AL175">
        <f t="shared" ref="AL175:AL199" si="195">SUM(V175:Z175)</f>
        <v>0</v>
      </c>
      <c r="AM175">
        <f t="shared" ref="AM175:AM199" si="196">SUM(AB175:AF175)</f>
        <v>0</v>
      </c>
    </row>
    <row r="176" spans="1:39" ht="31.5" x14ac:dyDescent="0.25">
      <c r="A176" s="561"/>
      <c r="B176" s="561"/>
      <c r="C176" s="561"/>
      <c r="D176" s="672" t="s">
        <v>1886</v>
      </c>
      <c r="E176" s="209">
        <v>1</v>
      </c>
      <c r="F176" s="209"/>
      <c r="G176" s="209"/>
      <c r="H176" s="176">
        <f t="shared" si="174"/>
        <v>0</v>
      </c>
      <c r="I176" s="209"/>
      <c r="J176" s="209"/>
      <c r="K176" s="176">
        <f t="shared" si="175"/>
        <v>0</v>
      </c>
      <c r="L176" s="209"/>
      <c r="M176" s="177">
        <f t="shared" si="176"/>
        <v>0</v>
      </c>
      <c r="N176" s="1012"/>
      <c r="O176" s="1012"/>
      <c r="P176" s="485"/>
      <c r="Q176" s="778"/>
      <c r="R176" s="778"/>
      <c r="S176" s="785" t="str">
        <f t="shared" si="179"/>
        <v/>
      </c>
      <c r="T176" s="548" t="str">
        <f t="shared" si="177"/>
        <v>Sheet Metal Takeoff</v>
      </c>
      <c r="U176" s="83">
        <f t="shared" si="180"/>
        <v>0</v>
      </c>
      <c r="V176" s="83">
        <f t="shared" si="181"/>
        <v>0</v>
      </c>
      <c r="W176" s="83">
        <f t="shared" si="182"/>
        <v>0</v>
      </c>
      <c r="X176" s="781">
        <f t="shared" si="183"/>
        <v>0</v>
      </c>
      <c r="Y176" s="781">
        <f t="shared" si="184"/>
        <v>0</v>
      </c>
      <c r="Z176" s="781">
        <f t="shared" si="185"/>
        <v>0</v>
      </c>
      <c r="AA176" s="83">
        <f t="shared" si="178"/>
        <v>0</v>
      </c>
      <c r="AB176" s="83">
        <f t="shared" si="186"/>
        <v>0</v>
      </c>
      <c r="AC176" s="83">
        <f t="shared" si="187"/>
        <v>0</v>
      </c>
      <c r="AD176" s="83">
        <f t="shared" si="188"/>
        <v>0</v>
      </c>
      <c r="AE176" s="83">
        <f t="shared" si="189"/>
        <v>0</v>
      </c>
      <c r="AF176" s="83">
        <f t="shared" si="190"/>
        <v>0</v>
      </c>
      <c r="AG176" s="83">
        <f t="shared" si="191"/>
        <v>0</v>
      </c>
      <c r="AH176" s="83">
        <f t="shared" si="192"/>
        <v>0</v>
      </c>
      <c r="AI176" s="83">
        <f t="shared" si="193"/>
        <v>0</v>
      </c>
      <c r="AJ176" s="718">
        <f t="shared" si="194"/>
        <v>0</v>
      </c>
      <c r="AL176">
        <f t="shared" si="195"/>
        <v>0</v>
      </c>
      <c r="AM176">
        <f t="shared" si="196"/>
        <v>0</v>
      </c>
    </row>
    <row r="177" spans="1:39" ht="15.75" x14ac:dyDescent="0.25">
      <c r="A177" s="561"/>
      <c r="B177" s="561"/>
      <c r="C177" s="561"/>
      <c r="D177" s="672"/>
      <c r="E177" s="209"/>
      <c r="F177" s="209"/>
      <c r="G177" s="209"/>
      <c r="H177" s="176">
        <f t="shared" si="174"/>
        <v>0</v>
      </c>
      <c r="I177" s="209"/>
      <c r="J177" s="209"/>
      <c r="K177" s="176">
        <f t="shared" si="175"/>
        <v>0</v>
      </c>
      <c r="L177" s="209"/>
      <c r="M177" s="177">
        <f t="shared" si="176"/>
        <v>0</v>
      </c>
      <c r="N177" s="1012"/>
      <c r="O177" s="1012"/>
      <c r="P177" s="485"/>
      <c r="Q177" s="778"/>
      <c r="R177" s="778"/>
      <c r="S177" s="785" t="str">
        <f t="shared" si="179"/>
        <v/>
      </c>
      <c r="T177" s="548" t="str">
        <f t="shared" si="177"/>
        <v>Sheet Metal Takeoff</v>
      </c>
      <c r="U177" s="83">
        <f t="shared" si="180"/>
        <v>0</v>
      </c>
      <c r="V177" s="83">
        <f t="shared" si="181"/>
        <v>0</v>
      </c>
      <c r="W177" s="83">
        <f t="shared" si="182"/>
        <v>0</v>
      </c>
      <c r="X177" s="781">
        <f t="shared" si="183"/>
        <v>0</v>
      </c>
      <c r="Y177" s="781">
        <f t="shared" si="184"/>
        <v>0</v>
      </c>
      <c r="Z177" s="781">
        <f t="shared" si="185"/>
        <v>0</v>
      </c>
      <c r="AA177" s="83">
        <f t="shared" si="178"/>
        <v>0</v>
      </c>
      <c r="AB177" s="83">
        <f t="shared" si="186"/>
        <v>0</v>
      </c>
      <c r="AC177" s="83">
        <f t="shared" si="187"/>
        <v>0</v>
      </c>
      <c r="AD177" s="83">
        <f t="shared" si="188"/>
        <v>0</v>
      </c>
      <c r="AE177" s="83">
        <f t="shared" si="189"/>
        <v>0</v>
      </c>
      <c r="AF177" s="83">
        <f t="shared" si="190"/>
        <v>0</v>
      </c>
      <c r="AG177" s="83">
        <f t="shared" si="191"/>
        <v>0</v>
      </c>
      <c r="AH177" s="83">
        <f t="shared" si="192"/>
        <v>0</v>
      </c>
      <c r="AI177" s="83">
        <f t="shared" si="193"/>
        <v>0</v>
      </c>
      <c r="AJ177" s="718">
        <f t="shared" si="194"/>
        <v>0</v>
      </c>
      <c r="AL177">
        <f t="shared" si="195"/>
        <v>0</v>
      </c>
      <c r="AM177">
        <f t="shared" si="196"/>
        <v>0</v>
      </c>
    </row>
    <row r="178" spans="1:39" ht="15.75" x14ac:dyDescent="0.25">
      <c r="A178" s="561"/>
      <c r="B178" s="561"/>
      <c r="C178" s="561"/>
      <c r="D178" s="672" t="s">
        <v>1885</v>
      </c>
      <c r="E178" s="209">
        <v>1</v>
      </c>
      <c r="F178" s="209">
        <v>200</v>
      </c>
      <c r="G178" s="209"/>
      <c r="H178" s="176">
        <f t="shared" si="174"/>
        <v>200</v>
      </c>
      <c r="I178" s="209">
        <v>5</v>
      </c>
      <c r="J178" s="209"/>
      <c r="K178" s="176">
        <f t="shared" si="175"/>
        <v>5</v>
      </c>
      <c r="L178" s="209">
        <v>5500</v>
      </c>
      <c r="M178" s="177">
        <f t="shared" si="176"/>
        <v>5500</v>
      </c>
      <c r="N178" s="1012"/>
      <c r="O178" s="1012"/>
      <c r="P178" s="485"/>
      <c r="Q178" s="778"/>
      <c r="R178" s="778"/>
      <c r="S178" s="785" t="str">
        <f t="shared" si="179"/>
        <v/>
      </c>
      <c r="T178" s="548" t="str">
        <f t="shared" si="177"/>
        <v>Sheet Metal Takeoff</v>
      </c>
      <c r="U178" s="83">
        <f t="shared" si="180"/>
        <v>19464</v>
      </c>
      <c r="V178" s="83">
        <f t="shared" si="181"/>
        <v>0</v>
      </c>
      <c r="W178" s="83">
        <f t="shared" si="182"/>
        <v>0</v>
      </c>
      <c r="X178" s="781">
        <f t="shared" si="183"/>
        <v>0</v>
      </c>
      <c r="Y178" s="781">
        <f t="shared" si="184"/>
        <v>0</v>
      </c>
      <c r="Z178" s="781">
        <f t="shared" si="185"/>
        <v>0</v>
      </c>
      <c r="AA178" s="83">
        <f t="shared" si="178"/>
        <v>532.5</v>
      </c>
      <c r="AB178" s="83">
        <f t="shared" si="186"/>
        <v>0</v>
      </c>
      <c r="AC178" s="83">
        <f t="shared" si="187"/>
        <v>0</v>
      </c>
      <c r="AD178" s="83">
        <f t="shared" si="188"/>
        <v>0</v>
      </c>
      <c r="AE178" s="83">
        <f t="shared" si="189"/>
        <v>0</v>
      </c>
      <c r="AF178" s="83">
        <f t="shared" si="190"/>
        <v>0</v>
      </c>
      <c r="AG178" s="83">
        <f t="shared" si="191"/>
        <v>19464</v>
      </c>
      <c r="AH178" s="83">
        <f t="shared" si="192"/>
        <v>532.5</v>
      </c>
      <c r="AI178" s="83">
        <f t="shared" si="193"/>
        <v>19996.5</v>
      </c>
      <c r="AJ178" s="718">
        <f t="shared" si="194"/>
        <v>25496.5</v>
      </c>
      <c r="AL178">
        <f t="shared" si="195"/>
        <v>0</v>
      </c>
      <c r="AM178">
        <f t="shared" si="196"/>
        <v>0</v>
      </c>
    </row>
    <row r="179" spans="1:39" ht="15.75" x14ac:dyDescent="0.25">
      <c r="A179" s="561"/>
      <c r="B179" s="561"/>
      <c r="C179" s="561"/>
      <c r="D179" s="672"/>
      <c r="E179" s="209"/>
      <c r="F179" s="209"/>
      <c r="G179" s="209"/>
      <c r="H179" s="176">
        <f t="shared" si="174"/>
        <v>0</v>
      </c>
      <c r="I179" s="209"/>
      <c r="J179" s="209"/>
      <c r="K179" s="176">
        <f t="shared" si="175"/>
        <v>0</v>
      </c>
      <c r="L179" s="209"/>
      <c r="M179" s="177">
        <f t="shared" si="176"/>
        <v>0</v>
      </c>
      <c r="N179" s="1012"/>
      <c r="O179" s="1012"/>
      <c r="P179" s="485"/>
      <c r="Q179" s="778"/>
      <c r="R179" s="778"/>
      <c r="S179" s="785" t="str">
        <f t="shared" si="179"/>
        <v/>
      </c>
      <c r="T179" s="548" t="str">
        <f t="shared" si="177"/>
        <v>Sheet Metal Takeoff</v>
      </c>
      <c r="U179" s="83">
        <f t="shared" si="180"/>
        <v>0</v>
      </c>
      <c r="V179" s="83">
        <f t="shared" si="181"/>
        <v>0</v>
      </c>
      <c r="W179" s="83">
        <f t="shared" si="182"/>
        <v>0</v>
      </c>
      <c r="X179" s="781">
        <f t="shared" si="183"/>
        <v>0</v>
      </c>
      <c r="Y179" s="781">
        <f t="shared" si="184"/>
        <v>0</v>
      </c>
      <c r="Z179" s="781">
        <f t="shared" si="185"/>
        <v>0</v>
      </c>
      <c r="AA179" s="83">
        <f t="shared" si="178"/>
        <v>0</v>
      </c>
      <c r="AB179" s="83">
        <f t="shared" si="186"/>
        <v>0</v>
      </c>
      <c r="AC179" s="83">
        <f t="shared" si="187"/>
        <v>0</v>
      </c>
      <c r="AD179" s="83">
        <f t="shared" si="188"/>
        <v>0</v>
      </c>
      <c r="AE179" s="83">
        <f t="shared" si="189"/>
        <v>0</v>
      </c>
      <c r="AF179" s="83">
        <f t="shared" si="190"/>
        <v>0</v>
      </c>
      <c r="AG179" s="83">
        <f t="shared" si="191"/>
        <v>0</v>
      </c>
      <c r="AH179" s="83">
        <f t="shared" si="192"/>
        <v>0</v>
      </c>
      <c r="AI179" s="83">
        <f t="shared" si="193"/>
        <v>0</v>
      </c>
      <c r="AJ179" s="718">
        <f t="shared" si="194"/>
        <v>0</v>
      </c>
      <c r="AL179">
        <f t="shared" si="195"/>
        <v>0</v>
      </c>
      <c r="AM179">
        <f t="shared" si="196"/>
        <v>0</v>
      </c>
    </row>
    <row r="180" spans="1:39" ht="15.75" x14ac:dyDescent="0.25">
      <c r="A180" s="561"/>
      <c r="B180" s="561"/>
      <c r="C180" s="561"/>
      <c r="D180" s="672"/>
      <c r="E180" s="209"/>
      <c r="F180" s="209"/>
      <c r="G180" s="209"/>
      <c r="H180" s="176">
        <f t="shared" si="174"/>
        <v>0</v>
      </c>
      <c r="I180" s="209"/>
      <c r="J180" s="209"/>
      <c r="K180" s="176">
        <f t="shared" si="175"/>
        <v>0</v>
      </c>
      <c r="L180" s="209"/>
      <c r="M180" s="177">
        <f t="shared" si="176"/>
        <v>0</v>
      </c>
      <c r="N180" s="1012"/>
      <c r="O180" s="1012"/>
      <c r="P180" s="485"/>
      <c r="Q180" s="778"/>
      <c r="R180" s="778"/>
      <c r="S180" s="785" t="str">
        <f t="shared" si="179"/>
        <v/>
      </c>
      <c r="T180" s="548" t="str">
        <f t="shared" si="177"/>
        <v>Sheet Metal Takeoff</v>
      </c>
      <c r="U180" s="83">
        <f t="shared" si="180"/>
        <v>0</v>
      </c>
      <c r="V180" s="83">
        <f t="shared" si="181"/>
        <v>0</v>
      </c>
      <c r="W180" s="83">
        <f t="shared" si="182"/>
        <v>0</v>
      </c>
      <c r="X180" s="781">
        <f t="shared" si="183"/>
        <v>0</v>
      </c>
      <c r="Y180" s="781">
        <f t="shared" si="184"/>
        <v>0</v>
      </c>
      <c r="Z180" s="781">
        <f t="shared" si="185"/>
        <v>0</v>
      </c>
      <c r="AA180" s="83">
        <f t="shared" si="178"/>
        <v>0</v>
      </c>
      <c r="AB180" s="83">
        <f t="shared" si="186"/>
        <v>0</v>
      </c>
      <c r="AC180" s="83">
        <f t="shared" si="187"/>
        <v>0</v>
      </c>
      <c r="AD180" s="83">
        <f t="shared" si="188"/>
        <v>0</v>
      </c>
      <c r="AE180" s="83">
        <f t="shared" si="189"/>
        <v>0</v>
      </c>
      <c r="AF180" s="83">
        <f t="shared" si="190"/>
        <v>0</v>
      </c>
      <c r="AG180" s="83">
        <f t="shared" si="191"/>
        <v>0</v>
      </c>
      <c r="AH180" s="83">
        <f t="shared" si="192"/>
        <v>0</v>
      </c>
      <c r="AI180" s="83">
        <f t="shared" si="193"/>
        <v>0</v>
      </c>
      <c r="AJ180" s="718">
        <f t="shared" si="194"/>
        <v>0</v>
      </c>
      <c r="AL180">
        <f t="shared" si="195"/>
        <v>0</v>
      </c>
      <c r="AM180">
        <f t="shared" si="196"/>
        <v>0</v>
      </c>
    </row>
    <row r="181" spans="1:39" ht="15.75" x14ac:dyDescent="0.25">
      <c r="A181" s="561"/>
      <c r="B181" s="561"/>
      <c r="C181" s="561"/>
      <c r="D181" s="672"/>
      <c r="E181" s="209"/>
      <c r="F181" s="209"/>
      <c r="G181" s="209"/>
      <c r="H181" s="176">
        <f t="shared" si="174"/>
        <v>0</v>
      </c>
      <c r="I181" s="209"/>
      <c r="J181" s="209"/>
      <c r="K181" s="176">
        <f t="shared" si="175"/>
        <v>0</v>
      </c>
      <c r="L181" s="209"/>
      <c r="M181" s="177">
        <f t="shared" si="176"/>
        <v>0</v>
      </c>
      <c r="N181" s="1012"/>
      <c r="O181" s="1012"/>
      <c r="P181" s="485"/>
      <c r="Q181" s="778"/>
      <c r="R181" s="778"/>
      <c r="S181" s="785" t="str">
        <f t="shared" si="179"/>
        <v/>
      </c>
      <c r="T181" s="548" t="str">
        <f t="shared" si="177"/>
        <v>Sheet Metal Takeoff</v>
      </c>
      <c r="U181" s="83">
        <f t="shared" si="180"/>
        <v>0</v>
      </c>
      <c r="V181" s="83">
        <f t="shared" si="181"/>
        <v>0</v>
      </c>
      <c r="W181" s="83">
        <f t="shared" si="182"/>
        <v>0</v>
      </c>
      <c r="X181" s="781">
        <f t="shared" si="183"/>
        <v>0</v>
      </c>
      <c r="Y181" s="781">
        <f t="shared" si="184"/>
        <v>0</v>
      </c>
      <c r="Z181" s="781">
        <f t="shared" si="185"/>
        <v>0</v>
      </c>
      <c r="AA181" s="83">
        <f t="shared" si="178"/>
        <v>0</v>
      </c>
      <c r="AB181" s="83">
        <f t="shared" si="186"/>
        <v>0</v>
      </c>
      <c r="AC181" s="83">
        <f t="shared" si="187"/>
        <v>0</v>
      </c>
      <c r="AD181" s="83">
        <f t="shared" si="188"/>
        <v>0</v>
      </c>
      <c r="AE181" s="83">
        <f t="shared" si="189"/>
        <v>0</v>
      </c>
      <c r="AF181" s="83">
        <f t="shared" si="190"/>
        <v>0</v>
      </c>
      <c r="AG181" s="83">
        <f t="shared" si="191"/>
        <v>0</v>
      </c>
      <c r="AH181" s="83">
        <f t="shared" si="192"/>
        <v>0</v>
      </c>
      <c r="AI181" s="83">
        <f t="shared" si="193"/>
        <v>0</v>
      </c>
      <c r="AJ181" s="718">
        <f t="shared" si="194"/>
        <v>0</v>
      </c>
      <c r="AL181">
        <f t="shared" si="195"/>
        <v>0</v>
      </c>
      <c r="AM181">
        <f t="shared" si="196"/>
        <v>0</v>
      </c>
    </row>
    <row r="182" spans="1:39" ht="15.75" x14ac:dyDescent="0.25">
      <c r="A182" s="561"/>
      <c r="B182" s="561"/>
      <c r="C182" s="561"/>
      <c r="D182" s="672"/>
      <c r="E182" s="209"/>
      <c r="F182" s="209"/>
      <c r="G182" s="209"/>
      <c r="H182" s="176">
        <f t="shared" si="174"/>
        <v>0</v>
      </c>
      <c r="I182" s="209"/>
      <c r="J182" s="209"/>
      <c r="K182" s="176">
        <f t="shared" si="175"/>
        <v>0</v>
      </c>
      <c r="L182" s="209"/>
      <c r="M182" s="177">
        <f t="shared" si="176"/>
        <v>0</v>
      </c>
      <c r="N182" s="1012"/>
      <c r="O182" s="1012"/>
      <c r="P182" s="485"/>
      <c r="Q182" s="778"/>
      <c r="R182" s="778"/>
      <c r="S182" s="785" t="str">
        <f t="shared" si="179"/>
        <v/>
      </c>
      <c r="T182" s="548" t="str">
        <f t="shared" si="177"/>
        <v>Sheet Metal Takeoff</v>
      </c>
      <c r="U182" s="83">
        <f t="shared" si="180"/>
        <v>0</v>
      </c>
      <c r="V182" s="83">
        <f t="shared" si="181"/>
        <v>0</v>
      </c>
      <c r="W182" s="83">
        <f t="shared" si="182"/>
        <v>0</v>
      </c>
      <c r="X182" s="781">
        <f t="shared" si="183"/>
        <v>0</v>
      </c>
      <c r="Y182" s="781">
        <f t="shared" si="184"/>
        <v>0</v>
      </c>
      <c r="Z182" s="781">
        <f t="shared" si="185"/>
        <v>0</v>
      </c>
      <c r="AA182" s="83">
        <f t="shared" si="178"/>
        <v>0</v>
      </c>
      <c r="AB182" s="83">
        <f t="shared" si="186"/>
        <v>0</v>
      </c>
      <c r="AC182" s="83">
        <f t="shared" si="187"/>
        <v>0</v>
      </c>
      <c r="AD182" s="83">
        <f t="shared" si="188"/>
        <v>0</v>
      </c>
      <c r="AE182" s="83">
        <f t="shared" si="189"/>
        <v>0</v>
      </c>
      <c r="AF182" s="83">
        <f t="shared" si="190"/>
        <v>0</v>
      </c>
      <c r="AG182" s="83">
        <f t="shared" si="191"/>
        <v>0</v>
      </c>
      <c r="AH182" s="83">
        <f t="shared" si="192"/>
        <v>0</v>
      </c>
      <c r="AI182" s="83">
        <f t="shared" si="193"/>
        <v>0</v>
      </c>
      <c r="AJ182" s="718">
        <f t="shared" si="194"/>
        <v>0</v>
      </c>
      <c r="AL182">
        <f t="shared" si="195"/>
        <v>0</v>
      </c>
      <c r="AM182">
        <f t="shared" si="196"/>
        <v>0</v>
      </c>
    </row>
    <row r="183" spans="1:39" ht="15.75" x14ac:dyDescent="0.25">
      <c r="A183" s="561"/>
      <c r="B183" s="561"/>
      <c r="C183" s="561"/>
      <c r="D183" s="672"/>
      <c r="E183" s="209"/>
      <c r="F183" s="209"/>
      <c r="G183" s="209"/>
      <c r="H183" s="176">
        <f t="shared" si="174"/>
        <v>0</v>
      </c>
      <c r="I183" s="209"/>
      <c r="J183" s="209"/>
      <c r="K183" s="176">
        <f t="shared" si="175"/>
        <v>0</v>
      </c>
      <c r="L183" s="209"/>
      <c r="M183" s="177">
        <f t="shared" si="176"/>
        <v>0</v>
      </c>
      <c r="N183" s="1012"/>
      <c r="O183" s="1012"/>
      <c r="P183" s="485"/>
      <c r="Q183" s="778"/>
      <c r="R183" s="778"/>
      <c r="S183" s="785" t="str">
        <f t="shared" si="179"/>
        <v/>
      </c>
      <c r="T183" s="548" t="str">
        <f t="shared" si="177"/>
        <v>Sheet Metal Takeoff</v>
      </c>
      <c r="U183" s="83">
        <f t="shared" si="180"/>
        <v>0</v>
      </c>
      <c r="V183" s="83">
        <f t="shared" si="181"/>
        <v>0</v>
      </c>
      <c r="W183" s="83">
        <f t="shared" si="182"/>
        <v>0</v>
      </c>
      <c r="X183" s="781">
        <f t="shared" si="183"/>
        <v>0</v>
      </c>
      <c r="Y183" s="781">
        <f t="shared" si="184"/>
        <v>0</v>
      </c>
      <c r="Z183" s="781">
        <f t="shared" si="185"/>
        <v>0</v>
      </c>
      <c r="AA183" s="83">
        <f t="shared" si="178"/>
        <v>0</v>
      </c>
      <c r="AB183" s="83">
        <f t="shared" si="186"/>
        <v>0</v>
      </c>
      <c r="AC183" s="83">
        <f t="shared" si="187"/>
        <v>0</v>
      </c>
      <c r="AD183" s="83">
        <f t="shared" si="188"/>
        <v>0</v>
      </c>
      <c r="AE183" s="83">
        <f t="shared" si="189"/>
        <v>0</v>
      </c>
      <c r="AF183" s="83">
        <f t="shared" si="190"/>
        <v>0</v>
      </c>
      <c r="AG183" s="83">
        <f t="shared" si="191"/>
        <v>0</v>
      </c>
      <c r="AH183" s="83">
        <f t="shared" si="192"/>
        <v>0</v>
      </c>
      <c r="AI183" s="83">
        <f t="shared" si="193"/>
        <v>0</v>
      </c>
      <c r="AJ183" s="718">
        <f t="shared" si="194"/>
        <v>0</v>
      </c>
      <c r="AL183">
        <f t="shared" si="195"/>
        <v>0</v>
      </c>
      <c r="AM183">
        <f t="shared" si="196"/>
        <v>0</v>
      </c>
    </row>
    <row r="184" spans="1:39" ht="15.75" x14ac:dyDescent="0.25">
      <c r="A184" s="561"/>
      <c r="B184" s="561"/>
      <c r="C184" s="561"/>
      <c r="D184" s="672"/>
      <c r="E184" s="209"/>
      <c r="F184" s="209"/>
      <c r="G184" s="209"/>
      <c r="H184" s="176">
        <f t="shared" si="174"/>
        <v>0</v>
      </c>
      <c r="I184" s="209"/>
      <c r="J184" s="209"/>
      <c r="K184" s="176">
        <f t="shared" si="175"/>
        <v>0</v>
      </c>
      <c r="L184" s="209"/>
      <c r="M184" s="177">
        <f t="shared" si="176"/>
        <v>0</v>
      </c>
      <c r="N184" s="1012"/>
      <c r="O184" s="1012"/>
      <c r="P184" s="485"/>
      <c r="Q184" s="778"/>
      <c r="R184" s="778"/>
      <c r="S184" s="785" t="str">
        <f t="shared" si="179"/>
        <v/>
      </c>
      <c r="T184" s="548" t="str">
        <f t="shared" si="177"/>
        <v>Sheet Metal Takeoff</v>
      </c>
      <c r="U184" s="83">
        <f t="shared" si="180"/>
        <v>0</v>
      </c>
      <c r="V184" s="83">
        <f t="shared" si="181"/>
        <v>0</v>
      </c>
      <c r="W184" s="83">
        <f t="shared" si="182"/>
        <v>0</v>
      </c>
      <c r="X184" s="781">
        <f t="shared" si="183"/>
        <v>0</v>
      </c>
      <c r="Y184" s="781">
        <f t="shared" si="184"/>
        <v>0</v>
      </c>
      <c r="Z184" s="781">
        <f t="shared" si="185"/>
        <v>0</v>
      </c>
      <c r="AA184" s="83">
        <f t="shared" si="178"/>
        <v>0</v>
      </c>
      <c r="AB184" s="83">
        <f t="shared" si="186"/>
        <v>0</v>
      </c>
      <c r="AC184" s="83">
        <f t="shared" si="187"/>
        <v>0</v>
      </c>
      <c r="AD184" s="83">
        <f t="shared" si="188"/>
        <v>0</v>
      </c>
      <c r="AE184" s="83">
        <f t="shared" si="189"/>
        <v>0</v>
      </c>
      <c r="AF184" s="83">
        <f t="shared" si="190"/>
        <v>0</v>
      </c>
      <c r="AG184" s="83">
        <f t="shared" si="191"/>
        <v>0</v>
      </c>
      <c r="AH184" s="83">
        <f t="shared" si="192"/>
        <v>0</v>
      </c>
      <c r="AI184" s="83">
        <f t="shared" si="193"/>
        <v>0</v>
      </c>
      <c r="AJ184" s="718">
        <f t="shared" si="194"/>
        <v>0</v>
      </c>
      <c r="AL184">
        <f t="shared" si="195"/>
        <v>0</v>
      </c>
      <c r="AM184">
        <f t="shared" si="196"/>
        <v>0</v>
      </c>
    </row>
    <row r="185" spans="1:39" ht="15.75" x14ac:dyDescent="0.25">
      <c r="A185" s="561"/>
      <c r="B185" s="561"/>
      <c r="C185" s="561"/>
      <c r="D185" s="672"/>
      <c r="E185" s="209"/>
      <c r="F185" s="209"/>
      <c r="G185" s="209"/>
      <c r="H185" s="176">
        <f t="shared" si="174"/>
        <v>0</v>
      </c>
      <c r="I185" s="209"/>
      <c r="J185" s="209"/>
      <c r="K185" s="176">
        <f t="shared" si="175"/>
        <v>0</v>
      </c>
      <c r="L185" s="209"/>
      <c r="M185" s="177">
        <f t="shared" si="176"/>
        <v>0</v>
      </c>
      <c r="N185" s="1012"/>
      <c r="O185" s="1012"/>
      <c r="P185" s="485"/>
      <c r="Q185" s="778"/>
      <c r="R185" s="778"/>
      <c r="S185" s="785" t="str">
        <f t="shared" si="179"/>
        <v/>
      </c>
      <c r="T185" s="548" t="str">
        <f t="shared" si="177"/>
        <v>Sheet Metal Takeoff</v>
      </c>
      <c r="U185" s="83">
        <f t="shared" si="180"/>
        <v>0</v>
      </c>
      <c r="V185" s="83">
        <f t="shared" si="181"/>
        <v>0</v>
      </c>
      <c r="W185" s="83">
        <f t="shared" si="182"/>
        <v>0</v>
      </c>
      <c r="X185" s="781">
        <f t="shared" si="183"/>
        <v>0</v>
      </c>
      <c r="Y185" s="781">
        <f t="shared" si="184"/>
        <v>0</v>
      </c>
      <c r="Z185" s="781">
        <f t="shared" si="185"/>
        <v>0</v>
      </c>
      <c r="AA185" s="83">
        <f t="shared" si="178"/>
        <v>0</v>
      </c>
      <c r="AB185" s="83">
        <f t="shared" si="186"/>
        <v>0</v>
      </c>
      <c r="AC185" s="83">
        <f t="shared" si="187"/>
        <v>0</v>
      </c>
      <c r="AD185" s="83">
        <f t="shared" si="188"/>
        <v>0</v>
      </c>
      <c r="AE185" s="83">
        <f t="shared" si="189"/>
        <v>0</v>
      </c>
      <c r="AF185" s="83">
        <f t="shared" si="190"/>
        <v>0</v>
      </c>
      <c r="AG185" s="83">
        <f t="shared" si="191"/>
        <v>0</v>
      </c>
      <c r="AH185" s="83">
        <f t="shared" si="192"/>
        <v>0</v>
      </c>
      <c r="AI185" s="83">
        <f t="shared" si="193"/>
        <v>0</v>
      </c>
      <c r="AJ185" s="718">
        <f t="shared" si="194"/>
        <v>0</v>
      </c>
      <c r="AL185">
        <f t="shared" si="195"/>
        <v>0</v>
      </c>
      <c r="AM185">
        <f t="shared" si="196"/>
        <v>0</v>
      </c>
    </row>
    <row r="186" spans="1:39" ht="15.75" x14ac:dyDescent="0.25">
      <c r="A186" s="561"/>
      <c r="B186" s="561"/>
      <c r="C186" s="561"/>
      <c r="D186" s="672"/>
      <c r="E186" s="209"/>
      <c r="F186" s="209"/>
      <c r="G186" s="209"/>
      <c r="H186" s="176">
        <f t="shared" si="174"/>
        <v>0</v>
      </c>
      <c r="I186" s="209"/>
      <c r="J186" s="209"/>
      <c r="K186" s="176">
        <f t="shared" si="175"/>
        <v>0</v>
      </c>
      <c r="L186" s="209"/>
      <c r="M186" s="177">
        <f t="shared" si="176"/>
        <v>0</v>
      </c>
      <c r="N186" s="1012"/>
      <c r="O186" s="1012"/>
      <c r="P186" s="485"/>
      <c r="Q186" s="778"/>
      <c r="R186" s="778"/>
      <c r="S186" s="785" t="str">
        <f t="shared" si="179"/>
        <v/>
      </c>
      <c r="T186" s="548" t="str">
        <f t="shared" si="177"/>
        <v>Sheet Metal Takeoff</v>
      </c>
      <c r="U186" s="83">
        <f t="shared" si="180"/>
        <v>0</v>
      </c>
      <c r="V186" s="83">
        <f t="shared" si="181"/>
        <v>0</v>
      </c>
      <c r="W186" s="83">
        <f t="shared" si="182"/>
        <v>0</v>
      </c>
      <c r="X186" s="781">
        <f t="shared" si="183"/>
        <v>0</v>
      </c>
      <c r="Y186" s="781">
        <f t="shared" si="184"/>
        <v>0</v>
      </c>
      <c r="Z186" s="781">
        <f t="shared" si="185"/>
        <v>0</v>
      </c>
      <c r="AA186" s="83">
        <f t="shared" si="178"/>
        <v>0</v>
      </c>
      <c r="AB186" s="83">
        <f t="shared" si="186"/>
        <v>0</v>
      </c>
      <c r="AC186" s="83">
        <f t="shared" si="187"/>
        <v>0</v>
      </c>
      <c r="AD186" s="83">
        <f t="shared" si="188"/>
        <v>0</v>
      </c>
      <c r="AE186" s="83">
        <f t="shared" si="189"/>
        <v>0</v>
      </c>
      <c r="AF186" s="83">
        <f t="shared" si="190"/>
        <v>0</v>
      </c>
      <c r="AG186" s="83">
        <f t="shared" si="191"/>
        <v>0</v>
      </c>
      <c r="AH186" s="83">
        <f t="shared" si="192"/>
        <v>0</v>
      </c>
      <c r="AI186" s="83">
        <f t="shared" si="193"/>
        <v>0</v>
      </c>
      <c r="AJ186" s="718">
        <f t="shared" si="194"/>
        <v>0</v>
      </c>
      <c r="AL186">
        <f t="shared" si="195"/>
        <v>0</v>
      </c>
      <c r="AM186">
        <f t="shared" si="196"/>
        <v>0</v>
      </c>
    </row>
    <row r="187" spans="1:39" ht="15.75" x14ac:dyDescent="0.25">
      <c r="A187" s="561"/>
      <c r="B187" s="561"/>
      <c r="C187" s="561"/>
      <c r="D187" s="672"/>
      <c r="E187" s="209"/>
      <c r="F187" s="209"/>
      <c r="G187" s="209"/>
      <c r="H187" s="176">
        <f t="shared" si="174"/>
        <v>0</v>
      </c>
      <c r="I187" s="209"/>
      <c r="J187" s="209"/>
      <c r="K187" s="176">
        <f t="shared" si="175"/>
        <v>0</v>
      </c>
      <c r="L187" s="209"/>
      <c r="M187" s="177">
        <f t="shared" si="176"/>
        <v>0</v>
      </c>
      <c r="N187" s="1012"/>
      <c r="O187" s="1012"/>
      <c r="P187" s="485"/>
      <c r="Q187" s="778"/>
      <c r="R187" s="778"/>
      <c r="S187" s="785" t="str">
        <f t="shared" si="179"/>
        <v/>
      </c>
      <c r="T187" s="548" t="str">
        <f t="shared" si="177"/>
        <v>Sheet Metal Takeoff</v>
      </c>
      <c r="U187" s="83">
        <f t="shared" si="180"/>
        <v>0</v>
      </c>
      <c r="V187" s="83">
        <f t="shared" si="181"/>
        <v>0</v>
      </c>
      <c r="W187" s="83">
        <f t="shared" si="182"/>
        <v>0</v>
      </c>
      <c r="X187" s="781">
        <f t="shared" si="183"/>
        <v>0</v>
      </c>
      <c r="Y187" s="781">
        <f t="shared" si="184"/>
        <v>0</v>
      </c>
      <c r="Z187" s="781">
        <f t="shared" si="185"/>
        <v>0</v>
      </c>
      <c r="AA187" s="83">
        <f t="shared" si="178"/>
        <v>0</v>
      </c>
      <c r="AB187" s="83">
        <f t="shared" si="186"/>
        <v>0</v>
      </c>
      <c r="AC187" s="83">
        <f t="shared" si="187"/>
        <v>0</v>
      </c>
      <c r="AD187" s="83">
        <f t="shared" si="188"/>
        <v>0</v>
      </c>
      <c r="AE187" s="83">
        <f t="shared" si="189"/>
        <v>0</v>
      </c>
      <c r="AF187" s="83">
        <f t="shared" si="190"/>
        <v>0</v>
      </c>
      <c r="AG187" s="83">
        <f t="shared" si="191"/>
        <v>0</v>
      </c>
      <c r="AH187" s="83">
        <f t="shared" si="192"/>
        <v>0</v>
      </c>
      <c r="AI187" s="83">
        <f t="shared" si="193"/>
        <v>0</v>
      </c>
      <c r="AJ187" s="718">
        <f t="shared" si="194"/>
        <v>0</v>
      </c>
      <c r="AL187">
        <f t="shared" si="195"/>
        <v>0</v>
      </c>
      <c r="AM187">
        <f t="shared" si="196"/>
        <v>0</v>
      </c>
    </row>
    <row r="188" spans="1:39" ht="15.75" x14ac:dyDescent="0.25">
      <c r="A188" s="561"/>
      <c r="B188" s="561"/>
      <c r="C188" s="561"/>
      <c r="D188" s="672"/>
      <c r="E188" s="209"/>
      <c r="F188" s="209"/>
      <c r="G188" s="209"/>
      <c r="H188" s="176">
        <f t="shared" si="174"/>
        <v>0</v>
      </c>
      <c r="I188" s="209"/>
      <c r="J188" s="209"/>
      <c r="K188" s="176">
        <f t="shared" si="175"/>
        <v>0</v>
      </c>
      <c r="L188" s="209"/>
      <c r="M188" s="177">
        <f t="shared" si="176"/>
        <v>0</v>
      </c>
      <c r="N188" s="1012"/>
      <c r="O188" s="1012"/>
      <c r="P188" s="485"/>
      <c r="Q188" s="778"/>
      <c r="R188" s="778"/>
      <c r="S188" s="785" t="str">
        <f t="shared" si="179"/>
        <v/>
      </c>
      <c r="T188" s="548" t="str">
        <f t="shared" si="177"/>
        <v>Sheet Metal Takeoff</v>
      </c>
      <c r="U188" s="83">
        <f t="shared" si="180"/>
        <v>0</v>
      </c>
      <c r="V188" s="83">
        <f t="shared" si="181"/>
        <v>0</v>
      </c>
      <c r="W188" s="83">
        <f t="shared" si="182"/>
        <v>0</v>
      </c>
      <c r="X188" s="781">
        <f t="shared" si="183"/>
        <v>0</v>
      </c>
      <c r="Y188" s="781">
        <f t="shared" si="184"/>
        <v>0</v>
      </c>
      <c r="Z188" s="781">
        <f t="shared" si="185"/>
        <v>0</v>
      </c>
      <c r="AA188" s="83">
        <f t="shared" si="178"/>
        <v>0</v>
      </c>
      <c r="AB188" s="83">
        <f t="shared" si="186"/>
        <v>0</v>
      </c>
      <c r="AC188" s="83">
        <f t="shared" si="187"/>
        <v>0</v>
      </c>
      <c r="AD188" s="83">
        <f t="shared" si="188"/>
        <v>0</v>
      </c>
      <c r="AE188" s="83">
        <f t="shared" si="189"/>
        <v>0</v>
      </c>
      <c r="AF188" s="83">
        <f t="shared" si="190"/>
        <v>0</v>
      </c>
      <c r="AG188" s="83">
        <f t="shared" si="191"/>
        <v>0</v>
      </c>
      <c r="AH188" s="83">
        <f t="shared" si="192"/>
        <v>0</v>
      </c>
      <c r="AI188" s="83">
        <f t="shared" si="193"/>
        <v>0</v>
      </c>
      <c r="AJ188" s="718">
        <f t="shared" si="194"/>
        <v>0</v>
      </c>
      <c r="AL188">
        <f t="shared" si="195"/>
        <v>0</v>
      </c>
      <c r="AM188">
        <f t="shared" si="196"/>
        <v>0</v>
      </c>
    </row>
    <row r="189" spans="1:39" ht="15.75" x14ac:dyDescent="0.25">
      <c r="A189" s="561"/>
      <c r="B189" s="561"/>
      <c r="C189" s="561"/>
      <c r="D189" s="672"/>
      <c r="E189" s="209"/>
      <c r="F189" s="209"/>
      <c r="G189" s="209"/>
      <c r="H189" s="176">
        <f t="shared" si="174"/>
        <v>0</v>
      </c>
      <c r="I189" s="209"/>
      <c r="J189" s="209"/>
      <c r="K189" s="176">
        <f t="shared" si="175"/>
        <v>0</v>
      </c>
      <c r="L189" s="209"/>
      <c r="M189" s="177">
        <f t="shared" si="176"/>
        <v>0</v>
      </c>
      <c r="N189" s="1012"/>
      <c r="O189" s="1012"/>
      <c r="P189" s="485"/>
      <c r="Q189" s="778"/>
      <c r="R189" s="778"/>
      <c r="S189" s="785" t="str">
        <f t="shared" si="179"/>
        <v/>
      </c>
      <c r="T189" s="548" t="str">
        <f t="shared" si="177"/>
        <v>Sheet Metal Takeoff</v>
      </c>
      <c r="U189" s="83">
        <f t="shared" si="180"/>
        <v>0</v>
      </c>
      <c r="V189" s="83">
        <f t="shared" si="181"/>
        <v>0</v>
      </c>
      <c r="W189" s="83">
        <f t="shared" si="182"/>
        <v>0</v>
      </c>
      <c r="X189" s="781">
        <f t="shared" si="183"/>
        <v>0</v>
      </c>
      <c r="Y189" s="781">
        <f t="shared" si="184"/>
        <v>0</v>
      </c>
      <c r="Z189" s="781">
        <f t="shared" si="185"/>
        <v>0</v>
      </c>
      <c r="AA189" s="83">
        <f t="shared" si="178"/>
        <v>0</v>
      </c>
      <c r="AB189" s="83">
        <f t="shared" si="186"/>
        <v>0</v>
      </c>
      <c r="AC189" s="83">
        <f t="shared" si="187"/>
        <v>0</v>
      </c>
      <c r="AD189" s="83">
        <f t="shared" si="188"/>
        <v>0</v>
      </c>
      <c r="AE189" s="83">
        <f t="shared" si="189"/>
        <v>0</v>
      </c>
      <c r="AF189" s="83">
        <f t="shared" si="190"/>
        <v>0</v>
      </c>
      <c r="AG189" s="83">
        <f t="shared" si="191"/>
        <v>0</v>
      </c>
      <c r="AH189" s="83">
        <f t="shared" si="192"/>
        <v>0</v>
      </c>
      <c r="AI189" s="83">
        <f t="shared" si="193"/>
        <v>0</v>
      </c>
      <c r="AJ189" s="718">
        <f t="shared" si="194"/>
        <v>0</v>
      </c>
      <c r="AL189">
        <f t="shared" si="195"/>
        <v>0</v>
      </c>
      <c r="AM189">
        <f t="shared" si="196"/>
        <v>0</v>
      </c>
    </row>
    <row r="190" spans="1:39" ht="15.75" x14ac:dyDescent="0.25">
      <c r="A190" s="561"/>
      <c r="B190" s="561"/>
      <c r="C190" s="561"/>
      <c r="D190" s="672"/>
      <c r="E190" s="209"/>
      <c r="F190" s="209"/>
      <c r="G190" s="209"/>
      <c r="H190" s="176">
        <f t="shared" si="174"/>
        <v>0</v>
      </c>
      <c r="I190" s="209"/>
      <c r="J190" s="209"/>
      <c r="K190" s="176">
        <f t="shared" si="175"/>
        <v>0</v>
      </c>
      <c r="L190" s="209"/>
      <c r="M190" s="177">
        <f t="shared" si="176"/>
        <v>0</v>
      </c>
      <c r="N190" s="1012"/>
      <c r="O190" s="1012"/>
      <c r="P190" s="485"/>
      <c r="Q190" s="778"/>
      <c r="R190" s="778"/>
      <c r="S190" s="785" t="str">
        <f t="shared" si="179"/>
        <v/>
      </c>
      <c r="T190" s="548" t="str">
        <f t="shared" si="177"/>
        <v>Sheet Metal Takeoff</v>
      </c>
      <c r="U190" s="83">
        <f t="shared" si="180"/>
        <v>0</v>
      </c>
      <c r="V190" s="83">
        <f t="shared" si="181"/>
        <v>0</v>
      </c>
      <c r="W190" s="83">
        <f t="shared" si="182"/>
        <v>0</v>
      </c>
      <c r="X190" s="781">
        <f t="shared" si="183"/>
        <v>0</v>
      </c>
      <c r="Y190" s="781">
        <f t="shared" si="184"/>
        <v>0</v>
      </c>
      <c r="Z190" s="781">
        <f t="shared" si="185"/>
        <v>0</v>
      </c>
      <c r="AA190" s="83">
        <f t="shared" si="178"/>
        <v>0</v>
      </c>
      <c r="AB190" s="83">
        <f t="shared" si="186"/>
        <v>0</v>
      </c>
      <c r="AC190" s="83">
        <f t="shared" si="187"/>
        <v>0</v>
      </c>
      <c r="AD190" s="83">
        <f t="shared" si="188"/>
        <v>0</v>
      </c>
      <c r="AE190" s="83">
        <f t="shared" si="189"/>
        <v>0</v>
      </c>
      <c r="AF190" s="83">
        <f t="shared" si="190"/>
        <v>0</v>
      </c>
      <c r="AG190" s="83">
        <f t="shared" si="191"/>
        <v>0</v>
      </c>
      <c r="AH190" s="83">
        <f t="shared" si="192"/>
        <v>0</v>
      </c>
      <c r="AI190" s="83">
        <f t="shared" si="193"/>
        <v>0</v>
      </c>
      <c r="AJ190" s="718">
        <f t="shared" si="194"/>
        <v>0</v>
      </c>
      <c r="AL190">
        <f t="shared" si="195"/>
        <v>0</v>
      </c>
      <c r="AM190">
        <f t="shared" si="196"/>
        <v>0</v>
      </c>
    </row>
    <row r="191" spans="1:39" ht="15.75" x14ac:dyDescent="0.25">
      <c r="A191" s="561"/>
      <c r="B191" s="561"/>
      <c r="C191" s="561"/>
      <c r="D191" s="672"/>
      <c r="E191" s="209"/>
      <c r="F191" s="209"/>
      <c r="G191" s="209"/>
      <c r="H191" s="176">
        <f t="shared" si="174"/>
        <v>0</v>
      </c>
      <c r="I191" s="209"/>
      <c r="J191" s="209"/>
      <c r="K191" s="176">
        <f t="shared" si="175"/>
        <v>0</v>
      </c>
      <c r="L191" s="209"/>
      <c r="M191" s="177">
        <f t="shared" si="176"/>
        <v>0</v>
      </c>
      <c r="N191" s="1012"/>
      <c r="O191" s="1012"/>
      <c r="P191" s="485"/>
      <c r="Q191" s="778"/>
      <c r="R191" s="778"/>
      <c r="S191" s="785" t="str">
        <f t="shared" si="179"/>
        <v/>
      </c>
      <c r="T191" s="548" t="str">
        <f t="shared" si="177"/>
        <v>Sheet Metal Takeoff</v>
      </c>
      <c r="U191" s="83">
        <f t="shared" si="180"/>
        <v>0</v>
      </c>
      <c r="V191" s="83">
        <f t="shared" si="181"/>
        <v>0</v>
      </c>
      <c r="W191" s="83">
        <f t="shared" si="182"/>
        <v>0</v>
      </c>
      <c r="X191" s="781">
        <f t="shared" si="183"/>
        <v>0</v>
      </c>
      <c r="Y191" s="781">
        <f t="shared" si="184"/>
        <v>0</v>
      </c>
      <c r="Z191" s="781">
        <f t="shared" si="185"/>
        <v>0</v>
      </c>
      <c r="AA191" s="83">
        <f t="shared" si="178"/>
        <v>0</v>
      </c>
      <c r="AB191" s="83">
        <f t="shared" si="186"/>
        <v>0</v>
      </c>
      <c r="AC191" s="83">
        <f t="shared" si="187"/>
        <v>0</v>
      </c>
      <c r="AD191" s="83">
        <f t="shared" si="188"/>
        <v>0</v>
      </c>
      <c r="AE191" s="83">
        <f t="shared" si="189"/>
        <v>0</v>
      </c>
      <c r="AF191" s="83">
        <f t="shared" si="190"/>
        <v>0</v>
      </c>
      <c r="AG191" s="83">
        <f t="shared" si="191"/>
        <v>0</v>
      </c>
      <c r="AH191" s="83">
        <f t="shared" si="192"/>
        <v>0</v>
      </c>
      <c r="AI191" s="83">
        <f t="shared" si="193"/>
        <v>0</v>
      </c>
      <c r="AJ191" s="718">
        <f t="shared" si="194"/>
        <v>0</v>
      </c>
      <c r="AL191">
        <f t="shared" si="195"/>
        <v>0</v>
      </c>
      <c r="AM191">
        <f t="shared" si="196"/>
        <v>0</v>
      </c>
    </row>
    <row r="192" spans="1:39" ht="15.75" x14ac:dyDescent="0.25">
      <c r="A192" s="561"/>
      <c r="B192" s="561"/>
      <c r="C192" s="561"/>
      <c r="D192" s="672" t="s">
        <v>1884</v>
      </c>
      <c r="E192" s="209">
        <v>1</v>
      </c>
      <c r="F192" s="209"/>
      <c r="G192" s="209"/>
      <c r="H192" s="176">
        <f t="shared" si="174"/>
        <v>0</v>
      </c>
      <c r="I192" s="209"/>
      <c r="J192" s="209"/>
      <c r="K192" s="176">
        <f t="shared" si="175"/>
        <v>0</v>
      </c>
      <c r="L192" s="209"/>
      <c r="M192" s="177">
        <f t="shared" si="176"/>
        <v>0</v>
      </c>
      <c r="N192" s="1012"/>
      <c r="O192" s="1012"/>
      <c r="P192" s="485"/>
      <c r="Q192" s="778"/>
      <c r="R192" s="778"/>
      <c r="S192" s="785" t="str">
        <f t="shared" si="179"/>
        <v/>
      </c>
      <c r="T192" s="548" t="str">
        <f t="shared" si="177"/>
        <v>Sheet Metal Takeoff</v>
      </c>
      <c r="U192" s="83">
        <f t="shared" si="180"/>
        <v>0</v>
      </c>
      <c r="V192" s="83">
        <f t="shared" si="181"/>
        <v>0</v>
      </c>
      <c r="W192" s="83">
        <f t="shared" si="182"/>
        <v>0</v>
      </c>
      <c r="X192" s="781">
        <f t="shared" si="183"/>
        <v>0</v>
      </c>
      <c r="Y192" s="781">
        <f t="shared" si="184"/>
        <v>0</v>
      </c>
      <c r="Z192" s="781">
        <f t="shared" si="185"/>
        <v>0</v>
      </c>
      <c r="AA192" s="83">
        <f t="shared" si="178"/>
        <v>0</v>
      </c>
      <c r="AB192" s="83">
        <f t="shared" si="186"/>
        <v>0</v>
      </c>
      <c r="AC192" s="83">
        <f t="shared" si="187"/>
        <v>0</v>
      </c>
      <c r="AD192" s="83">
        <f t="shared" si="188"/>
        <v>0</v>
      </c>
      <c r="AE192" s="83">
        <f t="shared" si="189"/>
        <v>0</v>
      </c>
      <c r="AF192" s="83">
        <f t="shared" si="190"/>
        <v>0</v>
      </c>
      <c r="AG192" s="83">
        <f t="shared" si="191"/>
        <v>0</v>
      </c>
      <c r="AH192" s="83">
        <f t="shared" si="192"/>
        <v>0</v>
      </c>
      <c r="AI192" s="83">
        <f t="shared" si="193"/>
        <v>0</v>
      </c>
      <c r="AJ192" s="718">
        <f t="shared" si="194"/>
        <v>0</v>
      </c>
      <c r="AL192">
        <f t="shared" si="195"/>
        <v>0</v>
      </c>
      <c r="AM192">
        <f t="shared" si="196"/>
        <v>0</v>
      </c>
    </row>
    <row r="193" spans="1:39" ht="15.75" x14ac:dyDescent="0.25">
      <c r="A193" s="561"/>
      <c r="B193" s="561"/>
      <c r="C193" s="561"/>
      <c r="D193" s="672" t="s">
        <v>1887</v>
      </c>
      <c r="E193" s="209"/>
      <c r="F193" s="209"/>
      <c r="G193" s="209"/>
      <c r="H193" s="176">
        <f t="shared" si="174"/>
        <v>0</v>
      </c>
      <c r="I193" s="209"/>
      <c r="J193" s="209"/>
      <c r="K193" s="176">
        <f t="shared" si="175"/>
        <v>0</v>
      </c>
      <c r="L193" s="209"/>
      <c r="M193" s="177">
        <f t="shared" si="176"/>
        <v>0</v>
      </c>
      <c r="N193" s="1012"/>
      <c r="O193" s="1012"/>
      <c r="P193" s="485"/>
      <c r="Q193" s="778"/>
      <c r="R193" s="778"/>
      <c r="S193" s="785" t="str">
        <f t="shared" si="179"/>
        <v/>
      </c>
      <c r="T193" s="548" t="str">
        <f t="shared" si="177"/>
        <v>Sheet Metal Takeoff</v>
      </c>
      <c r="U193" s="83">
        <f t="shared" si="180"/>
        <v>0</v>
      </c>
      <c r="V193" s="83">
        <f t="shared" si="181"/>
        <v>0</v>
      </c>
      <c r="W193" s="83">
        <f t="shared" si="182"/>
        <v>0</v>
      </c>
      <c r="X193" s="781">
        <f t="shared" si="183"/>
        <v>0</v>
      </c>
      <c r="Y193" s="781">
        <f t="shared" si="184"/>
        <v>0</v>
      </c>
      <c r="Z193" s="781">
        <f t="shared" si="185"/>
        <v>0</v>
      </c>
      <c r="AA193" s="83">
        <f t="shared" si="178"/>
        <v>0</v>
      </c>
      <c r="AB193" s="83">
        <f t="shared" si="186"/>
        <v>0</v>
      </c>
      <c r="AC193" s="83">
        <f t="shared" si="187"/>
        <v>0</v>
      </c>
      <c r="AD193" s="83">
        <f t="shared" si="188"/>
        <v>0</v>
      </c>
      <c r="AE193" s="83">
        <f t="shared" si="189"/>
        <v>0</v>
      </c>
      <c r="AF193" s="83">
        <f t="shared" si="190"/>
        <v>0</v>
      </c>
      <c r="AG193" s="83">
        <f t="shared" si="191"/>
        <v>0</v>
      </c>
      <c r="AH193" s="83">
        <f t="shared" si="192"/>
        <v>0</v>
      </c>
      <c r="AI193" s="83">
        <f t="shared" si="193"/>
        <v>0</v>
      </c>
      <c r="AJ193" s="718">
        <f t="shared" si="194"/>
        <v>0</v>
      </c>
      <c r="AL193">
        <f t="shared" si="195"/>
        <v>0</v>
      </c>
      <c r="AM193">
        <f t="shared" si="196"/>
        <v>0</v>
      </c>
    </row>
    <row r="194" spans="1:39" ht="15.75" x14ac:dyDescent="0.25">
      <c r="A194" s="561"/>
      <c r="B194" s="561"/>
      <c r="C194" s="561"/>
      <c r="D194" s="672"/>
      <c r="E194" s="209"/>
      <c r="F194" s="209"/>
      <c r="G194" s="209"/>
      <c r="H194" s="176">
        <f t="shared" si="174"/>
        <v>0</v>
      </c>
      <c r="I194" s="209"/>
      <c r="J194" s="209"/>
      <c r="K194" s="176">
        <f t="shared" si="175"/>
        <v>0</v>
      </c>
      <c r="L194" s="209"/>
      <c r="M194" s="177">
        <f t="shared" si="176"/>
        <v>0</v>
      </c>
      <c r="N194" s="1012"/>
      <c r="O194" s="1012"/>
      <c r="P194" s="485"/>
      <c r="Q194" s="778"/>
      <c r="R194" s="778"/>
      <c r="S194" s="785" t="str">
        <f t="shared" si="179"/>
        <v/>
      </c>
      <c r="T194" s="548" t="str">
        <f t="shared" si="177"/>
        <v>Sheet Metal Takeoff</v>
      </c>
      <c r="U194" s="83">
        <f t="shared" si="180"/>
        <v>0</v>
      </c>
      <c r="V194" s="83">
        <f t="shared" si="181"/>
        <v>0</v>
      </c>
      <c r="W194" s="83">
        <f t="shared" si="182"/>
        <v>0</v>
      </c>
      <c r="X194" s="781">
        <f t="shared" si="183"/>
        <v>0</v>
      </c>
      <c r="Y194" s="781">
        <f t="shared" si="184"/>
        <v>0</v>
      </c>
      <c r="Z194" s="781">
        <f t="shared" si="185"/>
        <v>0</v>
      </c>
      <c r="AA194" s="83">
        <f t="shared" si="178"/>
        <v>0</v>
      </c>
      <c r="AB194" s="83">
        <f t="shared" si="186"/>
        <v>0</v>
      </c>
      <c r="AC194" s="83">
        <f t="shared" si="187"/>
        <v>0</v>
      </c>
      <c r="AD194" s="83">
        <f t="shared" si="188"/>
        <v>0</v>
      </c>
      <c r="AE194" s="83">
        <f t="shared" si="189"/>
        <v>0</v>
      </c>
      <c r="AF194" s="83">
        <f t="shared" si="190"/>
        <v>0</v>
      </c>
      <c r="AG194" s="83">
        <f t="shared" si="191"/>
        <v>0</v>
      </c>
      <c r="AH194" s="83">
        <f t="shared" si="192"/>
        <v>0</v>
      </c>
      <c r="AI194" s="83">
        <f t="shared" si="193"/>
        <v>0</v>
      </c>
      <c r="AJ194" s="718">
        <f t="shared" si="194"/>
        <v>0</v>
      </c>
      <c r="AL194">
        <f t="shared" si="195"/>
        <v>0</v>
      </c>
      <c r="AM194">
        <f t="shared" si="196"/>
        <v>0</v>
      </c>
    </row>
    <row r="195" spans="1:39" ht="15.75" x14ac:dyDescent="0.25">
      <c r="A195" s="561"/>
      <c r="B195" s="561"/>
      <c r="C195" s="561"/>
      <c r="D195" s="672"/>
      <c r="E195" s="209"/>
      <c r="F195" s="209"/>
      <c r="G195" s="209"/>
      <c r="H195" s="176">
        <f t="shared" si="174"/>
        <v>0</v>
      </c>
      <c r="I195" s="209"/>
      <c r="J195" s="209"/>
      <c r="K195" s="176">
        <f t="shared" si="175"/>
        <v>0</v>
      </c>
      <c r="L195" s="209"/>
      <c r="M195" s="177">
        <f t="shared" si="176"/>
        <v>0</v>
      </c>
      <c r="N195" s="1012"/>
      <c r="O195" s="1012"/>
      <c r="P195" s="485"/>
      <c r="Q195" s="778"/>
      <c r="R195" s="778"/>
      <c r="S195" s="785" t="str">
        <f t="shared" si="179"/>
        <v/>
      </c>
      <c r="T195" s="548" t="str">
        <f t="shared" si="177"/>
        <v>Sheet Metal Takeoff</v>
      </c>
      <c r="U195" s="83">
        <f t="shared" si="180"/>
        <v>0</v>
      </c>
      <c r="V195" s="83">
        <f t="shared" si="181"/>
        <v>0</v>
      </c>
      <c r="W195" s="83">
        <f t="shared" si="182"/>
        <v>0</v>
      </c>
      <c r="X195" s="781">
        <f t="shared" si="183"/>
        <v>0</v>
      </c>
      <c r="Y195" s="781">
        <f t="shared" si="184"/>
        <v>0</v>
      </c>
      <c r="Z195" s="781">
        <f t="shared" si="185"/>
        <v>0</v>
      </c>
      <c r="AA195" s="83">
        <f t="shared" si="178"/>
        <v>0</v>
      </c>
      <c r="AB195" s="83">
        <f t="shared" si="186"/>
        <v>0</v>
      </c>
      <c r="AC195" s="83">
        <f t="shared" si="187"/>
        <v>0</v>
      </c>
      <c r="AD195" s="83">
        <f t="shared" si="188"/>
        <v>0</v>
      </c>
      <c r="AE195" s="83">
        <f t="shared" si="189"/>
        <v>0</v>
      </c>
      <c r="AF195" s="83">
        <f t="shared" si="190"/>
        <v>0</v>
      </c>
      <c r="AG195" s="83">
        <f t="shared" si="191"/>
        <v>0</v>
      </c>
      <c r="AH195" s="83">
        <f t="shared" si="192"/>
        <v>0</v>
      </c>
      <c r="AI195" s="83">
        <f t="shared" si="193"/>
        <v>0</v>
      </c>
      <c r="AJ195" s="718">
        <f t="shared" si="194"/>
        <v>0</v>
      </c>
      <c r="AL195">
        <f t="shared" si="195"/>
        <v>0</v>
      </c>
      <c r="AM195">
        <f t="shared" si="196"/>
        <v>0</v>
      </c>
    </row>
    <row r="196" spans="1:39" ht="15.75" x14ac:dyDescent="0.25">
      <c r="A196" s="561"/>
      <c r="B196" s="561"/>
      <c r="C196" s="561"/>
      <c r="D196" s="672"/>
      <c r="E196" s="209"/>
      <c r="F196" s="209"/>
      <c r="G196" s="209"/>
      <c r="H196" s="176">
        <f t="shared" si="174"/>
        <v>0</v>
      </c>
      <c r="I196" s="209"/>
      <c r="J196" s="209"/>
      <c r="K196" s="176">
        <f t="shared" si="175"/>
        <v>0</v>
      </c>
      <c r="L196" s="209"/>
      <c r="M196" s="177">
        <f t="shared" si="176"/>
        <v>0</v>
      </c>
      <c r="N196" s="1012"/>
      <c r="O196" s="1012"/>
      <c r="P196" s="485"/>
      <c r="Q196" s="778"/>
      <c r="R196" s="778"/>
      <c r="S196" s="785" t="str">
        <f t="shared" si="179"/>
        <v/>
      </c>
      <c r="T196" s="548" t="str">
        <f t="shared" si="177"/>
        <v>Sheet Metal Takeoff</v>
      </c>
      <c r="U196" s="83">
        <f t="shared" si="180"/>
        <v>0</v>
      </c>
      <c r="V196" s="83">
        <f t="shared" si="181"/>
        <v>0</v>
      </c>
      <c r="W196" s="83">
        <f t="shared" si="182"/>
        <v>0</v>
      </c>
      <c r="X196" s="781">
        <f t="shared" si="183"/>
        <v>0</v>
      </c>
      <c r="Y196" s="781">
        <f t="shared" si="184"/>
        <v>0</v>
      </c>
      <c r="Z196" s="781">
        <f t="shared" si="185"/>
        <v>0</v>
      </c>
      <c r="AA196" s="83">
        <f t="shared" si="178"/>
        <v>0</v>
      </c>
      <c r="AB196" s="83">
        <f t="shared" si="186"/>
        <v>0</v>
      </c>
      <c r="AC196" s="83">
        <f t="shared" si="187"/>
        <v>0</v>
      </c>
      <c r="AD196" s="83">
        <f t="shared" si="188"/>
        <v>0</v>
      </c>
      <c r="AE196" s="83">
        <f t="shared" si="189"/>
        <v>0</v>
      </c>
      <c r="AF196" s="83">
        <f t="shared" si="190"/>
        <v>0</v>
      </c>
      <c r="AG196" s="83">
        <f t="shared" si="191"/>
        <v>0</v>
      </c>
      <c r="AH196" s="83">
        <f t="shared" si="192"/>
        <v>0</v>
      </c>
      <c r="AI196" s="83">
        <f t="shared" si="193"/>
        <v>0</v>
      </c>
      <c r="AJ196" s="718">
        <f t="shared" si="194"/>
        <v>0</v>
      </c>
      <c r="AL196">
        <f t="shared" si="195"/>
        <v>0</v>
      </c>
      <c r="AM196">
        <f t="shared" si="196"/>
        <v>0</v>
      </c>
    </row>
    <row r="197" spans="1:39" ht="15.75" x14ac:dyDescent="0.25">
      <c r="A197" s="561"/>
      <c r="B197" s="561"/>
      <c r="C197" s="561"/>
      <c r="D197" s="672"/>
      <c r="E197" s="209"/>
      <c r="F197" s="209"/>
      <c r="G197" s="209"/>
      <c r="H197" s="176">
        <f t="shared" si="174"/>
        <v>0</v>
      </c>
      <c r="I197" s="209"/>
      <c r="J197" s="209"/>
      <c r="K197" s="176">
        <f t="shared" si="175"/>
        <v>0</v>
      </c>
      <c r="L197" s="209"/>
      <c r="M197" s="177">
        <f t="shared" si="176"/>
        <v>0</v>
      </c>
      <c r="N197" s="1012"/>
      <c r="O197" s="1012"/>
      <c r="P197" s="485"/>
      <c r="Q197" s="778"/>
      <c r="R197" s="778"/>
      <c r="S197" s="785" t="str">
        <f t="shared" si="179"/>
        <v/>
      </c>
      <c r="T197" s="548" t="str">
        <f t="shared" si="177"/>
        <v>Sheet Metal Takeoff</v>
      </c>
      <c r="U197" s="83">
        <f t="shared" si="180"/>
        <v>0</v>
      </c>
      <c r="V197" s="83">
        <f t="shared" si="181"/>
        <v>0</v>
      </c>
      <c r="W197" s="83">
        <f t="shared" si="182"/>
        <v>0</v>
      </c>
      <c r="X197" s="781">
        <f t="shared" si="183"/>
        <v>0</v>
      </c>
      <c r="Y197" s="781">
        <f t="shared" si="184"/>
        <v>0</v>
      </c>
      <c r="Z197" s="781">
        <f t="shared" si="185"/>
        <v>0</v>
      </c>
      <c r="AA197" s="83">
        <f t="shared" si="178"/>
        <v>0</v>
      </c>
      <c r="AB197" s="83">
        <f t="shared" si="186"/>
        <v>0</v>
      </c>
      <c r="AC197" s="83">
        <f t="shared" si="187"/>
        <v>0</v>
      </c>
      <c r="AD197" s="83">
        <f t="shared" si="188"/>
        <v>0</v>
      </c>
      <c r="AE197" s="83">
        <f t="shared" si="189"/>
        <v>0</v>
      </c>
      <c r="AF197" s="83">
        <f t="shared" si="190"/>
        <v>0</v>
      </c>
      <c r="AG197" s="83">
        <f t="shared" si="191"/>
        <v>0</v>
      </c>
      <c r="AH197" s="83">
        <f t="shared" si="192"/>
        <v>0</v>
      </c>
      <c r="AI197" s="83">
        <f t="shared" si="193"/>
        <v>0</v>
      </c>
      <c r="AJ197" s="718">
        <f t="shared" si="194"/>
        <v>0</v>
      </c>
      <c r="AL197">
        <f t="shared" si="195"/>
        <v>0</v>
      </c>
      <c r="AM197">
        <f t="shared" si="196"/>
        <v>0</v>
      </c>
    </row>
    <row r="198" spans="1:39" ht="15.75" x14ac:dyDescent="0.25">
      <c r="A198" s="561"/>
      <c r="B198" s="561"/>
      <c r="C198" s="561"/>
      <c r="D198" s="672"/>
      <c r="E198" s="209"/>
      <c r="F198" s="209"/>
      <c r="G198" s="209"/>
      <c r="H198" s="176">
        <f t="shared" si="174"/>
        <v>0</v>
      </c>
      <c r="I198" s="209"/>
      <c r="J198" s="209"/>
      <c r="K198" s="176">
        <f t="shared" si="175"/>
        <v>0</v>
      </c>
      <c r="L198" s="209"/>
      <c r="M198" s="177">
        <f t="shared" si="176"/>
        <v>0</v>
      </c>
      <c r="N198" s="1012"/>
      <c r="O198" s="1012"/>
      <c r="P198" s="485"/>
      <c r="Q198" s="778"/>
      <c r="R198" s="778"/>
      <c r="S198" s="785" t="str">
        <f t="shared" si="179"/>
        <v/>
      </c>
      <c r="T198" s="548" t="str">
        <f t="shared" si="177"/>
        <v>Sheet Metal Takeoff</v>
      </c>
      <c r="U198" s="83">
        <f t="shared" si="180"/>
        <v>0</v>
      </c>
      <c r="V198" s="83">
        <f t="shared" si="181"/>
        <v>0</v>
      </c>
      <c r="W198" s="83">
        <f t="shared" si="182"/>
        <v>0</v>
      </c>
      <c r="X198" s="781">
        <f t="shared" si="183"/>
        <v>0</v>
      </c>
      <c r="Y198" s="781">
        <f t="shared" si="184"/>
        <v>0</v>
      </c>
      <c r="Z198" s="781">
        <f t="shared" si="185"/>
        <v>0</v>
      </c>
      <c r="AA198" s="83">
        <f t="shared" si="178"/>
        <v>0</v>
      </c>
      <c r="AB198" s="83">
        <f t="shared" si="186"/>
        <v>0</v>
      </c>
      <c r="AC198" s="83">
        <f t="shared" si="187"/>
        <v>0</v>
      </c>
      <c r="AD198" s="83">
        <f t="shared" si="188"/>
        <v>0</v>
      </c>
      <c r="AE198" s="83">
        <f t="shared" si="189"/>
        <v>0</v>
      </c>
      <c r="AF198" s="83">
        <f t="shared" si="190"/>
        <v>0</v>
      </c>
      <c r="AG198" s="83">
        <f t="shared" si="191"/>
        <v>0</v>
      </c>
      <c r="AH198" s="83">
        <f t="shared" si="192"/>
        <v>0</v>
      </c>
      <c r="AI198" s="83">
        <f t="shared" si="193"/>
        <v>0</v>
      </c>
      <c r="AJ198" s="718">
        <f t="shared" si="194"/>
        <v>0</v>
      </c>
      <c r="AL198">
        <f t="shared" si="195"/>
        <v>0</v>
      </c>
      <c r="AM198">
        <f t="shared" si="196"/>
        <v>0</v>
      </c>
    </row>
    <row r="199" spans="1:39" ht="15.75" hidden="1" customHeight="1" x14ac:dyDescent="0.25">
      <c r="A199" s="561"/>
      <c r="B199" s="561"/>
      <c r="C199" s="561"/>
      <c r="D199" s="672"/>
      <c r="E199" s="209"/>
      <c r="F199" s="209"/>
      <c r="G199" s="209"/>
      <c r="H199" s="176">
        <f t="shared" si="174"/>
        <v>0</v>
      </c>
      <c r="I199" s="209"/>
      <c r="J199" s="209"/>
      <c r="K199" s="176">
        <f t="shared" si="175"/>
        <v>0</v>
      </c>
      <c r="L199" s="209"/>
      <c r="M199" s="177">
        <f t="shared" si="176"/>
        <v>0</v>
      </c>
      <c r="N199" s="1012"/>
      <c r="O199" s="1012"/>
      <c r="P199" s="485"/>
      <c r="Q199" s="778"/>
      <c r="R199" s="778"/>
      <c r="S199" s="785" t="str">
        <f t="shared" si="179"/>
        <v/>
      </c>
      <c r="T199" s="548" t="str">
        <f t="shared" si="177"/>
        <v>Sheet Metal Takeoff</v>
      </c>
      <c r="U199" s="83">
        <f>ROUND(IF($T199="Plumb Takeoff",$H199*U$3,IF($T199="Pipe Takeoff",$H199*U$4,$H199*U$2)),2)</f>
        <v>0</v>
      </c>
      <c r="V199" s="83">
        <f t="shared" si="181"/>
        <v>0</v>
      </c>
      <c r="W199" s="83">
        <f t="shared" si="182"/>
        <v>0</v>
      </c>
      <c r="X199" s="781">
        <f t="shared" si="183"/>
        <v>0</v>
      </c>
      <c r="Y199" s="781">
        <f t="shared" si="184"/>
        <v>0</v>
      </c>
      <c r="Z199" s="781">
        <f t="shared" si="185"/>
        <v>0</v>
      </c>
      <c r="AA199" s="83">
        <f t="shared" si="178"/>
        <v>0</v>
      </c>
      <c r="AB199" s="83">
        <f t="shared" si="186"/>
        <v>0</v>
      </c>
      <c r="AC199" s="83">
        <f t="shared" si="187"/>
        <v>0</v>
      </c>
      <c r="AD199" s="83">
        <f t="shared" si="188"/>
        <v>0</v>
      </c>
      <c r="AE199" s="83">
        <f t="shared" si="189"/>
        <v>0</v>
      </c>
      <c r="AF199" s="83">
        <f t="shared" si="190"/>
        <v>0</v>
      </c>
      <c r="AG199" s="83">
        <f t="shared" si="191"/>
        <v>0</v>
      </c>
      <c r="AH199" s="83">
        <f t="shared" si="192"/>
        <v>0</v>
      </c>
      <c r="AI199" s="83">
        <f t="shared" si="193"/>
        <v>0</v>
      </c>
      <c r="AJ199" s="718">
        <f t="shared" si="194"/>
        <v>0</v>
      </c>
      <c r="AL199">
        <f t="shared" si="195"/>
        <v>0</v>
      </c>
      <c r="AM199">
        <f t="shared" si="196"/>
        <v>0</v>
      </c>
    </row>
    <row r="200" spans="1:39" ht="15.75" x14ac:dyDescent="0.25">
      <c r="A200" s="551"/>
      <c r="B200" s="551"/>
      <c r="C200" s="551"/>
      <c r="D200" s="673"/>
      <c r="E200" s="552"/>
      <c r="F200" s="553"/>
      <c r="G200" s="553"/>
      <c r="H200" s="181">
        <f>SUM(H174:H199)</f>
        <v>200</v>
      </c>
      <c r="I200" s="182"/>
      <c r="J200" s="182"/>
      <c r="K200" s="181">
        <f>SUM(K174:K199)</f>
        <v>5</v>
      </c>
      <c r="L200" s="182"/>
      <c r="M200" s="177">
        <f>SUM(M174:M199)</f>
        <v>5500</v>
      </c>
      <c r="O200" s="486"/>
      <c r="AJ200" s="718"/>
    </row>
    <row r="201" spans="1:39" ht="15.75" thickBot="1" x14ac:dyDescent="0.3">
      <c r="AJ201" s="718"/>
    </row>
    <row r="202" spans="1:39" ht="16.5" thickBot="1" x14ac:dyDescent="0.3">
      <c r="E202" s="678" t="s">
        <v>1122</v>
      </c>
      <c r="F202" s="1017" t="s">
        <v>1905</v>
      </c>
      <c r="G202" s="1018"/>
      <c r="H202" s="344"/>
      <c r="I202" s="1019" t="s">
        <v>1628</v>
      </c>
      <c r="J202" s="1020"/>
      <c r="K202" s="679" t="b">
        <v>0</v>
      </c>
      <c r="AJ202" s="718"/>
    </row>
    <row r="203" spans="1:39" ht="38.25" thickBot="1" x14ac:dyDescent="0.35">
      <c r="A203" s="477" t="s">
        <v>1063</v>
      </c>
      <c r="B203" s="477" t="s">
        <v>348</v>
      </c>
      <c r="C203" s="477" t="s">
        <v>349</v>
      </c>
      <c r="D203" s="666" t="s">
        <v>0</v>
      </c>
      <c r="E203" s="477" t="s">
        <v>1</v>
      </c>
      <c r="F203" s="480" t="s">
        <v>2</v>
      </c>
      <c r="G203" s="480" t="s">
        <v>1123</v>
      </c>
      <c r="H203" s="480" t="s">
        <v>3</v>
      </c>
      <c r="I203" s="483" t="s">
        <v>4</v>
      </c>
      <c r="J203" s="480" t="s">
        <v>1124</v>
      </c>
      <c r="K203" s="680" t="s">
        <v>5</v>
      </c>
      <c r="L203" s="480" t="s">
        <v>6</v>
      </c>
      <c r="M203" s="484" t="s">
        <v>7</v>
      </c>
      <c r="N203" s="1013" t="s">
        <v>1079</v>
      </c>
      <c r="O203" s="1014"/>
      <c r="P203" s="1009" t="s">
        <v>1629</v>
      </c>
      <c r="Q203" s="1009" t="s">
        <v>1147</v>
      </c>
      <c r="R203" s="1009" t="s">
        <v>1792</v>
      </c>
      <c r="T203" s="2"/>
      <c r="AJ203" s="718"/>
    </row>
    <row r="204" spans="1:39" ht="16.5" thickBot="1" x14ac:dyDescent="0.3">
      <c r="A204" s="183"/>
      <c r="B204" s="183"/>
      <c r="C204" s="183"/>
      <c r="D204" s="671" t="s">
        <v>1907</v>
      </c>
      <c r="E204" s="183"/>
      <c r="F204" s="183"/>
      <c r="G204" s="183"/>
      <c r="H204" s="183"/>
      <c r="I204" s="183"/>
      <c r="J204" s="183"/>
      <c r="K204" s="183"/>
      <c r="L204" s="183"/>
      <c r="M204" s="183"/>
      <c r="N204" s="1015"/>
      <c r="O204" s="1016"/>
      <c r="P204" s="1010" t="s">
        <v>1362</v>
      </c>
      <c r="Q204" s="1010"/>
      <c r="R204" s="1010"/>
      <c r="T204" s="1"/>
      <c r="AJ204" s="718"/>
    </row>
    <row r="205" spans="1:39" ht="15.75" x14ac:dyDescent="0.25">
      <c r="A205" s="561"/>
      <c r="B205" s="561"/>
      <c r="C205" s="561"/>
      <c r="D205" s="672"/>
      <c r="E205" s="209"/>
      <c r="F205" s="209"/>
      <c r="G205" s="209"/>
      <c r="H205" s="176">
        <f t="shared" ref="H205:H230" si="197">IF(SM_ExludeGroup6=TRUE,0,IF(G205="",E205*F205*IF(AND(S205="LOP",R205="SWING"),1+CrewRate_PlumbFitter_SwingLOP,1)*IF(AND(S205="LOP",R205="GRAVE"),1+CrewRate_PlumbFitter_GraveLOP,1)*IF(AND(S205="LOP",R205="SPECIAL"),1+CrewRate_PlumbFitter_SwingLOP,1),E205*F205*G205*IF(AND(S205="LOP",R205="SWING"),1+CrewRate_PlumbFitter_SwingLOP,1)*IF(AND(S205="LOP",R205="GRAVE"),1+CrewRate_PlumbFitter_GraveLOP,1)*IF(AND(S205="LOP",R205="SPECIAL"),1+CrewRate_PlumbFitter_SwingLOP,1)))</f>
        <v>0</v>
      </c>
      <c r="I205" s="209"/>
      <c r="J205" s="209"/>
      <c r="K205" s="176">
        <f t="shared" ref="K205:K230" si="198">IF(SM_ExludeGroup6=TRUE,0,IF(J205="",E205*I205,E205*I205*J205))</f>
        <v>0</v>
      </c>
      <c r="L205" s="209"/>
      <c r="M205" s="177">
        <f t="shared" ref="M205:M230" si="199">IF(SM_ExludeGroup6=TRUE,0,E205*L205)</f>
        <v>0</v>
      </c>
      <c r="N205" s="1012"/>
      <c r="O205" s="1012"/>
      <c r="P205" s="485"/>
      <c r="Q205" s="778"/>
      <c r="R205" s="778"/>
      <c r="S205" s="785" t="str">
        <f>IF(T205="Sheet Metal Takeoff","",IF(R205="","","LOP"))</f>
        <v/>
      </c>
      <c r="T205" s="548" t="str">
        <f t="shared" ref="T205:T230" si="200">IF($F$202="","Sheet Metal Takeoff",$F$202)</f>
        <v>Pipe Takeoff</v>
      </c>
      <c r="U205" s="83">
        <f>ROUND(IF($T205="Plumb Takeoff",$H205*U$3,IF($T205="Pipe Takeoff",$H205*U$4,$H205*U$2)),2)</f>
        <v>0</v>
      </c>
      <c r="V205" s="83">
        <f>ROUND(IF($T205="Plumb Takeoff",IF($Q205="OT",$H205*V$3,0),IF($T205="Pipe Takeoff",IF($Q205="OT",$H205*V$4,0),IF($Q205="OT",$H205*V$2,0))),2)</f>
        <v>0</v>
      </c>
      <c r="W205" s="83">
        <f>ROUND(IF($T205="Plumb Takeoff",IF($Q205="DBLT",$H205*W$3,0),IF($T205="Pipe Takeoff",IF($Q205="DBLT",$H205*W$4,0),IF($Q205="DBLT",$H205*W$2,0))),2)</f>
        <v>0</v>
      </c>
      <c r="X205" s="781">
        <f>ROUND(SUM(IF($T205="Plumb Takeoff",IF($R205="SWING",ROUND(SUM($H205)*X$3,2))),IF($T205="Pipe Takeoff",IF($R205="SWING",ROUND(SUM($H205)*X$4,2))),IF($T205="Sheet Metal Takeoff",IF($R205="SWING",ROUND(SUM($H205)*X$2,2)))),2)</f>
        <v>0</v>
      </c>
      <c r="Y205" s="781">
        <f>ROUND(SUM(IF($T205="Plumb Takeoff",IF($R205="GRAVE",ROUND(SUM($H205)*Y$3,2))),IF($T205="Pipe Takeoff",IF($R205="GRAVE",ROUND(SUM($H205)*Y$4,2))),IF($T205="Sheet Metal Takeoff",IF($R205="GRAVE",ROUND(SUM($H205)*Y$2,2)))),2)</f>
        <v>0</v>
      </c>
      <c r="Z205" s="781">
        <f>ROUND(SUM(IF($T205="Plumb Takeoff",IF($R205="SPECIAL",ROUND(SUM($H205)*Z$3,2))),IF($T205="Pipe Takeoff",IF($R205="SPECIAL",ROUND(SUM($H205)*Z$4,2))),IF($T205="Sheet Metal Takeoff",IF($R205="SPECIAL",ROUND(SUM($H205)*Z$2,2)))),2)</f>
        <v>0</v>
      </c>
      <c r="AA205" s="83">
        <f t="shared" ref="AA205:AA230" si="201">ROUND($K205*AA$2,2)</f>
        <v>0</v>
      </c>
      <c r="AB205" s="83">
        <f>ROUND(IF($Q205="OT",$K205*AB$2,0),2)</f>
        <v>0</v>
      </c>
      <c r="AC205" s="83">
        <f>ROUND(IF($Q205="DBLT",$K205*AC$2,0),2)</f>
        <v>0</v>
      </c>
      <c r="AD205" s="83">
        <f>ROUND(IF($R205="SWING",$K205*AD$2,0),2)</f>
        <v>0</v>
      </c>
      <c r="AE205" s="83">
        <f>ROUND(IF($R205="GRAVE",$K205*AE$2,0),2)</f>
        <v>0</v>
      </c>
      <c r="AF205" s="83">
        <f>ROUND(IF($R205="SPECIAL",$K205*AF$2,0),2)</f>
        <v>0</v>
      </c>
      <c r="AG205" s="83">
        <f>SUM(U205:Z205)</f>
        <v>0</v>
      </c>
      <c r="AH205" s="83">
        <f>SUM(AA205:AF205)</f>
        <v>0</v>
      </c>
      <c r="AI205" s="83">
        <f>SUM(U205:AF205)</f>
        <v>0</v>
      </c>
      <c r="AJ205" s="718">
        <f>SUM(M205,AI205)</f>
        <v>0</v>
      </c>
      <c r="AL205">
        <f>SUM(V205:Z205)</f>
        <v>0</v>
      </c>
      <c r="AM205">
        <f>SUM(AB205:AF205)</f>
        <v>0</v>
      </c>
    </row>
    <row r="206" spans="1:39" ht="15.75" x14ac:dyDescent="0.25">
      <c r="A206" s="561"/>
      <c r="B206" s="561"/>
      <c r="C206" s="561"/>
      <c r="D206" s="672"/>
      <c r="E206" s="209"/>
      <c r="F206" s="209"/>
      <c r="G206" s="209"/>
      <c r="H206" s="176">
        <f t="shared" si="197"/>
        <v>0</v>
      </c>
      <c r="I206" s="209"/>
      <c r="J206" s="209"/>
      <c r="K206" s="176">
        <f t="shared" si="198"/>
        <v>0</v>
      </c>
      <c r="L206" s="209"/>
      <c r="M206" s="177">
        <f t="shared" si="199"/>
        <v>0</v>
      </c>
      <c r="N206" s="1012"/>
      <c r="O206" s="1012"/>
      <c r="P206" s="485"/>
      <c r="Q206" s="778"/>
      <c r="R206" s="778"/>
      <c r="S206" s="785" t="str">
        <f t="shared" ref="S206:S230" si="202">IF(T206="Sheet Metal Takeoff","",IF(R206="","","LOP"))</f>
        <v/>
      </c>
      <c r="T206" s="548" t="str">
        <f t="shared" si="200"/>
        <v>Pipe Takeoff</v>
      </c>
      <c r="U206" s="83">
        <f t="shared" ref="U206:U229" si="203">ROUND(IF($T206="Plumb Takeoff",$H206*U$3,IF($T206="Pipe Takeoff",$H206*U$4,$H206*U$2)),2)</f>
        <v>0</v>
      </c>
      <c r="V206" s="83">
        <f t="shared" ref="V206:V230" si="204">ROUND(IF($T206="Plumb Takeoff",IF($Q206="OT",$H206*V$3,0),IF($T206="Pipe Takeoff",IF($Q206="OT",$H206*V$4,0),IF($Q206="OT",$H206*V$2,0))),2)</f>
        <v>0</v>
      </c>
      <c r="W206" s="83">
        <f t="shared" ref="W206:W230" si="205">ROUND(IF($T206="Plumb Takeoff",IF($Q206="DBLT",$H206*W$3,0),IF($T206="Pipe Takeoff",IF($Q206="DBLT",$H206*W$4,0),IF($Q206="DBLT",$H206*W$2,0))),2)</f>
        <v>0</v>
      </c>
      <c r="X206" s="781">
        <f t="shared" ref="X206:X230" si="206">ROUND(SUM(IF($T206="Plumb Takeoff",IF($R206="SWING",ROUND(SUM($H206)*X$3,2))),IF($T206="Pipe Takeoff",IF($R206="SWING",ROUND(SUM($H206)*X$4,2))),IF($T206="Sheet Metal Takeoff",IF($R206="SWING",ROUND(SUM($H206)*X$2,2)))),2)</f>
        <v>0</v>
      </c>
      <c r="Y206" s="781">
        <f t="shared" ref="Y206:Y230" si="207">ROUND(SUM(IF($T206="Plumb Takeoff",IF($R206="GRAVE",ROUND(SUM($H206)*Y$3,2))),IF($T206="Pipe Takeoff",IF($R206="GRAVE",ROUND(SUM($H206)*Y$4,2))),IF($T206="Sheet Metal Takeoff",IF($R206="GRAVE",ROUND(SUM($H206)*Y$2,2)))),2)</f>
        <v>0</v>
      </c>
      <c r="Z206" s="781">
        <f t="shared" ref="Z206:Z230" si="208">ROUND(SUM(IF($T206="Plumb Takeoff",IF($R206="SPECIAL",ROUND(SUM($H206)*Z$3,2))),IF($T206="Pipe Takeoff",IF($R206="SPECIAL",ROUND(SUM($H206)*Z$4,2))),IF($T206="Sheet Metal Takeoff",IF($R206="SPECIAL",ROUND(SUM($H206)*Z$2,2)))),2)</f>
        <v>0</v>
      </c>
      <c r="AA206" s="83">
        <f t="shared" si="201"/>
        <v>0</v>
      </c>
      <c r="AB206" s="83">
        <f t="shared" ref="AB206:AB230" si="209">ROUND(IF($Q206="OT",$K206*AB$2,0),2)</f>
        <v>0</v>
      </c>
      <c r="AC206" s="83">
        <f t="shared" ref="AC206:AC230" si="210">ROUND(IF($Q206="DBLT",$K206*AC$2,0),2)</f>
        <v>0</v>
      </c>
      <c r="AD206" s="83">
        <f t="shared" ref="AD206:AD230" si="211">ROUND(IF($R206="SWING",$K206*AD$2,0),2)</f>
        <v>0</v>
      </c>
      <c r="AE206" s="83">
        <f t="shared" ref="AE206:AE230" si="212">ROUND(IF($R206="GRAVE",$K206*AE$2,0),2)</f>
        <v>0</v>
      </c>
      <c r="AF206" s="83">
        <f t="shared" ref="AF206:AF230" si="213">ROUND(IF($R206="SPECIAL",$K206*AF$2,0),2)</f>
        <v>0</v>
      </c>
      <c r="AG206" s="83">
        <f t="shared" ref="AG206:AG230" si="214">SUM(U206:Z206)</f>
        <v>0</v>
      </c>
      <c r="AH206" s="83">
        <f t="shared" ref="AH206:AH230" si="215">SUM(AA206:AF206)</f>
        <v>0</v>
      </c>
      <c r="AI206" s="83">
        <f t="shared" ref="AI206:AI230" si="216">SUM(U206:AF206)</f>
        <v>0</v>
      </c>
      <c r="AJ206" s="718">
        <f t="shared" ref="AJ206:AJ230" si="217">SUM(M206,AI206)</f>
        <v>0</v>
      </c>
      <c r="AL206">
        <f t="shared" ref="AL206:AL230" si="218">SUM(V206:Z206)</f>
        <v>0</v>
      </c>
      <c r="AM206">
        <f t="shared" ref="AM206:AM230" si="219">SUM(AB206:AF206)</f>
        <v>0</v>
      </c>
    </row>
    <row r="207" spans="1:39" ht="15.75" x14ac:dyDescent="0.25">
      <c r="A207" s="561"/>
      <c r="B207" s="561"/>
      <c r="C207" s="561"/>
      <c r="D207" s="672"/>
      <c r="E207" s="209"/>
      <c r="F207" s="209"/>
      <c r="G207" s="209"/>
      <c r="H207" s="176">
        <f t="shared" si="197"/>
        <v>0</v>
      </c>
      <c r="I207" s="209"/>
      <c r="J207" s="209"/>
      <c r="K207" s="176">
        <f t="shared" si="198"/>
        <v>0</v>
      </c>
      <c r="L207" s="209"/>
      <c r="M207" s="177">
        <f t="shared" si="199"/>
        <v>0</v>
      </c>
      <c r="N207" s="1012"/>
      <c r="O207" s="1012"/>
      <c r="P207" s="485"/>
      <c r="Q207" s="778"/>
      <c r="R207" s="778"/>
      <c r="S207" s="785" t="str">
        <f t="shared" si="202"/>
        <v/>
      </c>
      <c r="T207" s="548" t="str">
        <f t="shared" si="200"/>
        <v>Pipe Takeoff</v>
      </c>
      <c r="U207" s="83">
        <f t="shared" si="203"/>
        <v>0</v>
      </c>
      <c r="V207" s="83">
        <f t="shared" si="204"/>
        <v>0</v>
      </c>
      <c r="W207" s="83">
        <f t="shared" si="205"/>
        <v>0</v>
      </c>
      <c r="X207" s="781">
        <f t="shared" si="206"/>
        <v>0</v>
      </c>
      <c r="Y207" s="781">
        <f t="shared" si="207"/>
        <v>0</v>
      </c>
      <c r="Z207" s="781">
        <f t="shared" si="208"/>
        <v>0</v>
      </c>
      <c r="AA207" s="83">
        <f t="shared" si="201"/>
        <v>0</v>
      </c>
      <c r="AB207" s="83">
        <f t="shared" si="209"/>
        <v>0</v>
      </c>
      <c r="AC207" s="83">
        <f t="shared" si="210"/>
        <v>0</v>
      </c>
      <c r="AD207" s="83">
        <f t="shared" si="211"/>
        <v>0</v>
      </c>
      <c r="AE207" s="83">
        <f t="shared" si="212"/>
        <v>0</v>
      </c>
      <c r="AF207" s="83">
        <f t="shared" si="213"/>
        <v>0</v>
      </c>
      <c r="AG207" s="83">
        <f t="shared" si="214"/>
        <v>0</v>
      </c>
      <c r="AH207" s="83">
        <f t="shared" si="215"/>
        <v>0</v>
      </c>
      <c r="AI207" s="83">
        <f t="shared" si="216"/>
        <v>0</v>
      </c>
      <c r="AJ207" s="718">
        <f t="shared" si="217"/>
        <v>0</v>
      </c>
      <c r="AL207">
        <f t="shared" si="218"/>
        <v>0</v>
      </c>
      <c r="AM207">
        <f t="shared" si="219"/>
        <v>0</v>
      </c>
    </row>
    <row r="208" spans="1:39" ht="15.75" x14ac:dyDescent="0.25">
      <c r="A208" s="561"/>
      <c r="B208" s="561"/>
      <c r="C208" s="561"/>
      <c r="D208" s="672"/>
      <c r="E208" s="209"/>
      <c r="F208" s="209"/>
      <c r="G208" s="209"/>
      <c r="H208" s="176">
        <f t="shared" si="197"/>
        <v>0</v>
      </c>
      <c r="I208" s="209"/>
      <c r="J208" s="209"/>
      <c r="K208" s="176">
        <f t="shared" si="198"/>
        <v>0</v>
      </c>
      <c r="L208" s="209"/>
      <c r="M208" s="177">
        <f t="shared" si="199"/>
        <v>0</v>
      </c>
      <c r="N208" s="1012"/>
      <c r="O208" s="1012"/>
      <c r="P208" s="485"/>
      <c r="Q208" s="778"/>
      <c r="R208" s="778"/>
      <c r="S208" s="785" t="str">
        <f t="shared" si="202"/>
        <v/>
      </c>
      <c r="T208" s="548" t="str">
        <f t="shared" si="200"/>
        <v>Pipe Takeoff</v>
      </c>
      <c r="U208" s="83">
        <f t="shared" si="203"/>
        <v>0</v>
      </c>
      <c r="V208" s="83">
        <f t="shared" si="204"/>
        <v>0</v>
      </c>
      <c r="W208" s="83">
        <f t="shared" si="205"/>
        <v>0</v>
      </c>
      <c r="X208" s="781">
        <f t="shared" si="206"/>
        <v>0</v>
      </c>
      <c r="Y208" s="781">
        <f t="shared" si="207"/>
        <v>0</v>
      </c>
      <c r="Z208" s="781">
        <f t="shared" si="208"/>
        <v>0</v>
      </c>
      <c r="AA208" s="83">
        <f t="shared" si="201"/>
        <v>0</v>
      </c>
      <c r="AB208" s="83">
        <f t="shared" si="209"/>
        <v>0</v>
      </c>
      <c r="AC208" s="83">
        <f t="shared" si="210"/>
        <v>0</v>
      </c>
      <c r="AD208" s="83">
        <f t="shared" si="211"/>
        <v>0</v>
      </c>
      <c r="AE208" s="83">
        <f t="shared" si="212"/>
        <v>0</v>
      </c>
      <c r="AF208" s="83">
        <f t="shared" si="213"/>
        <v>0</v>
      </c>
      <c r="AG208" s="83">
        <f t="shared" si="214"/>
        <v>0</v>
      </c>
      <c r="AH208" s="83">
        <f t="shared" si="215"/>
        <v>0</v>
      </c>
      <c r="AI208" s="83">
        <f t="shared" si="216"/>
        <v>0</v>
      </c>
      <c r="AJ208" s="718">
        <f t="shared" si="217"/>
        <v>0</v>
      </c>
      <c r="AL208">
        <f t="shared" si="218"/>
        <v>0</v>
      </c>
      <c r="AM208">
        <f t="shared" si="219"/>
        <v>0</v>
      </c>
    </row>
    <row r="209" spans="1:39" ht="15.75" x14ac:dyDescent="0.25">
      <c r="A209" s="561"/>
      <c r="B209" s="561"/>
      <c r="C209" s="561"/>
      <c r="D209" s="672"/>
      <c r="E209" s="209"/>
      <c r="F209" s="209"/>
      <c r="G209" s="209"/>
      <c r="H209" s="176">
        <f t="shared" si="197"/>
        <v>0</v>
      </c>
      <c r="I209" s="209"/>
      <c r="J209" s="209"/>
      <c r="K209" s="176">
        <f t="shared" si="198"/>
        <v>0</v>
      </c>
      <c r="L209" s="209"/>
      <c r="M209" s="177">
        <f t="shared" si="199"/>
        <v>0</v>
      </c>
      <c r="N209" s="1012"/>
      <c r="O209" s="1012"/>
      <c r="P209" s="485"/>
      <c r="Q209" s="778"/>
      <c r="R209" s="778"/>
      <c r="S209" s="785" t="str">
        <f t="shared" si="202"/>
        <v/>
      </c>
      <c r="T209" s="548" t="str">
        <f t="shared" si="200"/>
        <v>Pipe Takeoff</v>
      </c>
      <c r="U209" s="83">
        <f t="shared" si="203"/>
        <v>0</v>
      </c>
      <c r="V209" s="83">
        <f t="shared" si="204"/>
        <v>0</v>
      </c>
      <c r="W209" s="83">
        <f t="shared" si="205"/>
        <v>0</v>
      </c>
      <c r="X209" s="781">
        <f t="shared" si="206"/>
        <v>0</v>
      </c>
      <c r="Y209" s="781">
        <f t="shared" si="207"/>
        <v>0</v>
      </c>
      <c r="Z209" s="781">
        <f t="shared" si="208"/>
        <v>0</v>
      </c>
      <c r="AA209" s="83">
        <f t="shared" si="201"/>
        <v>0</v>
      </c>
      <c r="AB209" s="83">
        <f t="shared" si="209"/>
        <v>0</v>
      </c>
      <c r="AC209" s="83">
        <f t="shared" si="210"/>
        <v>0</v>
      </c>
      <c r="AD209" s="83">
        <f t="shared" si="211"/>
        <v>0</v>
      </c>
      <c r="AE209" s="83">
        <f t="shared" si="212"/>
        <v>0</v>
      </c>
      <c r="AF209" s="83">
        <f t="shared" si="213"/>
        <v>0</v>
      </c>
      <c r="AG209" s="83">
        <f t="shared" si="214"/>
        <v>0</v>
      </c>
      <c r="AH209" s="83">
        <f t="shared" si="215"/>
        <v>0</v>
      </c>
      <c r="AI209" s="83">
        <f t="shared" si="216"/>
        <v>0</v>
      </c>
      <c r="AJ209" s="718">
        <f t="shared" si="217"/>
        <v>0</v>
      </c>
      <c r="AL209">
        <f t="shared" si="218"/>
        <v>0</v>
      </c>
      <c r="AM209">
        <f t="shared" si="219"/>
        <v>0</v>
      </c>
    </row>
    <row r="210" spans="1:39" ht="15.75" x14ac:dyDescent="0.25">
      <c r="A210" s="561"/>
      <c r="B210" s="561"/>
      <c r="C210" s="561"/>
      <c r="D210" s="672"/>
      <c r="E210" s="209"/>
      <c r="F210" s="209"/>
      <c r="G210" s="209"/>
      <c r="H210" s="176">
        <f t="shared" si="197"/>
        <v>0</v>
      </c>
      <c r="I210" s="209"/>
      <c r="J210" s="209"/>
      <c r="K210" s="176">
        <f t="shared" si="198"/>
        <v>0</v>
      </c>
      <c r="L210" s="209"/>
      <c r="M210" s="177">
        <f t="shared" si="199"/>
        <v>0</v>
      </c>
      <c r="N210" s="1012"/>
      <c r="O210" s="1012"/>
      <c r="P210" s="485"/>
      <c r="Q210" s="778"/>
      <c r="R210" s="778"/>
      <c r="S210" s="785" t="str">
        <f t="shared" si="202"/>
        <v/>
      </c>
      <c r="T210" s="548" t="str">
        <f t="shared" si="200"/>
        <v>Pipe Takeoff</v>
      </c>
      <c r="U210" s="83">
        <f t="shared" si="203"/>
        <v>0</v>
      </c>
      <c r="V210" s="83">
        <f t="shared" si="204"/>
        <v>0</v>
      </c>
      <c r="W210" s="83">
        <f t="shared" si="205"/>
        <v>0</v>
      </c>
      <c r="X210" s="781">
        <f t="shared" si="206"/>
        <v>0</v>
      </c>
      <c r="Y210" s="781">
        <f t="shared" si="207"/>
        <v>0</v>
      </c>
      <c r="Z210" s="781">
        <f t="shared" si="208"/>
        <v>0</v>
      </c>
      <c r="AA210" s="83">
        <f t="shared" si="201"/>
        <v>0</v>
      </c>
      <c r="AB210" s="83">
        <f t="shared" si="209"/>
        <v>0</v>
      </c>
      <c r="AC210" s="83">
        <f t="shared" si="210"/>
        <v>0</v>
      </c>
      <c r="AD210" s="83">
        <f t="shared" si="211"/>
        <v>0</v>
      </c>
      <c r="AE210" s="83">
        <f t="shared" si="212"/>
        <v>0</v>
      </c>
      <c r="AF210" s="83">
        <f t="shared" si="213"/>
        <v>0</v>
      </c>
      <c r="AG210" s="83">
        <f t="shared" si="214"/>
        <v>0</v>
      </c>
      <c r="AH210" s="83">
        <f t="shared" si="215"/>
        <v>0</v>
      </c>
      <c r="AI210" s="83">
        <f t="shared" si="216"/>
        <v>0</v>
      </c>
      <c r="AJ210" s="718">
        <f t="shared" si="217"/>
        <v>0</v>
      </c>
      <c r="AL210">
        <f t="shared" si="218"/>
        <v>0</v>
      </c>
      <c r="AM210">
        <f t="shared" si="219"/>
        <v>0</v>
      </c>
    </row>
    <row r="211" spans="1:39" ht="15.75" x14ac:dyDescent="0.25">
      <c r="A211" s="561"/>
      <c r="B211" s="561"/>
      <c r="C211" s="561"/>
      <c r="D211" s="672"/>
      <c r="E211" s="209"/>
      <c r="F211" s="209"/>
      <c r="G211" s="209"/>
      <c r="H211" s="176">
        <f t="shared" si="197"/>
        <v>0</v>
      </c>
      <c r="I211" s="209"/>
      <c r="J211" s="209"/>
      <c r="K211" s="176">
        <f t="shared" si="198"/>
        <v>0</v>
      </c>
      <c r="L211" s="209"/>
      <c r="M211" s="177">
        <f t="shared" si="199"/>
        <v>0</v>
      </c>
      <c r="N211" s="1012"/>
      <c r="O211" s="1012"/>
      <c r="P211" s="485"/>
      <c r="Q211" s="778"/>
      <c r="R211" s="778"/>
      <c r="S211" s="785" t="str">
        <f t="shared" si="202"/>
        <v/>
      </c>
      <c r="T211" s="548" t="str">
        <f t="shared" si="200"/>
        <v>Pipe Takeoff</v>
      </c>
      <c r="U211" s="83">
        <f t="shared" si="203"/>
        <v>0</v>
      </c>
      <c r="V211" s="83">
        <f t="shared" si="204"/>
        <v>0</v>
      </c>
      <c r="W211" s="83">
        <f t="shared" si="205"/>
        <v>0</v>
      </c>
      <c r="X211" s="781">
        <f t="shared" si="206"/>
        <v>0</v>
      </c>
      <c r="Y211" s="781">
        <f t="shared" si="207"/>
        <v>0</v>
      </c>
      <c r="Z211" s="781">
        <f t="shared" si="208"/>
        <v>0</v>
      </c>
      <c r="AA211" s="83">
        <f t="shared" si="201"/>
        <v>0</v>
      </c>
      <c r="AB211" s="83">
        <f t="shared" si="209"/>
        <v>0</v>
      </c>
      <c r="AC211" s="83">
        <f t="shared" si="210"/>
        <v>0</v>
      </c>
      <c r="AD211" s="83">
        <f t="shared" si="211"/>
        <v>0</v>
      </c>
      <c r="AE211" s="83">
        <f t="shared" si="212"/>
        <v>0</v>
      </c>
      <c r="AF211" s="83">
        <f t="shared" si="213"/>
        <v>0</v>
      </c>
      <c r="AG211" s="83">
        <f t="shared" si="214"/>
        <v>0</v>
      </c>
      <c r="AH211" s="83">
        <f t="shared" si="215"/>
        <v>0</v>
      </c>
      <c r="AI211" s="83">
        <f t="shared" si="216"/>
        <v>0</v>
      </c>
      <c r="AJ211" s="718">
        <f t="shared" si="217"/>
        <v>0</v>
      </c>
      <c r="AL211">
        <f t="shared" si="218"/>
        <v>0</v>
      </c>
      <c r="AM211">
        <f t="shared" si="219"/>
        <v>0</v>
      </c>
    </row>
    <row r="212" spans="1:39" ht="15.75" x14ac:dyDescent="0.25">
      <c r="A212" s="561"/>
      <c r="B212" s="561"/>
      <c r="C212" s="561"/>
      <c r="D212" s="672"/>
      <c r="E212" s="209"/>
      <c r="F212" s="209"/>
      <c r="G212" s="209"/>
      <c r="H212" s="176">
        <f t="shared" si="197"/>
        <v>0</v>
      </c>
      <c r="I212" s="209"/>
      <c r="J212" s="209"/>
      <c r="K212" s="176">
        <f t="shared" si="198"/>
        <v>0</v>
      </c>
      <c r="L212" s="209"/>
      <c r="M212" s="177">
        <f t="shared" si="199"/>
        <v>0</v>
      </c>
      <c r="N212" s="1012"/>
      <c r="O212" s="1012"/>
      <c r="P212" s="485"/>
      <c r="Q212" s="778"/>
      <c r="R212" s="778"/>
      <c r="S212" s="785" t="str">
        <f t="shared" si="202"/>
        <v/>
      </c>
      <c r="T212" s="548" t="str">
        <f t="shared" si="200"/>
        <v>Pipe Takeoff</v>
      </c>
      <c r="U212" s="83">
        <f t="shared" si="203"/>
        <v>0</v>
      </c>
      <c r="V212" s="83">
        <f t="shared" si="204"/>
        <v>0</v>
      </c>
      <c r="W212" s="83">
        <f t="shared" si="205"/>
        <v>0</v>
      </c>
      <c r="X212" s="781">
        <f t="shared" si="206"/>
        <v>0</v>
      </c>
      <c r="Y212" s="781">
        <f t="shared" si="207"/>
        <v>0</v>
      </c>
      <c r="Z212" s="781">
        <f t="shared" si="208"/>
        <v>0</v>
      </c>
      <c r="AA212" s="83">
        <f t="shared" si="201"/>
        <v>0</v>
      </c>
      <c r="AB212" s="83">
        <f t="shared" si="209"/>
        <v>0</v>
      </c>
      <c r="AC212" s="83">
        <f t="shared" si="210"/>
        <v>0</v>
      </c>
      <c r="AD212" s="83">
        <f t="shared" si="211"/>
        <v>0</v>
      </c>
      <c r="AE212" s="83">
        <f t="shared" si="212"/>
        <v>0</v>
      </c>
      <c r="AF212" s="83">
        <f t="shared" si="213"/>
        <v>0</v>
      </c>
      <c r="AG212" s="83">
        <f t="shared" si="214"/>
        <v>0</v>
      </c>
      <c r="AH212" s="83">
        <f t="shared" si="215"/>
        <v>0</v>
      </c>
      <c r="AI212" s="83">
        <f t="shared" si="216"/>
        <v>0</v>
      </c>
      <c r="AJ212" s="718">
        <f t="shared" si="217"/>
        <v>0</v>
      </c>
      <c r="AL212">
        <f t="shared" si="218"/>
        <v>0</v>
      </c>
      <c r="AM212">
        <f t="shared" si="219"/>
        <v>0</v>
      </c>
    </row>
    <row r="213" spans="1:39" ht="15.75" x14ac:dyDescent="0.25">
      <c r="A213" s="561"/>
      <c r="B213" s="561"/>
      <c r="C213" s="561"/>
      <c r="D213" s="672"/>
      <c r="E213" s="209"/>
      <c r="F213" s="209"/>
      <c r="G213" s="209"/>
      <c r="H213" s="176">
        <f t="shared" si="197"/>
        <v>0</v>
      </c>
      <c r="I213" s="209"/>
      <c r="J213" s="209"/>
      <c r="K213" s="176">
        <f t="shared" si="198"/>
        <v>0</v>
      </c>
      <c r="L213" s="209"/>
      <c r="M213" s="177">
        <f t="shared" si="199"/>
        <v>0</v>
      </c>
      <c r="N213" s="1012"/>
      <c r="O213" s="1012"/>
      <c r="P213" s="485"/>
      <c r="Q213" s="778"/>
      <c r="R213" s="778"/>
      <c r="S213" s="785" t="str">
        <f t="shared" si="202"/>
        <v/>
      </c>
      <c r="T213" s="548" t="str">
        <f t="shared" si="200"/>
        <v>Pipe Takeoff</v>
      </c>
      <c r="U213" s="83">
        <f t="shared" si="203"/>
        <v>0</v>
      </c>
      <c r="V213" s="83">
        <f t="shared" si="204"/>
        <v>0</v>
      </c>
      <c r="W213" s="83">
        <f t="shared" si="205"/>
        <v>0</v>
      </c>
      <c r="X213" s="781">
        <f t="shared" si="206"/>
        <v>0</v>
      </c>
      <c r="Y213" s="781">
        <f t="shared" si="207"/>
        <v>0</v>
      </c>
      <c r="Z213" s="781">
        <f t="shared" si="208"/>
        <v>0</v>
      </c>
      <c r="AA213" s="83">
        <f t="shared" si="201"/>
        <v>0</v>
      </c>
      <c r="AB213" s="83">
        <f t="shared" si="209"/>
        <v>0</v>
      </c>
      <c r="AC213" s="83">
        <f t="shared" si="210"/>
        <v>0</v>
      </c>
      <c r="AD213" s="83">
        <f t="shared" si="211"/>
        <v>0</v>
      </c>
      <c r="AE213" s="83">
        <f t="shared" si="212"/>
        <v>0</v>
      </c>
      <c r="AF213" s="83">
        <f t="shared" si="213"/>
        <v>0</v>
      </c>
      <c r="AG213" s="83">
        <f t="shared" si="214"/>
        <v>0</v>
      </c>
      <c r="AH213" s="83">
        <f t="shared" si="215"/>
        <v>0</v>
      </c>
      <c r="AI213" s="83">
        <f t="shared" si="216"/>
        <v>0</v>
      </c>
      <c r="AJ213" s="718">
        <f t="shared" si="217"/>
        <v>0</v>
      </c>
      <c r="AL213">
        <f t="shared" si="218"/>
        <v>0</v>
      </c>
      <c r="AM213">
        <f t="shared" si="219"/>
        <v>0</v>
      </c>
    </row>
    <row r="214" spans="1:39" ht="15.75" x14ac:dyDescent="0.25">
      <c r="A214" s="561"/>
      <c r="B214" s="561"/>
      <c r="C214" s="561"/>
      <c r="D214" s="672"/>
      <c r="E214" s="209"/>
      <c r="F214" s="209"/>
      <c r="G214" s="209"/>
      <c r="H214" s="176">
        <f t="shared" si="197"/>
        <v>0</v>
      </c>
      <c r="I214" s="209"/>
      <c r="J214" s="209"/>
      <c r="K214" s="176">
        <f t="shared" si="198"/>
        <v>0</v>
      </c>
      <c r="L214" s="209"/>
      <c r="M214" s="177">
        <f t="shared" si="199"/>
        <v>0</v>
      </c>
      <c r="N214" s="1012"/>
      <c r="O214" s="1012"/>
      <c r="P214" s="485"/>
      <c r="Q214" s="778"/>
      <c r="R214" s="778"/>
      <c r="S214" s="785" t="str">
        <f t="shared" si="202"/>
        <v/>
      </c>
      <c r="T214" s="548" t="str">
        <f t="shared" si="200"/>
        <v>Pipe Takeoff</v>
      </c>
      <c r="U214" s="83">
        <f t="shared" si="203"/>
        <v>0</v>
      </c>
      <c r="V214" s="83">
        <f t="shared" si="204"/>
        <v>0</v>
      </c>
      <c r="W214" s="83">
        <f t="shared" si="205"/>
        <v>0</v>
      </c>
      <c r="X214" s="781">
        <f t="shared" si="206"/>
        <v>0</v>
      </c>
      <c r="Y214" s="781">
        <f t="shared" si="207"/>
        <v>0</v>
      </c>
      <c r="Z214" s="781">
        <f t="shared" si="208"/>
        <v>0</v>
      </c>
      <c r="AA214" s="83">
        <f t="shared" si="201"/>
        <v>0</v>
      </c>
      <c r="AB214" s="83">
        <f t="shared" si="209"/>
        <v>0</v>
      </c>
      <c r="AC214" s="83">
        <f t="shared" si="210"/>
        <v>0</v>
      </c>
      <c r="AD214" s="83">
        <f t="shared" si="211"/>
        <v>0</v>
      </c>
      <c r="AE214" s="83">
        <f t="shared" si="212"/>
        <v>0</v>
      </c>
      <c r="AF214" s="83">
        <f t="shared" si="213"/>
        <v>0</v>
      </c>
      <c r="AG214" s="83">
        <f t="shared" si="214"/>
        <v>0</v>
      </c>
      <c r="AH214" s="83">
        <f t="shared" si="215"/>
        <v>0</v>
      </c>
      <c r="AI214" s="83">
        <f t="shared" si="216"/>
        <v>0</v>
      </c>
      <c r="AJ214" s="718">
        <f t="shared" si="217"/>
        <v>0</v>
      </c>
      <c r="AL214">
        <f t="shared" si="218"/>
        <v>0</v>
      </c>
      <c r="AM214">
        <f t="shared" si="219"/>
        <v>0</v>
      </c>
    </row>
    <row r="215" spans="1:39" ht="15.75" x14ac:dyDescent="0.25">
      <c r="A215" s="561"/>
      <c r="B215" s="561"/>
      <c r="C215" s="561"/>
      <c r="D215" s="672"/>
      <c r="E215" s="209"/>
      <c r="F215" s="209"/>
      <c r="G215" s="209"/>
      <c r="H215" s="176">
        <f t="shared" si="197"/>
        <v>0</v>
      </c>
      <c r="I215" s="209"/>
      <c r="J215" s="209"/>
      <c r="K215" s="176">
        <f t="shared" si="198"/>
        <v>0</v>
      </c>
      <c r="L215" s="209"/>
      <c r="M215" s="177">
        <f t="shared" si="199"/>
        <v>0</v>
      </c>
      <c r="N215" s="1012"/>
      <c r="O215" s="1012"/>
      <c r="P215" s="485"/>
      <c r="Q215" s="778"/>
      <c r="R215" s="778"/>
      <c r="S215" s="785" t="str">
        <f t="shared" si="202"/>
        <v/>
      </c>
      <c r="T215" s="548" t="str">
        <f t="shared" si="200"/>
        <v>Pipe Takeoff</v>
      </c>
      <c r="U215" s="83">
        <f t="shared" si="203"/>
        <v>0</v>
      </c>
      <c r="V215" s="83">
        <f t="shared" si="204"/>
        <v>0</v>
      </c>
      <c r="W215" s="83">
        <f t="shared" si="205"/>
        <v>0</v>
      </c>
      <c r="X215" s="781">
        <f t="shared" si="206"/>
        <v>0</v>
      </c>
      <c r="Y215" s="781">
        <f t="shared" si="207"/>
        <v>0</v>
      </c>
      <c r="Z215" s="781">
        <f t="shared" si="208"/>
        <v>0</v>
      </c>
      <c r="AA215" s="83">
        <f t="shared" si="201"/>
        <v>0</v>
      </c>
      <c r="AB215" s="83">
        <f t="shared" si="209"/>
        <v>0</v>
      </c>
      <c r="AC215" s="83">
        <f t="shared" si="210"/>
        <v>0</v>
      </c>
      <c r="AD215" s="83">
        <f t="shared" si="211"/>
        <v>0</v>
      </c>
      <c r="AE215" s="83">
        <f t="shared" si="212"/>
        <v>0</v>
      </c>
      <c r="AF215" s="83">
        <f t="shared" si="213"/>
        <v>0</v>
      </c>
      <c r="AG215" s="83">
        <f t="shared" si="214"/>
        <v>0</v>
      </c>
      <c r="AH215" s="83">
        <f t="shared" si="215"/>
        <v>0</v>
      </c>
      <c r="AI215" s="83">
        <f t="shared" si="216"/>
        <v>0</v>
      </c>
      <c r="AJ215" s="718">
        <f t="shared" si="217"/>
        <v>0</v>
      </c>
      <c r="AL215">
        <f t="shared" si="218"/>
        <v>0</v>
      </c>
      <c r="AM215">
        <f t="shared" si="219"/>
        <v>0</v>
      </c>
    </row>
    <row r="216" spans="1:39" ht="15.75" x14ac:dyDescent="0.25">
      <c r="A216" s="561"/>
      <c r="B216" s="561"/>
      <c r="C216" s="561"/>
      <c r="D216" s="672"/>
      <c r="E216" s="209"/>
      <c r="F216" s="209"/>
      <c r="G216" s="209"/>
      <c r="H216" s="176">
        <f t="shared" si="197"/>
        <v>0</v>
      </c>
      <c r="I216" s="209"/>
      <c r="J216" s="209"/>
      <c r="K216" s="176">
        <f t="shared" si="198"/>
        <v>0</v>
      </c>
      <c r="L216" s="209"/>
      <c r="M216" s="177">
        <f t="shared" si="199"/>
        <v>0</v>
      </c>
      <c r="N216" s="1012"/>
      <c r="O216" s="1012"/>
      <c r="P216" s="485"/>
      <c r="Q216" s="778"/>
      <c r="R216" s="778"/>
      <c r="S216" s="785" t="str">
        <f t="shared" si="202"/>
        <v/>
      </c>
      <c r="T216" s="548" t="str">
        <f t="shared" si="200"/>
        <v>Pipe Takeoff</v>
      </c>
      <c r="U216" s="83">
        <f t="shared" si="203"/>
        <v>0</v>
      </c>
      <c r="V216" s="83">
        <f t="shared" si="204"/>
        <v>0</v>
      </c>
      <c r="W216" s="83">
        <f t="shared" si="205"/>
        <v>0</v>
      </c>
      <c r="X216" s="781">
        <f t="shared" si="206"/>
        <v>0</v>
      </c>
      <c r="Y216" s="781">
        <f t="shared" si="207"/>
        <v>0</v>
      </c>
      <c r="Z216" s="781">
        <f t="shared" si="208"/>
        <v>0</v>
      </c>
      <c r="AA216" s="83">
        <f t="shared" si="201"/>
        <v>0</v>
      </c>
      <c r="AB216" s="83">
        <f t="shared" si="209"/>
        <v>0</v>
      </c>
      <c r="AC216" s="83">
        <f t="shared" si="210"/>
        <v>0</v>
      </c>
      <c r="AD216" s="83">
        <f t="shared" si="211"/>
        <v>0</v>
      </c>
      <c r="AE216" s="83">
        <f t="shared" si="212"/>
        <v>0</v>
      </c>
      <c r="AF216" s="83">
        <f t="shared" si="213"/>
        <v>0</v>
      </c>
      <c r="AG216" s="83">
        <f t="shared" si="214"/>
        <v>0</v>
      </c>
      <c r="AH216" s="83">
        <f t="shared" si="215"/>
        <v>0</v>
      </c>
      <c r="AI216" s="83">
        <f t="shared" si="216"/>
        <v>0</v>
      </c>
      <c r="AJ216" s="718">
        <f t="shared" si="217"/>
        <v>0</v>
      </c>
      <c r="AL216">
        <f t="shared" si="218"/>
        <v>0</v>
      </c>
      <c r="AM216">
        <f t="shared" si="219"/>
        <v>0</v>
      </c>
    </row>
    <row r="217" spans="1:39" ht="15.75" x14ac:dyDescent="0.25">
      <c r="A217" s="561"/>
      <c r="B217" s="561"/>
      <c r="C217" s="561"/>
      <c r="D217" s="672"/>
      <c r="E217" s="209"/>
      <c r="F217" s="209"/>
      <c r="G217" s="209"/>
      <c r="H217" s="176">
        <f t="shared" si="197"/>
        <v>0</v>
      </c>
      <c r="I217" s="209"/>
      <c r="J217" s="209"/>
      <c r="K217" s="176">
        <f t="shared" si="198"/>
        <v>0</v>
      </c>
      <c r="L217" s="209"/>
      <c r="M217" s="177">
        <f t="shared" si="199"/>
        <v>0</v>
      </c>
      <c r="N217" s="1012"/>
      <c r="O217" s="1012"/>
      <c r="P217" s="485"/>
      <c r="Q217" s="778"/>
      <c r="R217" s="778"/>
      <c r="S217" s="785" t="str">
        <f t="shared" si="202"/>
        <v/>
      </c>
      <c r="T217" s="548" t="str">
        <f t="shared" si="200"/>
        <v>Pipe Takeoff</v>
      </c>
      <c r="U217" s="83">
        <f t="shared" si="203"/>
        <v>0</v>
      </c>
      <c r="V217" s="83">
        <f t="shared" si="204"/>
        <v>0</v>
      </c>
      <c r="W217" s="83">
        <f t="shared" si="205"/>
        <v>0</v>
      </c>
      <c r="X217" s="781">
        <f t="shared" si="206"/>
        <v>0</v>
      </c>
      <c r="Y217" s="781">
        <f t="shared" si="207"/>
        <v>0</v>
      </c>
      <c r="Z217" s="781">
        <f t="shared" si="208"/>
        <v>0</v>
      </c>
      <c r="AA217" s="83">
        <f t="shared" si="201"/>
        <v>0</v>
      </c>
      <c r="AB217" s="83">
        <f t="shared" si="209"/>
        <v>0</v>
      </c>
      <c r="AC217" s="83">
        <f t="shared" si="210"/>
        <v>0</v>
      </c>
      <c r="AD217" s="83">
        <f t="shared" si="211"/>
        <v>0</v>
      </c>
      <c r="AE217" s="83">
        <f t="shared" si="212"/>
        <v>0</v>
      </c>
      <c r="AF217" s="83">
        <f t="shared" si="213"/>
        <v>0</v>
      </c>
      <c r="AG217" s="83">
        <f t="shared" si="214"/>
        <v>0</v>
      </c>
      <c r="AH217" s="83">
        <f t="shared" si="215"/>
        <v>0</v>
      </c>
      <c r="AI217" s="83">
        <f t="shared" si="216"/>
        <v>0</v>
      </c>
      <c r="AJ217" s="718">
        <f t="shared" si="217"/>
        <v>0</v>
      </c>
      <c r="AL217">
        <f t="shared" si="218"/>
        <v>0</v>
      </c>
      <c r="AM217">
        <f t="shared" si="219"/>
        <v>0</v>
      </c>
    </row>
    <row r="218" spans="1:39" ht="15.75" x14ac:dyDescent="0.25">
      <c r="A218" s="561"/>
      <c r="B218" s="561"/>
      <c r="C218" s="561"/>
      <c r="D218" s="672"/>
      <c r="E218" s="209"/>
      <c r="F218" s="209"/>
      <c r="G218" s="209"/>
      <c r="H218" s="176">
        <f t="shared" si="197"/>
        <v>0</v>
      </c>
      <c r="I218" s="209"/>
      <c r="J218" s="209"/>
      <c r="K218" s="176">
        <f t="shared" si="198"/>
        <v>0</v>
      </c>
      <c r="L218" s="209"/>
      <c r="M218" s="177">
        <f t="shared" si="199"/>
        <v>0</v>
      </c>
      <c r="N218" s="1012"/>
      <c r="O218" s="1012"/>
      <c r="P218" s="485"/>
      <c r="Q218" s="778"/>
      <c r="R218" s="778"/>
      <c r="S218" s="785" t="str">
        <f t="shared" si="202"/>
        <v/>
      </c>
      <c r="T218" s="548" t="str">
        <f t="shared" si="200"/>
        <v>Pipe Takeoff</v>
      </c>
      <c r="U218" s="83">
        <f t="shared" si="203"/>
        <v>0</v>
      </c>
      <c r="V218" s="83">
        <f t="shared" si="204"/>
        <v>0</v>
      </c>
      <c r="W218" s="83">
        <f t="shared" si="205"/>
        <v>0</v>
      </c>
      <c r="X218" s="781">
        <f t="shared" si="206"/>
        <v>0</v>
      </c>
      <c r="Y218" s="781">
        <f t="shared" si="207"/>
        <v>0</v>
      </c>
      <c r="Z218" s="781">
        <f t="shared" si="208"/>
        <v>0</v>
      </c>
      <c r="AA218" s="83">
        <f t="shared" si="201"/>
        <v>0</v>
      </c>
      <c r="AB218" s="83">
        <f t="shared" si="209"/>
        <v>0</v>
      </c>
      <c r="AC218" s="83">
        <f t="shared" si="210"/>
        <v>0</v>
      </c>
      <c r="AD218" s="83">
        <f t="shared" si="211"/>
        <v>0</v>
      </c>
      <c r="AE218" s="83">
        <f t="shared" si="212"/>
        <v>0</v>
      </c>
      <c r="AF218" s="83">
        <f t="shared" si="213"/>
        <v>0</v>
      </c>
      <c r="AG218" s="83">
        <f t="shared" si="214"/>
        <v>0</v>
      </c>
      <c r="AH218" s="83">
        <f t="shared" si="215"/>
        <v>0</v>
      </c>
      <c r="AI218" s="83">
        <f t="shared" si="216"/>
        <v>0</v>
      </c>
      <c r="AJ218" s="718">
        <f t="shared" si="217"/>
        <v>0</v>
      </c>
      <c r="AL218">
        <f t="shared" si="218"/>
        <v>0</v>
      </c>
      <c r="AM218">
        <f t="shared" si="219"/>
        <v>0</v>
      </c>
    </row>
    <row r="219" spans="1:39" ht="15.75" x14ac:dyDescent="0.25">
      <c r="A219" s="561"/>
      <c r="B219" s="561"/>
      <c r="C219" s="561"/>
      <c r="D219" s="672"/>
      <c r="E219" s="209"/>
      <c r="F219" s="209"/>
      <c r="G219" s="209"/>
      <c r="H219" s="176">
        <f t="shared" si="197"/>
        <v>0</v>
      </c>
      <c r="I219" s="209"/>
      <c r="J219" s="209"/>
      <c r="K219" s="176">
        <f t="shared" si="198"/>
        <v>0</v>
      </c>
      <c r="L219" s="209"/>
      <c r="M219" s="177">
        <f t="shared" si="199"/>
        <v>0</v>
      </c>
      <c r="N219" s="1012"/>
      <c r="O219" s="1012"/>
      <c r="P219" s="485"/>
      <c r="Q219" s="778"/>
      <c r="R219" s="778"/>
      <c r="S219" s="785" t="str">
        <f t="shared" si="202"/>
        <v/>
      </c>
      <c r="T219" s="548" t="str">
        <f t="shared" si="200"/>
        <v>Pipe Takeoff</v>
      </c>
      <c r="U219" s="83">
        <f t="shared" si="203"/>
        <v>0</v>
      </c>
      <c r="V219" s="83">
        <f t="shared" si="204"/>
        <v>0</v>
      </c>
      <c r="W219" s="83">
        <f t="shared" si="205"/>
        <v>0</v>
      </c>
      <c r="X219" s="781">
        <f t="shared" si="206"/>
        <v>0</v>
      </c>
      <c r="Y219" s="781">
        <f t="shared" si="207"/>
        <v>0</v>
      </c>
      <c r="Z219" s="781">
        <f t="shared" si="208"/>
        <v>0</v>
      </c>
      <c r="AA219" s="83">
        <f t="shared" si="201"/>
        <v>0</v>
      </c>
      <c r="AB219" s="83">
        <f t="shared" si="209"/>
        <v>0</v>
      </c>
      <c r="AC219" s="83">
        <f t="shared" si="210"/>
        <v>0</v>
      </c>
      <c r="AD219" s="83">
        <f t="shared" si="211"/>
        <v>0</v>
      </c>
      <c r="AE219" s="83">
        <f t="shared" si="212"/>
        <v>0</v>
      </c>
      <c r="AF219" s="83">
        <f t="shared" si="213"/>
        <v>0</v>
      </c>
      <c r="AG219" s="83">
        <f t="shared" si="214"/>
        <v>0</v>
      </c>
      <c r="AH219" s="83">
        <f t="shared" si="215"/>
        <v>0</v>
      </c>
      <c r="AI219" s="83">
        <f t="shared" si="216"/>
        <v>0</v>
      </c>
      <c r="AJ219" s="718">
        <f t="shared" si="217"/>
        <v>0</v>
      </c>
      <c r="AL219">
        <f t="shared" si="218"/>
        <v>0</v>
      </c>
      <c r="AM219">
        <f t="shared" si="219"/>
        <v>0</v>
      </c>
    </row>
    <row r="220" spans="1:39" ht="15.75" x14ac:dyDescent="0.25">
      <c r="A220" s="561"/>
      <c r="B220" s="561"/>
      <c r="C220" s="561"/>
      <c r="D220" s="672"/>
      <c r="E220" s="209"/>
      <c r="F220" s="209"/>
      <c r="G220" s="209"/>
      <c r="H220" s="176">
        <f t="shared" si="197"/>
        <v>0</v>
      </c>
      <c r="I220" s="209"/>
      <c r="J220" s="209"/>
      <c r="K220" s="176">
        <f t="shared" si="198"/>
        <v>0</v>
      </c>
      <c r="L220" s="209"/>
      <c r="M220" s="177">
        <f t="shared" si="199"/>
        <v>0</v>
      </c>
      <c r="N220" s="1012"/>
      <c r="O220" s="1012"/>
      <c r="P220" s="485"/>
      <c r="Q220" s="778"/>
      <c r="R220" s="778"/>
      <c r="S220" s="785" t="str">
        <f t="shared" si="202"/>
        <v/>
      </c>
      <c r="T220" s="548" t="str">
        <f t="shared" si="200"/>
        <v>Pipe Takeoff</v>
      </c>
      <c r="U220" s="83">
        <f t="shared" si="203"/>
        <v>0</v>
      </c>
      <c r="V220" s="83">
        <f t="shared" si="204"/>
        <v>0</v>
      </c>
      <c r="W220" s="83">
        <f t="shared" si="205"/>
        <v>0</v>
      </c>
      <c r="X220" s="781">
        <f t="shared" si="206"/>
        <v>0</v>
      </c>
      <c r="Y220" s="781">
        <f t="shared" si="207"/>
        <v>0</v>
      </c>
      <c r="Z220" s="781">
        <f t="shared" si="208"/>
        <v>0</v>
      </c>
      <c r="AA220" s="83">
        <f t="shared" si="201"/>
        <v>0</v>
      </c>
      <c r="AB220" s="83">
        <f t="shared" si="209"/>
        <v>0</v>
      </c>
      <c r="AC220" s="83">
        <f t="shared" si="210"/>
        <v>0</v>
      </c>
      <c r="AD220" s="83">
        <f t="shared" si="211"/>
        <v>0</v>
      </c>
      <c r="AE220" s="83">
        <f t="shared" si="212"/>
        <v>0</v>
      </c>
      <c r="AF220" s="83">
        <f t="shared" si="213"/>
        <v>0</v>
      </c>
      <c r="AG220" s="83">
        <f t="shared" si="214"/>
        <v>0</v>
      </c>
      <c r="AH220" s="83">
        <f t="shared" si="215"/>
        <v>0</v>
      </c>
      <c r="AI220" s="83">
        <f t="shared" si="216"/>
        <v>0</v>
      </c>
      <c r="AJ220" s="718">
        <f t="shared" si="217"/>
        <v>0</v>
      </c>
      <c r="AL220">
        <f t="shared" si="218"/>
        <v>0</v>
      </c>
      <c r="AM220">
        <f t="shared" si="219"/>
        <v>0</v>
      </c>
    </row>
    <row r="221" spans="1:39" ht="15.75" x14ac:dyDescent="0.25">
      <c r="A221" s="561"/>
      <c r="B221" s="561"/>
      <c r="C221" s="561"/>
      <c r="D221" s="672"/>
      <c r="E221" s="209"/>
      <c r="F221" s="209"/>
      <c r="G221" s="209"/>
      <c r="H221" s="176">
        <f t="shared" si="197"/>
        <v>0</v>
      </c>
      <c r="I221" s="209"/>
      <c r="J221" s="209"/>
      <c r="K221" s="176">
        <f t="shared" si="198"/>
        <v>0</v>
      </c>
      <c r="L221" s="209"/>
      <c r="M221" s="177">
        <f t="shared" si="199"/>
        <v>0</v>
      </c>
      <c r="N221" s="1012"/>
      <c r="O221" s="1012"/>
      <c r="P221" s="485"/>
      <c r="Q221" s="778"/>
      <c r="R221" s="778"/>
      <c r="S221" s="785" t="str">
        <f t="shared" si="202"/>
        <v/>
      </c>
      <c r="T221" s="548" t="str">
        <f t="shared" si="200"/>
        <v>Pipe Takeoff</v>
      </c>
      <c r="U221" s="83">
        <f t="shared" si="203"/>
        <v>0</v>
      </c>
      <c r="V221" s="83">
        <f t="shared" si="204"/>
        <v>0</v>
      </c>
      <c r="W221" s="83">
        <f t="shared" si="205"/>
        <v>0</v>
      </c>
      <c r="X221" s="781">
        <f t="shared" si="206"/>
        <v>0</v>
      </c>
      <c r="Y221" s="781">
        <f t="shared" si="207"/>
        <v>0</v>
      </c>
      <c r="Z221" s="781">
        <f t="shared" si="208"/>
        <v>0</v>
      </c>
      <c r="AA221" s="83">
        <f t="shared" si="201"/>
        <v>0</v>
      </c>
      <c r="AB221" s="83">
        <f t="shared" si="209"/>
        <v>0</v>
      </c>
      <c r="AC221" s="83">
        <f t="shared" si="210"/>
        <v>0</v>
      </c>
      <c r="AD221" s="83">
        <f t="shared" si="211"/>
        <v>0</v>
      </c>
      <c r="AE221" s="83">
        <f t="shared" si="212"/>
        <v>0</v>
      </c>
      <c r="AF221" s="83">
        <f t="shared" si="213"/>
        <v>0</v>
      </c>
      <c r="AG221" s="83">
        <f t="shared" si="214"/>
        <v>0</v>
      </c>
      <c r="AH221" s="83">
        <f t="shared" si="215"/>
        <v>0</v>
      </c>
      <c r="AI221" s="83">
        <f t="shared" si="216"/>
        <v>0</v>
      </c>
      <c r="AJ221" s="718">
        <f t="shared" si="217"/>
        <v>0</v>
      </c>
      <c r="AL221">
        <f t="shared" si="218"/>
        <v>0</v>
      </c>
      <c r="AM221">
        <f t="shared" si="219"/>
        <v>0</v>
      </c>
    </row>
    <row r="222" spans="1:39" ht="15.75" x14ac:dyDescent="0.25">
      <c r="A222" s="561"/>
      <c r="B222" s="561"/>
      <c r="C222" s="561"/>
      <c r="D222" s="672"/>
      <c r="E222" s="209"/>
      <c r="F222" s="209"/>
      <c r="G222" s="209"/>
      <c r="H222" s="176">
        <f t="shared" si="197"/>
        <v>0</v>
      </c>
      <c r="I222" s="209"/>
      <c r="J222" s="209"/>
      <c r="K222" s="176">
        <f t="shared" si="198"/>
        <v>0</v>
      </c>
      <c r="L222" s="209"/>
      <c r="M222" s="177">
        <f t="shared" si="199"/>
        <v>0</v>
      </c>
      <c r="N222" s="1012"/>
      <c r="O222" s="1012"/>
      <c r="P222" s="485"/>
      <c r="Q222" s="778"/>
      <c r="R222" s="778"/>
      <c r="S222" s="785" t="str">
        <f t="shared" si="202"/>
        <v/>
      </c>
      <c r="T222" s="548" t="str">
        <f t="shared" si="200"/>
        <v>Pipe Takeoff</v>
      </c>
      <c r="U222" s="83">
        <f t="shared" si="203"/>
        <v>0</v>
      </c>
      <c r="V222" s="83">
        <f t="shared" si="204"/>
        <v>0</v>
      </c>
      <c r="W222" s="83">
        <f t="shared" si="205"/>
        <v>0</v>
      </c>
      <c r="X222" s="781">
        <f t="shared" si="206"/>
        <v>0</v>
      </c>
      <c r="Y222" s="781">
        <f t="shared" si="207"/>
        <v>0</v>
      </c>
      <c r="Z222" s="781">
        <f t="shared" si="208"/>
        <v>0</v>
      </c>
      <c r="AA222" s="83">
        <f t="shared" si="201"/>
        <v>0</v>
      </c>
      <c r="AB222" s="83">
        <f t="shared" si="209"/>
        <v>0</v>
      </c>
      <c r="AC222" s="83">
        <f t="shared" si="210"/>
        <v>0</v>
      </c>
      <c r="AD222" s="83">
        <f t="shared" si="211"/>
        <v>0</v>
      </c>
      <c r="AE222" s="83">
        <f t="shared" si="212"/>
        <v>0</v>
      </c>
      <c r="AF222" s="83">
        <f t="shared" si="213"/>
        <v>0</v>
      </c>
      <c r="AG222" s="83">
        <f t="shared" si="214"/>
        <v>0</v>
      </c>
      <c r="AH222" s="83">
        <f t="shared" si="215"/>
        <v>0</v>
      </c>
      <c r="AI222" s="83">
        <f t="shared" si="216"/>
        <v>0</v>
      </c>
      <c r="AJ222" s="718">
        <f t="shared" si="217"/>
        <v>0</v>
      </c>
      <c r="AL222">
        <f t="shared" si="218"/>
        <v>0</v>
      </c>
      <c r="AM222">
        <f t="shared" si="219"/>
        <v>0</v>
      </c>
    </row>
    <row r="223" spans="1:39" ht="15.75" x14ac:dyDescent="0.25">
      <c r="A223" s="561"/>
      <c r="B223" s="561"/>
      <c r="C223" s="561"/>
      <c r="D223" s="672"/>
      <c r="E223" s="209"/>
      <c r="F223" s="209"/>
      <c r="G223" s="209"/>
      <c r="H223" s="176">
        <f t="shared" si="197"/>
        <v>0</v>
      </c>
      <c r="I223" s="209"/>
      <c r="J223" s="209"/>
      <c r="K223" s="176">
        <f t="shared" si="198"/>
        <v>0</v>
      </c>
      <c r="L223" s="209"/>
      <c r="M223" s="177">
        <f>IF(SM_ExludeGroup6=TRUE,0,E223*L223)</f>
        <v>0</v>
      </c>
      <c r="N223" s="1012"/>
      <c r="O223" s="1012"/>
      <c r="P223" s="485"/>
      <c r="Q223" s="778"/>
      <c r="R223" s="778"/>
      <c r="S223" s="785" t="str">
        <f t="shared" si="202"/>
        <v/>
      </c>
      <c r="T223" s="548" t="str">
        <f t="shared" si="200"/>
        <v>Pipe Takeoff</v>
      </c>
      <c r="U223" s="83">
        <f t="shared" si="203"/>
        <v>0</v>
      </c>
      <c r="V223" s="83">
        <f t="shared" si="204"/>
        <v>0</v>
      </c>
      <c r="W223" s="83">
        <f t="shared" si="205"/>
        <v>0</v>
      </c>
      <c r="X223" s="781">
        <f t="shared" si="206"/>
        <v>0</v>
      </c>
      <c r="Y223" s="781">
        <f t="shared" si="207"/>
        <v>0</v>
      </c>
      <c r="Z223" s="781">
        <f t="shared" si="208"/>
        <v>0</v>
      </c>
      <c r="AA223" s="83">
        <f t="shared" si="201"/>
        <v>0</v>
      </c>
      <c r="AB223" s="83">
        <f t="shared" si="209"/>
        <v>0</v>
      </c>
      <c r="AC223" s="83">
        <f t="shared" si="210"/>
        <v>0</v>
      </c>
      <c r="AD223" s="83">
        <f t="shared" si="211"/>
        <v>0</v>
      </c>
      <c r="AE223" s="83">
        <f t="shared" si="212"/>
        <v>0</v>
      </c>
      <c r="AF223" s="83">
        <f t="shared" si="213"/>
        <v>0</v>
      </c>
      <c r="AG223" s="83">
        <f t="shared" si="214"/>
        <v>0</v>
      </c>
      <c r="AH223" s="83">
        <f t="shared" si="215"/>
        <v>0</v>
      </c>
      <c r="AI223" s="83">
        <f t="shared" si="216"/>
        <v>0</v>
      </c>
      <c r="AJ223" s="718">
        <f t="shared" si="217"/>
        <v>0</v>
      </c>
      <c r="AL223">
        <f t="shared" si="218"/>
        <v>0</v>
      </c>
      <c r="AM223">
        <f t="shared" si="219"/>
        <v>0</v>
      </c>
    </row>
    <row r="224" spans="1:39" ht="15.75" x14ac:dyDescent="0.25">
      <c r="A224" s="561"/>
      <c r="B224" s="561"/>
      <c r="C224" s="561"/>
      <c r="D224" s="672"/>
      <c r="E224" s="209"/>
      <c r="F224" s="209"/>
      <c r="G224" s="209"/>
      <c r="H224" s="176">
        <f t="shared" si="197"/>
        <v>0</v>
      </c>
      <c r="I224" s="209"/>
      <c r="J224" s="209"/>
      <c r="K224" s="176">
        <f t="shared" si="198"/>
        <v>0</v>
      </c>
      <c r="L224" s="209"/>
      <c r="M224" s="177">
        <f>IF(SM_ExludeGroup6=TRUE,0,E224*L224)</f>
        <v>0</v>
      </c>
      <c r="N224" s="1012"/>
      <c r="O224" s="1012"/>
      <c r="P224" s="485"/>
      <c r="Q224" s="778"/>
      <c r="R224" s="778"/>
      <c r="S224" s="785" t="str">
        <f t="shared" si="202"/>
        <v/>
      </c>
      <c r="T224" s="548" t="str">
        <f t="shared" si="200"/>
        <v>Pipe Takeoff</v>
      </c>
      <c r="U224" s="83">
        <f t="shared" si="203"/>
        <v>0</v>
      </c>
      <c r="V224" s="83">
        <f t="shared" si="204"/>
        <v>0</v>
      </c>
      <c r="W224" s="83">
        <f t="shared" si="205"/>
        <v>0</v>
      </c>
      <c r="X224" s="781">
        <f t="shared" si="206"/>
        <v>0</v>
      </c>
      <c r="Y224" s="781">
        <f t="shared" si="207"/>
        <v>0</v>
      </c>
      <c r="Z224" s="781">
        <f t="shared" si="208"/>
        <v>0</v>
      </c>
      <c r="AA224" s="83">
        <f t="shared" si="201"/>
        <v>0</v>
      </c>
      <c r="AB224" s="83">
        <f t="shared" si="209"/>
        <v>0</v>
      </c>
      <c r="AC224" s="83">
        <f t="shared" si="210"/>
        <v>0</v>
      </c>
      <c r="AD224" s="83">
        <f t="shared" si="211"/>
        <v>0</v>
      </c>
      <c r="AE224" s="83">
        <f t="shared" si="212"/>
        <v>0</v>
      </c>
      <c r="AF224" s="83">
        <f t="shared" si="213"/>
        <v>0</v>
      </c>
      <c r="AG224" s="83">
        <f t="shared" si="214"/>
        <v>0</v>
      </c>
      <c r="AH224" s="83">
        <f t="shared" si="215"/>
        <v>0</v>
      </c>
      <c r="AI224" s="83">
        <f t="shared" si="216"/>
        <v>0</v>
      </c>
      <c r="AJ224" s="718">
        <f t="shared" si="217"/>
        <v>0</v>
      </c>
      <c r="AL224">
        <f t="shared" si="218"/>
        <v>0</v>
      </c>
      <c r="AM224">
        <f t="shared" si="219"/>
        <v>0</v>
      </c>
    </row>
    <row r="225" spans="1:39" ht="15.75" x14ac:dyDescent="0.25">
      <c r="A225" s="561"/>
      <c r="B225" s="561"/>
      <c r="C225" s="561"/>
      <c r="D225" s="672"/>
      <c r="E225" s="209"/>
      <c r="F225" s="209"/>
      <c r="G225" s="209"/>
      <c r="H225" s="176">
        <f t="shared" si="197"/>
        <v>0</v>
      </c>
      <c r="I225" s="209"/>
      <c r="J225" s="209"/>
      <c r="K225" s="176">
        <f t="shared" si="198"/>
        <v>0</v>
      </c>
      <c r="L225" s="209"/>
      <c r="M225" s="177">
        <f t="shared" si="199"/>
        <v>0</v>
      </c>
      <c r="N225" s="1012"/>
      <c r="O225" s="1012"/>
      <c r="P225" s="485"/>
      <c r="Q225" s="778"/>
      <c r="R225" s="778"/>
      <c r="S225" s="785" t="str">
        <f t="shared" si="202"/>
        <v/>
      </c>
      <c r="T225" s="548" t="str">
        <f t="shared" si="200"/>
        <v>Pipe Takeoff</v>
      </c>
      <c r="U225" s="83">
        <f t="shared" si="203"/>
        <v>0</v>
      </c>
      <c r="V225" s="83">
        <f t="shared" si="204"/>
        <v>0</v>
      </c>
      <c r="W225" s="83">
        <f t="shared" si="205"/>
        <v>0</v>
      </c>
      <c r="X225" s="781">
        <f t="shared" si="206"/>
        <v>0</v>
      </c>
      <c r="Y225" s="781">
        <f t="shared" si="207"/>
        <v>0</v>
      </c>
      <c r="Z225" s="781">
        <f t="shared" si="208"/>
        <v>0</v>
      </c>
      <c r="AA225" s="83">
        <f t="shared" si="201"/>
        <v>0</v>
      </c>
      <c r="AB225" s="83">
        <f t="shared" si="209"/>
        <v>0</v>
      </c>
      <c r="AC225" s="83">
        <f t="shared" si="210"/>
        <v>0</v>
      </c>
      <c r="AD225" s="83">
        <f t="shared" si="211"/>
        <v>0</v>
      </c>
      <c r="AE225" s="83">
        <f t="shared" si="212"/>
        <v>0</v>
      </c>
      <c r="AF225" s="83">
        <f t="shared" si="213"/>
        <v>0</v>
      </c>
      <c r="AG225" s="83">
        <f t="shared" si="214"/>
        <v>0</v>
      </c>
      <c r="AH225" s="83">
        <f t="shared" si="215"/>
        <v>0</v>
      </c>
      <c r="AI225" s="83">
        <f t="shared" si="216"/>
        <v>0</v>
      </c>
      <c r="AJ225" s="718">
        <f t="shared" si="217"/>
        <v>0</v>
      </c>
      <c r="AL225">
        <f t="shared" si="218"/>
        <v>0</v>
      </c>
      <c r="AM225">
        <f t="shared" si="219"/>
        <v>0</v>
      </c>
    </row>
    <row r="226" spans="1:39" ht="15.75" x14ac:dyDescent="0.25">
      <c r="A226" s="561"/>
      <c r="B226" s="561"/>
      <c r="C226" s="561"/>
      <c r="D226" s="672"/>
      <c r="E226" s="209"/>
      <c r="F226" s="209"/>
      <c r="G226" s="209"/>
      <c r="H226" s="176">
        <f t="shared" si="197"/>
        <v>0</v>
      </c>
      <c r="I226" s="209"/>
      <c r="J226" s="209"/>
      <c r="K226" s="176">
        <f t="shared" si="198"/>
        <v>0</v>
      </c>
      <c r="L226" s="209"/>
      <c r="M226" s="177">
        <f t="shared" si="199"/>
        <v>0</v>
      </c>
      <c r="N226" s="1012"/>
      <c r="O226" s="1012"/>
      <c r="P226" s="485"/>
      <c r="Q226" s="778"/>
      <c r="R226" s="778"/>
      <c r="S226" s="785" t="str">
        <f t="shared" si="202"/>
        <v/>
      </c>
      <c r="T226" s="548" t="str">
        <f t="shared" si="200"/>
        <v>Pipe Takeoff</v>
      </c>
      <c r="U226" s="83">
        <f t="shared" si="203"/>
        <v>0</v>
      </c>
      <c r="V226" s="83">
        <f t="shared" si="204"/>
        <v>0</v>
      </c>
      <c r="W226" s="83">
        <f t="shared" si="205"/>
        <v>0</v>
      </c>
      <c r="X226" s="781">
        <f t="shared" si="206"/>
        <v>0</v>
      </c>
      <c r="Y226" s="781">
        <f t="shared" si="207"/>
        <v>0</v>
      </c>
      <c r="Z226" s="781">
        <f t="shared" si="208"/>
        <v>0</v>
      </c>
      <c r="AA226" s="83">
        <f t="shared" si="201"/>
        <v>0</v>
      </c>
      <c r="AB226" s="83">
        <f t="shared" si="209"/>
        <v>0</v>
      </c>
      <c r="AC226" s="83">
        <f t="shared" si="210"/>
        <v>0</v>
      </c>
      <c r="AD226" s="83">
        <f t="shared" si="211"/>
        <v>0</v>
      </c>
      <c r="AE226" s="83">
        <f t="shared" si="212"/>
        <v>0</v>
      </c>
      <c r="AF226" s="83">
        <f t="shared" si="213"/>
        <v>0</v>
      </c>
      <c r="AG226" s="83">
        <f t="shared" si="214"/>
        <v>0</v>
      </c>
      <c r="AH226" s="83">
        <f t="shared" si="215"/>
        <v>0</v>
      </c>
      <c r="AI226" s="83">
        <f t="shared" si="216"/>
        <v>0</v>
      </c>
      <c r="AJ226" s="718">
        <f t="shared" si="217"/>
        <v>0</v>
      </c>
      <c r="AL226">
        <f t="shared" si="218"/>
        <v>0</v>
      </c>
      <c r="AM226">
        <f t="shared" si="219"/>
        <v>0</v>
      </c>
    </row>
    <row r="227" spans="1:39" ht="15.75" x14ac:dyDescent="0.25">
      <c r="A227" s="561"/>
      <c r="B227" s="561"/>
      <c r="C227" s="561"/>
      <c r="D227" s="672"/>
      <c r="E227" s="209"/>
      <c r="F227" s="209"/>
      <c r="G227" s="209"/>
      <c r="H227" s="176">
        <f t="shared" si="197"/>
        <v>0</v>
      </c>
      <c r="I227" s="209"/>
      <c r="J227" s="209"/>
      <c r="K227" s="176">
        <f t="shared" si="198"/>
        <v>0</v>
      </c>
      <c r="L227" s="209"/>
      <c r="M227" s="177">
        <f t="shared" si="199"/>
        <v>0</v>
      </c>
      <c r="N227" s="1012"/>
      <c r="O227" s="1012"/>
      <c r="P227" s="485"/>
      <c r="Q227" s="778"/>
      <c r="R227" s="778"/>
      <c r="S227" s="785" t="str">
        <f t="shared" si="202"/>
        <v/>
      </c>
      <c r="T227" s="548" t="str">
        <f t="shared" si="200"/>
        <v>Pipe Takeoff</v>
      </c>
      <c r="U227" s="83">
        <f t="shared" si="203"/>
        <v>0</v>
      </c>
      <c r="V227" s="83">
        <f t="shared" si="204"/>
        <v>0</v>
      </c>
      <c r="W227" s="83">
        <f t="shared" si="205"/>
        <v>0</v>
      </c>
      <c r="X227" s="781">
        <f t="shared" si="206"/>
        <v>0</v>
      </c>
      <c r="Y227" s="781">
        <f t="shared" si="207"/>
        <v>0</v>
      </c>
      <c r="Z227" s="781">
        <f t="shared" si="208"/>
        <v>0</v>
      </c>
      <c r="AA227" s="83">
        <f t="shared" si="201"/>
        <v>0</v>
      </c>
      <c r="AB227" s="83">
        <f t="shared" si="209"/>
        <v>0</v>
      </c>
      <c r="AC227" s="83">
        <f t="shared" si="210"/>
        <v>0</v>
      </c>
      <c r="AD227" s="83">
        <f t="shared" si="211"/>
        <v>0</v>
      </c>
      <c r="AE227" s="83">
        <f t="shared" si="212"/>
        <v>0</v>
      </c>
      <c r="AF227" s="83">
        <f t="shared" si="213"/>
        <v>0</v>
      </c>
      <c r="AG227" s="83">
        <f t="shared" si="214"/>
        <v>0</v>
      </c>
      <c r="AH227" s="83">
        <f t="shared" si="215"/>
        <v>0</v>
      </c>
      <c r="AI227" s="83">
        <f t="shared" si="216"/>
        <v>0</v>
      </c>
      <c r="AJ227" s="718">
        <f t="shared" si="217"/>
        <v>0</v>
      </c>
      <c r="AL227">
        <f t="shared" si="218"/>
        <v>0</v>
      </c>
      <c r="AM227">
        <f t="shared" si="219"/>
        <v>0</v>
      </c>
    </row>
    <row r="228" spans="1:39" ht="15.75" x14ac:dyDescent="0.25">
      <c r="A228" s="561"/>
      <c r="B228" s="561"/>
      <c r="C228" s="561"/>
      <c r="D228" s="672"/>
      <c r="E228" s="209"/>
      <c r="F228" s="209"/>
      <c r="G228" s="209"/>
      <c r="H228" s="176">
        <f t="shared" si="197"/>
        <v>0</v>
      </c>
      <c r="I228" s="209"/>
      <c r="J228" s="209"/>
      <c r="K228" s="176">
        <f t="shared" si="198"/>
        <v>0</v>
      </c>
      <c r="L228" s="209"/>
      <c r="M228" s="177">
        <f t="shared" si="199"/>
        <v>0</v>
      </c>
      <c r="N228" s="1012"/>
      <c r="O228" s="1012"/>
      <c r="P228" s="485"/>
      <c r="Q228" s="778"/>
      <c r="R228" s="778"/>
      <c r="S228" s="785" t="str">
        <f t="shared" si="202"/>
        <v/>
      </c>
      <c r="T228" s="548" t="str">
        <f t="shared" si="200"/>
        <v>Pipe Takeoff</v>
      </c>
      <c r="U228" s="83">
        <f t="shared" si="203"/>
        <v>0</v>
      </c>
      <c r="V228" s="83">
        <f t="shared" si="204"/>
        <v>0</v>
      </c>
      <c r="W228" s="83">
        <f t="shared" si="205"/>
        <v>0</v>
      </c>
      <c r="X228" s="781">
        <f t="shared" si="206"/>
        <v>0</v>
      </c>
      <c r="Y228" s="781">
        <f t="shared" si="207"/>
        <v>0</v>
      </c>
      <c r="Z228" s="781">
        <f t="shared" si="208"/>
        <v>0</v>
      </c>
      <c r="AA228" s="83">
        <f t="shared" si="201"/>
        <v>0</v>
      </c>
      <c r="AB228" s="83">
        <f t="shared" si="209"/>
        <v>0</v>
      </c>
      <c r="AC228" s="83">
        <f t="shared" si="210"/>
        <v>0</v>
      </c>
      <c r="AD228" s="83">
        <f t="shared" si="211"/>
        <v>0</v>
      </c>
      <c r="AE228" s="83">
        <f t="shared" si="212"/>
        <v>0</v>
      </c>
      <c r="AF228" s="83">
        <f t="shared" si="213"/>
        <v>0</v>
      </c>
      <c r="AG228" s="83">
        <f t="shared" si="214"/>
        <v>0</v>
      </c>
      <c r="AH228" s="83">
        <f t="shared" si="215"/>
        <v>0</v>
      </c>
      <c r="AI228" s="83">
        <f t="shared" si="216"/>
        <v>0</v>
      </c>
      <c r="AJ228" s="718">
        <f t="shared" si="217"/>
        <v>0</v>
      </c>
      <c r="AL228">
        <f t="shared" si="218"/>
        <v>0</v>
      </c>
      <c r="AM228">
        <f t="shared" si="219"/>
        <v>0</v>
      </c>
    </row>
    <row r="229" spans="1:39" ht="15.75" x14ac:dyDescent="0.25">
      <c r="A229" s="561"/>
      <c r="B229" s="561"/>
      <c r="C229" s="561"/>
      <c r="D229" s="672"/>
      <c r="E229" s="209"/>
      <c r="F229" s="209"/>
      <c r="G229" s="209"/>
      <c r="H229" s="176">
        <f t="shared" si="197"/>
        <v>0</v>
      </c>
      <c r="I229" s="209"/>
      <c r="J229" s="209"/>
      <c r="K229" s="176">
        <f t="shared" si="198"/>
        <v>0</v>
      </c>
      <c r="L229" s="209"/>
      <c r="M229" s="177">
        <f t="shared" si="199"/>
        <v>0</v>
      </c>
      <c r="N229" s="1012"/>
      <c r="O229" s="1012"/>
      <c r="P229" s="485"/>
      <c r="Q229" s="778"/>
      <c r="R229" s="778"/>
      <c r="S229" s="785" t="str">
        <f t="shared" si="202"/>
        <v/>
      </c>
      <c r="T229" s="548" t="str">
        <f t="shared" si="200"/>
        <v>Pipe Takeoff</v>
      </c>
      <c r="U229" s="83">
        <f t="shared" si="203"/>
        <v>0</v>
      </c>
      <c r="V229" s="83">
        <f t="shared" si="204"/>
        <v>0</v>
      </c>
      <c r="W229" s="83">
        <f t="shared" si="205"/>
        <v>0</v>
      </c>
      <c r="X229" s="781">
        <f t="shared" si="206"/>
        <v>0</v>
      </c>
      <c r="Y229" s="781">
        <f t="shared" si="207"/>
        <v>0</v>
      </c>
      <c r="Z229" s="781">
        <f t="shared" si="208"/>
        <v>0</v>
      </c>
      <c r="AA229" s="83">
        <f t="shared" si="201"/>
        <v>0</v>
      </c>
      <c r="AB229" s="83">
        <f t="shared" si="209"/>
        <v>0</v>
      </c>
      <c r="AC229" s="83">
        <f t="shared" si="210"/>
        <v>0</v>
      </c>
      <c r="AD229" s="83">
        <f t="shared" si="211"/>
        <v>0</v>
      </c>
      <c r="AE229" s="83">
        <f t="shared" si="212"/>
        <v>0</v>
      </c>
      <c r="AF229" s="83">
        <f t="shared" si="213"/>
        <v>0</v>
      </c>
      <c r="AG229" s="83">
        <f t="shared" si="214"/>
        <v>0</v>
      </c>
      <c r="AH229" s="83">
        <f t="shared" si="215"/>
        <v>0</v>
      </c>
      <c r="AI229" s="83">
        <f t="shared" si="216"/>
        <v>0</v>
      </c>
      <c r="AJ229" s="718">
        <f t="shared" si="217"/>
        <v>0</v>
      </c>
      <c r="AL229">
        <f t="shared" si="218"/>
        <v>0</v>
      </c>
      <c r="AM229">
        <f t="shared" si="219"/>
        <v>0</v>
      </c>
    </row>
    <row r="230" spans="1:39" ht="15.75" hidden="1" customHeight="1" x14ac:dyDescent="0.25">
      <c r="A230" s="561"/>
      <c r="B230" s="561"/>
      <c r="C230" s="561"/>
      <c r="D230" s="672"/>
      <c r="E230" s="209"/>
      <c r="F230" s="209"/>
      <c r="G230" s="209"/>
      <c r="H230" s="176">
        <f t="shared" si="197"/>
        <v>0</v>
      </c>
      <c r="I230" s="209"/>
      <c r="J230" s="209"/>
      <c r="K230" s="176">
        <f t="shared" si="198"/>
        <v>0</v>
      </c>
      <c r="L230" s="209"/>
      <c r="M230" s="177">
        <f t="shared" si="199"/>
        <v>0</v>
      </c>
      <c r="N230" s="1012"/>
      <c r="O230" s="1012"/>
      <c r="P230" s="485"/>
      <c r="Q230" s="778"/>
      <c r="R230" s="778"/>
      <c r="S230" s="785" t="str">
        <f t="shared" si="202"/>
        <v/>
      </c>
      <c r="T230" s="548" t="str">
        <f t="shared" si="200"/>
        <v>Pipe Takeoff</v>
      </c>
      <c r="U230" s="83">
        <f>ROUND(IF($T230="Plumb Takeoff",$H230*U$3,IF($T230="Pipe Takeoff",$H230*U$4,$H230*U$2)),2)</f>
        <v>0</v>
      </c>
      <c r="V230" s="83">
        <f t="shared" si="204"/>
        <v>0</v>
      </c>
      <c r="W230" s="83">
        <f t="shared" si="205"/>
        <v>0</v>
      </c>
      <c r="X230" s="781">
        <f t="shared" si="206"/>
        <v>0</v>
      </c>
      <c r="Y230" s="781">
        <f t="shared" si="207"/>
        <v>0</v>
      </c>
      <c r="Z230" s="781">
        <f t="shared" si="208"/>
        <v>0</v>
      </c>
      <c r="AA230" s="83">
        <f t="shared" si="201"/>
        <v>0</v>
      </c>
      <c r="AB230" s="83">
        <f t="shared" si="209"/>
        <v>0</v>
      </c>
      <c r="AC230" s="83">
        <f t="shared" si="210"/>
        <v>0</v>
      </c>
      <c r="AD230" s="83">
        <f t="shared" si="211"/>
        <v>0</v>
      </c>
      <c r="AE230" s="83">
        <f t="shared" si="212"/>
        <v>0</v>
      </c>
      <c r="AF230" s="83">
        <f t="shared" si="213"/>
        <v>0</v>
      </c>
      <c r="AG230" s="83">
        <f t="shared" si="214"/>
        <v>0</v>
      </c>
      <c r="AH230" s="83">
        <f t="shared" si="215"/>
        <v>0</v>
      </c>
      <c r="AI230" s="83">
        <f t="shared" si="216"/>
        <v>0</v>
      </c>
      <c r="AJ230" s="718">
        <f t="shared" si="217"/>
        <v>0</v>
      </c>
      <c r="AL230">
        <f t="shared" si="218"/>
        <v>0</v>
      </c>
      <c r="AM230">
        <f t="shared" si="219"/>
        <v>0</v>
      </c>
    </row>
    <row r="231" spans="1:39" ht="15.75" x14ac:dyDescent="0.25">
      <c r="A231" s="551"/>
      <c r="B231" s="551"/>
      <c r="C231" s="551"/>
      <c r="D231" s="673"/>
      <c r="E231" s="552"/>
      <c r="F231" s="553"/>
      <c r="G231" s="553"/>
      <c r="H231" s="181">
        <f>SUM(H205:H230)</f>
        <v>0</v>
      </c>
      <c r="I231" s="182"/>
      <c r="J231" s="182"/>
      <c r="K231" s="181">
        <f>SUM(K205:K230)</f>
        <v>0</v>
      </c>
      <c r="L231" s="182"/>
      <c r="M231" s="177">
        <f>SUM(M205:M230)</f>
        <v>0</v>
      </c>
      <c r="O231" s="486"/>
      <c r="AJ231" s="718"/>
    </row>
    <row r="232" spans="1:39" ht="15.75" thickBot="1" x14ac:dyDescent="0.3">
      <c r="AJ232" s="718"/>
    </row>
    <row r="233" spans="1:39" ht="16.5" thickBot="1" x14ac:dyDescent="0.3">
      <c r="E233" s="678" t="s">
        <v>1122</v>
      </c>
      <c r="F233" s="1017" t="s">
        <v>1630</v>
      </c>
      <c r="G233" s="1018"/>
      <c r="H233" s="344"/>
      <c r="I233" s="1019" t="s">
        <v>1628</v>
      </c>
      <c r="J233" s="1020"/>
      <c r="K233" s="679" t="b">
        <v>0</v>
      </c>
      <c r="AJ233" s="718"/>
    </row>
    <row r="234" spans="1:39" ht="38.25" thickBot="1" x14ac:dyDescent="0.35">
      <c r="A234" s="477" t="s">
        <v>1063</v>
      </c>
      <c r="B234" s="477" t="s">
        <v>348</v>
      </c>
      <c r="C234" s="477" t="s">
        <v>349</v>
      </c>
      <c r="D234" s="666" t="s">
        <v>0</v>
      </c>
      <c r="E234" s="477" t="s">
        <v>1</v>
      </c>
      <c r="F234" s="480" t="s">
        <v>2</v>
      </c>
      <c r="G234" s="480" t="s">
        <v>1123</v>
      </c>
      <c r="H234" s="480" t="s">
        <v>3</v>
      </c>
      <c r="I234" s="483" t="s">
        <v>4</v>
      </c>
      <c r="J234" s="480" t="s">
        <v>1124</v>
      </c>
      <c r="K234" s="680" t="s">
        <v>5</v>
      </c>
      <c r="L234" s="480" t="s">
        <v>6</v>
      </c>
      <c r="M234" s="484" t="s">
        <v>7</v>
      </c>
      <c r="N234" s="1013" t="s">
        <v>1079</v>
      </c>
      <c r="O234" s="1014"/>
      <c r="P234" s="1009" t="s">
        <v>1629</v>
      </c>
      <c r="Q234" s="1009" t="s">
        <v>1147</v>
      </c>
      <c r="R234" s="1009" t="s">
        <v>1792</v>
      </c>
      <c r="T234" s="2"/>
      <c r="AJ234" s="718"/>
    </row>
    <row r="235" spans="1:39" ht="16.5" thickBot="1" x14ac:dyDescent="0.3">
      <c r="A235" s="183"/>
      <c r="B235" s="183"/>
      <c r="C235" s="183"/>
      <c r="D235" s="671" t="s">
        <v>1906</v>
      </c>
      <c r="E235" s="183"/>
      <c r="F235" s="183"/>
      <c r="G235" s="183"/>
      <c r="H235" s="183"/>
      <c r="I235" s="183"/>
      <c r="J235" s="183"/>
      <c r="K235" s="183"/>
      <c r="L235" s="183"/>
      <c r="M235" s="183"/>
      <c r="N235" s="1015"/>
      <c r="O235" s="1016"/>
      <c r="P235" s="1010" t="s">
        <v>1362</v>
      </c>
      <c r="Q235" s="1010"/>
      <c r="R235" s="1010"/>
      <c r="T235" s="1"/>
      <c r="AJ235" s="718"/>
    </row>
    <row r="236" spans="1:39" ht="15.75" x14ac:dyDescent="0.25">
      <c r="A236" s="561"/>
      <c r="B236" s="561"/>
      <c r="C236" s="561"/>
      <c r="D236" s="672"/>
      <c r="E236" s="209"/>
      <c r="F236" s="209"/>
      <c r="G236" s="209"/>
      <c r="H236" s="176">
        <f t="shared" ref="H236:H261" si="220">IF(SM_ExludeGroup7=TRUE,0,IF(G236="",E236*F236*IF(AND(S236="LOP",R236="SWING"),1+CrewRate_PlumbFitter_SwingLOP,1)*IF(AND(S236="LOP",R236="GRAVE"),1+CrewRate_PlumbFitter_GraveLOP,1)*IF(AND(S236="LOP",R236="SPECIAL"),1+CrewRate_PlumbFitter_SwingLOP,1),E236*F236*G236*IF(AND(S236="LOP",R236="SWING"),1+CrewRate_PlumbFitter_SwingLOP,1)*IF(AND(S236="LOP",R236="GRAVE"),1+CrewRate_PlumbFitter_GraveLOP,1)*IF(AND(S236="LOP",R236="SPECIAL"),1+CrewRate_PlumbFitter_SwingLOP,1)))</f>
        <v>0</v>
      </c>
      <c r="I236" s="209"/>
      <c r="J236" s="209"/>
      <c r="K236" s="176">
        <f t="shared" ref="K236:K261" si="221">IF(SM_ExludeGroup7=TRUE,0,IF(J236="",E236*I236,E236*I236*J236))</f>
        <v>0</v>
      </c>
      <c r="L236" s="209"/>
      <c r="M236" s="177">
        <f t="shared" ref="M236:M261" si="222">IF(SM_ExludeGroup7=TRUE,0,E236*L236)</f>
        <v>0</v>
      </c>
      <c r="N236" s="1012"/>
      <c r="O236" s="1012"/>
      <c r="P236" s="485"/>
      <c r="Q236" s="778"/>
      <c r="R236" s="778"/>
      <c r="S236" s="785" t="str">
        <f>IF(T236="Sheet Metal Takeoff","",IF(R236="","","LOP"))</f>
        <v/>
      </c>
      <c r="T236" s="548" t="str">
        <f t="shared" ref="T236:T261" si="223">IF($F$233="","Sheet Metal Takeoff",$F$233)</f>
        <v>Sheet Metal Takeoff</v>
      </c>
      <c r="U236" s="83">
        <f>ROUND(IF($T236="Plumb Takeoff",$H236*U$3,IF($T236="Pipe Takeoff",$H236*U$4,$H236*U$2)),2)</f>
        <v>0</v>
      </c>
      <c r="V236" s="83">
        <f>ROUND(IF($T236="Plumb Takeoff",IF($Q236="OT",$H236*V$3,0),IF($T236="Pipe Takeoff",IF($Q236="OT",$H236*V$4,0),IF($Q236="OT",$H236*V$2,0))),2)</f>
        <v>0</v>
      </c>
      <c r="W236" s="83">
        <f>ROUND(IF($T236="Plumb Takeoff",IF($Q236="DBLT",$H236*W$3,0),IF($T236="Pipe Takeoff",IF($Q236="DBLT",$H236*W$4,0),IF($Q236="DBLT",$H236*W$2,0))),2)</f>
        <v>0</v>
      </c>
      <c r="X236" s="781">
        <f>ROUND(SUM(IF($T236="Plumb Takeoff",IF($R236="SWING",ROUND(SUM($H236)*X$3,2))),IF($T236="Pipe Takeoff",IF($R236="SWING",ROUND(SUM($H236)*X$4,2))),IF($T236="Sheet Metal Takeoff",IF($R236="SWING",ROUND(SUM($H236)*X$2,2)))),2)</f>
        <v>0</v>
      </c>
      <c r="Y236" s="781">
        <f>ROUND(SUM(IF($T236="Plumb Takeoff",IF($R236="GRAVE",ROUND(SUM($H236)*Y$3,2))),IF($T236="Pipe Takeoff",IF($R236="GRAVE",ROUND(SUM($H236)*Y$4,2))),IF($T236="Sheet Metal Takeoff",IF($R236="GRAVE",ROUND(SUM($H236)*Y$2,2)))),2)</f>
        <v>0</v>
      </c>
      <c r="Z236" s="781">
        <f>ROUND(SUM(IF($T236="Plumb Takeoff",IF($R236="SPECIAL",ROUND(SUM($H236)*Z$3,2))),IF($T236="Pipe Takeoff",IF($R236="SPECIAL",ROUND(SUM($H236)*Z$4,2))),IF($T236="Sheet Metal Takeoff",IF($R236="SPECIAL",ROUND(SUM($H236)*Z$2,2)))),2)</f>
        <v>0</v>
      </c>
      <c r="AA236" s="83">
        <f t="shared" ref="AA236:AA261" si="224">ROUND($K236*AA$2,2)</f>
        <v>0</v>
      </c>
      <c r="AB236" s="83">
        <f>ROUND(IF($Q236="OT",$K236*AB$2,0),2)</f>
        <v>0</v>
      </c>
      <c r="AC236" s="83">
        <f>ROUND(IF($Q236="DBLT",$K236*AC$2,0),2)</f>
        <v>0</v>
      </c>
      <c r="AD236" s="83">
        <f>ROUND(IF($R236="SWING",$K236*AD$2,0),2)</f>
        <v>0</v>
      </c>
      <c r="AE236" s="83">
        <f>ROUND(IF($R236="GRAVE",$K236*AE$2,0),2)</f>
        <v>0</v>
      </c>
      <c r="AF236" s="83">
        <f>ROUND(IF($R236="SPECIAL",$K236*AF$2,0),2)</f>
        <v>0</v>
      </c>
      <c r="AG236" s="83">
        <f>SUM(U236:Z236)</f>
        <v>0</v>
      </c>
      <c r="AH236" s="83">
        <f>SUM(AA236:AF236)</f>
        <v>0</v>
      </c>
      <c r="AI236" s="83">
        <f>SUM(U236:AF236)</f>
        <v>0</v>
      </c>
      <c r="AJ236" s="718">
        <f>SUM(M236,AI236)</f>
        <v>0</v>
      </c>
      <c r="AL236">
        <f>SUM(V236:Z236)</f>
        <v>0</v>
      </c>
      <c r="AM236">
        <f>SUM(AB236:AF236)</f>
        <v>0</v>
      </c>
    </row>
    <row r="237" spans="1:39" ht="15.75" x14ac:dyDescent="0.25">
      <c r="A237" s="561"/>
      <c r="B237" s="561"/>
      <c r="C237" s="561"/>
      <c r="D237" s="672"/>
      <c r="E237" s="209"/>
      <c r="F237" s="209"/>
      <c r="G237" s="209"/>
      <c r="H237" s="176">
        <f t="shared" si="220"/>
        <v>0</v>
      </c>
      <c r="I237" s="209"/>
      <c r="J237" s="209"/>
      <c r="K237" s="176">
        <f t="shared" si="221"/>
        <v>0</v>
      </c>
      <c r="L237" s="209"/>
      <c r="M237" s="177">
        <f t="shared" si="222"/>
        <v>0</v>
      </c>
      <c r="N237" s="1012"/>
      <c r="O237" s="1012"/>
      <c r="P237" s="485"/>
      <c r="Q237" s="778"/>
      <c r="R237" s="778"/>
      <c r="S237" s="785" t="str">
        <f t="shared" ref="S237:S261" si="225">IF(T237="Sheet Metal Takeoff","",IF(R237="","","LOP"))</f>
        <v/>
      </c>
      <c r="T237" s="548" t="str">
        <f t="shared" si="223"/>
        <v>Sheet Metal Takeoff</v>
      </c>
      <c r="U237" s="83">
        <f t="shared" ref="U237:U260" si="226">ROUND(IF($T237="Plumb Takeoff",$H237*U$3,IF($T237="Pipe Takeoff",$H237*U$4,$H237*U$2)),2)</f>
        <v>0</v>
      </c>
      <c r="V237" s="83">
        <f t="shared" ref="V237:V261" si="227">ROUND(IF($T237="Plumb Takeoff",IF($Q237="OT",$H237*V$3,0),IF($T237="Pipe Takeoff",IF($Q237="OT",$H237*V$4,0),IF($Q237="OT",$H237*V$2,0))),2)</f>
        <v>0</v>
      </c>
      <c r="W237" s="83">
        <f t="shared" ref="W237:W261" si="228">ROUND(IF($T237="Plumb Takeoff",IF($Q237="DBLT",$H237*W$3,0),IF($T237="Pipe Takeoff",IF($Q237="DBLT",$H237*W$4,0),IF($Q237="DBLT",$H237*W$2,0))),2)</f>
        <v>0</v>
      </c>
      <c r="X237" s="781">
        <f t="shared" ref="X237:X261" si="229">ROUND(SUM(IF($T237="Plumb Takeoff",IF($R237="SWING",ROUND(SUM($H237)*X$3,2))),IF($T237="Pipe Takeoff",IF($R237="SWING",ROUND(SUM($H237)*X$4,2))),IF($T237="Sheet Metal Takeoff",IF($R237="SWING",ROUND(SUM($H237)*X$2,2)))),2)</f>
        <v>0</v>
      </c>
      <c r="Y237" s="781">
        <f t="shared" ref="Y237:Y261" si="230">ROUND(SUM(IF($T237="Plumb Takeoff",IF($R237="GRAVE",ROUND(SUM($H237)*Y$3,2))),IF($T237="Pipe Takeoff",IF($R237="GRAVE",ROUND(SUM($H237)*Y$4,2))),IF($T237="Sheet Metal Takeoff",IF($R237="GRAVE",ROUND(SUM($H237)*Y$2,2)))),2)</f>
        <v>0</v>
      </c>
      <c r="Z237" s="781">
        <f t="shared" ref="Z237:Z261" si="231">ROUND(SUM(IF($T237="Plumb Takeoff",IF($R237="SPECIAL",ROUND(SUM($H237)*Z$3,2))),IF($T237="Pipe Takeoff",IF($R237="SPECIAL",ROUND(SUM($H237)*Z$4,2))),IF($T237="Sheet Metal Takeoff",IF($R237="SPECIAL",ROUND(SUM($H237)*Z$2,2)))),2)</f>
        <v>0</v>
      </c>
      <c r="AA237" s="83">
        <f t="shared" si="224"/>
        <v>0</v>
      </c>
      <c r="AB237" s="83">
        <f t="shared" ref="AB237:AB261" si="232">ROUND(IF($Q237="OT",$K237*AB$2,0),2)</f>
        <v>0</v>
      </c>
      <c r="AC237" s="83">
        <f t="shared" ref="AC237:AC261" si="233">ROUND(IF($Q237="DBLT",$K237*AC$2,0),2)</f>
        <v>0</v>
      </c>
      <c r="AD237" s="83">
        <f t="shared" ref="AD237:AD261" si="234">ROUND(IF($R237="SWING",$K237*AD$2,0),2)</f>
        <v>0</v>
      </c>
      <c r="AE237" s="83">
        <f t="shared" ref="AE237:AE261" si="235">ROUND(IF($R237="GRAVE",$K237*AE$2,0),2)</f>
        <v>0</v>
      </c>
      <c r="AF237" s="83">
        <f t="shared" ref="AF237:AF261" si="236">ROUND(IF($R237="SPECIAL",$K237*AF$2,0),2)</f>
        <v>0</v>
      </c>
      <c r="AG237" s="83">
        <f t="shared" ref="AG237:AG261" si="237">SUM(U237:Z237)</f>
        <v>0</v>
      </c>
      <c r="AH237" s="83">
        <f t="shared" ref="AH237:AH261" si="238">SUM(AA237:AF237)</f>
        <v>0</v>
      </c>
      <c r="AI237" s="83">
        <f t="shared" ref="AI237:AI261" si="239">SUM(U237:AF237)</f>
        <v>0</v>
      </c>
      <c r="AJ237" s="718">
        <f t="shared" ref="AJ237:AJ261" si="240">SUM(M237,AI237)</f>
        <v>0</v>
      </c>
      <c r="AL237">
        <f t="shared" ref="AL237:AL261" si="241">SUM(V237:Z237)</f>
        <v>0</v>
      </c>
      <c r="AM237">
        <f t="shared" ref="AM237:AM261" si="242">SUM(AB237:AF237)</f>
        <v>0</v>
      </c>
    </row>
    <row r="238" spans="1:39" ht="15.75" x14ac:dyDescent="0.25">
      <c r="A238" s="561"/>
      <c r="B238" s="561"/>
      <c r="C238" s="561"/>
      <c r="D238" s="672"/>
      <c r="E238" s="209"/>
      <c r="F238" s="209"/>
      <c r="G238" s="209"/>
      <c r="H238" s="176">
        <f t="shared" si="220"/>
        <v>0</v>
      </c>
      <c r="I238" s="209"/>
      <c r="J238" s="209"/>
      <c r="K238" s="176">
        <f t="shared" si="221"/>
        <v>0</v>
      </c>
      <c r="L238" s="209"/>
      <c r="M238" s="177">
        <f t="shared" si="222"/>
        <v>0</v>
      </c>
      <c r="N238" s="1012"/>
      <c r="O238" s="1012"/>
      <c r="P238" s="485"/>
      <c r="Q238" s="778"/>
      <c r="R238" s="778"/>
      <c r="S238" s="785" t="str">
        <f t="shared" si="225"/>
        <v/>
      </c>
      <c r="T238" s="548" t="str">
        <f t="shared" si="223"/>
        <v>Sheet Metal Takeoff</v>
      </c>
      <c r="U238" s="83">
        <f t="shared" si="226"/>
        <v>0</v>
      </c>
      <c r="V238" s="83">
        <f t="shared" si="227"/>
        <v>0</v>
      </c>
      <c r="W238" s="83">
        <f t="shared" si="228"/>
        <v>0</v>
      </c>
      <c r="X238" s="781">
        <f t="shared" si="229"/>
        <v>0</v>
      </c>
      <c r="Y238" s="781">
        <f t="shared" si="230"/>
        <v>0</v>
      </c>
      <c r="Z238" s="781">
        <f t="shared" si="231"/>
        <v>0</v>
      </c>
      <c r="AA238" s="83">
        <f t="shared" si="224"/>
        <v>0</v>
      </c>
      <c r="AB238" s="83">
        <f t="shared" si="232"/>
        <v>0</v>
      </c>
      <c r="AC238" s="83">
        <f t="shared" si="233"/>
        <v>0</v>
      </c>
      <c r="AD238" s="83">
        <f t="shared" si="234"/>
        <v>0</v>
      </c>
      <c r="AE238" s="83">
        <f t="shared" si="235"/>
        <v>0</v>
      </c>
      <c r="AF238" s="83">
        <f t="shared" si="236"/>
        <v>0</v>
      </c>
      <c r="AG238" s="83">
        <f t="shared" si="237"/>
        <v>0</v>
      </c>
      <c r="AH238" s="83">
        <f t="shared" si="238"/>
        <v>0</v>
      </c>
      <c r="AI238" s="83">
        <f t="shared" si="239"/>
        <v>0</v>
      </c>
      <c r="AJ238" s="718">
        <f t="shared" si="240"/>
        <v>0</v>
      </c>
      <c r="AL238">
        <f t="shared" si="241"/>
        <v>0</v>
      </c>
      <c r="AM238">
        <f t="shared" si="242"/>
        <v>0</v>
      </c>
    </row>
    <row r="239" spans="1:39" ht="15.75" x14ac:dyDescent="0.25">
      <c r="A239" s="561"/>
      <c r="B239" s="561"/>
      <c r="C239" s="561"/>
      <c r="D239" s="672"/>
      <c r="E239" s="209"/>
      <c r="F239" s="209"/>
      <c r="G239" s="209"/>
      <c r="H239" s="176">
        <f t="shared" si="220"/>
        <v>0</v>
      </c>
      <c r="I239" s="209"/>
      <c r="J239" s="209"/>
      <c r="K239" s="176">
        <f t="shared" si="221"/>
        <v>0</v>
      </c>
      <c r="L239" s="209"/>
      <c r="M239" s="177">
        <f t="shared" si="222"/>
        <v>0</v>
      </c>
      <c r="N239" s="1012"/>
      <c r="O239" s="1012"/>
      <c r="P239" s="485"/>
      <c r="Q239" s="778"/>
      <c r="R239" s="778"/>
      <c r="S239" s="785" t="str">
        <f t="shared" si="225"/>
        <v/>
      </c>
      <c r="T239" s="548" t="str">
        <f t="shared" si="223"/>
        <v>Sheet Metal Takeoff</v>
      </c>
      <c r="U239" s="83">
        <f t="shared" si="226"/>
        <v>0</v>
      </c>
      <c r="V239" s="83">
        <f t="shared" si="227"/>
        <v>0</v>
      </c>
      <c r="W239" s="83">
        <f t="shared" si="228"/>
        <v>0</v>
      </c>
      <c r="X239" s="781">
        <f t="shared" si="229"/>
        <v>0</v>
      </c>
      <c r="Y239" s="781">
        <f t="shared" si="230"/>
        <v>0</v>
      </c>
      <c r="Z239" s="781">
        <f t="shared" si="231"/>
        <v>0</v>
      </c>
      <c r="AA239" s="83">
        <f t="shared" si="224"/>
        <v>0</v>
      </c>
      <c r="AB239" s="83">
        <f t="shared" si="232"/>
        <v>0</v>
      </c>
      <c r="AC239" s="83">
        <f t="shared" si="233"/>
        <v>0</v>
      </c>
      <c r="AD239" s="83">
        <f t="shared" si="234"/>
        <v>0</v>
      </c>
      <c r="AE239" s="83">
        <f t="shared" si="235"/>
        <v>0</v>
      </c>
      <c r="AF239" s="83">
        <f t="shared" si="236"/>
        <v>0</v>
      </c>
      <c r="AG239" s="83">
        <f t="shared" si="237"/>
        <v>0</v>
      </c>
      <c r="AH239" s="83">
        <f t="shared" si="238"/>
        <v>0</v>
      </c>
      <c r="AI239" s="83">
        <f t="shared" si="239"/>
        <v>0</v>
      </c>
      <c r="AJ239" s="718">
        <f t="shared" si="240"/>
        <v>0</v>
      </c>
      <c r="AL239">
        <f t="shared" si="241"/>
        <v>0</v>
      </c>
      <c r="AM239">
        <f t="shared" si="242"/>
        <v>0</v>
      </c>
    </row>
    <row r="240" spans="1:39" ht="15.75" x14ac:dyDescent="0.25">
      <c r="A240" s="561"/>
      <c r="B240" s="561"/>
      <c r="C240" s="561"/>
      <c r="D240" s="672"/>
      <c r="E240" s="209"/>
      <c r="F240" s="209"/>
      <c r="G240" s="209"/>
      <c r="H240" s="176">
        <f t="shared" si="220"/>
        <v>0</v>
      </c>
      <c r="I240" s="209"/>
      <c r="J240" s="209"/>
      <c r="K240" s="176">
        <f t="shared" si="221"/>
        <v>0</v>
      </c>
      <c r="L240" s="209"/>
      <c r="M240" s="177">
        <f t="shared" si="222"/>
        <v>0</v>
      </c>
      <c r="N240" s="1012"/>
      <c r="O240" s="1012"/>
      <c r="P240" s="485"/>
      <c r="Q240" s="778"/>
      <c r="R240" s="778"/>
      <c r="S240" s="785" t="str">
        <f t="shared" si="225"/>
        <v/>
      </c>
      <c r="T240" s="548" t="str">
        <f t="shared" si="223"/>
        <v>Sheet Metal Takeoff</v>
      </c>
      <c r="U240" s="83">
        <f t="shared" si="226"/>
        <v>0</v>
      </c>
      <c r="V240" s="83">
        <f t="shared" si="227"/>
        <v>0</v>
      </c>
      <c r="W240" s="83">
        <f t="shared" si="228"/>
        <v>0</v>
      </c>
      <c r="X240" s="781">
        <f t="shared" si="229"/>
        <v>0</v>
      </c>
      <c r="Y240" s="781">
        <f t="shared" si="230"/>
        <v>0</v>
      </c>
      <c r="Z240" s="781">
        <f t="shared" si="231"/>
        <v>0</v>
      </c>
      <c r="AA240" s="83">
        <f t="shared" si="224"/>
        <v>0</v>
      </c>
      <c r="AB240" s="83">
        <f t="shared" si="232"/>
        <v>0</v>
      </c>
      <c r="AC240" s="83">
        <f t="shared" si="233"/>
        <v>0</v>
      </c>
      <c r="AD240" s="83">
        <f t="shared" si="234"/>
        <v>0</v>
      </c>
      <c r="AE240" s="83">
        <f t="shared" si="235"/>
        <v>0</v>
      </c>
      <c r="AF240" s="83">
        <f t="shared" si="236"/>
        <v>0</v>
      </c>
      <c r="AG240" s="83">
        <f t="shared" si="237"/>
        <v>0</v>
      </c>
      <c r="AH240" s="83">
        <f t="shared" si="238"/>
        <v>0</v>
      </c>
      <c r="AI240" s="83">
        <f t="shared" si="239"/>
        <v>0</v>
      </c>
      <c r="AJ240" s="718">
        <f t="shared" si="240"/>
        <v>0</v>
      </c>
      <c r="AL240">
        <f t="shared" si="241"/>
        <v>0</v>
      </c>
      <c r="AM240">
        <f t="shared" si="242"/>
        <v>0</v>
      </c>
    </row>
    <row r="241" spans="1:39" ht="15.75" x14ac:dyDescent="0.25">
      <c r="A241" s="561"/>
      <c r="B241" s="561"/>
      <c r="C241" s="561"/>
      <c r="D241" s="672"/>
      <c r="E241" s="209"/>
      <c r="F241" s="209"/>
      <c r="G241" s="209"/>
      <c r="H241" s="176">
        <f t="shared" si="220"/>
        <v>0</v>
      </c>
      <c r="I241" s="209"/>
      <c r="J241" s="209"/>
      <c r="K241" s="176">
        <f t="shared" si="221"/>
        <v>0</v>
      </c>
      <c r="L241" s="209"/>
      <c r="M241" s="177">
        <f t="shared" si="222"/>
        <v>0</v>
      </c>
      <c r="N241" s="1012"/>
      <c r="O241" s="1012"/>
      <c r="P241" s="485"/>
      <c r="Q241" s="778"/>
      <c r="R241" s="778"/>
      <c r="S241" s="785" t="str">
        <f t="shared" si="225"/>
        <v/>
      </c>
      <c r="T241" s="548" t="str">
        <f t="shared" si="223"/>
        <v>Sheet Metal Takeoff</v>
      </c>
      <c r="U241" s="83">
        <f t="shared" si="226"/>
        <v>0</v>
      </c>
      <c r="V241" s="83">
        <f t="shared" si="227"/>
        <v>0</v>
      </c>
      <c r="W241" s="83">
        <f t="shared" si="228"/>
        <v>0</v>
      </c>
      <c r="X241" s="781">
        <f t="shared" si="229"/>
        <v>0</v>
      </c>
      <c r="Y241" s="781">
        <f t="shared" si="230"/>
        <v>0</v>
      </c>
      <c r="Z241" s="781">
        <f t="shared" si="231"/>
        <v>0</v>
      </c>
      <c r="AA241" s="83">
        <f t="shared" si="224"/>
        <v>0</v>
      </c>
      <c r="AB241" s="83">
        <f t="shared" si="232"/>
        <v>0</v>
      </c>
      <c r="AC241" s="83">
        <f t="shared" si="233"/>
        <v>0</v>
      </c>
      <c r="AD241" s="83">
        <f t="shared" si="234"/>
        <v>0</v>
      </c>
      <c r="AE241" s="83">
        <f t="shared" si="235"/>
        <v>0</v>
      </c>
      <c r="AF241" s="83">
        <f t="shared" si="236"/>
        <v>0</v>
      </c>
      <c r="AG241" s="83">
        <f t="shared" si="237"/>
        <v>0</v>
      </c>
      <c r="AH241" s="83">
        <f t="shared" si="238"/>
        <v>0</v>
      </c>
      <c r="AI241" s="83">
        <f t="shared" si="239"/>
        <v>0</v>
      </c>
      <c r="AJ241" s="718">
        <f t="shared" si="240"/>
        <v>0</v>
      </c>
      <c r="AL241">
        <f t="shared" si="241"/>
        <v>0</v>
      </c>
      <c r="AM241">
        <f t="shared" si="242"/>
        <v>0</v>
      </c>
    </row>
    <row r="242" spans="1:39" ht="15.75" x14ac:dyDescent="0.25">
      <c r="A242" s="561"/>
      <c r="B242" s="561"/>
      <c r="C242" s="561"/>
      <c r="D242" s="672"/>
      <c r="E242" s="209"/>
      <c r="F242" s="209"/>
      <c r="G242" s="209"/>
      <c r="H242" s="176">
        <f t="shared" si="220"/>
        <v>0</v>
      </c>
      <c r="I242" s="209"/>
      <c r="J242" s="209"/>
      <c r="K242" s="176">
        <f t="shared" si="221"/>
        <v>0</v>
      </c>
      <c r="L242" s="209"/>
      <c r="M242" s="177">
        <f t="shared" si="222"/>
        <v>0</v>
      </c>
      <c r="N242" s="1012"/>
      <c r="O242" s="1012"/>
      <c r="P242" s="485"/>
      <c r="Q242" s="778"/>
      <c r="R242" s="778"/>
      <c r="S242" s="785" t="str">
        <f t="shared" si="225"/>
        <v/>
      </c>
      <c r="T242" s="548" t="str">
        <f t="shared" si="223"/>
        <v>Sheet Metal Takeoff</v>
      </c>
      <c r="U242" s="83">
        <f t="shared" si="226"/>
        <v>0</v>
      </c>
      <c r="V242" s="83">
        <f t="shared" si="227"/>
        <v>0</v>
      </c>
      <c r="W242" s="83">
        <f t="shared" si="228"/>
        <v>0</v>
      </c>
      <c r="X242" s="781">
        <f t="shared" si="229"/>
        <v>0</v>
      </c>
      <c r="Y242" s="781">
        <f t="shared" si="230"/>
        <v>0</v>
      </c>
      <c r="Z242" s="781">
        <f t="shared" si="231"/>
        <v>0</v>
      </c>
      <c r="AA242" s="83">
        <f t="shared" si="224"/>
        <v>0</v>
      </c>
      <c r="AB242" s="83">
        <f t="shared" si="232"/>
        <v>0</v>
      </c>
      <c r="AC242" s="83">
        <f t="shared" si="233"/>
        <v>0</v>
      </c>
      <c r="AD242" s="83">
        <f t="shared" si="234"/>
        <v>0</v>
      </c>
      <c r="AE242" s="83">
        <f t="shared" si="235"/>
        <v>0</v>
      </c>
      <c r="AF242" s="83">
        <f t="shared" si="236"/>
        <v>0</v>
      </c>
      <c r="AG242" s="83">
        <f t="shared" si="237"/>
        <v>0</v>
      </c>
      <c r="AH242" s="83">
        <f t="shared" si="238"/>
        <v>0</v>
      </c>
      <c r="AI242" s="83">
        <f t="shared" si="239"/>
        <v>0</v>
      </c>
      <c r="AJ242" s="718">
        <f t="shared" si="240"/>
        <v>0</v>
      </c>
      <c r="AL242">
        <f t="shared" si="241"/>
        <v>0</v>
      </c>
      <c r="AM242">
        <f t="shared" si="242"/>
        <v>0</v>
      </c>
    </row>
    <row r="243" spans="1:39" ht="15.75" x14ac:dyDescent="0.25">
      <c r="A243" s="561"/>
      <c r="B243" s="561"/>
      <c r="C243" s="561"/>
      <c r="D243" s="672"/>
      <c r="E243" s="209"/>
      <c r="F243" s="209"/>
      <c r="G243" s="209"/>
      <c r="H243" s="176">
        <f t="shared" si="220"/>
        <v>0</v>
      </c>
      <c r="I243" s="209"/>
      <c r="J243" s="209"/>
      <c r="K243" s="176">
        <f t="shared" si="221"/>
        <v>0</v>
      </c>
      <c r="L243" s="209"/>
      <c r="M243" s="177">
        <f t="shared" si="222"/>
        <v>0</v>
      </c>
      <c r="N243" s="1012"/>
      <c r="O243" s="1012"/>
      <c r="P243" s="485"/>
      <c r="Q243" s="778"/>
      <c r="R243" s="778"/>
      <c r="S243" s="785" t="str">
        <f t="shared" si="225"/>
        <v/>
      </c>
      <c r="T243" s="548" t="str">
        <f t="shared" si="223"/>
        <v>Sheet Metal Takeoff</v>
      </c>
      <c r="U243" s="83">
        <f t="shared" si="226"/>
        <v>0</v>
      </c>
      <c r="V243" s="83">
        <f t="shared" si="227"/>
        <v>0</v>
      </c>
      <c r="W243" s="83">
        <f t="shared" si="228"/>
        <v>0</v>
      </c>
      <c r="X243" s="781">
        <f t="shared" si="229"/>
        <v>0</v>
      </c>
      <c r="Y243" s="781">
        <f t="shared" si="230"/>
        <v>0</v>
      </c>
      <c r="Z243" s="781">
        <f t="shared" si="231"/>
        <v>0</v>
      </c>
      <c r="AA243" s="83">
        <f t="shared" si="224"/>
        <v>0</v>
      </c>
      <c r="AB243" s="83">
        <f t="shared" si="232"/>
        <v>0</v>
      </c>
      <c r="AC243" s="83">
        <f t="shared" si="233"/>
        <v>0</v>
      </c>
      <c r="AD243" s="83">
        <f t="shared" si="234"/>
        <v>0</v>
      </c>
      <c r="AE243" s="83">
        <f t="shared" si="235"/>
        <v>0</v>
      </c>
      <c r="AF243" s="83">
        <f t="shared" si="236"/>
        <v>0</v>
      </c>
      <c r="AG243" s="83">
        <f t="shared" si="237"/>
        <v>0</v>
      </c>
      <c r="AH243" s="83">
        <f t="shared" si="238"/>
        <v>0</v>
      </c>
      <c r="AI243" s="83">
        <f t="shared" si="239"/>
        <v>0</v>
      </c>
      <c r="AJ243" s="718">
        <f t="shared" si="240"/>
        <v>0</v>
      </c>
      <c r="AL243">
        <f t="shared" si="241"/>
        <v>0</v>
      </c>
      <c r="AM243">
        <f t="shared" si="242"/>
        <v>0</v>
      </c>
    </row>
    <row r="244" spans="1:39" ht="15.75" x14ac:dyDescent="0.25">
      <c r="A244" s="561"/>
      <c r="B244" s="561"/>
      <c r="C244" s="561"/>
      <c r="D244" s="672"/>
      <c r="E244" s="209"/>
      <c r="F244" s="209"/>
      <c r="G244" s="209"/>
      <c r="H244" s="176">
        <f t="shared" si="220"/>
        <v>0</v>
      </c>
      <c r="I244" s="209"/>
      <c r="J244" s="209"/>
      <c r="K244" s="176">
        <f t="shared" si="221"/>
        <v>0</v>
      </c>
      <c r="L244" s="209"/>
      <c r="M244" s="177">
        <f t="shared" si="222"/>
        <v>0</v>
      </c>
      <c r="N244" s="1012"/>
      <c r="O244" s="1012"/>
      <c r="P244" s="485"/>
      <c r="Q244" s="778"/>
      <c r="R244" s="778"/>
      <c r="S244" s="785" t="str">
        <f t="shared" si="225"/>
        <v/>
      </c>
      <c r="T244" s="548" t="str">
        <f t="shared" si="223"/>
        <v>Sheet Metal Takeoff</v>
      </c>
      <c r="U244" s="83">
        <f t="shared" si="226"/>
        <v>0</v>
      </c>
      <c r="V244" s="83">
        <f t="shared" si="227"/>
        <v>0</v>
      </c>
      <c r="W244" s="83">
        <f t="shared" si="228"/>
        <v>0</v>
      </c>
      <c r="X244" s="781">
        <f t="shared" si="229"/>
        <v>0</v>
      </c>
      <c r="Y244" s="781">
        <f t="shared" si="230"/>
        <v>0</v>
      </c>
      <c r="Z244" s="781">
        <f t="shared" si="231"/>
        <v>0</v>
      </c>
      <c r="AA244" s="83">
        <f t="shared" si="224"/>
        <v>0</v>
      </c>
      <c r="AB244" s="83">
        <f t="shared" si="232"/>
        <v>0</v>
      </c>
      <c r="AC244" s="83">
        <f t="shared" si="233"/>
        <v>0</v>
      </c>
      <c r="AD244" s="83">
        <f t="shared" si="234"/>
        <v>0</v>
      </c>
      <c r="AE244" s="83">
        <f t="shared" si="235"/>
        <v>0</v>
      </c>
      <c r="AF244" s="83">
        <f t="shared" si="236"/>
        <v>0</v>
      </c>
      <c r="AG244" s="83">
        <f t="shared" si="237"/>
        <v>0</v>
      </c>
      <c r="AH244" s="83">
        <f t="shared" si="238"/>
        <v>0</v>
      </c>
      <c r="AI244" s="83">
        <f t="shared" si="239"/>
        <v>0</v>
      </c>
      <c r="AJ244" s="718">
        <f t="shared" si="240"/>
        <v>0</v>
      </c>
      <c r="AL244">
        <f t="shared" si="241"/>
        <v>0</v>
      </c>
      <c r="AM244">
        <f t="shared" si="242"/>
        <v>0</v>
      </c>
    </row>
    <row r="245" spans="1:39" ht="15.75" x14ac:dyDescent="0.25">
      <c r="A245" s="561"/>
      <c r="B245" s="561"/>
      <c r="C245" s="561"/>
      <c r="D245" s="672"/>
      <c r="E245" s="209"/>
      <c r="F245" s="209"/>
      <c r="G245" s="209"/>
      <c r="H245" s="176">
        <f t="shared" si="220"/>
        <v>0</v>
      </c>
      <c r="I245" s="209"/>
      <c r="J245" s="209"/>
      <c r="K245" s="176">
        <f t="shared" si="221"/>
        <v>0</v>
      </c>
      <c r="L245" s="209"/>
      <c r="M245" s="177">
        <f t="shared" si="222"/>
        <v>0</v>
      </c>
      <c r="N245" s="1012"/>
      <c r="O245" s="1012"/>
      <c r="P245" s="485"/>
      <c r="Q245" s="778"/>
      <c r="R245" s="778"/>
      <c r="S245" s="785" t="str">
        <f t="shared" si="225"/>
        <v/>
      </c>
      <c r="T245" s="548" t="str">
        <f t="shared" si="223"/>
        <v>Sheet Metal Takeoff</v>
      </c>
      <c r="U245" s="83">
        <f t="shared" si="226"/>
        <v>0</v>
      </c>
      <c r="V245" s="83">
        <f t="shared" si="227"/>
        <v>0</v>
      </c>
      <c r="W245" s="83">
        <f t="shared" si="228"/>
        <v>0</v>
      </c>
      <c r="X245" s="781">
        <f t="shared" si="229"/>
        <v>0</v>
      </c>
      <c r="Y245" s="781">
        <f t="shared" si="230"/>
        <v>0</v>
      </c>
      <c r="Z245" s="781">
        <f t="shared" si="231"/>
        <v>0</v>
      </c>
      <c r="AA245" s="83">
        <f t="shared" si="224"/>
        <v>0</v>
      </c>
      <c r="AB245" s="83">
        <f t="shared" si="232"/>
        <v>0</v>
      </c>
      <c r="AC245" s="83">
        <f t="shared" si="233"/>
        <v>0</v>
      </c>
      <c r="AD245" s="83">
        <f t="shared" si="234"/>
        <v>0</v>
      </c>
      <c r="AE245" s="83">
        <f t="shared" si="235"/>
        <v>0</v>
      </c>
      <c r="AF245" s="83">
        <f t="shared" si="236"/>
        <v>0</v>
      </c>
      <c r="AG245" s="83">
        <f t="shared" si="237"/>
        <v>0</v>
      </c>
      <c r="AH245" s="83">
        <f t="shared" si="238"/>
        <v>0</v>
      </c>
      <c r="AI245" s="83">
        <f t="shared" si="239"/>
        <v>0</v>
      </c>
      <c r="AJ245" s="718">
        <f t="shared" si="240"/>
        <v>0</v>
      </c>
      <c r="AL245">
        <f t="shared" si="241"/>
        <v>0</v>
      </c>
      <c r="AM245">
        <f t="shared" si="242"/>
        <v>0</v>
      </c>
    </row>
    <row r="246" spans="1:39" ht="15.75" x14ac:dyDescent="0.25">
      <c r="A246" s="561"/>
      <c r="B246" s="561"/>
      <c r="C246" s="561"/>
      <c r="D246" s="672"/>
      <c r="E246" s="209"/>
      <c r="F246" s="209"/>
      <c r="G246" s="209"/>
      <c r="H246" s="176">
        <f t="shared" si="220"/>
        <v>0</v>
      </c>
      <c r="I246" s="209"/>
      <c r="J246" s="209"/>
      <c r="K246" s="176">
        <f t="shared" si="221"/>
        <v>0</v>
      </c>
      <c r="L246" s="209"/>
      <c r="M246" s="177">
        <f t="shared" si="222"/>
        <v>0</v>
      </c>
      <c r="N246" s="1012"/>
      <c r="O246" s="1012"/>
      <c r="P246" s="485"/>
      <c r="Q246" s="778"/>
      <c r="R246" s="778"/>
      <c r="S246" s="785" t="str">
        <f t="shared" si="225"/>
        <v/>
      </c>
      <c r="T246" s="548" t="str">
        <f t="shared" si="223"/>
        <v>Sheet Metal Takeoff</v>
      </c>
      <c r="U246" s="83">
        <f t="shared" si="226"/>
        <v>0</v>
      </c>
      <c r="V246" s="83">
        <f t="shared" si="227"/>
        <v>0</v>
      </c>
      <c r="W246" s="83">
        <f t="shared" si="228"/>
        <v>0</v>
      </c>
      <c r="X246" s="781">
        <f t="shared" si="229"/>
        <v>0</v>
      </c>
      <c r="Y246" s="781">
        <f t="shared" si="230"/>
        <v>0</v>
      </c>
      <c r="Z246" s="781">
        <f t="shared" si="231"/>
        <v>0</v>
      </c>
      <c r="AA246" s="83">
        <f t="shared" si="224"/>
        <v>0</v>
      </c>
      <c r="AB246" s="83">
        <f t="shared" si="232"/>
        <v>0</v>
      </c>
      <c r="AC246" s="83">
        <f t="shared" si="233"/>
        <v>0</v>
      </c>
      <c r="AD246" s="83">
        <f t="shared" si="234"/>
        <v>0</v>
      </c>
      <c r="AE246" s="83">
        <f t="shared" si="235"/>
        <v>0</v>
      </c>
      <c r="AF246" s="83">
        <f t="shared" si="236"/>
        <v>0</v>
      </c>
      <c r="AG246" s="83">
        <f t="shared" si="237"/>
        <v>0</v>
      </c>
      <c r="AH246" s="83">
        <f t="shared" si="238"/>
        <v>0</v>
      </c>
      <c r="AI246" s="83">
        <f t="shared" si="239"/>
        <v>0</v>
      </c>
      <c r="AJ246" s="718">
        <f t="shared" si="240"/>
        <v>0</v>
      </c>
      <c r="AL246">
        <f t="shared" si="241"/>
        <v>0</v>
      </c>
      <c r="AM246">
        <f t="shared" si="242"/>
        <v>0</v>
      </c>
    </row>
    <row r="247" spans="1:39" ht="15.75" x14ac:dyDescent="0.25">
      <c r="A247" s="561"/>
      <c r="B247" s="561"/>
      <c r="C247" s="561"/>
      <c r="D247" s="672"/>
      <c r="E247" s="209"/>
      <c r="F247" s="209"/>
      <c r="G247" s="209"/>
      <c r="H247" s="176">
        <f t="shared" si="220"/>
        <v>0</v>
      </c>
      <c r="I247" s="209"/>
      <c r="J247" s="209"/>
      <c r="K247" s="176">
        <f t="shared" si="221"/>
        <v>0</v>
      </c>
      <c r="L247" s="209"/>
      <c r="M247" s="177">
        <f t="shared" si="222"/>
        <v>0</v>
      </c>
      <c r="N247" s="1012"/>
      <c r="O247" s="1012"/>
      <c r="P247" s="485"/>
      <c r="Q247" s="778"/>
      <c r="R247" s="778"/>
      <c r="S247" s="785" t="str">
        <f t="shared" si="225"/>
        <v/>
      </c>
      <c r="T247" s="548" t="str">
        <f t="shared" si="223"/>
        <v>Sheet Metal Takeoff</v>
      </c>
      <c r="U247" s="83">
        <f t="shared" si="226"/>
        <v>0</v>
      </c>
      <c r="V247" s="83">
        <f t="shared" si="227"/>
        <v>0</v>
      </c>
      <c r="W247" s="83">
        <f t="shared" si="228"/>
        <v>0</v>
      </c>
      <c r="X247" s="781">
        <f t="shared" si="229"/>
        <v>0</v>
      </c>
      <c r="Y247" s="781">
        <f t="shared" si="230"/>
        <v>0</v>
      </c>
      <c r="Z247" s="781">
        <f t="shared" si="231"/>
        <v>0</v>
      </c>
      <c r="AA247" s="83">
        <f t="shared" si="224"/>
        <v>0</v>
      </c>
      <c r="AB247" s="83">
        <f t="shared" si="232"/>
        <v>0</v>
      </c>
      <c r="AC247" s="83">
        <f t="shared" si="233"/>
        <v>0</v>
      </c>
      <c r="AD247" s="83">
        <f t="shared" si="234"/>
        <v>0</v>
      </c>
      <c r="AE247" s="83">
        <f t="shared" si="235"/>
        <v>0</v>
      </c>
      <c r="AF247" s="83">
        <f t="shared" si="236"/>
        <v>0</v>
      </c>
      <c r="AG247" s="83">
        <f t="shared" si="237"/>
        <v>0</v>
      </c>
      <c r="AH247" s="83">
        <f t="shared" si="238"/>
        <v>0</v>
      </c>
      <c r="AI247" s="83">
        <f t="shared" si="239"/>
        <v>0</v>
      </c>
      <c r="AJ247" s="718">
        <f t="shared" si="240"/>
        <v>0</v>
      </c>
      <c r="AL247">
        <f t="shared" si="241"/>
        <v>0</v>
      </c>
      <c r="AM247">
        <f t="shared" si="242"/>
        <v>0</v>
      </c>
    </row>
    <row r="248" spans="1:39" ht="15.75" x14ac:dyDescent="0.25">
      <c r="A248" s="561"/>
      <c r="B248" s="561"/>
      <c r="C248" s="561"/>
      <c r="D248" s="672"/>
      <c r="E248" s="209"/>
      <c r="F248" s="209"/>
      <c r="G248" s="209"/>
      <c r="H248" s="176">
        <f t="shared" si="220"/>
        <v>0</v>
      </c>
      <c r="I248" s="209"/>
      <c r="J248" s="209"/>
      <c r="K248" s="176">
        <f t="shared" si="221"/>
        <v>0</v>
      </c>
      <c r="L248" s="209"/>
      <c r="M248" s="177">
        <f t="shared" si="222"/>
        <v>0</v>
      </c>
      <c r="N248" s="1012"/>
      <c r="O248" s="1012"/>
      <c r="P248" s="485"/>
      <c r="Q248" s="778"/>
      <c r="R248" s="778"/>
      <c r="S248" s="785" t="str">
        <f t="shared" si="225"/>
        <v/>
      </c>
      <c r="T248" s="548" t="str">
        <f t="shared" si="223"/>
        <v>Sheet Metal Takeoff</v>
      </c>
      <c r="U248" s="83">
        <f t="shared" si="226"/>
        <v>0</v>
      </c>
      <c r="V248" s="83">
        <f t="shared" si="227"/>
        <v>0</v>
      </c>
      <c r="W248" s="83">
        <f t="shared" si="228"/>
        <v>0</v>
      </c>
      <c r="X248" s="781">
        <f t="shared" si="229"/>
        <v>0</v>
      </c>
      <c r="Y248" s="781">
        <f t="shared" si="230"/>
        <v>0</v>
      </c>
      <c r="Z248" s="781">
        <f t="shared" si="231"/>
        <v>0</v>
      </c>
      <c r="AA248" s="83">
        <f t="shared" si="224"/>
        <v>0</v>
      </c>
      <c r="AB248" s="83">
        <f t="shared" si="232"/>
        <v>0</v>
      </c>
      <c r="AC248" s="83">
        <f t="shared" si="233"/>
        <v>0</v>
      </c>
      <c r="AD248" s="83">
        <f t="shared" si="234"/>
        <v>0</v>
      </c>
      <c r="AE248" s="83">
        <f t="shared" si="235"/>
        <v>0</v>
      </c>
      <c r="AF248" s="83">
        <f t="shared" si="236"/>
        <v>0</v>
      </c>
      <c r="AG248" s="83">
        <f t="shared" si="237"/>
        <v>0</v>
      </c>
      <c r="AH248" s="83">
        <f t="shared" si="238"/>
        <v>0</v>
      </c>
      <c r="AI248" s="83">
        <f t="shared" si="239"/>
        <v>0</v>
      </c>
      <c r="AJ248" s="718">
        <f t="shared" si="240"/>
        <v>0</v>
      </c>
      <c r="AL248">
        <f t="shared" si="241"/>
        <v>0</v>
      </c>
      <c r="AM248">
        <f t="shared" si="242"/>
        <v>0</v>
      </c>
    </row>
    <row r="249" spans="1:39" ht="15.75" x14ac:dyDescent="0.25">
      <c r="A249" s="561"/>
      <c r="B249" s="561"/>
      <c r="C249" s="561"/>
      <c r="D249" s="672"/>
      <c r="E249" s="209"/>
      <c r="F249" s="209"/>
      <c r="G249" s="209"/>
      <c r="H249" s="176">
        <f t="shared" si="220"/>
        <v>0</v>
      </c>
      <c r="I249" s="209"/>
      <c r="J249" s="209"/>
      <c r="K249" s="176">
        <f t="shared" si="221"/>
        <v>0</v>
      </c>
      <c r="L249" s="209"/>
      <c r="M249" s="177">
        <f t="shared" si="222"/>
        <v>0</v>
      </c>
      <c r="N249" s="1012"/>
      <c r="O249" s="1012"/>
      <c r="P249" s="485"/>
      <c r="Q249" s="778"/>
      <c r="R249" s="778"/>
      <c r="S249" s="785" t="str">
        <f t="shared" si="225"/>
        <v/>
      </c>
      <c r="T249" s="548" t="str">
        <f t="shared" si="223"/>
        <v>Sheet Metal Takeoff</v>
      </c>
      <c r="U249" s="83">
        <f t="shared" si="226"/>
        <v>0</v>
      </c>
      <c r="V249" s="83">
        <f t="shared" si="227"/>
        <v>0</v>
      </c>
      <c r="W249" s="83">
        <f t="shared" si="228"/>
        <v>0</v>
      </c>
      <c r="X249" s="781">
        <f t="shared" si="229"/>
        <v>0</v>
      </c>
      <c r="Y249" s="781">
        <f t="shared" si="230"/>
        <v>0</v>
      </c>
      <c r="Z249" s="781">
        <f t="shared" si="231"/>
        <v>0</v>
      </c>
      <c r="AA249" s="83">
        <f t="shared" si="224"/>
        <v>0</v>
      </c>
      <c r="AB249" s="83">
        <f t="shared" si="232"/>
        <v>0</v>
      </c>
      <c r="AC249" s="83">
        <f t="shared" si="233"/>
        <v>0</v>
      </c>
      <c r="AD249" s="83">
        <f t="shared" si="234"/>
        <v>0</v>
      </c>
      <c r="AE249" s="83">
        <f t="shared" si="235"/>
        <v>0</v>
      </c>
      <c r="AF249" s="83">
        <f t="shared" si="236"/>
        <v>0</v>
      </c>
      <c r="AG249" s="83">
        <f t="shared" si="237"/>
        <v>0</v>
      </c>
      <c r="AH249" s="83">
        <f t="shared" si="238"/>
        <v>0</v>
      </c>
      <c r="AI249" s="83">
        <f t="shared" si="239"/>
        <v>0</v>
      </c>
      <c r="AJ249" s="718">
        <f t="shared" si="240"/>
        <v>0</v>
      </c>
      <c r="AL249">
        <f t="shared" si="241"/>
        <v>0</v>
      </c>
      <c r="AM249">
        <f t="shared" si="242"/>
        <v>0</v>
      </c>
    </row>
    <row r="250" spans="1:39" ht="15.75" x14ac:dyDescent="0.25">
      <c r="A250" s="561"/>
      <c r="B250" s="561"/>
      <c r="C250" s="561"/>
      <c r="D250" s="672"/>
      <c r="E250" s="209"/>
      <c r="F250" s="209"/>
      <c r="G250" s="209"/>
      <c r="H250" s="176">
        <f t="shared" si="220"/>
        <v>0</v>
      </c>
      <c r="I250" s="209"/>
      <c r="J250" s="209"/>
      <c r="K250" s="176">
        <f t="shared" si="221"/>
        <v>0</v>
      </c>
      <c r="L250" s="209"/>
      <c r="M250" s="177">
        <f t="shared" si="222"/>
        <v>0</v>
      </c>
      <c r="N250" s="1012"/>
      <c r="O250" s="1012"/>
      <c r="P250" s="485"/>
      <c r="Q250" s="778"/>
      <c r="R250" s="778"/>
      <c r="S250" s="785" t="str">
        <f t="shared" si="225"/>
        <v/>
      </c>
      <c r="T250" s="548" t="str">
        <f t="shared" si="223"/>
        <v>Sheet Metal Takeoff</v>
      </c>
      <c r="U250" s="83">
        <f t="shared" si="226"/>
        <v>0</v>
      </c>
      <c r="V250" s="83">
        <f t="shared" si="227"/>
        <v>0</v>
      </c>
      <c r="W250" s="83">
        <f t="shared" si="228"/>
        <v>0</v>
      </c>
      <c r="X250" s="781">
        <f t="shared" si="229"/>
        <v>0</v>
      </c>
      <c r="Y250" s="781">
        <f t="shared" si="230"/>
        <v>0</v>
      </c>
      <c r="Z250" s="781">
        <f t="shared" si="231"/>
        <v>0</v>
      </c>
      <c r="AA250" s="83">
        <f t="shared" si="224"/>
        <v>0</v>
      </c>
      <c r="AB250" s="83">
        <f t="shared" si="232"/>
        <v>0</v>
      </c>
      <c r="AC250" s="83">
        <f t="shared" si="233"/>
        <v>0</v>
      </c>
      <c r="AD250" s="83">
        <f t="shared" si="234"/>
        <v>0</v>
      </c>
      <c r="AE250" s="83">
        <f t="shared" si="235"/>
        <v>0</v>
      </c>
      <c r="AF250" s="83">
        <f t="shared" si="236"/>
        <v>0</v>
      </c>
      <c r="AG250" s="83">
        <f t="shared" si="237"/>
        <v>0</v>
      </c>
      <c r="AH250" s="83">
        <f t="shared" si="238"/>
        <v>0</v>
      </c>
      <c r="AI250" s="83">
        <f t="shared" si="239"/>
        <v>0</v>
      </c>
      <c r="AJ250" s="718">
        <f t="shared" si="240"/>
        <v>0</v>
      </c>
      <c r="AL250">
        <f t="shared" si="241"/>
        <v>0</v>
      </c>
      <c r="AM250">
        <f t="shared" si="242"/>
        <v>0</v>
      </c>
    </row>
    <row r="251" spans="1:39" ht="15.75" x14ac:dyDescent="0.25">
      <c r="A251" s="561"/>
      <c r="B251" s="561"/>
      <c r="C251" s="561"/>
      <c r="D251" s="672"/>
      <c r="E251" s="209"/>
      <c r="F251" s="209"/>
      <c r="G251" s="209"/>
      <c r="H251" s="176">
        <f t="shared" si="220"/>
        <v>0</v>
      </c>
      <c r="I251" s="209"/>
      <c r="J251" s="209"/>
      <c r="K251" s="176">
        <f t="shared" si="221"/>
        <v>0</v>
      </c>
      <c r="L251" s="209"/>
      <c r="M251" s="177">
        <f t="shared" si="222"/>
        <v>0</v>
      </c>
      <c r="N251" s="1012"/>
      <c r="O251" s="1012"/>
      <c r="P251" s="485"/>
      <c r="Q251" s="778"/>
      <c r="R251" s="778"/>
      <c r="S251" s="785" t="str">
        <f t="shared" si="225"/>
        <v/>
      </c>
      <c r="T251" s="548" t="str">
        <f t="shared" si="223"/>
        <v>Sheet Metal Takeoff</v>
      </c>
      <c r="U251" s="83">
        <f t="shared" si="226"/>
        <v>0</v>
      </c>
      <c r="V251" s="83">
        <f t="shared" si="227"/>
        <v>0</v>
      </c>
      <c r="W251" s="83">
        <f t="shared" si="228"/>
        <v>0</v>
      </c>
      <c r="X251" s="781">
        <f t="shared" si="229"/>
        <v>0</v>
      </c>
      <c r="Y251" s="781">
        <f t="shared" si="230"/>
        <v>0</v>
      </c>
      <c r="Z251" s="781">
        <f t="shared" si="231"/>
        <v>0</v>
      </c>
      <c r="AA251" s="83">
        <f t="shared" si="224"/>
        <v>0</v>
      </c>
      <c r="AB251" s="83">
        <f t="shared" si="232"/>
        <v>0</v>
      </c>
      <c r="AC251" s="83">
        <f t="shared" si="233"/>
        <v>0</v>
      </c>
      <c r="AD251" s="83">
        <f t="shared" si="234"/>
        <v>0</v>
      </c>
      <c r="AE251" s="83">
        <f t="shared" si="235"/>
        <v>0</v>
      </c>
      <c r="AF251" s="83">
        <f t="shared" si="236"/>
        <v>0</v>
      </c>
      <c r="AG251" s="83">
        <f t="shared" si="237"/>
        <v>0</v>
      </c>
      <c r="AH251" s="83">
        <f t="shared" si="238"/>
        <v>0</v>
      </c>
      <c r="AI251" s="83">
        <f t="shared" si="239"/>
        <v>0</v>
      </c>
      <c r="AJ251" s="718">
        <f t="shared" si="240"/>
        <v>0</v>
      </c>
      <c r="AL251">
        <f t="shared" si="241"/>
        <v>0</v>
      </c>
      <c r="AM251">
        <f t="shared" si="242"/>
        <v>0</v>
      </c>
    </row>
    <row r="252" spans="1:39" ht="15.75" x14ac:dyDescent="0.25">
      <c r="A252" s="561"/>
      <c r="B252" s="561"/>
      <c r="C252" s="561"/>
      <c r="D252" s="672" t="s">
        <v>1897</v>
      </c>
      <c r="E252" s="209">
        <v>1</v>
      </c>
      <c r="F252" s="209"/>
      <c r="G252" s="209"/>
      <c r="H252" s="176">
        <f t="shared" si="220"/>
        <v>0</v>
      </c>
      <c r="I252" s="209"/>
      <c r="J252" s="209"/>
      <c r="K252" s="176">
        <f t="shared" si="221"/>
        <v>0</v>
      </c>
      <c r="L252" s="209"/>
      <c r="M252" s="177">
        <f t="shared" si="222"/>
        <v>0</v>
      </c>
      <c r="N252" s="1012"/>
      <c r="O252" s="1012"/>
      <c r="P252" s="485"/>
      <c r="Q252" s="778"/>
      <c r="R252" s="778"/>
      <c r="S252" s="785" t="str">
        <f t="shared" si="225"/>
        <v/>
      </c>
      <c r="T252" s="548" t="str">
        <f t="shared" si="223"/>
        <v>Sheet Metal Takeoff</v>
      </c>
      <c r="U252" s="83">
        <f t="shared" si="226"/>
        <v>0</v>
      </c>
      <c r="V252" s="83">
        <f t="shared" si="227"/>
        <v>0</v>
      </c>
      <c r="W252" s="83">
        <f t="shared" si="228"/>
        <v>0</v>
      </c>
      <c r="X252" s="781">
        <f t="shared" si="229"/>
        <v>0</v>
      </c>
      <c r="Y252" s="781">
        <f t="shared" si="230"/>
        <v>0</v>
      </c>
      <c r="Z252" s="781">
        <f t="shared" si="231"/>
        <v>0</v>
      </c>
      <c r="AA252" s="83">
        <f t="shared" si="224"/>
        <v>0</v>
      </c>
      <c r="AB252" s="83">
        <f t="shared" si="232"/>
        <v>0</v>
      </c>
      <c r="AC252" s="83">
        <f t="shared" si="233"/>
        <v>0</v>
      </c>
      <c r="AD252" s="83">
        <f t="shared" si="234"/>
        <v>0</v>
      </c>
      <c r="AE252" s="83">
        <f t="shared" si="235"/>
        <v>0</v>
      </c>
      <c r="AF252" s="83">
        <f t="shared" si="236"/>
        <v>0</v>
      </c>
      <c r="AG252" s="83">
        <f t="shared" si="237"/>
        <v>0</v>
      </c>
      <c r="AH252" s="83">
        <f t="shared" si="238"/>
        <v>0</v>
      </c>
      <c r="AI252" s="83">
        <f t="shared" si="239"/>
        <v>0</v>
      </c>
      <c r="AJ252" s="718">
        <f t="shared" si="240"/>
        <v>0</v>
      </c>
      <c r="AL252">
        <f t="shared" si="241"/>
        <v>0</v>
      </c>
      <c r="AM252">
        <f t="shared" si="242"/>
        <v>0</v>
      </c>
    </row>
    <row r="253" spans="1:39" ht="15.75" x14ac:dyDescent="0.25">
      <c r="A253" s="561"/>
      <c r="B253" s="561"/>
      <c r="C253" s="561"/>
      <c r="D253" s="672" t="s">
        <v>1895</v>
      </c>
      <c r="E253" s="209">
        <v>1</v>
      </c>
      <c r="F253" s="209"/>
      <c r="G253" s="209"/>
      <c r="H253" s="176">
        <f t="shared" si="220"/>
        <v>0</v>
      </c>
      <c r="I253" s="209"/>
      <c r="J253" s="209"/>
      <c r="K253" s="176">
        <f t="shared" si="221"/>
        <v>0</v>
      </c>
      <c r="L253" s="209">
        <v>27533</v>
      </c>
      <c r="M253" s="177">
        <f t="shared" si="222"/>
        <v>27533</v>
      </c>
      <c r="N253" s="1012" t="s">
        <v>1894</v>
      </c>
      <c r="O253" s="1012"/>
      <c r="P253" s="485"/>
      <c r="Q253" s="778"/>
      <c r="R253" s="778"/>
      <c r="S253" s="785" t="str">
        <f t="shared" si="225"/>
        <v/>
      </c>
      <c r="T253" s="548" t="str">
        <f t="shared" si="223"/>
        <v>Sheet Metal Takeoff</v>
      </c>
      <c r="U253" s="83">
        <f t="shared" si="226"/>
        <v>0</v>
      </c>
      <c r="V253" s="83">
        <f t="shared" si="227"/>
        <v>0</v>
      </c>
      <c r="W253" s="83">
        <f t="shared" si="228"/>
        <v>0</v>
      </c>
      <c r="X253" s="781">
        <f t="shared" si="229"/>
        <v>0</v>
      </c>
      <c r="Y253" s="781">
        <f t="shared" si="230"/>
        <v>0</v>
      </c>
      <c r="Z253" s="781">
        <f t="shared" si="231"/>
        <v>0</v>
      </c>
      <c r="AA253" s="83">
        <f t="shared" si="224"/>
        <v>0</v>
      </c>
      <c r="AB253" s="83">
        <f t="shared" si="232"/>
        <v>0</v>
      </c>
      <c r="AC253" s="83">
        <f t="shared" si="233"/>
        <v>0</v>
      </c>
      <c r="AD253" s="83">
        <f t="shared" si="234"/>
        <v>0</v>
      </c>
      <c r="AE253" s="83">
        <f t="shared" si="235"/>
        <v>0</v>
      </c>
      <c r="AF253" s="83">
        <f t="shared" si="236"/>
        <v>0</v>
      </c>
      <c r="AG253" s="83">
        <f t="shared" si="237"/>
        <v>0</v>
      </c>
      <c r="AH253" s="83">
        <f t="shared" si="238"/>
        <v>0</v>
      </c>
      <c r="AI253" s="83">
        <f t="shared" si="239"/>
        <v>0</v>
      </c>
      <c r="AJ253" s="718">
        <f t="shared" si="240"/>
        <v>27533</v>
      </c>
      <c r="AL253">
        <f t="shared" si="241"/>
        <v>0</v>
      </c>
      <c r="AM253">
        <f t="shared" si="242"/>
        <v>0</v>
      </c>
    </row>
    <row r="254" spans="1:39" ht="15.75" x14ac:dyDescent="0.25">
      <c r="A254" s="561"/>
      <c r="B254" s="561"/>
      <c r="C254" s="561"/>
      <c r="D254" s="672" t="s">
        <v>1896</v>
      </c>
      <c r="E254" s="209">
        <v>1</v>
      </c>
      <c r="F254" s="209"/>
      <c r="G254" s="209"/>
      <c r="H254" s="176">
        <f t="shared" si="220"/>
        <v>0</v>
      </c>
      <c r="I254" s="209"/>
      <c r="J254" s="209"/>
      <c r="K254" s="176">
        <f t="shared" si="221"/>
        <v>0</v>
      </c>
      <c r="L254" s="209">
        <v>7500</v>
      </c>
      <c r="M254" s="177">
        <f t="shared" si="222"/>
        <v>7500</v>
      </c>
      <c r="N254" s="1012" t="s">
        <v>1889</v>
      </c>
      <c r="O254" s="1012"/>
      <c r="P254" s="485"/>
      <c r="Q254" s="778"/>
      <c r="R254" s="778"/>
      <c r="S254" s="785" t="str">
        <f t="shared" si="225"/>
        <v/>
      </c>
      <c r="T254" s="548" t="str">
        <f t="shared" si="223"/>
        <v>Sheet Metal Takeoff</v>
      </c>
      <c r="U254" s="83">
        <f t="shared" si="226"/>
        <v>0</v>
      </c>
      <c r="V254" s="83">
        <f t="shared" si="227"/>
        <v>0</v>
      </c>
      <c r="W254" s="83">
        <f t="shared" si="228"/>
        <v>0</v>
      </c>
      <c r="X254" s="781">
        <f t="shared" si="229"/>
        <v>0</v>
      </c>
      <c r="Y254" s="781">
        <f t="shared" si="230"/>
        <v>0</v>
      </c>
      <c r="Z254" s="781">
        <f t="shared" si="231"/>
        <v>0</v>
      </c>
      <c r="AA254" s="83">
        <f t="shared" si="224"/>
        <v>0</v>
      </c>
      <c r="AB254" s="83">
        <f t="shared" si="232"/>
        <v>0</v>
      </c>
      <c r="AC254" s="83">
        <f t="shared" si="233"/>
        <v>0</v>
      </c>
      <c r="AD254" s="83">
        <f t="shared" si="234"/>
        <v>0</v>
      </c>
      <c r="AE254" s="83">
        <f t="shared" si="235"/>
        <v>0</v>
      </c>
      <c r="AF254" s="83">
        <f t="shared" si="236"/>
        <v>0</v>
      </c>
      <c r="AG254" s="83">
        <f t="shared" si="237"/>
        <v>0</v>
      </c>
      <c r="AH254" s="83">
        <f t="shared" si="238"/>
        <v>0</v>
      </c>
      <c r="AI254" s="83">
        <f t="shared" si="239"/>
        <v>0</v>
      </c>
      <c r="AJ254" s="718">
        <f t="shared" si="240"/>
        <v>7500</v>
      </c>
      <c r="AL254">
        <f t="shared" si="241"/>
        <v>0</v>
      </c>
      <c r="AM254">
        <f t="shared" si="242"/>
        <v>0</v>
      </c>
    </row>
    <row r="255" spans="1:39" ht="15.75" x14ac:dyDescent="0.25">
      <c r="A255" s="561"/>
      <c r="B255" s="561"/>
      <c r="C255" s="561"/>
      <c r="D255" s="672" t="s">
        <v>27</v>
      </c>
      <c r="E255" s="209">
        <v>1</v>
      </c>
      <c r="F255" s="209"/>
      <c r="G255" s="209"/>
      <c r="H255" s="176">
        <f t="shared" si="220"/>
        <v>0</v>
      </c>
      <c r="I255" s="209"/>
      <c r="J255" s="209"/>
      <c r="K255" s="176">
        <f t="shared" si="221"/>
        <v>0</v>
      </c>
      <c r="L255" s="209">
        <v>39428</v>
      </c>
      <c r="M255" s="177">
        <f t="shared" si="222"/>
        <v>39428</v>
      </c>
      <c r="N255" s="1012" t="s">
        <v>1890</v>
      </c>
      <c r="O255" s="1012"/>
      <c r="P255" s="485"/>
      <c r="Q255" s="778"/>
      <c r="R255" s="778"/>
      <c r="S255" s="785" t="str">
        <f t="shared" si="225"/>
        <v/>
      </c>
      <c r="T255" s="548" t="str">
        <f t="shared" si="223"/>
        <v>Sheet Metal Takeoff</v>
      </c>
      <c r="U255" s="83">
        <f t="shared" si="226"/>
        <v>0</v>
      </c>
      <c r="V255" s="83">
        <f t="shared" si="227"/>
        <v>0</v>
      </c>
      <c r="W255" s="83">
        <f t="shared" si="228"/>
        <v>0</v>
      </c>
      <c r="X255" s="781">
        <f t="shared" si="229"/>
        <v>0</v>
      </c>
      <c r="Y255" s="781">
        <f t="shared" si="230"/>
        <v>0</v>
      </c>
      <c r="Z255" s="781">
        <f t="shared" si="231"/>
        <v>0</v>
      </c>
      <c r="AA255" s="83">
        <f t="shared" si="224"/>
        <v>0</v>
      </c>
      <c r="AB255" s="83">
        <f t="shared" si="232"/>
        <v>0</v>
      </c>
      <c r="AC255" s="83">
        <f t="shared" si="233"/>
        <v>0</v>
      </c>
      <c r="AD255" s="83">
        <f t="shared" si="234"/>
        <v>0</v>
      </c>
      <c r="AE255" s="83">
        <f t="shared" si="235"/>
        <v>0</v>
      </c>
      <c r="AF255" s="83">
        <f t="shared" si="236"/>
        <v>0</v>
      </c>
      <c r="AG255" s="83">
        <f t="shared" si="237"/>
        <v>0</v>
      </c>
      <c r="AH255" s="83">
        <f t="shared" si="238"/>
        <v>0</v>
      </c>
      <c r="AI255" s="83">
        <f t="shared" si="239"/>
        <v>0</v>
      </c>
      <c r="AJ255" s="718">
        <f t="shared" si="240"/>
        <v>39428</v>
      </c>
      <c r="AL255">
        <f t="shared" si="241"/>
        <v>0</v>
      </c>
      <c r="AM255">
        <f t="shared" si="242"/>
        <v>0</v>
      </c>
    </row>
    <row r="256" spans="1:39" ht="15.75" x14ac:dyDescent="0.25">
      <c r="A256" s="561"/>
      <c r="B256" s="561"/>
      <c r="C256" s="561"/>
      <c r="D256" s="672" t="s">
        <v>1846</v>
      </c>
      <c r="E256" s="209">
        <v>1</v>
      </c>
      <c r="F256" s="209"/>
      <c r="G256" s="209"/>
      <c r="H256" s="176">
        <f t="shared" si="220"/>
        <v>0</v>
      </c>
      <c r="I256" s="209"/>
      <c r="J256" s="209"/>
      <c r="K256" s="176">
        <f t="shared" si="221"/>
        <v>0</v>
      </c>
      <c r="L256" s="209">
        <v>2500</v>
      </c>
      <c r="M256" s="177">
        <f t="shared" si="222"/>
        <v>2500</v>
      </c>
      <c r="N256" s="1012" t="s">
        <v>49</v>
      </c>
      <c r="O256" s="1012"/>
      <c r="P256" s="485"/>
      <c r="Q256" s="778"/>
      <c r="R256" s="778"/>
      <c r="S256" s="785" t="str">
        <f t="shared" si="225"/>
        <v/>
      </c>
      <c r="T256" s="548" t="str">
        <f t="shared" si="223"/>
        <v>Sheet Metal Takeoff</v>
      </c>
      <c r="U256" s="83">
        <f t="shared" si="226"/>
        <v>0</v>
      </c>
      <c r="V256" s="83">
        <f t="shared" si="227"/>
        <v>0</v>
      </c>
      <c r="W256" s="83">
        <f t="shared" si="228"/>
        <v>0</v>
      </c>
      <c r="X256" s="781">
        <f t="shared" si="229"/>
        <v>0</v>
      </c>
      <c r="Y256" s="781">
        <f t="shared" si="230"/>
        <v>0</v>
      </c>
      <c r="Z256" s="781">
        <f t="shared" si="231"/>
        <v>0</v>
      </c>
      <c r="AA256" s="83">
        <f t="shared" si="224"/>
        <v>0</v>
      </c>
      <c r="AB256" s="83">
        <f t="shared" si="232"/>
        <v>0</v>
      </c>
      <c r="AC256" s="83">
        <f t="shared" si="233"/>
        <v>0</v>
      </c>
      <c r="AD256" s="83">
        <f t="shared" si="234"/>
        <v>0</v>
      </c>
      <c r="AE256" s="83">
        <f t="shared" si="235"/>
        <v>0</v>
      </c>
      <c r="AF256" s="83">
        <f t="shared" si="236"/>
        <v>0</v>
      </c>
      <c r="AG256" s="83">
        <f t="shared" si="237"/>
        <v>0</v>
      </c>
      <c r="AH256" s="83">
        <f t="shared" si="238"/>
        <v>0</v>
      </c>
      <c r="AI256" s="83">
        <f t="shared" si="239"/>
        <v>0</v>
      </c>
      <c r="AJ256" s="718">
        <f t="shared" si="240"/>
        <v>2500</v>
      </c>
      <c r="AL256">
        <f t="shared" si="241"/>
        <v>0</v>
      </c>
      <c r="AM256">
        <f t="shared" si="242"/>
        <v>0</v>
      </c>
    </row>
    <row r="257" spans="1:39" ht="15.75" x14ac:dyDescent="0.25">
      <c r="A257" s="561"/>
      <c r="B257" s="561"/>
      <c r="C257" s="561"/>
      <c r="D257" s="672"/>
      <c r="E257" s="209"/>
      <c r="F257" s="209"/>
      <c r="G257" s="209"/>
      <c r="H257" s="176">
        <f t="shared" si="220"/>
        <v>0</v>
      </c>
      <c r="I257" s="209"/>
      <c r="J257" s="209"/>
      <c r="K257" s="176">
        <f t="shared" si="221"/>
        <v>0</v>
      </c>
      <c r="L257" s="209"/>
      <c r="M257" s="177">
        <f t="shared" si="222"/>
        <v>0</v>
      </c>
      <c r="N257" s="1012"/>
      <c r="O257" s="1012"/>
      <c r="P257" s="485"/>
      <c r="Q257" s="778"/>
      <c r="R257" s="778"/>
      <c r="S257" s="785" t="str">
        <f t="shared" si="225"/>
        <v/>
      </c>
      <c r="T257" s="548" t="str">
        <f t="shared" si="223"/>
        <v>Sheet Metal Takeoff</v>
      </c>
      <c r="U257" s="83">
        <f t="shared" si="226"/>
        <v>0</v>
      </c>
      <c r="V257" s="83">
        <f t="shared" si="227"/>
        <v>0</v>
      </c>
      <c r="W257" s="83">
        <f t="shared" si="228"/>
        <v>0</v>
      </c>
      <c r="X257" s="781">
        <f t="shared" si="229"/>
        <v>0</v>
      </c>
      <c r="Y257" s="781">
        <f t="shared" si="230"/>
        <v>0</v>
      </c>
      <c r="Z257" s="781">
        <f t="shared" si="231"/>
        <v>0</v>
      </c>
      <c r="AA257" s="83">
        <f t="shared" si="224"/>
        <v>0</v>
      </c>
      <c r="AB257" s="83">
        <f t="shared" si="232"/>
        <v>0</v>
      </c>
      <c r="AC257" s="83">
        <f t="shared" si="233"/>
        <v>0</v>
      </c>
      <c r="AD257" s="83">
        <f t="shared" si="234"/>
        <v>0</v>
      </c>
      <c r="AE257" s="83">
        <f t="shared" si="235"/>
        <v>0</v>
      </c>
      <c r="AF257" s="83">
        <f t="shared" si="236"/>
        <v>0</v>
      </c>
      <c r="AG257" s="83">
        <f t="shared" si="237"/>
        <v>0</v>
      </c>
      <c r="AH257" s="83">
        <f t="shared" si="238"/>
        <v>0</v>
      </c>
      <c r="AI257" s="83">
        <f t="shared" si="239"/>
        <v>0</v>
      </c>
      <c r="AJ257" s="718">
        <f t="shared" si="240"/>
        <v>0</v>
      </c>
      <c r="AL257">
        <f t="shared" si="241"/>
        <v>0</v>
      </c>
      <c r="AM257">
        <f t="shared" si="242"/>
        <v>0</v>
      </c>
    </row>
    <row r="258" spans="1:39" ht="15.75" x14ac:dyDescent="0.25">
      <c r="A258" s="561"/>
      <c r="B258" s="561"/>
      <c r="C258" s="561"/>
      <c r="D258" s="672"/>
      <c r="E258" s="209"/>
      <c r="F258" s="209"/>
      <c r="G258" s="209"/>
      <c r="H258" s="176">
        <f t="shared" si="220"/>
        <v>0</v>
      </c>
      <c r="I258" s="209"/>
      <c r="J258" s="209"/>
      <c r="K258" s="176">
        <f t="shared" si="221"/>
        <v>0</v>
      </c>
      <c r="L258" s="209"/>
      <c r="M258" s="177">
        <f t="shared" si="222"/>
        <v>0</v>
      </c>
      <c r="N258" s="1012"/>
      <c r="O258" s="1012"/>
      <c r="P258" s="485"/>
      <c r="Q258" s="778"/>
      <c r="R258" s="778"/>
      <c r="S258" s="785" t="str">
        <f t="shared" si="225"/>
        <v/>
      </c>
      <c r="T258" s="548" t="str">
        <f t="shared" si="223"/>
        <v>Sheet Metal Takeoff</v>
      </c>
      <c r="U258" s="83">
        <f t="shared" si="226"/>
        <v>0</v>
      </c>
      <c r="V258" s="83">
        <f t="shared" si="227"/>
        <v>0</v>
      </c>
      <c r="W258" s="83">
        <f t="shared" si="228"/>
        <v>0</v>
      </c>
      <c r="X258" s="781">
        <f t="shared" si="229"/>
        <v>0</v>
      </c>
      <c r="Y258" s="781">
        <f t="shared" si="230"/>
        <v>0</v>
      </c>
      <c r="Z258" s="781">
        <f t="shared" si="231"/>
        <v>0</v>
      </c>
      <c r="AA258" s="83">
        <f t="shared" si="224"/>
        <v>0</v>
      </c>
      <c r="AB258" s="83">
        <f t="shared" si="232"/>
        <v>0</v>
      </c>
      <c r="AC258" s="83">
        <f t="shared" si="233"/>
        <v>0</v>
      </c>
      <c r="AD258" s="83">
        <f t="shared" si="234"/>
        <v>0</v>
      </c>
      <c r="AE258" s="83">
        <f t="shared" si="235"/>
        <v>0</v>
      </c>
      <c r="AF258" s="83">
        <f t="shared" si="236"/>
        <v>0</v>
      </c>
      <c r="AG258" s="83">
        <f t="shared" si="237"/>
        <v>0</v>
      </c>
      <c r="AH258" s="83">
        <f t="shared" si="238"/>
        <v>0</v>
      </c>
      <c r="AI258" s="83">
        <f t="shared" si="239"/>
        <v>0</v>
      </c>
      <c r="AJ258" s="718">
        <f t="shared" si="240"/>
        <v>0</v>
      </c>
      <c r="AL258">
        <f t="shared" si="241"/>
        <v>0</v>
      </c>
      <c r="AM258">
        <f t="shared" si="242"/>
        <v>0</v>
      </c>
    </row>
    <row r="259" spans="1:39" ht="15.75" x14ac:dyDescent="0.25">
      <c r="A259" s="561"/>
      <c r="B259" s="561"/>
      <c r="C259" s="561"/>
      <c r="D259" s="672"/>
      <c r="E259" s="209"/>
      <c r="F259" s="209"/>
      <c r="G259" s="209"/>
      <c r="H259" s="176">
        <f t="shared" si="220"/>
        <v>0</v>
      </c>
      <c r="I259" s="209"/>
      <c r="J259" s="209"/>
      <c r="K259" s="176">
        <f t="shared" si="221"/>
        <v>0</v>
      </c>
      <c r="L259" s="209"/>
      <c r="M259" s="177">
        <f t="shared" si="222"/>
        <v>0</v>
      </c>
      <c r="N259" s="1012"/>
      <c r="O259" s="1012"/>
      <c r="P259" s="485"/>
      <c r="Q259" s="778"/>
      <c r="R259" s="778"/>
      <c r="S259" s="785" t="str">
        <f t="shared" si="225"/>
        <v/>
      </c>
      <c r="T259" s="548" t="str">
        <f t="shared" si="223"/>
        <v>Sheet Metal Takeoff</v>
      </c>
      <c r="U259" s="83">
        <f t="shared" si="226"/>
        <v>0</v>
      </c>
      <c r="V259" s="83">
        <f t="shared" si="227"/>
        <v>0</v>
      </c>
      <c r="W259" s="83">
        <f t="shared" si="228"/>
        <v>0</v>
      </c>
      <c r="X259" s="781">
        <f t="shared" si="229"/>
        <v>0</v>
      </c>
      <c r="Y259" s="781">
        <f t="shared" si="230"/>
        <v>0</v>
      </c>
      <c r="Z259" s="781">
        <f t="shared" si="231"/>
        <v>0</v>
      </c>
      <c r="AA259" s="83">
        <f t="shared" si="224"/>
        <v>0</v>
      </c>
      <c r="AB259" s="83">
        <f t="shared" si="232"/>
        <v>0</v>
      </c>
      <c r="AC259" s="83">
        <f t="shared" si="233"/>
        <v>0</v>
      </c>
      <c r="AD259" s="83">
        <f t="shared" si="234"/>
        <v>0</v>
      </c>
      <c r="AE259" s="83">
        <f t="shared" si="235"/>
        <v>0</v>
      </c>
      <c r="AF259" s="83">
        <f t="shared" si="236"/>
        <v>0</v>
      </c>
      <c r="AG259" s="83">
        <f t="shared" si="237"/>
        <v>0</v>
      </c>
      <c r="AH259" s="83">
        <f t="shared" si="238"/>
        <v>0</v>
      </c>
      <c r="AI259" s="83">
        <f t="shared" si="239"/>
        <v>0</v>
      </c>
      <c r="AJ259" s="718">
        <f t="shared" si="240"/>
        <v>0</v>
      </c>
      <c r="AL259">
        <f t="shared" si="241"/>
        <v>0</v>
      </c>
      <c r="AM259">
        <f t="shared" si="242"/>
        <v>0</v>
      </c>
    </row>
    <row r="260" spans="1:39" ht="15.75" x14ac:dyDescent="0.25">
      <c r="A260" s="561"/>
      <c r="B260" s="561"/>
      <c r="C260" s="561"/>
      <c r="D260" s="672"/>
      <c r="E260" s="209"/>
      <c r="F260" s="209"/>
      <c r="G260" s="209"/>
      <c r="H260" s="176">
        <f t="shared" si="220"/>
        <v>0</v>
      </c>
      <c r="I260" s="209"/>
      <c r="J260" s="209"/>
      <c r="K260" s="176">
        <f t="shared" si="221"/>
        <v>0</v>
      </c>
      <c r="L260" s="209"/>
      <c r="M260" s="177">
        <f t="shared" si="222"/>
        <v>0</v>
      </c>
      <c r="N260" s="1012"/>
      <c r="O260" s="1012"/>
      <c r="P260" s="485"/>
      <c r="Q260" s="778"/>
      <c r="R260" s="778"/>
      <c r="S260" s="785" t="str">
        <f t="shared" si="225"/>
        <v/>
      </c>
      <c r="T260" s="548" t="str">
        <f t="shared" si="223"/>
        <v>Sheet Metal Takeoff</v>
      </c>
      <c r="U260" s="83">
        <f t="shared" si="226"/>
        <v>0</v>
      </c>
      <c r="V260" s="83">
        <f t="shared" si="227"/>
        <v>0</v>
      </c>
      <c r="W260" s="83">
        <f t="shared" si="228"/>
        <v>0</v>
      </c>
      <c r="X260" s="781">
        <f t="shared" si="229"/>
        <v>0</v>
      </c>
      <c r="Y260" s="781">
        <f t="shared" si="230"/>
        <v>0</v>
      </c>
      <c r="Z260" s="781">
        <f t="shared" si="231"/>
        <v>0</v>
      </c>
      <c r="AA260" s="83">
        <f t="shared" si="224"/>
        <v>0</v>
      </c>
      <c r="AB260" s="83">
        <f t="shared" si="232"/>
        <v>0</v>
      </c>
      <c r="AC260" s="83">
        <f t="shared" si="233"/>
        <v>0</v>
      </c>
      <c r="AD260" s="83">
        <f t="shared" si="234"/>
        <v>0</v>
      </c>
      <c r="AE260" s="83">
        <f t="shared" si="235"/>
        <v>0</v>
      </c>
      <c r="AF260" s="83">
        <f t="shared" si="236"/>
        <v>0</v>
      </c>
      <c r="AG260" s="83">
        <f t="shared" si="237"/>
        <v>0</v>
      </c>
      <c r="AH260" s="83">
        <f t="shared" si="238"/>
        <v>0</v>
      </c>
      <c r="AI260" s="83">
        <f t="shared" si="239"/>
        <v>0</v>
      </c>
      <c r="AJ260" s="718">
        <f t="shared" si="240"/>
        <v>0</v>
      </c>
      <c r="AL260">
        <f t="shared" si="241"/>
        <v>0</v>
      </c>
      <c r="AM260">
        <f t="shared" si="242"/>
        <v>0</v>
      </c>
    </row>
    <row r="261" spans="1:39" ht="15.75" hidden="1" customHeight="1" x14ac:dyDescent="0.25">
      <c r="A261" s="561"/>
      <c r="B261" s="561"/>
      <c r="C261" s="561"/>
      <c r="D261" s="672"/>
      <c r="E261" s="209"/>
      <c r="F261" s="209"/>
      <c r="G261" s="209"/>
      <c r="H261" s="176">
        <f t="shared" si="220"/>
        <v>0</v>
      </c>
      <c r="I261" s="209"/>
      <c r="J261" s="209"/>
      <c r="K261" s="176">
        <f t="shared" si="221"/>
        <v>0</v>
      </c>
      <c r="L261" s="209"/>
      <c r="M261" s="177">
        <f t="shared" si="222"/>
        <v>0</v>
      </c>
      <c r="N261" s="1012"/>
      <c r="O261" s="1012"/>
      <c r="P261" s="485"/>
      <c r="Q261" s="778"/>
      <c r="R261" s="778"/>
      <c r="S261" s="785" t="str">
        <f t="shared" si="225"/>
        <v/>
      </c>
      <c r="T261" s="548" t="str">
        <f t="shared" si="223"/>
        <v>Sheet Metal Takeoff</v>
      </c>
      <c r="U261" s="83">
        <f>ROUND(IF($T261="Plumb Takeoff",$H261*U$3,IF($T261="Pipe Takeoff",$H261*U$4,$H261*U$2)),2)</f>
        <v>0</v>
      </c>
      <c r="V261" s="83">
        <f t="shared" si="227"/>
        <v>0</v>
      </c>
      <c r="W261" s="83">
        <f t="shared" si="228"/>
        <v>0</v>
      </c>
      <c r="X261" s="781">
        <f t="shared" si="229"/>
        <v>0</v>
      </c>
      <c r="Y261" s="781">
        <f t="shared" si="230"/>
        <v>0</v>
      </c>
      <c r="Z261" s="781">
        <f t="shared" si="231"/>
        <v>0</v>
      </c>
      <c r="AA261" s="83">
        <f t="shared" si="224"/>
        <v>0</v>
      </c>
      <c r="AB261" s="83">
        <f t="shared" si="232"/>
        <v>0</v>
      </c>
      <c r="AC261" s="83">
        <f t="shared" si="233"/>
        <v>0</v>
      </c>
      <c r="AD261" s="83">
        <f t="shared" si="234"/>
        <v>0</v>
      </c>
      <c r="AE261" s="83">
        <f t="shared" si="235"/>
        <v>0</v>
      </c>
      <c r="AF261" s="83">
        <f t="shared" si="236"/>
        <v>0</v>
      </c>
      <c r="AG261" s="83">
        <f t="shared" si="237"/>
        <v>0</v>
      </c>
      <c r="AH261" s="83">
        <f t="shared" si="238"/>
        <v>0</v>
      </c>
      <c r="AI261" s="83">
        <f t="shared" si="239"/>
        <v>0</v>
      </c>
      <c r="AJ261" s="718">
        <f t="shared" si="240"/>
        <v>0</v>
      </c>
      <c r="AL261">
        <f t="shared" si="241"/>
        <v>0</v>
      </c>
      <c r="AM261">
        <f t="shared" si="242"/>
        <v>0</v>
      </c>
    </row>
    <row r="262" spans="1:39" ht="15.75" x14ac:dyDescent="0.25">
      <c r="A262" s="551"/>
      <c r="B262" s="551"/>
      <c r="C262" s="551"/>
      <c r="D262" s="673"/>
      <c r="E262" s="552"/>
      <c r="F262" s="553"/>
      <c r="G262" s="553"/>
      <c r="H262" s="181">
        <f>SUM(H236:H261)</f>
        <v>0</v>
      </c>
      <c r="I262" s="182"/>
      <c r="J262" s="182"/>
      <c r="K262" s="181">
        <f>SUM(K236:K261)</f>
        <v>0</v>
      </c>
      <c r="L262" s="182"/>
      <c r="M262" s="177">
        <f>SUM(M236:M261)</f>
        <v>76961</v>
      </c>
      <c r="O262" s="486"/>
      <c r="AJ262" s="718"/>
    </row>
    <row r="263" spans="1:39" ht="15.75" thickBot="1" x14ac:dyDescent="0.3">
      <c r="AJ263" s="718"/>
    </row>
    <row r="264" spans="1:39" ht="16.5" thickBot="1" x14ac:dyDescent="0.3">
      <c r="E264" s="678" t="s">
        <v>1122</v>
      </c>
      <c r="F264" s="1017" t="s">
        <v>1630</v>
      </c>
      <c r="G264" s="1018"/>
      <c r="H264" s="344"/>
      <c r="I264" s="1019" t="s">
        <v>1628</v>
      </c>
      <c r="J264" s="1020"/>
      <c r="K264" s="679" t="b">
        <v>0</v>
      </c>
      <c r="AJ264" s="718"/>
    </row>
    <row r="265" spans="1:39" ht="38.25" thickBot="1" x14ac:dyDescent="0.35">
      <c r="A265" s="477" t="s">
        <v>1063</v>
      </c>
      <c r="B265" s="477" t="s">
        <v>348</v>
      </c>
      <c r="C265" s="477" t="s">
        <v>349</v>
      </c>
      <c r="D265" s="666" t="s">
        <v>0</v>
      </c>
      <c r="E265" s="477" t="s">
        <v>1</v>
      </c>
      <c r="F265" s="480" t="s">
        <v>2</v>
      </c>
      <c r="G265" s="480" t="s">
        <v>1123</v>
      </c>
      <c r="H265" s="480" t="s">
        <v>3</v>
      </c>
      <c r="I265" s="483" t="s">
        <v>4</v>
      </c>
      <c r="J265" s="480" t="s">
        <v>1124</v>
      </c>
      <c r="K265" s="680" t="s">
        <v>5</v>
      </c>
      <c r="L265" s="480" t="s">
        <v>6</v>
      </c>
      <c r="M265" s="484" t="s">
        <v>7</v>
      </c>
      <c r="N265" s="1013" t="s">
        <v>1079</v>
      </c>
      <c r="O265" s="1014"/>
      <c r="P265" s="1009" t="s">
        <v>1629</v>
      </c>
      <c r="Q265" s="1009" t="s">
        <v>1147</v>
      </c>
      <c r="R265" s="1009" t="s">
        <v>1792</v>
      </c>
      <c r="T265" s="2"/>
      <c r="AJ265" s="718"/>
    </row>
    <row r="266" spans="1:39" ht="16.5" thickBot="1" x14ac:dyDescent="0.3">
      <c r="A266" s="183"/>
      <c r="B266" s="183"/>
      <c r="C266" s="183"/>
      <c r="D266" s="671"/>
      <c r="E266" s="183"/>
      <c r="F266" s="183"/>
      <c r="G266" s="183"/>
      <c r="H266" s="183"/>
      <c r="I266" s="183"/>
      <c r="J266" s="183"/>
      <c r="K266" s="183"/>
      <c r="L266" s="183"/>
      <c r="M266" s="183"/>
      <c r="N266" s="1015"/>
      <c r="O266" s="1016"/>
      <c r="P266" s="1010" t="s">
        <v>1362</v>
      </c>
      <c r="Q266" s="1010"/>
      <c r="R266" s="1010"/>
      <c r="T266" s="1"/>
      <c r="AJ266" s="718"/>
    </row>
    <row r="267" spans="1:39" ht="15.75" x14ac:dyDescent="0.25">
      <c r="A267" s="561"/>
      <c r="B267" s="561"/>
      <c r="C267" s="561"/>
      <c r="D267" s="672"/>
      <c r="E267" s="209"/>
      <c r="F267" s="209"/>
      <c r="G267" s="209"/>
      <c r="H267" s="176">
        <f t="shared" ref="H267:H292" si="243">IF(SM_ExludeGroup8=TRUE,0,IF(G267="",E267*F267*IF(AND(S267="LOP",R267="SWING"),1+CrewRate_PlumbFitter_SwingLOP,1)*IF(AND(S267="LOP",R267="GRAVE"),1+CrewRate_PlumbFitter_GraveLOP,1)*IF(AND(S267="LOP",R267="SPECIAL"),1+CrewRate_PlumbFitter_SwingLOP,1),E267*F267*G267*IF(AND(S267="LOP",R267="SWING"),1+CrewRate_PlumbFitter_SwingLOP,1)*IF(AND(S267="LOP",R267="GRAVE"),1+CrewRate_PlumbFitter_GraveLOP,1)*IF(AND(S267="LOP",R267="SPECIAL"),1+CrewRate_PlumbFitter_SwingLOP,1)))</f>
        <v>0</v>
      </c>
      <c r="I267" s="209"/>
      <c r="J267" s="209"/>
      <c r="K267" s="176">
        <f t="shared" ref="K267:K292" si="244">IF(SM_ExludeGroup8=TRUE,0,IF(J267="",E267*I267,E267*I267*J267))</f>
        <v>0</v>
      </c>
      <c r="L267" s="209"/>
      <c r="M267" s="177">
        <f t="shared" ref="M267:M292" si="245">IF(SM_ExludeGroup8=TRUE,0,E267*L267)</f>
        <v>0</v>
      </c>
      <c r="N267" s="1012"/>
      <c r="O267" s="1012"/>
      <c r="P267" s="485"/>
      <c r="Q267" s="778"/>
      <c r="R267" s="778"/>
      <c r="S267" s="785" t="str">
        <f>IF(T267="Sheet Metal Takeoff","",IF(R267="","","LOP"))</f>
        <v/>
      </c>
      <c r="T267" s="548" t="str">
        <f t="shared" ref="T267:T292" si="246">IF($F$264="","Sheet Metal Takeoff",$F$264)</f>
        <v>Sheet Metal Takeoff</v>
      </c>
      <c r="U267" s="83">
        <f>ROUND(IF($T267="Plumb Takeoff",$H267*U$3,IF($T267="Pipe Takeoff",$H267*U$4,$H267*U$2)),2)</f>
        <v>0</v>
      </c>
      <c r="V267" s="83">
        <f>ROUND(IF($T267="Plumb Takeoff",IF($Q267="OT",$H267*V$3,0),IF($T267="Pipe Takeoff",IF($Q267="OT",$H267*V$4,0),IF($Q267="OT",$H267*V$2,0))),2)</f>
        <v>0</v>
      </c>
      <c r="W267" s="83">
        <f>ROUND(IF($T267="Plumb Takeoff",IF($Q267="DBLT",$H267*W$3,0),IF($T267="Pipe Takeoff",IF($Q267="DBLT",$H267*W$4,0),IF($Q267="DBLT",$H267*W$2,0))),2)</f>
        <v>0</v>
      </c>
      <c r="X267" s="781">
        <f>ROUND(SUM(IF($T267="Plumb Takeoff",IF($R267="SWING",ROUND(SUM($H267)*X$3,2))),IF($T267="Pipe Takeoff",IF($R267="SWING",ROUND(SUM($H267)*X$4,2))),IF($T267="Sheet Metal Takeoff",IF($R267="SWING",ROUND(SUM($H267)*X$2,2)))),2)</f>
        <v>0</v>
      </c>
      <c r="Y267" s="781">
        <f>ROUND(SUM(IF($T267="Plumb Takeoff",IF($R267="GRAVE",ROUND(SUM($H267)*Y$3,2))),IF($T267="Pipe Takeoff",IF($R267="GRAVE",ROUND(SUM($H267)*Y$4,2))),IF($T267="Sheet Metal Takeoff",IF($R267="GRAVE",ROUND(SUM($H267)*Y$2,2)))),2)</f>
        <v>0</v>
      </c>
      <c r="Z267" s="781">
        <f>ROUND(SUM(IF($T267="Plumb Takeoff",IF($R267="SPECIAL",ROUND(SUM($H267)*Z$3,2))),IF($T267="Pipe Takeoff",IF($R267="SPECIAL",ROUND(SUM($H267)*Z$4,2))),IF($T267="Sheet Metal Takeoff",IF($R267="SPECIAL",ROUND(SUM($H267)*Z$2,2)))),2)</f>
        <v>0</v>
      </c>
      <c r="AA267" s="83">
        <f t="shared" ref="AA267:AA292" si="247">ROUND($K267*AA$2,2)</f>
        <v>0</v>
      </c>
      <c r="AB267" s="83">
        <f>ROUND(IF($Q267="OT",$K267*AB$2,0),2)</f>
        <v>0</v>
      </c>
      <c r="AC267" s="83">
        <f>ROUND(IF($Q267="DBLT",$K267*AC$2,0),2)</f>
        <v>0</v>
      </c>
      <c r="AD267" s="83">
        <f>ROUND(IF($R267="SWING",$K267*AD$2,0),2)</f>
        <v>0</v>
      </c>
      <c r="AE267" s="83">
        <f>ROUND(IF($R267="GRAVE",$K267*AE$2,0),2)</f>
        <v>0</v>
      </c>
      <c r="AF267" s="83">
        <f>ROUND(IF($R267="SPECIAL",$K267*AF$2,0),2)</f>
        <v>0</v>
      </c>
      <c r="AG267" s="83">
        <f>SUM(U267:Z267)</f>
        <v>0</v>
      </c>
      <c r="AH267" s="83">
        <f>SUM(AA267:AF267)</f>
        <v>0</v>
      </c>
      <c r="AI267" s="83">
        <f>SUM(U267:AF267)</f>
        <v>0</v>
      </c>
      <c r="AJ267" s="718">
        <f>SUM(M267,AI267)</f>
        <v>0</v>
      </c>
      <c r="AL267">
        <f>SUM(V267:Z267)</f>
        <v>0</v>
      </c>
      <c r="AM267">
        <f>SUM(AB267:AF267)</f>
        <v>0</v>
      </c>
    </row>
    <row r="268" spans="1:39" ht="15.75" x14ac:dyDescent="0.25">
      <c r="A268" s="561"/>
      <c r="B268" s="561"/>
      <c r="C268" s="561"/>
      <c r="D268" s="672"/>
      <c r="E268" s="209"/>
      <c r="F268" s="209"/>
      <c r="G268" s="209"/>
      <c r="H268" s="176">
        <f t="shared" si="243"/>
        <v>0</v>
      </c>
      <c r="I268" s="209"/>
      <c r="J268" s="209"/>
      <c r="K268" s="176">
        <f t="shared" si="244"/>
        <v>0</v>
      </c>
      <c r="L268" s="209"/>
      <c r="M268" s="177">
        <f t="shared" si="245"/>
        <v>0</v>
      </c>
      <c r="N268" s="1012"/>
      <c r="O268" s="1012"/>
      <c r="P268" s="485"/>
      <c r="Q268" s="778"/>
      <c r="R268" s="778"/>
      <c r="S268" s="785" t="str">
        <f t="shared" ref="S268:S292" si="248">IF(T268="Sheet Metal Takeoff","",IF(R268="","","LOP"))</f>
        <v/>
      </c>
      <c r="T268" s="548" t="str">
        <f t="shared" si="246"/>
        <v>Sheet Metal Takeoff</v>
      </c>
      <c r="U268" s="83">
        <f t="shared" ref="U268:U291" si="249">ROUND(IF($T268="Plumb Takeoff",$H268*U$3,IF($T268="Pipe Takeoff",$H268*U$4,$H268*U$2)),2)</f>
        <v>0</v>
      </c>
      <c r="V268" s="83">
        <f t="shared" ref="V268:V292" si="250">ROUND(IF($T268="Plumb Takeoff",IF($Q268="OT",$H268*V$3,0),IF($T268="Pipe Takeoff",IF($Q268="OT",$H268*V$4,0),IF($Q268="OT",$H268*V$2,0))),2)</f>
        <v>0</v>
      </c>
      <c r="W268" s="83">
        <f t="shared" ref="W268:W292" si="251">ROUND(IF($T268="Plumb Takeoff",IF($Q268="DBLT",$H268*W$3,0),IF($T268="Pipe Takeoff",IF($Q268="DBLT",$H268*W$4,0),IF($Q268="DBLT",$H268*W$2,0))),2)</f>
        <v>0</v>
      </c>
      <c r="X268" s="781">
        <f t="shared" ref="X268:X292" si="252">ROUND(SUM(IF($T268="Plumb Takeoff",IF($R268="SWING",ROUND(SUM($H268)*X$3,2))),IF($T268="Pipe Takeoff",IF($R268="SWING",ROUND(SUM($H268)*X$4,2))),IF($T268="Sheet Metal Takeoff",IF($R268="SWING",ROUND(SUM($H268)*X$2,2)))),2)</f>
        <v>0</v>
      </c>
      <c r="Y268" s="781">
        <f t="shared" ref="Y268:Y292" si="253">ROUND(SUM(IF($T268="Plumb Takeoff",IF($R268="GRAVE",ROUND(SUM($H268)*Y$3,2))),IF($T268="Pipe Takeoff",IF($R268="GRAVE",ROUND(SUM($H268)*Y$4,2))),IF($T268="Sheet Metal Takeoff",IF($R268="GRAVE",ROUND(SUM($H268)*Y$2,2)))),2)</f>
        <v>0</v>
      </c>
      <c r="Z268" s="781">
        <f t="shared" ref="Z268:Z292" si="254">ROUND(SUM(IF($T268="Plumb Takeoff",IF($R268="SPECIAL",ROUND(SUM($H268)*Z$3,2))),IF($T268="Pipe Takeoff",IF($R268="SPECIAL",ROUND(SUM($H268)*Z$4,2))),IF($T268="Sheet Metal Takeoff",IF($R268="SPECIAL",ROUND(SUM($H268)*Z$2,2)))),2)</f>
        <v>0</v>
      </c>
      <c r="AA268" s="83">
        <f t="shared" si="247"/>
        <v>0</v>
      </c>
      <c r="AB268" s="83">
        <f t="shared" ref="AB268:AB292" si="255">ROUND(IF($Q268="OT",$K268*AB$2,0),2)</f>
        <v>0</v>
      </c>
      <c r="AC268" s="83">
        <f t="shared" ref="AC268:AC292" si="256">ROUND(IF($Q268="DBLT",$K268*AC$2,0),2)</f>
        <v>0</v>
      </c>
      <c r="AD268" s="83">
        <f t="shared" ref="AD268:AD292" si="257">ROUND(IF($R268="SWING",$K268*AD$2,0),2)</f>
        <v>0</v>
      </c>
      <c r="AE268" s="83">
        <f t="shared" ref="AE268:AE292" si="258">ROUND(IF($R268="GRAVE",$K268*AE$2,0),2)</f>
        <v>0</v>
      </c>
      <c r="AF268" s="83">
        <f t="shared" ref="AF268:AF292" si="259">ROUND(IF($R268="SPECIAL",$K268*AF$2,0),2)</f>
        <v>0</v>
      </c>
      <c r="AG268" s="83">
        <f t="shared" ref="AG268:AG292" si="260">SUM(U268:Z268)</f>
        <v>0</v>
      </c>
      <c r="AH268" s="83">
        <f t="shared" ref="AH268:AH292" si="261">SUM(AA268:AF268)</f>
        <v>0</v>
      </c>
      <c r="AI268" s="83">
        <f t="shared" ref="AI268:AI292" si="262">SUM(U268:AF268)</f>
        <v>0</v>
      </c>
      <c r="AJ268" s="718">
        <f t="shared" ref="AJ268:AJ292" si="263">SUM(M268,AI268)</f>
        <v>0</v>
      </c>
      <c r="AL268">
        <f t="shared" ref="AL268:AL292" si="264">SUM(V268:Z268)</f>
        <v>0</v>
      </c>
      <c r="AM268">
        <f t="shared" ref="AM268:AM292" si="265">SUM(AB268:AF268)</f>
        <v>0</v>
      </c>
    </row>
    <row r="269" spans="1:39" ht="15.75" x14ac:dyDescent="0.25">
      <c r="A269" s="561"/>
      <c r="B269" s="561"/>
      <c r="C269" s="561"/>
      <c r="D269" s="672"/>
      <c r="E269" s="209"/>
      <c r="F269" s="209"/>
      <c r="G269" s="209"/>
      <c r="H269" s="176">
        <f t="shared" si="243"/>
        <v>0</v>
      </c>
      <c r="I269" s="209"/>
      <c r="J269" s="209"/>
      <c r="K269" s="176">
        <f t="shared" si="244"/>
        <v>0</v>
      </c>
      <c r="L269" s="209"/>
      <c r="M269" s="177">
        <f t="shared" si="245"/>
        <v>0</v>
      </c>
      <c r="N269" s="1012"/>
      <c r="O269" s="1012"/>
      <c r="P269" s="485"/>
      <c r="Q269" s="778"/>
      <c r="R269" s="778"/>
      <c r="S269" s="785" t="str">
        <f t="shared" si="248"/>
        <v/>
      </c>
      <c r="T269" s="548" t="str">
        <f t="shared" si="246"/>
        <v>Sheet Metal Takeoff</v>
      </c>
      <c r="U269" s="83">
        <f t="shared" si="249"/>
        <v>0</v>
      </c>
      <c r="V269" s="83">
        <f t="shared" si="250"/>
        <v>0</v>
      </c>
      <c r="W269" s="83">
        <f t="shared" si="251"/>
        <v>0</v>
      </c>
      <c r="X269" s="781">
        <f t="shared" si="252"/>
        <v>0</v>
      </c>
      <c r="Y269" s="781">
        <f t="shared" si="253"/>
        <v>0</v>
      </c>
      <c r="Z269" s="781">
        <f t="shared" si="254"/>
        <v>0</v>
      </c>
      <c r="AA269" s="83">
        <f t="shared" si="247"/>
        <v>0</v>
      </c>
      <c r="AB269" s="83">
        <f t="shared" si="255"/>
        <v>0</v>
      </c>
      <c r="AC269" s="83">
        <f t="shared" si="256"/>
        <v>0</v>
      </c>
      <c r="AD269" s="83">
        <f t="shared" si="257"/>
        <v>0</v>
      </c>
      <c r="AE269" s="83">
        <f t="shared" si="258"/>
        <v>0</v>
      </c>
      <c r="AF269" s="83">
        <f t="shared" si="259"/>
        <v>0</v>
      </c>
      <c r="AG269" s="83">
        <f t="shared" si="260"/>
        <v>0</v>
      </c>
      <c r="AH269" s="83">
        <f t="shared" si="261"/>
        <v>0</v>
      </c>
      <c r="AI269" s="83">
        <f t="shared" si="262"/>
        <v>0</v>
      </c>
      <c r="AJ269" s="718">
        <f t="shared" si="263"/>
        <v>0</v>
      </c>
      <c r="AL269">
        <f t="shared" si="264"/>
        <v>0</v>
      </c>
      <c r="AM269">
        <f t="shared" si="265"/>
        <v>0</v>
      </c>
    </row>
    <row r="270" spans="1:39" ht="15.75" x14ac:dyDescent="0.25">
      <c r="A270" s="561"/>
      <c r="B270" s="561"/>
      <c r="C270" s="561"/>
      <c r="D270" s="672"/>
      <c r="E270" s="209"/>
      <c r="F270" s="209"/>
      <c r="G270" s="209"/>
      <c r="H270" s="176">
        <f t="shared" si="243"/>
        <v>0</v>
      </c>
      <c r="I270" s="209"/>
      <c r="J270" s="209"/>
      <c r="K270" s="176">
        <f t="shared" si="244"/>
        <v>0</v>
      </c>
      <c r="L270" s="209"/>
      <c r="M270" s="177">
        <f t="shared" si="245"/>
        <v>0</v>
      </c>
      <c r="N270" s="1012"/>
      <c r="O270" s="1012"/>
      <c r="P270" s="485"/>
      <c r="Q270" s="778"/>
      <c r="R270" s="778"/>
      <c r="S270" s="785" t="str">
        <f t="shared" si="248"/>
        <v/>
      </c>
      <c r="T270" s="548" t="str">
        <f t="shared" si="246"/>
        <v>Sheet Metal Takeoff</v>
      </c>
      <c r="U270" s="83">
        <f t="shared" si="249"/>
        <v>0</v>
      </c>
      <c r="V270" s="83">
        <f t="shared" si="250"/>
        <v>0</v>
      </c>
      <c r="W270" s="83">
        <f t="shared" si="251"/>
        <v>0</v>
      </c>
      <c r="X270" s="781">
        <f t="shared" si="252"/>
        <v>0</v>
      </c>
      <c r="Y270" s="781">
        <f t="shared" si="253"/>
        <v>0</v>
      </c>
      <c r="Z270" s="781">
        <f t="shared" si="254"/>
        <v>0</v>
      </c>
      <c r="AA270" s="83">
        <f t="shared" si="247"/>
        <v>0</v>
      </c>
      <c r="AB270" s="83">
        <f t="shared" si="255"/>
        <v>0</v>
      </c>
      <c r="AC270" s="83">
        <f t="shared" si="256"/>
        <v>0</v>
      </c>
      <c r="AD270" s="83">
        <f t="shared" si="257"/>
        <v>0</v>
      </c>
      <c r="AE270" s="83">
        <f t="shared" si="258"/>
        <v>0</v>
      </c>
      <c r="AF270" s="83">
        <f t="shared" si="259"/>
        <v>0</v>
      </c>
      <c r="AG270" s="83">
        <f t="shared" si="260"/>
        <v>0</v>
      </c>
      <c r="AH270" s="83">
        <f t="shared" si="261"/>
        <v>0</v>
      </c>
      <c r="AI270" s="83">
        <f t="shared" si="262"/>
        <v>0</v>
      </c>
      <c r="AJ270" s="718">
        <f t="shared" si="263"/>
        <v>0</v>
      </c>
      <c r="AL270">
        <f t="shared" si="264"/>
        <v>0</v>
      </c>
      <c r="AM270">
        <f t="shared" si="265"/>
        <v>0</v>
      </c>
    </row>
    <row r="271" spans="1:39" ht="15.75" x14ac:dyDescent="0.25">
      <c r="A271" s="561"/>
      <c r="B271" s="561"/>
      <c r="C271" s="561"/>
      <c r="D271" s="672"/>
      <c r="E271" s="209"/>
      <c r="F271" s="209"/>
      <c r="G271" s="209"/>
      <c r="H271" s="176">
        <f t="shared" si="243"/>
        <v>0</v>
      </c>
      <c r="I271" s="209"/>
      <c r="J271" s="209"/>
      <c r="K271" s="176">
        <f t="shared" si="244"/>
        <v>0</v>
      </c>
      <c r="L271" s="209"/>
      <c r="M271" s="177">
        <f t="shared" si="245"/>
        <v>0</v>
      </c>
      <c r="N271" s="1012"/>
      <c r="O271" s="1012"/>
      <c r="P271" s="485"/>
      <c r="Q271" s="778"/>
      <c r="R271" s="778"/>
      <c r="S271" s="785" t="str">
        <f t="shared" si="248"/>
        <v/>
      </c>
      <c r="T271" s="548" t="str">
        <f t="shared" si="246"/>
        <v>Sheet Metal Takeoff</v>
      </c>
      <c r="U271" s="83">
        <f t="shared" si="249"/>
        <v>0</v>
      </c>
      <c r="V271" s="83">
        <f t="shared" si="250"/>
        <v>0</v>
      </c>
      <c r="W271" s="83">
        <f t="shared" si="251"/>
        <v>0</v>
      </c>
      <c r="X271" s="781">
        <f t="shared" si="252"/>
        <v>0</v>
      </c>
      <c r="Y271" s="781">
        <f t="shared" si="253"/>
        <v>0</v>
      </c>
      <c r="Z271" s="781">
        <f t="shared" si="254"/>
        <v>0</v>
      </c>
      <c r="AA271" s="83">
        <f t="shared" si="247"/>
        <v>0</v>
      </c>
      <c r="AB271" s="83">
        <f t="shared" si="255"/>
        <v>0</v>
      </c>
      <c r="AC271" s="83">
        <f t="shared" si="256"/>
        <v>0</v>
      </c>
      <c r="AD271" s="83">
        <f t="shared" si="257"/>
        <v>0</v>
      </c>
      <c r="AE271" s="83">
        <f t="shared" si="258"/>
        <v>0</v>
      </c>
      <c r="AF271" s="83">
        <f t="shared" si="259"/>
        <v>0</v>
      </c>
      <c r="AG271" s="83">
        <f t="shared" si="260"/>
        <v>0</v>
      </c>
      <c r="AH271" s="83">
        <f t="shared" si="261"/>
        <v>0</v>
      </c>
      <c r="AI271" s="83">
        <f t="shared" si="262"/>
        <v>0</v>
      </c>
      <c r="AJ271" s="718">
        <f t="shared" si="263"/>
        <v>0</v>
      </c>
      <c r="AL271">
        <f t="shared" si="264"/>
        <v>0</v>
      </c>
      <c r="AM271">
        <f t="shared" si="265"/>
        <v>0</v>
      </c>
    </row>
    <row r="272" spans="1:39" ht="15.75" x14ac:dyDescent="0.25">
      <c r="A272" s="561"/>
      <c r="B272" s="561"/>
      <c r="C272" s="561"/>
      <c r="D272" s="672"/>
      <c r="E272" s="209"/>
      <c r="F272" s="209"/>
      <c r="G272" s="209"/>
      <c r="H272" s="176">
        <f t="shared" si="243"/>
        <v>0</v>
      </c>
      <c r="I272" s="209"/>
      <c r="J272" s="209"/>
      <c r="K272" s="176">
        <f t="shared" si="244"/>
        <v>0</v>
      </c>
      <c r="L272" s="209"/>
      <c r="M272" s="177">
        <f t="shared" si="245"/>
        <v>0</v>
      </c>
      <c r="N272" s="1012"/>
      <c r="O272" s="1012"/>
      <c r="P272" s="485"/>
      <c r="Q272" s="778"/>
      <c r="R272" s="778"/>
      <c r="S272" s="785" t="str">
        <f t="shared" si="248"/>
        <v/>
      </c>
      <c r="T272" s="548" t="str">
        <f t="shared" si="246"/>
        <v>Sheet Metal Takeoff</v>
      </c>
      <c r="U272" s="83">
        <f t="shared" si="249"/>
        <v>0</v>
      </c>
      <c r="V272" s="83">
        <f t="shared" si="250"/>
        <v>0</v>
      </c>
      <c r="W272" s="83">
        <f t="shared" si="251"/>
        <v>0</v>
      </c>
      <c r="X272" s="781">
        <f t="shared" si="252"/>
        <v>0</v>
      </c>
      <c r="Y272" s="781">
        <f t="shared" si="253"/>
        <v>0</v>
      </c>
      <c r="Z272" s="781">
        <f t="shared" si="254"/>
        <v>0</v>
      </c>
      <c r="AA272" s="83">
        <f t="shared" si="247"/>
        <v>0</v>
      </c>
      <c r="AB272" s="83">
        <f t="shared" si="255"/>
        <v>0</v>
      </c>
      <c r="AC272" s="83">
        <f t="shared" si="256"/>
        <v>0</v>
      </c>
      <c r="AD272" s="83">
        <f t="shared" si="257"/>
        <v>0</v>
      </c>
      <c r="AE272" s="83">
        <f t="shared" si="258"/>
        <v>0</v>
      </c>
      <c r="AF272" s="83">
        <f t="shared" si="259"/>
        <v>0</v>
      </c>
      <c r="AG272" s="83">
        <f t="shared" si="260"/>
        <v>0</v>
      </c>
      <c r="AH272" s="83">
        <f t="shared" si="261"/>
        <v>0</v>
      </c>
      <c r="AI272" s="83">
        <f t="shared" si="262"/>
        <v>0</v>
      </c>
      <c r="AJ272" s="718">
        <f t="shared" si="263"/>
        <v>0</v>
      </c>
      <c r="AL272">
        <f t="shared" si="264"/>
        <v>0</v>
      </c>
      <c r="AM272">
        <f t="shared" si="265"/>
        <v>0</v>
      </c>
    </row>
    <row r="273" spans="1:39" ht="15.75" x14ac:dyDescent="0.25">
      <c r="A273" s="561"/>
      <c r="B273" s="561"/>
      <c r="C273" s="561"/>
      <c r="D273" s="672"/>
      <c r="E273" s="209"/>
      <c r="F273" s="209"/>
      <c r="G273" s="209"/>
      <c r="H273" s="176">
        <f t="shared" si="243"/>
        <v>0</v>
      </c>
      <c r="I273" s="209"/>
      <c r="J273" s="209"/>
      <c r="K273" s="176">
        <f t="shared" si="244"/>
        <v>0</v>
      </c>
      <c r="L273" s="209"/>
      <c r="M273" s="177">
        <f t="shared" si="245"/>
        <v>0</v>
      </c>
      <c r="N273" s="1012"/>
      <c r="O273" s="1012"/>
      <c r="P273" s="485"/>
      <c r="Q273" s="778"/>
      <c r="R273" s="778"/>
      <c r="S273" s="785" t="str">
        <f t="shared" si="248"/>
        <v/>
      </c>
      <c r="T273" s="548" t="str">
        <f t="shared" si="246"/>
        <v>Sheet Metal Takeoff</v>
      </c>
      <c r="U273" s="83">
        <f t="shared" si="249"/>
        <v>0</v>
      </c>
      <c r="V273" s="83">
        <f t="shared" si="250"/>
        <v>0</v>
      </c>
      <c r="W273" s="83">
        <f t="shared" si="251"/>
        <v>0</v>
      </c>
      <c r="X273" s="781">
        <f t="shared" si="252"/>
        <v>0</v>
      </c>
      <c r="Y273" s="781">
        <f t="shared" si="253"/>
        <v>0</v>
      </c>
      <c r="Z273" s="781">
        <f t="shared" si="254"/>
        <v>0</v>
      </c>
      <c r="AA273" s="83">
        <f t="shared" si="247"/>
        <v>0</v>
      </c>
      <c r="AB273" s="83">
        <f t="shared" si="255"/>
        <v>0</v>
      </c>
      <c r="AC273" s="83">
        <f t="shared" si="256"/>
        <v>0</v>
      </c>
      <c r="AD273" s="83">
        <f t="shared" si="257"/>
        <v>0</v>
      </c>
      <c r="AE273" s="83">
        <f t="shared" si="258"/>
        <v>0</v>
      </c>
      <c r="AF273" s="83">
        <f t="shared" si="259"/>
        <v>0</v>
      </c>
      <c r="AG273" s="83">
        <f t="shared" si="260"/>
        <v>0</v>
      </c>
      <c r="AH273" s="83">
        <f t="shared" si="261"/>
        <v>0</v>
      </c>
      <c r="AI273" s="83">
        <f t="shared" si="262"/>
        <v>0</v>
      </c>
      <c r="AJ273" s="718">
        <f t="shared" si="263"/>
        <v>0</v>
      </c>
      <c r="AL273">
        <f t="shared" si="264"/>
        <v>0</v>
      </c>
      <c r="AM273">
        <f t="shared" si="265"/>
        <v>0</v>
      </c>
    </row>
    <row r="274" spans="1:39" ht="15.75" x14ac:dyDescent="0.25">
      <c r="A274" s="561"/>
      <c r="B274" s="561"/>
      <c r="C274" s="561"/>
      <c r="D274" s="672"/>
      <c r="E274" s="209"/>
      <c r="F274" s="209"/>
      <c r="G274" s="209"/>
      <c r="H274" s="176">
        <f t="shared" si="243"/>
        <v>0</v>
      </c>
      <c r="I274" s="209"/>
      <c r="J274" s="209"/>
      <c r="K274" s="176">
        <f t="shared" si="244"/>
        <v>0</v>
      </c>
      <c r="L274" s="209"/>
      <c r="M274" s="177">
        <f t="shared" si="245"/>
        <v>0</v>
      </c>
      <c r="N274" s="1012"/>
      <c r="O274" s="1012"/>
      <c r="P274" s="485"/>
      <c r="Q274" s="778"/>
      <c r="R274" s="778"/>
      <c r="S274" s="785" t="str">
        <f t="shared" si="248"/>
        <v/>
      </c>
      <c r="T274" s="548" t="str">
        <f t="shared" si="246"/>
        <v>Sheet Metal Takeoff</v>
      </c>
      <c r="U274" s="83">
        <f t="shared" si="249"/>
        <v>0</v>
      </c>
      <c r="V274" s="83">
        <f t="shared" si="250"/>
        <v>0</v>
      </c>
      <c r="W274" s="83">
        <f t="shared" si="251"/>
        <v>0</v>
      </c>
      <c r="X274" s="781">
        <f t="shared" si="252"/>
        <v>0</v>
      </c>
      <c r="Y274" s="781">
        <f t="shared" si="253"/>
        <v>0</v>
      </c>
      <c r="Z274" s="781">
        <f t="shared" si="254"/>
        <v>0</v>
      </c>
      <c r="AA274" s="83">
        <f t="shared" si="247"/>
        <v>0</v>
      </c>
      <c r="AB274" s="83">
        <f t="shared" si="255"/>
        <v>0</v>
      </c>
      <c r="AC274" s="83">
        <f t="shared" si="256"/>
        <v>0</v>
      </c>
      <c r="AD274" s="83">
        <f t="shared" si="257"/>
        <v>0</v>
      </c>
      <c r="AE274" s="83">
        <f t="shared" si="258"/>
        <v>0</v>
      </c>
      <c r="AF274" s="83">
        <f t="shared" si="259"/>
        <v>0</v>
      </c>
      <c r="AG274" s="83">
        <f t="shared" si="260"/>
        <v>0</v>
      </c>
      <c r="AH274" s="83">
        <f t="shared" si="261"/>
        <v>0</v>
      </c>
      <c r="AI274" s="83">
        <f t="shared" si="262"/>
        <v>0</v>
      </c>
      <c r="AJ274" s="718">
        <f t="shared" si="263"/>
        <v>0</v>
      </c>
      <c r="AL274">
        <f t="shared" si="264"/>
        <v>0</v>
      </c>
      <c r="AM274">
        <f t="shared" si="265"/>
        <v>0</v>
      </c>
    </row>
    <row r="275" spans="1:39" ht="15.75" x14ac:dyDescent="0.25">
      <c r="A275" s="561"/>
      <c r="B275" s="561"/>
      <c r="C275" s="561"/>
      <c r="D275" s="672"/>
      <c r="E275" s="209"/>
      <c r="F275" s="209"/>
      <c r="G275" s="209"/>
      <c r="H275" s="176">
        <f t="shared" si="243"/>
        <v>0</v>
      </c>
      <c r="I275" s="209"/>
      <c r="J275" s="209"/>
      <c r="K275" s="176">
        <f t="shared" si="244"/>
        <v>0</v>
      </c>
      <c r="L275" s="209"/>
      <c r="M275" s="177">
        <f t="shared" si="245"/>
        <v>0</v>
      </c>
      <c r="N275" s="1012"/>
      <c r="O275" s="1012"/>
      <c r="P275" s="485"/>
      <c r="Q275" s="778"/>
      <c r="R275" s="778"/>
      <c r="S275" s="785" t="str">
        <f t="shared" si="248"/>
        <v/>
      </c>
      <c r="T275" s="548" t="str">
        <f t="shared" si="246"/>
        <v>Sheet Metal Takeoff</v>
      </c>
      <c r="U275" s="83">
        <f t="shared" si="249"/>
        <v>0</v>
      </c>
      <c r="V275" s="83">
        <f t="shared" si="250"/>
        <v>0</v>
      </c>
      <c r="W275" s="83">
        <f t="shared" si="251"/>
        <v>0</v>
      </c>
      <c r="X275" s="781">
        <f t="shared" si="252"/>
        <v>0</v>
      </c>
      <c r="Y275" s="781">
        <f t="shared" si="253"/>
        <v>0</v>
      </c>
      <c r="Z275" s="781">
        <f t="shared" si="254"/>
        <v>0</v>
      </c>
      <c r="AA275" s="83">
        <f t="shared" si="247"/>
        <v>0</v>
      </c>
      <c r="AB275" s="83">
        <f t="shared" si="255"/>
        <v>0</v>
      </c>
      <c r="AC275" s="83">
        <f t="shared" si="256"/>
        <v>0</v>
      </c>
      <c r="AD275" s="83">
        <f t="shared" si="257"/>
        <v>0</v>
      </c>
      <c r="AE275" s="83">
        <f t="shared" si="258"/>
        <v>0</v>
      </c>
      <c r="AF275" s="83">
        <f t="shared" si="259"/>
        <v>0</v>
      </c>
      <c r="AG275" s="83">
        <f t="shared" si="260"/>
        <v>0</v>
      </c>
      <c r="AH275" s="83">
        <f t="shared" si="261"/>
        <v>0</v>
      </c>
      <c r="AI275" s="83">
        <f t="shared" si="262"/>
        <v>0</v>
      </c>
      <c r="AJ275" s="718">
        <f t="shared" si="263"/>
        <v>0</v>
      </c>
      <c r="AL275">
        <f t="shared" si="264"/>
        <v>0</v>
      </c>
      <c r="AM275">
        <f t="shared" si="265"/>
        <v>0</v>
      </c>
    </row>
    <row r="276" spans="1:39" ht="15.75" x14ac:dyDescent="0.25">
      <c r="A276" s="561"/>
      <c r="B276" s="561"/>
      <c r="C276" s="561"/>
      <c r="D276" s="672"/>
      <c r="E276" s="209"/>
      <c r="F276" s="209"/>
      <c r="G276" s="209"/>
      <c r="H276" s="176">
        <f t="shared" si="243"/>
        <v>0</v>
      </c>
      <c r="I276" s="209"/>
      <c r="J276" s="209"/>
      <c r="K276" s="176">
        <f t="shared" si="244"/>
        <v>0</v>
      </c>
      <c r="L276" s="209"/>
      <c r="M276" s="177">
        <f t="shared" si="245"/>
        <v>0</v>
      </c>
      <c r="N276" s="1012"/>
      <c r="O276" s="1012"/>
      <c r="P276" s="485"/>
      <c r="Q276" s="778"/>
      <c r="R276" s="778"/>
      <c r="S276" s="785" t="str">
        <f t="shared" si="248"/>
        <v/>
      </c>
      <c r="T276" s="548" t="str">
        <f t="shared" si="246"/>
        <v>Sheet Metal Takeoff</v>
      </c>
      <c r="U276" s="83">
        <f t="shared" si="249"/>
        <v>0</v>
      </c>
      <c r="V276" s="83">
        <f t="shared" si="250"/>
        <v>0</v>
      </c>
      <c r="W276" s="83">
        <f t="shared" si="251"/>
        <v>0</v>
      </c>
      <c r="X276" s="781">
        <f t="shared" si="252"/>
        <v>0</v>
      </c>
      <c r="Y276" s="781">
        <f t="shared" si="253"/>
        <v>0</v>
      </c>
      <c r="Z276" s="781">
        <f t="shared" si="254"/>
        <v>0</v>
      </c>
      <c r="AA276" s="83">
        <f t="shared" si="247"/>
        <v>0</v>
      </c>
      <c r="AB276" s="83">
        <f t="shared" si="255"/>
        <v>0</v>
      </c>
      <c r="AC276" s="83">
        <f t="shared" si="256"/>
        <v>0</v>
      </c>
      <c r="AD276" s="83">
        <f t="shared" si="257"/>
        <v>0</v>
      </c>
      <c r="AE276" s="83">
        <f t="shared" si="258"/>
        <v>0</v>
      </c>
      <c r="AF276" s="83">
        <f t="shared" si="259"/>
        <v>0</v>
      </c>
      <c r="AG276" s="83">
        <f t="shared" si="260"/>
        <v>0</v>
      </c>
      <c r="AH276" s="83">
        <f t="shared" si="261"/>
        <v>0</v>
      </c>
      <c r="AI276" s="83">
        <f t="shared" si="262"/>
        <v>0</v>
      </c>
      <c r="AJ276" s="718">
        <f t="shared" si="263"/>
        <v>0</v>
      </c>
      <c r="AL276">
        <f t="shared" si="264"/>
        <v>0</v>
      </c>
      <c r="AM276">
        <f t="shared" si="265"/>
        <v>0</v>
      </c>
    </row>
    <row r="277" spans="1:39" ht="15.75" x14ac:dyDescent="0.25">
      <c r="A277" s="561"/>
      <c r="B277" s="561"/>
      <c r="C277" s="561"/>
      <c r="D277" s="672"/>
      <c r="E277" s="209"/>
      <c r="F277" s="209"/>
      <c r="G277" s="209"/>
      <c r="H277" s="176">
        <f t="shared" si="243"/>
        <v>0</v>
      </c>
      <c r="I277" s="209"/>
      <c r="J277" s="209"/>
      <c r="K277" s="176">
        <f t="shared" si="244"/>
        <v>0</v>
      </c>
      <c r="L277" s="209"/>
      <c r="M277" s="177">
        <f t="shared" si="245"/>
        <v>0</v>
      </c>
      <c r="N277" s="1012"/>
      <c r="O277" s="1012"/>
      <c r="P277" s="485"/>
      <c r="Q277" s="778"/>
      <c r="R277" s="778"/>
      <c r="S277" s="785" t="str">
        <f t="shared" si="248"/>
        <v/>
      </c>
      <c r="T277" s="548" t="str">
        <f t="shared" si="246"/>
        <v>Sheet Metal Takeoff</v>
      </c>
      <c r="U277" s="83">
        <f t="shared" si="249"/>
        <v>0</v>
      </c>
      <c r="V277" s="83">
        <f t="shared" si="250"/>
        <v>0</v>
      </c>
      <c r="W277" s="83">
        <f t="shared" si="251"/>
        <v>0</v>
      </c>
      <c r="X277" s="781">
        <f t="shared" si="252"/>
        <v>0</v>
      </c>
      <c r="Y277" s="781">
        <f t="shared" si="253"/>
        <v>0</v>
      </c>
      <c r="Z277" s="781">
        <f t="shared" si="254"/>
        <v>0</v>
      </c>
      <c r="AA277" s="83">
        <f t="shared" si="247"/>
        <v>0</v>
      </c>
      <c r="AB277" s="83">
        <f t="shared" si="255"/>
        <v>0</v>
      </c>
      <c r="AC277" s="83">
        <f t="shared" si="256"/>
        <v>0</v>
      </c>
      <c r="AD277" s="83">
        <f t="shared" si="257"/>
        <v>0</v>
      </c>
      <c r="AE277" s="83">
        <f t="shared" si="258"/>
        <v>0</v>
      </c>
      <c r="AF277" s="83">
        <f t="shared" si="259"/>
        <v>0</v>
      </c>
      <c r="AG277" s="83">
        <f t="shared" si="260"/>
        <v>0</v>
      </c>
      <c r="AH277" s="83">
        <f t="shared" si="261"/>
        <v>0</v>
      </c>
      <c r="AI277" s="83">
        <f t="shared" si="262"/>
        <v>0</v>
      </c>
      <c r="AJ277" s="718">
        <f t="shared" si="263"/>
        <v>0</v>
      </c>
      <c r="AL277">
        <f t="shared" si="264"/>
        <v>0</v>
      </c>
      <c r="AM277">
        <f t="shared" si="265"/>
        <v>0</v>
      </c>
    </row>
    <row r="278" spans="1:39" ht="15.75" x14ac:dyDescent="0.25">
      <c r="A278" s="561"/>
      <c r="B278" s="561"/>
      <c r="C278" s="561"/>
      <c r="D278" s="672"/>
      <c r="E278" s="209"/>
      <c r="F278" s="209"/>
      <c r="G278" s="209"/>
      <c r="H278" s="176">
        <f t="shared" si="243"/>
        <v>0</v>
      </c>
      <c r="I278" s="209"/>
      <c r="J278" s="209"/>
      <c r="K278" s="176">
        <f t="shared" si="244"/>
        <v>0</v>
      </c>
      <c r="L278" s="209"/>
      <c r="M278" s="177">
        <f t="shared" si="245"/>
        <v>0</v>
      </c>
      <c r="N278" s="1012"/>
      <c r="O278" s="1012"/>
      <c r="P278" s="485"/>
      <c r="Q278" s="778"/>
      <c r="R278" s="778"/>
      <c r="S278" s="785" t="str">
        <f t="shared" si="248"/>
        <v/>
      </c>
      <c r="T278" s="548" t="str">
        <f t="shared" si="246"/>
        <v>Sheet Metal Takeoff</v>
      </c>
      <c r="U278" s="83">
        <f t="shared" si="249"/>
        <v>0</v>
      </c>
      <c r="V278" s="83">
        <f t="shared" si="250"/>
        <v>0</v>
      </c>
      <c r="W278" s="83">
        <f t="shared" si="251"/>
        <v>0</v>
      </c>
      <c r="X278" s="781">
        <f t="shared" si="252"/>
        <v>0</v>
      </c>
      <c r="Y278" s="781">
        <f t="shared" si="253"/>
        <v>0</v>
      </c>
      <c r="Z278" s="781">
        <f t="shared" si="254"/>
        <v>0</v>
      </c>
      <c r="AA278" s="83">
        <f t="shared" si="247"/>
        <v>0</v>
      </c>
      <c r="AB278" s="83">
        <f t="shared" si="255"/>
        <v>0</v>
      </c>
      <c r="AC278" s="83">
        <f t="shared" si="256"/>
        <v>0</v>
      </c>
      <c r="AD278" s="83">
        <f t="shared" si="257"/>
        <v>0</v>
      </c>
      <c r="AE278" s="83">
        <f t="shared" si="258"/>
        <v>0</v>
      </c>
      <c r="AF278" s="83">
        <f t="shared" si="259"/>
        <v>0</v>
      </c>
      <c r="AG278" s="83">
        <f t="shared" si="260"/>
        <v>0</v>
      </c>
      <c r="AH278" s="83">
        <f t="shared" si="261"/>
        <v>0</v>
      </c>
      <c r="AI278" s="83">
        <f t="shared" si="262"/>
        <v>0</v>
      </c>
      <c r="AJ278" s="718">
        <f t="shared" si="263"/>
        <v>0</v>
      </c>
      <c r="AL278">
        <f t="shared" si="264"/>
        <v>0</v>
      </c>
      <c r="AM278">
        <f t="shared" si="265"/>
        <v>0</v>
      </c>
    </row>
    <row r="279" spans="1:39" ht="15.75" x14ac:dyDescent="0.25">
      <c r="A279" s="561"/>
      <c r="B279" s="561"/>
      <c r="C279" s="561"/>
      <c r="D279" s="672"/>
      <c r="E279" s="209"/>
      <c r="F279" s="209"/>
      <c r="G279" s="209"/>
      <c r="H279" s="176">
        <f t="shared" si="243"/>
        <v>0</v>
      </c>
      <c r="I279" s="209"/>
      <c r="J279" s="209"/>
      <c r="K279" s="176">
        <f t="shared" si="244"/>
        <v>0</v>
      </c>
      <c r="L279" s="209"/>
      <c r="M279" s="177">
        <f t="shared" si="245"/>
        <v>0</v>
      </c>
      <c r="N279" s="1012"/>
      <c r="O279" s="1012"/>
      <c r="P279" s="485"/>
      <c r="Q279" s="778"/>
      <c r="R279" s="778"/>
      <c r="S279" s="785" t="str">
        <f t="shared" si="248"/>
        <v/>
      </c>
      <c r="T279" s="548" t="str">
        <f t="shared" si="246"/>
        <v>Sheet Metal Takeoff</v>
      </c>
      <c r="U279" s="83">
        <f t="shared" si="249"/>
        <v>0</v>
      </c>
      <c r="V279" s="83">
        <f t="shared" si="250"/>
        <v>0</v>
      </c>
      <c r="W279" s="83">
        <f t="shared" si="251"/>
        <v>0</v>
      </c>
      <c r="X279" s="781">
        <f t="shared" si="252"/>
        <v>0</v>
      </c>
      <c r="Y279" s="781">
        <f t="shared" si="253"/>
        <v>0</v>
      </c>
      <c r="Z279" s="781">
        <f t="shared" si="254"/>
        <v>0</v>
      </c>
      <c r="AA279" s="83">
        <f t="shared" si="247"/>
        <v>0</v>
      </c>
      <c r="AB279" s="83">
        <f t="shared" si="255"/>
        <v>0</v>
      </c>
      <c r="AC279" s="83">
        <f t="shared" si="256"/>
        <v>0</v>
      </c>
      <c r="AD279" s="83">
        <f t="shared" si="257"/>
        <v>0</v>
      </c>
      <c r="AE279" s="83">
        <f t="shared" si="258"/>
        <v>0</v>
      </c>
      <c r="AF279" s="83">
        <f t="shared" si="259"/>
        <v>0</v>
      </c>
      <c r="AG279" s="83">
        <f t="shared" si="260"/>
        <v>0</v>
      </c>
      <c r="AH279" s="83">
        <f t="shared" si="261"/>
        <v>0</v>
      </c>
      <c r="AI279" s="83">
        <f t="shared" si="262"/>
        <v>0</v>
      </c>
      <c r="AJ279" s="718">
        <f t="shared" si="263"/>
        <v>0</v>
      </c>
      <c r="AL279">
        <f t="shared" si="264"/>
        <v>0</v>
      </c>
      <c r="AM279">
        <f t="shared" si="265"/>
        <v>0</v>
      </c>
    </row>
    <row r="280" spans="1:39" ht="15.75" x14ac:dyDescent="0.25">
      <c r="A280" s="561"/>
      <c r="B280" s="561"/>
      <c r="C280" s="561"/>
      <c r="D280" s="672"/>
      <c r="E280" s="209"/>
      <c r="F280" s="209"/>
      <c r="G280" s="209"/>
      <c r="H280" s="176">
        <f t="shared" si="243"/>
        <v>0</v>
      </c>
      <c r="I280" s="209"/>
      <c r="J280" s="209"/>
      <c r="K280" s="176">
        <f t="shared" si="244"/>
        <v>0</v>
      </c>
      <c r="L280" s="209"/>
      <c r="M280" s="177">
        <f t="shared" si="245"/>
        <v>0</v>
      </c>
      <c r="N280" s="1012"/>
      <c r="O280" s="1012"/>
      <c r="P280" s="485"/>
      <c r="Q280" s="778"/>
      <c r="R280" s="778"/>
      <c r="S280" s="785" t="str">
        <f t="shared" si="248"/>
        <v/>
      </c>
      <c r="T280" s="548" t="str">
        <f t="shared" si="246"/>
        <v>Sheet Metal Takeoff</v>
      </c>
      <c r="U280" s="83">
        <f t="shared" si="249"/>
        <v>0</v>
      </c>
      <c r="V280" s="83">
        <f t="shared" si="250"/>
        <v>0</v>
      </c>
      <c r="W280" s="83">
        <f t="shared" si="251"/>
        <v>0</v>
      </c>
      <c r="X280" s="781">
        <f t="shared" si="252"/>
        <v>0</v>
      </c>
      <c r="Y280" s="781">
        <f t="shared" si="253"/>
        <v>0</v>
      </c>
      <c r="Z280" s="781">
        <f t="shared" si="254"/>
        <v>0</v>
      </c>
      <c r="AA280" s="83">
        <f t="shared" si="247"/>
        <v>0</v>
      </c>
      <c r="AB280" s="83">
        <f t="shared" si="255"/>
        <v>0</v>
      </c>
      <c r="AC280" s="83">
        <f t="shared" si="256"/>
        <v>0</v>
      </c>
      <c r="AD280" s="83">
        <f t="shared" si="257"/>
        <v>0</v>
      </c>
      <c r="AE280" s="83">
        <f t="shared" si="258"/>
        <v>0</v>
      </c>
      <c r="AF280" s="83">
        <f t="shared" si="259"/>
        <v>0</v>
      </c>
      <c r="AG280" s="83">
        <f t="shared" si="260"/>
        <v>0</v>
      </c>
      <c r="AH280" s="83">
        <f t="shared" si="261"/>
        <v>0</v>
      </c>
      <c r="AI280" s="83">
        <f t="shared" si="262"/>
        <v>0</v>
      </c>
      <c r="AJ280" s="718">
        <f t="shared" si="263"/>
        <v>0</v>
      </c>
      <c r="AL280">
        <f t="shared" si="264"/>
        <v>0</v>
      </c>
      <c r="AM280">
        <f t="shared" si="265"/>
        <v>0</v>
      </c>
    </row>
    <row r="281" spans="1:39" ht="15.75" x14ac:dyDescent="0.25">
      <c r="A281" s="561"/>
      <c r="B281" s="561"/>
      <c r="C281" s="561"/>
      <c r="D281" s="672"/>
      <c r="E281" s="209"/>
      <c r="F281" s="209"/>
      <c r="G281" s="209"/>
      <c r="H281" s="176">
        <f t="shared" si="243"/>
        <v>0</v>
      </c>
      <c r="I281" s="209"/>
      <c r="J281" s="209"/>
      <c r="K281" s="176">
        <f t="shared" si="244"/>
        <v>0</v>
      </c>
      <c r="L281" s="209"/>
      <c r="M281" s="177">
        <f t="shared" si="245"/>
        <v>0</v>
      </c>
      <c r="N281" s="1012"/>
      <c r="O281" s="1012"/>
      <c r="P281" s="485"/>
      <c r="Q281" s="778"/>
      <c r="R281" s="778"/>
      <c r="S281" s="785" t="str">
        <f t="shared" si="248"/>
        <v/>
      </c>
      <c r="T281" s="548" t="str">
        <f t="shared" si="246"/>
        <v>Sheet Metal Takeoff</v>
      </c>
      <c r="U281" s="83">
        <f t="shared" si="249"/>
        <v>0</v>
      </c>
      <c r="V281" s="83">
        <f t="shared" si="250"/>
        <v>0</v>
      </c>
      <c r="W281" s="83">
        <f t="shared" si="251"/>
        <v>0</v>
      </c>
      <c r="X281" s="781">
        <f t="shared" si="252"/>
        <v>0</v>
      </c>
      <c r="Y281" s="781">
        <f t="shared" si="253"/>
        <v>0</v>
      </c>
      <c r="Z281" s="781">
        <f t="shared" si="254"/>
        <v>0</v>
      </c>
      <c r="AA281" s="83">
        <f t="shared" si="247"/>
        <v>0</v>
      </c>
      <c r="AB281" s="83">
        <f t="shared" si="255"/>
        <v>0</v>
      </c>
      <c r="AC281" s="83">
        <f t="shared" si="256"/>
        <v>0</v>
      </c>
      <c r="AD281" s="83">
        <f t="shared" si="257"/>
        <v>0</v>
      </c>
      <c r="AE281" s="83">
        <f t="shared" si="258"/>
        <v>0</v>
      </c>
      <c r="AF281" s="83">
        <f t="shared" si="259"/>
        <v>0</v>
      </c>
      <c r="AG281" s="83">
        <f t="shared" si="260"/>
        <v>0</v>
      </c>
      <c r="AH281" s="83">
        <f t="shared" si="261"/>
        <v>0</v>
      </c>
      <c r="AI281" s="83">
        <f t="shared" si="262"/>
        <v>0</v>
      </c>
      <c r="AJ281" s="718">
        <f t="shared" si="263"/>
        <v>0</v>
      </c>
      <c r="AL281">
        <f t="shared" si="264"/>
        <v>0</v>
      </c>
      <c r="AM281">
        <f t="shared" si="265"/>
        <v>0</v>
      </c>
    </row>
    <row r="282" spans="1:39" ht="15.75" x14ac:dyDescent="0.25">
      <c r="A282" s="561"/>
      <c r="B282" s="561"/>
      <c r="C282" s="561"/>
      <c r="D282" s="672"/>
      <c r="E282" s="209"/>
      <c r="F282" s="209"/>
      <c r="G282" s="209"/>
      <c r="H282" s="176">
        <f t="shared" si="243"/>
        <v>0</v>
      </c>
      <c r="I282" s="209"/>
      <c r="J282" s="209"/>
      <c r="K282" s="176">
        <f t="shared" si="244"/>
        <v>0</v>
      </c>
      <c r="L282" s="209"/>
      <c r="M282" s="177">
        <f t="shared" si="245"/>
        <v>0</v>
      </c>
      <c r="N282" s="1012"/>
      <c r="O282" s="1012"/>
      <c r="P282" s="485"/>
      <c r="Q282" s="778"/>
      <c r="R282" s="778"/>
      <c r="S282" s="785" t="str">
        <f t="shared" si="248"/>
        <v/>
      </c>
      <c r="T282" s="548" t="str">
        <f t="shared" si="246"/>
        <v>Sheet Metal Takeoff</v>
      </c>
      <c r="U282" s="83">
        <f t="shared" si="249"/>
        <v>0</v>
      </c>
      <c r="V282" s="83">
        <f t="shared" si="250"/>
        <v>0</v>
      </c>
      <c r="W282" s="83">
        <f t="shared" si="251"/>
        <v>0</v>
      </c>
      <c r="X282" s="781">
        <f t="shared" si="252"/>
        <v>0</v>
      </c>
      <c r="Y282" s="781">
        <f t="shared" si="253"/>
        <v>0</v>
      </c>
      <c r="Z282" s="781">
        <f t="shared" si="254"/>
        <v>0</v>
      </c>
      <c r="AA282" s="83">
        <f t="shared" si="247"/>
        <v>0</v>
      </c>
      <c r="AB282" s="83">
        <f t="shared" si="255"/>
        <v>0</v>
      </c>
      <c r="AC282" s="83">
        <f t="shared" si="256"/>
        <v>0</v>
      </c>
      <c r="AD282" s="83">
        <f t="shared" si="257"/>
        <v>0</v>
      </c>
      <c r="AE282" s="83">
        <f t="shared" si="258"/>
        <v>0</v>
      </c>
      <c r="AF282" s="83">
        <f t="shared" si="259"/>
        <v>0</v>
      </c>
      <c r="AG282" s="83">
        <f t="shared" si="260"/>
        <v>0</v>
      </c>
      <c r="AH282" s="83">
        <f t="shared" si="261"/>
        <v>0</v>
      </c>
      <c r="AI282" s="83">
        <f t="shared" si="262"/>
        <v>0</v>
      </c>
      <c r="AJ282" s="718">
        <f t="shared" si="263"/>
        <v>0</v>
      </c>
      <c r="AL282">
        <f t="shared" si="264"/>
        <v>0</v>
      </c>
      <c r="AM282">
        <f t="shared" si="265"/>
        <v>0</v>
      </c>
    </row>
    <row r="283" spans="1:39" ht="15.75" x14ac:dyDescent="0.25">
      <c r="A283" s="561"/>
      <c r="B283" s="561"/>
      <c r="C283" s="561"/>
      <c r="D283" s="672"/>
      <c r="E283" s="209"/>
      <c r="F283" s="209"/>
      <c r="G283" s="209"/>
      <c r="H283" s="176">
        <f t="shared" si="243"/>
        <v>0</v>
      </c>
      <c r="I283" s="209"/>
      <c r="J283" s="209"/>
      <c r="K283" s="176">
        <f t="shared" si="244"/>
        <v>0</v>
      </c>
      <c r="L283" s="209"/>
      <c r="M283" s="177">
        <f t="shared" si="245"/>
        <v>0</v>
      </c>
      <c r="N283" s="1012"/>
      <c r="O283" s="1012"/>
      <c r="P283" s="485"/>
      <c r="Q283" s="778"/>
      <c r="R283" s="778"/>
      <c r="S283" s="785" t="str">
        <f t="shared" si="248"/>
        <v/>
      </c>
      <c r="T283" s="548" t="str">
        <f t="shared" si="246"/>
        <v>Sheet Metal Takeoff</v>
      </c>
      <c r="U283" s="83">
        <f t="shared" si="249"/>
        <v>0</v>
      </c>
      <c r="V283" s="83">
        <f t="shared" si="250"/>
        <v>0</v>
      </c>
      <c r="W283" s="83">
        <f t="shared" si="251"/>
        <v>0</v>
      </c>
      <c r="X283" s="781">
        <f t="shared" si="252"/>
        <v>0</v>
      </c>
      <c r="Y283" s="781">
        <f t="shared" si="253"/>
        <v>0</v>
      </c>
      <c r="Z283" s="781">
        <f t="shared" si="254"/>
        <v>0</v>
      </c>
      <c r="AA283" s="83">
        <f t="shared" si="247"/>
        <v>0</v>
      </c>
      <c r="AB283" s="83">
        <f t="shared" si="255"/>
        <v>0</v>
      </c>
      <c r="AC283" s="83">
        <f t="shared" si="256"/>
        <v>0</v>
      </c>
      <c r="AD283" s="83">
        <f t="shared" si="257"/>
        <v>0</v>
      </c>
      <c r="AE283" s="83">
        <f t="shared" si="258"/>
        <v>0</v>
      </c>
      <c r="AF283" s="83">
        <f t="shared" si="259"/>
        <v>0</v>
      </c>
      <c r="AG283" s="83">
        <f t="shared" si="260"/>
        <v>0</v>
      </c>
      <c r="AH283" s="83">
        <f t="shared" si="261"/>
        <v>0</v>
      </c>
      <c r="AI283" s="83">
        <f t="shared" si="262"/>
        <v>0</v>
      </c>
      <c r="AJ283" s="718">
        <f t="shared" si="263"/>
        <v>0</v>
      </c>
      <c r="AL283">
        <f t="shared" si="264"/>
        <v>0</v>
      </c>
      <c r="AM283">
        <f t="shared" si="265"/>
        <v>0</v>
      </c>
    </row>
    <row r="284" spans="1:39" ht="15.75" x14ac:dyDescent="0.25">
      <c r="A284" s="561"/>
      <c r="B284" s="561"/>
      <c r="C284" s="561"/>
      <c r="D284" s="672"/>
      <c r="E284" s="209"/>
      <c r="F284" s="209"/>
      <c r="G284" s="209"/>
      <c r="H284" s="176">
        <f t="shared" si="243"/>
        <v>0</v>
      </c>
      <c r="I284" s="209"/>
      <c r="J284" s="209"/>
      <c r="K284" s="176">
        <f t="shared" si="244"/>
        <v>0</v>
      </c>
      <c r="L284" s="209"/>
      <c r="M284" s="177">
        <f t="shared" si="245"/>
        <v>0</v>
      </c>
      <c r="N284" s="1012"/>
      <c r="O284" s="1012"/>
      <c r="P284" s="485"/>
      <c r="Q284" s="778"/>
      <c r="R284" s="778"/>
      <c r="S284" s="785" t="str">
        <f t="shared" si="248"/>
        <v/>
      </c>
      <c r="T284" s="548" t="str">
        <f t="shared" si="246"/>
        <v>Sheet Metal Takeoff</v>
      </c>
      <c r="U284" s="83">
        <f t="shared" si="249"/>
        <v>0</v>
      </c>
      <c r="V284" s="83">
        <f t="shared" si="250"/>
        <v>0</v>
      </c>
      <c r="W284" s="83">
        <f t="shared" si="251"/>
        <v>0</v>
      </c>
      <c r="X284" s="781">
        <f t="shared" si="252"/>
        <v>0</v>
      </c>
      <c r="Y284" s="781">
        <f t="shared" si="253"/>
        <v>0</v>
      </c>
      <c r="Z284" s="781">
        <f t="shared" si="254"/>
        <v>0</v>
      </c>
      <c r="AA284" s="83">
        <f t="shared" si="247"/>
        <v>0</v>
      </c>
      <c r="AB284" s="83">
        <f t="shared" si="255"/>
        <v>0</v>
      </c>
      <c r="AC284" s="83">
        <f t="shared" si="256"/>
        <v>0</v>
      </c>
      <c r="AD284" s="83">
        <f t="shared" si="257"/>
        <v>0</v>
      </c>
      <c r="AE284" s="83">
        <f t="shared" si="258"/>
        <v>0</v>
      </c>
      <c r="AF284" s="83">
        <f t="shared" si="259"/>
        <v>0</v>
      </c>
      <c r="AG284" s="83">
        <f t="shared" si="260"/>
        <v>0</v>
      </c>
      <c r="AH284" s="83">
        <f t="shared" si="261"/>
        <v>0</v>
      </c>
      <c r="AI284" s="83">
        <f t="shared" si="262"/>
        <v>0</v>
      </c>
      <c r="AJ284" s="718">
        <f t="shared" si="263"/>
        <v>0</v>
      </c>
      <c r="AL284">
        <f t="shared" si="264"/>
        <v>0</v>
      </c>
      <c r="AM284">
        <f t="shared" si="265"/>
        <v>0</v>
      </c>
    </row>
    <row r="285" spans="1:39" ht="15.75" x14ac:dyDescent="0.25">
      <c r="A285" s="561"/>
      <c r="B285" s="561"/>
      <c r="C285" s="561"/>
      <c r="D285" s="672"/>
      <c r="E285" s="209"/>
      <c r="F285" s="209"/>
      <c r="G285" s="209"/>
      <c r="H285" s="176">
        <f t="shared" si="243"/>
        <v>0</v>
      </c>
      <c r="I285" s="209"/>
      <c r="J285" s="209"/>
      <c r="K285" s="176">
        <f t="shared" si="244"/>
        <v>0</v>
      </c>
      <c r="L285" s="209"/>
      <c r="M285" s="177">
        <f t="shared" si="245"/>
        <v>0</v>
      </c>
      <c r="N285" s="1012"/>
      <c r="O285" s="1012"/>
      <c r="P285" s="485"/>
      <c r="Q285" s="778"/>
      <c r="R285" s="778"/>
      <c r="S285" s="785" t="str">
        <f t="shared" si="248"/>
        <v/>
      </c>
      <c r="T285" s="548" t="str">
        <f t="shared" si="246"/>
        <v>Sheet Metal Takeoff</v>
      </c>
      <c r="U285" s="83">
        <f t="shared" si="249"/>
        <v>0</v>
      </c>
      <c r="V285" s="83">
        <f t="shared" si="250"/>
        <v>0</v>
      </c>
      <c r="W285" s="83">
        <f t="shared" si="251"/>
        <v>0</v>
      </c>
      <c r="X285" s="781">
        <f t="shared" si="252"/>
        <v>0</v>
      </c>
      <c r="Y285" s="781">
        <f t="shared" si="253"/>
        <v>0</v>
      </c>
      <c r="Z285" s="781">
        <f t="shared" si="254"/>
        <v>0</v>
      </c>
      <c r="AA285" s="83">
        <f t="shared" si="247"/>
        <v>0</v>
      </c>
      <c r="AB285" s="83">
        <f t="shared" si="255"/>
        <v>0</v>
      </c>
      <c r="AC285" s="83">
        <f t="shared" si="256"/>
        <v>0</v>
      </c>
      <c r="AD285" s="83">
        <f t="shared" si="257"/>
        <v>0</v>
      </c>
      <c r="AE285" s="83">
        <f t="shared" si="258"/>
        <v>0</v>
      </c>
      <c r="AF285" s="83">
        <f t="shared" si="259"/>
        <v>0</v>
      </c>
      <c r="AG285" s="83">
        <f t="shared" si="260"/>
        <v>0</v>
      </c>
      <c r="AH285" s="83">
        <f t="shared" si="261"/>
        <v>0</v>
      </c>
      <c r="AI285" s="83">
        <f t="shared" si="262"/>
        <v>0</v>
      </c>
      <c r="AJ285" s="718">
        <f t="shared" si="263"/>
        <v>0</v>
      </c>
      <c r="AL285">
        <f t="shared" si="264"/>
        <v>0</v>
      </c>
      <c r="AM285">
        <f t="shared" si="265"/>
        <v>0</v>
      </c>
    </row>
    <row r="286" spans="1:39" ht="15.75" x14ac:dyDescent="0.25">
      <c r="A286" s="561"/>
      <c r="B286" s="561"/>
      <c r="C286" s="561"/>
      <c r="D286" s="672"/>
      <c r="E286" s="209"/>
      <c r="F286" s="209"/>
      <c r="G286" s="209"/>
      <c r="H286" s="176">
        <f t="shared" si="243"/>
        <v>0</v>
      </c>
      <c r="I286" s="209"/>
      <c r="J286" s="209"/>
      <c r="K286" s="176">
        <f t="shared" si="244"/>
        <v>0</v>
      </c>
      <c r="L286" s="209"/>
      <c r="M286" s="177">
        <f t="shared" si="245"/>
        <v>0</v>
      </c>
      <c r="N286" s="1012"/>
      <c r="O286" s="1012"/>
      <c r="P286" s="485"/>
      <c r="Q286" s="778"/>
      <c r="R286" s="778"/>
      <c r="S286" s="785" t="str">
        <f t="shared" si="248"/>
        <v/>
      </c>
      <c r="T286" s="548" t="str">
        <f t="shared" si="246"/>
        <v>Sheet Metal Takeoff</v>
      </c>
      <c r="U286" s="83">
        <f t="shared" si="249"/>
        <v>0</v>
      </c>
      <c r="V286" s="83">
        <f t="shared" si="250"/>
        <v>0</v>
      </c>
      <c r="W286" s="83">
        <f t="shared" si="251"/>
        <v>0</v>
      </c>
      <c r="X286" s="781">
        <f t="shared" si="252"/>
        <v>0</v>
      </c>
      <c r="Y286" s="781">
        <f t="shared" si="253"/>
        <v>0</v>
      </c>
      <c r="Z286" s="781">
        <f t="shared" si="254"/>
        <v>0</v>
      </c>
      <c r="AA286" s="83">
        <f t="shared" si="247"/>
        <v>0</v>
      </c>
      <c r="AB286" s="83">
        <f t="shared" si="255"/>
        <v>0</v>
      </c>
      <c r="AC286" s="83">
        <f t="shared" si="256"/>
        <v>0</v>
      </c>
      <c r="AD286" s="83">
        <f t="shared" si="257"/>
        <v>0</v>
      </c>
      <c r="AE286" s="83">
        <f t="shared" si="258"/>
        <v>0</v>
      </c>
      <c r="AF286" s="83">
        <f t="shared" si="259"/>
        <v>0</v>
      </c>
      <c r="AG286" s="83">
        <f t="shared" si="260"/>
        <v>0</v>
      </c>
      <c r="AH286" s="83">
        <f t="shared" si="261"/>
        <v>0</v>
      </c>
      <c r="AI286" s="83">
        <f t="shared" si="262"/>
        <v>0</v>
      </c>
      <c r="AJ286" s="718">
        <f t="shared" si="263"/>
        <v>0</v>
      </c>
      <c r="AL286">
        <f t="shared" si="264"/>
        <v>0</v>
      </c>
      <c r="AM286">
        <f t="shared" si="265"/>
        <v>0</v>
      </c>
    </row>
    <row r="287" spans="1:39" ht="15.75" x14ac:dyDescent="0.25">
      <c r="A287" s="561"/>
      <c r="B287" s="561"/>
      <c r="C287" s="561"/>
      <c r="D287" s="672"/>
      <c r="E287" s="209"/>
      <c r="F287" s="209"/>
      <c r="G287" s="209"/>
      <c r="H287" s="176">
        <f t="shared" si="243"/>
        <v>0</v>
      </c>
      <c r="I287" s="209"/>
      <c r="J287" s="209"/>
      <c r="K287" s="176">
        <f t="shared" si="244"/>
        <v>0</v>
      </c>
      <c r="L287" s="209"/>
      <c r="M287" s="177">
        <f t="shared" si="245"/>
        <v>0</v>
      </c>
      <c r="N287" s="1012"/>
      <c r="O287" s="1012"/>
      <c r="P287" s="485"/>
      <c r="Q287" s="778"/>
      <c r="R287" s="778"/>
      <c r="S287" s="785" t="str">
        <f t="shared" si="248"/>
        <v/>
      </c>
      <c r="T287" s="548" t="str">
        <f t="shared" si="246"/>
        <v>Sheet Metal Takeoff</v>
      </c>
      <c r="U287" s="83">
        <f t="shared" si="249"/>
        <v>0</v>
      </c>
      <c r="V287" s="83">
        <f t="shared" si="250"/>
        <v>0</v>
      </c>
      <c r="W287" s="83">
        <f t="shared" si="251"/>
        <v>0</v>
      </c>
      <c r="X287" s="781">
        <f t="shared" si="252"/>
        <v>0</v>
      </c>
      <c r="Y287" s="781">
        <f t="shared" si="253"/>
        <v>0</v>
      </c>
      <c r="Z287" s="781">
        <f t="shared" si="254"/>
        <v>0</v>
      </c>
      <c r="AA287" s="83">
        <f t="shared" si="247"/>
        <v>0</v>
      </c>
      <c r="AB287" s="83">
        <f t="shared" si="255"/>
        <v>0</v>
      </c>
      <c r="AC287" s="83">
        <f t="shared" si="256"/>
        <v>0</v>
      </c>
      <c r="AD287" s="83">
        <f t="shared" si="257"/>
        <v>0</v>
      </c>
      <c r="AE287" s="83">
        <f t="shared" si="258"/>
        <v>0</v>
      </c>
      <c r="AF287" s="83">
        <f t="shared" si="259"/>
        <v>0</v>
      </c>
      <c r="AG287" s="83">
        <f t="shared" si="260"/>
        <v>0</v>
      </c>
      <c r="AH287" s="83">
        <f t="shared" si="261"/>
        <v>0</v>
      </c>
      <c r="AI287" s="83">
        <f t="shared" si="262"/>
        <v>0</v>
      </c>
      <c r="AJ287" s="718">
        <f t="shared" si="263"/>
        <v>0</v>
      </c>
      <c r="AL287">
        <f t="shared" si="264"/>
        <v>0</v>
      </c>
      <c r="AM287">
        <f t="shared" si="265"/>
        <v>0</v>
      </c>
    </row>
    <row r="288" spans="1:39" ht="15.75" x14ac:dyDescent="0.25">
      <c r="A288" s="561"/>
      <c r="B288" s="561"/>
      <c r="C288" s="561"/>
      <c r="D288" s="672"/>
      <c r="E288" s="209"/>
      <c r="F288" s="209"/>
      <c r="G288" s="209"/>
      <c r="H288" s="176">
        <f t="shared" si="243"/>
        <v>0</v>
      </c>
      <c r="I288" s="209"/>
      <c r="J288" s="209"/>
      <c r="K288" s="176">
        <f t="shared" si="244"/>
        <v>0</v>
      </c>
      <c r="L288" s="209"/>
      <c r="M288" s="177">
        <f t="shared" si="245"/>
        <v>0</v>
      </c>
      <c r="N288" s="1012"/>
      <c r="O288" s="1012"/>
      <c r="P288" s="485"/>
      <c r="Q288" s="778"/>
      <c r="R288" s="778"/>
      <c r="S288" s="785" t="str">
        <f t="shared" si="248"/>
        <v/>
      </c>
      <c r="T288" s="548" t="str">
        <f t="shared" si="246"/>
        <v>Sheet Metal Takeoff</v>
      </c>
      <c r="U288" s="83">
        <f t="shared" si="249"/>
        <v>0</v>
      </c>
      <c r="V288" s="83">
        <f t="shared" si="250"/>
        <v>0</v>
      </c>
      <c r="W288" s="83">
        <f t="shared" si="251"/>
        <v>0</v>
      </c>
      <c r="X288" s="781">
        <f t="shared" si="252"/>
        <v>0</v>
      </c>
      <c r="Y288" s="781">
        <f t="shared" si="253"/>
        <v>0</v>
      </c>
      <c r="Z288" s="781">
        <f t="shared" si="254"/>
        <v>0</v>
      </c>
      <c r="AA288" s="83">
        <f t="shared" si="247"/>
        <v>0</v>
      </c>
      <c r="AB288" s="83">
        <f t="shared" si="255"/>
        <v>0</v>
      </c>
      <c r="AC288" s="83">
        <f t="shared" si="256"/>
        <v>0</v>
      </c>
      <c r="AD288" s="83">
        <f t="shared" si="257"/>
        <v>0</v>
      </c>
      <c r="AE288" s="83">
        <f t="shared" si="258"/>
        <v>0</v>
      </c>
      <c r="AF288" s="83">
        <f t="shared" si="259"/>
        <v>0</v>
      </c>
      <c r="AG288" s="83">
        <f t="shared" si="260"/>
        <v>0</v>
      </c>
      <c r="AH288" s="83">
        <f t="shared" si="261"/>
        <v>0</v>
      </c>
      <c r="AI288" s="83">
        <f t="shared" si="262"/>
        <v>0</v>
      </c>
      <c r="AJ288" s="718">
        <f t="shared" si="263"/>
        <v>0</v>
      </c>
      <c r="AL288">
        <f t="shared" si="264"/>
        <v>0</v>
      </c>
      <c r="AM288">
        <f t="shared" si="265"/>
        <v>0</v>
      </c>
    </row>
    <row r="289" spans="1:39" ht="15.75" x14ac:dyDescent="0.25">
      <c r="A289" s="561"/>
      <c r="B289" s="561"/>
      <c r="C289" s="561"/>
      <c r="D289" s="672"/>
      <c r="E289" s="209"/>
      <c r="F289" s="209"/>
      <c r="G289" s="209"/>
      <c r="H289" s="176">
        <f t="shared" si="243"/>
        <v>0</v>
      </c>
      <c r="I289" s="209"/>
      <c r="J289" s="209"/>
      <c r="K289" s="176">
        <f t="shared" si="244"/>
        <v>0</v>
      </c>
      <c r="L289" s="209"/>
      <c r="M289" s="177">
        <f t="shared" si="245"/>
        <v>0</v>
      </c>
      <c r="N289" s="1012"/>
      <c r="O289" s="1012"/>
      <c r="P289" s="485"/>
      <c r="Q289" s="778"/>
      <c r="R289" s="778"/>
      <c r="S289" s="785" t="str">
        <f t="shared" si="248"/>
        <v/>
      </c>
      <c r="T289" s="548" t="str">
        <f t="shared" si="246"/>
        <v>Sheet Metal Takeoff</v>
      </c>
      <c r="U289" s="83">
        <f t="shared" si="249"/>
        <v>0</v>
      </c>
      <c r="V289" s="83">
        <f t="shared" si="250"/>
        <v>0</v>
      </c>
      <c r="W289" s="83">
        <f t="shared" si="251"/>
        <v>0</v>
      </c>
      <c r="X289" s="781">
        <f t="shared" si="252"/>
        <v>0</v>
      </c>
      <c r="Y289" s="781">
        <f t="shared" si="253"/>
        <v>0</v>
      </c>
      <c r="Z289" s="781">
        <f t="shared" si="254"/>
        <v>0</v>
      </c>
      <c r="AA289" s="83">
        <f t="shared" si="247"/>
        <v>0</v>
      </c>
      <c r="AB289" s="83">
        <f t="shared" si="255"/>
        <v>0</v>
      </c>
      <c r="AC289" s="83">
        <f t="shared" si="256"/>
        <v>0</v>
      </c>
      <c r="AD289" s="83">
        <f t="shared" si="257"/>
        <v>0</v>
      </c>
      <c r="AE289" s="83">
        <f t="shared" si="258"/>
        <v>0</v>
      </c>
      <c r="AF289" s="83">
        <f t="shared" si="259"/>
        <v>0</v>
      </c>
      <c r="AG289" s="83">
        <f t="shared" si="260"/>
        <v>0</v>
      </c>
      <c r="AH289" s="83">
        <f t="shared" si="261"/>
        <v>0</v>
      </c>
      <c r="AI289" s="83">
        <f t="shared" si="262"/>
        <v>0</v>
      </c>
      <c r="AJ289" s="718">
        <f t="shared" si="263"/>
        <v>0</v>
      </c>
      <c r="AL289">
        <f t="shared" si="264"/>
        <v>0</v>
      </c>
      <c r="AM289">
        <f t="shared" si="265"/>
        <v>0</v>
      </c>
    </row>
    <row r="290" spans="1:39" ht="15.75" x14ac:dyDescent="0.25">
      <c r="A290" s="561"/>
      <c r="B290" s="561"/>
      <c r="C290" s="561"/>
      <c r="D290" s="672"/>
      <c r="E290" s="209"/>
      <c r="F290" s="209"/>
      <c r="G290" s="209"/>
      <c r="H290" s="176">
        <f t="shared" si="243"/>
        <v>0</v>
      </c>
      <c r="I290" s="209"/>
      <c r="J290" s="209"/>
      <c r="K290" s="176">
        <f t="shared" si="244"/>
        <v>0</v>
      </c>
      <c r="L290" s="209"/>
      <c r="M290" s="177">
        <f t="shared" si="245"/>
        <v>0</v>
      </c>
      <c r="N290" s="1012"/>
      <c r="O290" s="1012"/>
      <c r="P290" s="485"/>
      <c r="Q290" s="778"/>
      <c r="R290" s="778"/>
      <c r="S290" s="785" t="str">
        <f t="shared" si="248"/>
        <v/>
      </c>
      <c r="T290" s="548" t="str">
        <f t="shared" si="246"/>
        <v>Sheet Metal Takeoff</v>
      </c>
      <c r="U290" s="83">
        <f t="shared" si="249"/>
        <v>0</v>
      </c>
      <c r="V290" s="83">
        <f t="shared" si="250"/>
        <v>0</v>
      </c>
      <c r="W290" s="83">
        <f t="shared" si="251"/>
        <v>0</v>
      </c>
      <c r="X290" s="781">
        <f t="shared" si="252"/>
        <v>0</v>
      </c>
      <c r="Y290" s="781">
        <f t="shared" si="253"/>
        <v>0</v>
      </c>
      <c r="Z290" s="781">
        <f t="shared" si="254"/>
        <v>0</v>
      </c>
      <c r="AA290" s="83">
        <f t="shared" si="247"/>
        <v>0</v>
      </c>
      <c r="AB290" s="83">
        <f t="shared" si="255"/>
        <v>0</v>
      </c>
      <c r="AC290" s="83">
        <f t="shared" si="256"/>
        <v>0</v>
      </c>
      <c r="AD290" s="83">
        <f t="shared" si="257"/>
        <v>0</v>
      </c>
      <c r="AE290" s="83">
        <f t="shared" si="258"/>
        <v>0</v>
      </c>
      <c r="AF290" s="83">
        <f t="shared" si="259"/>
        <v>0</v>
      </c>
      <c r="AG290" s="83">
        <f t="shared" si="260"/>
        <v>0</v>
      </c>
      <c r="AH290" s="83">
        <f t="shared" si="261"/>
        <v>0</v>
      </c>
      <c r="AI290" s="83">
        <f t="shared" si="262"/>
        <v>0</v>
      </c>
      <c r="AJ290" s="718">
        <f t="shared" si="263"/>
        <v>0</v>
      </c>
      <c r="AL290">
        <f t="shared" si="264"/>
        <v>0</v>
      </c>
      <c r="AM290">
        <f t="shared" si="265"/>
        <v>0</v>
      </c>
    </row>
    <row r="291" spans="1:39" ht="15.75" x14ac:dyDescent="0.25">
      <c r="A291" s="561"/>
      <c r="B291" s="561"/>
      <c r="C291" s="561"/>
      <c r="D291" s="672"/>
      <c r="E291" s="209"/>
      <c r="F291" s="209"/>
      <c r="G291" s="209"/>
      <c r="H291" s="176">
        <f t="shared" si="243"/>
        <v>0</v>
      </c>
      <c r="I291" s="209"/>
      <c r="J291" s="209"/>
      <c r="K291" s="176">
        <f t="shared" si="244"/>
        <v>0</v>
      </c>
      <c r="L291" s="209"/>
      <c r="M291" s="177">
        <f t="shared" si="245"/>
        <v>0</v>
      </c>
      <c r="N291" s="1012"/>
      <c r="O291" s="1012"/>
      <c r="P291" s="485"/>
      <c r="Q291" s="778"/>
      <c r="R291" s="778"/>
      <c r="S291" s="785" t="str">
        <f t="shared" si="248"/>
        <v/>
      </c>
      <c r="T291" s="548" t="str">
        <f t="shared" si="246"/>
        <v>Sheet Metal Takeoff</v>
      </c>
      <c r="U291" s="83">
        <f t="shared" si="249"/>
        <v>0</v>
      </c>
      <c r="V291" s="83">
        <f t="shared" si="250"/>
        <v>0</v>
      </c>
      <c r="W291" s="83">
        <f t="shared" si="251"/>
        <v>0</v>
      </c>
      <c r="X291" s="781">
        <f t="shared" si="252"/>
        <v>0</v>
      </c>
      <c r="Y291" s="781">
        <f t="shared" si="253"/>
        <v>0</v>
      </c>
      <c r="Z291" s="781">
        <f t="shared" si="254"/>
        <v>0</v>
      </c>
      <c r="AA291" s="83">
        <f t="shared" si="247"/>
        <v>0</v>
      </c>
      <c r="AB291" s="83">
        <f t="shared" si="255"/>
        <v>0</v>
      </c>
      <c r="AC291" s="83">
        <f t="shared" si="256"/>
        <v>0</v>
      </c>
      <c r="AD291" s="83">
        <f t="shared" si="257"/>
        <v>0</v>
      </c>
      <c r="AE291" s="83">
        <f t="shared" si="258"/>
        <v>0</v>
      </c>
      <c r="AF291" s="83">
        <f t="shared" si="259"/>
        <v>0</v>
      </c>
      <c r="AG291" s="83">
        <f t="shared" si="260"/>
        <v>0</v>
      </c>
      <c r="AH291" s="83">
        <f t="shared" si="261"/>
        <v>0</v>
      </c>
      <c r="AI291" s="83">
        <f t="shared" si="262"/>
        <v>0</v>
      </c>
      <c r="AJ291" s="718">
        <f t="shared" si="263"/>
        <v>0</v>
      </c>
      <c r="AL291">
        <f t="shared" si="264"/>
        <v>0</v>
      </c>
      <c r="AM291">
        <f t="shared" si="265"/>
        <v>0</v>
      </c>
    </row>
    <row r="292" spans="1:39" ht="15.75" hidden="1" customHeight="1" x14ac:dyDescent="0.25">
      <c r="A292" s="561"/>
      <c r="B292" s="561"/>
      <c r="C292" s="561"/>
      <c r="D292" s="672"/>
      <c r="E292" s="209"/>
      <c r="F292" s="209"/>
      <c r="G292" s="209"/>
      <c r="H292" s="176">
        <f t="shared" si="243"/>
        <v>0</v>
      </c>
      <c r="I292" s="209"/>
      <c r="J292" s="209"/>
      <c r="K292" s="176">
        <f t="shared" si="244"/>
        <v>0</v>
      </c>
      <c r="L292" s="209"/>
      <c r="M292" s="177">
        <f t="shared" si="245"/>
        <v>0</v>
      </c>
      <c r="N292" s="1012"/>
      <c r="O292" s="1012"/>
      <c r="P292" s="485"/>
      <c r="Q292" s="778"/>
      <c r="R292" s="778"/>
      <c r="S292" s="785" t="str">
        <f t="shared" si="248"/>
        <v/>
      </c>
      <c r="T292" s="548" t="str">
        <f t="shared" si="246"/>
        <v>Sheet Metal Takeoff</v>
      </c>
      <c r="U292" s="83">
        <f>ROUND(IF($T292="Plumb Takeoff",$H292*U$3,IF($T292="Pipe Takeoff",$H292*U$4,$H292*U$2)),2)</f>
        <v>0</v>
      </c>
      <c r="V292" s="83">
        <f t="shared" si="250"/>
        <v>0</v>
      </c>
      <c r="W292" s="83">
        <f t="shared" si="251"/>
        <v>0</v>
      </c>
      <c r="X292" s="781">
        <f t="shared" si="252"/>
        <v>0</v>
      </c>
      <c r="Y292" s="781">
        <f t="shared" si="253"/>
        <v>0</v>
      </c>
      <c r="Z292" s="781">
        <f t="shared" si="254"/>
        <v>0</v>
      </c>
      <c r="AA292" s="83">
        <f t="shared" si="247"/>
        <v>0</v>
      </c>
      <c r="AB292" s="83">
        <f t="shared" si="255"/>
        <v>0</v>
      </c>
      <c r="AC292" s="83">
        <f t="shared" si="256"/>
        <v>0</v>
      </c>
      <c r="AD292" s="83">
        <f t="shared" si="257"/>
        <v>0</v>
      </c>
      <c r="AE292" s="83">
        <f t="shared" si="258"/>
        <v>0</v>
      </c>
      <c r="AF292" s="83">
        <f t="shared" si="259"/>
        <v>0</v>
      </c>
      <c r="AG292" s="83">
        <f t="shared" si="260"/>
        <v>0</v>
      </c>
      <c r="AH292" s="83">
        <f t="shared" si="261"/>
        <v>0</v>
      </c>
      <c r="AI292" s="83">
        <f t="shared" si="262"/>
        <v>0</v>
      </c>
      <c r="AJ292" s="718">
        <f t="shared" si="263"/>
        <v>0</v>
      </c>
      <c r="AL292">
        <f t="shared" si="264"/>
        <v>0</v>
      </c>
      <c r="AM292">
        <f t="shared" si="265"/>
        <v>0</v>
      </c>
    </row>
    <row r="293" spans="1:39" ht="15.75" x14ac:dyDescent="0.25">
      <c r="A293" s="551"/>
      <c r="B293" s="551"/>
      <c r="C293" s="551"/>
      <c r="D293" s="673"/>
      <c r="E293" s="552"/>
      <c r="F293" s="553"/>
      <c r="G293" s="553"/>
      <c r="H293" s="181">
        <f>SUM(H267:H292)</f>
        <v>0</v>
      </c>
      <c r="I293" s="182"/>
      <c r="J293" s="182"/>
      <c r="K293" s="181">
        <f>SUM(K267:K292)</f>
        <v>0</v>
      </c>
      <c r="L293" s="182"/>
      <c r="M293" s="177">
        <f>SUM(M267:M292)</f>
        <v>0</v>
      </c>
      <c r="O293" s="486"/>
      <c r="AJ293" s="718"/>
    </row>
    <row r="294" spans="1:39" ht="15.75" thickBot="1" x14ac:dyDescent="0.3">
      <c r="AJ294" s="718"/>
    </row>
    <row r="295" spans="1:39" ht="16.5" thickBot="1" x14ac:dyDescent="0.3">
      <c r="E295" s="678" t="s">
        <v>1122</v>
      </c>
      <c r="F295" s="1017" t="s">
        <v>1630</v>
      </c>
      <c r="G295" s="1018"/>
      <c r="H295" s="344"/>
      <c r="I295" s="1019" t="s">
        <v>1628</v>
      </c>
      <c r="J295" s="1020"/>
      <c r="K295" s="679" t="b">
        <v>0</v>
      </c>
      <c r="AJ295" s="718"/>
    </row>
    <row r="296" spans="1:39" ht="38.25" thickBot="1" x14ac:dyDescent="0.35">
      <c r="A296" s="477" t="s">
        <v>1063</v>
      </c>
      <c r="B296" s="477" t="s">
        <v>348</v>
      </c>
      <c r="C296" s="477" t="s">
        <v>349</v>
      </c>
      <c r="D296" s="666" t="s">
        <v>0</v>
      </c>
      <c r="E296" s="477" t="s">
        <v>1</v>
      </c>
      <c r="F296" s="480" t="s">
        <v>2</v>
      </c>
      <c r="G296" s="480" t="s">
        <v>1123</v>
      </c>
      <c r="H296" s="480" t="s">
        <v>3</v>
      </c>
      <c r="I296" s="483" t="s">
        <v>4</v>
      </c>
      <c r="J296" s="480" t="s">
        <v>1124</v>
      </c>
      <c r="K296" s="680" t="s">
        <v>5</v>
      </c>
      <c r="L296" s="480" t="s">
        <v>6</v>
      </c>
      <c r="M296" s="484" t="s">
        <v>7</v>
      </c>
      <c r="N296" s="1013" t="s">
        <v>1079</v>
      </c>
      <c r="O296" s="1014"/>
      <c r="P296" s="1009" t="s">
        <v>1629</v>
      </c>
      <c r="Q296" s="1009" t="s">
        <v>1147</v>
      </c>
      <c r="R296" s="1009" t="s">
        <v>1792</v>
      </c>
      <c r="T296" s="2"/>
      <c r="AJ296" s="718"/>
    </row>
    <row r="297" spans="1:39" ht="16.5" thickBot="1" x14ac:dyDescent="0.3">
      <c r="A297" s="183"/>
      <c r="B297" s="183"/>
      <c r="C297" s="183"/>
      <c r="D297" s="671"/>
      <c r="E297" s="183"/>
      <c r="F297" s="183"/>
      <c r="G297" s="183"/>
      <c r="H297" s="183"/>
      <c r="I297" s="183"/>
      <c r="J297" s="183"/>
      <c r="K297" s="183"/>
      <c r="L297" s="183"/>
      <c r="M297" s="183"/>
      <c r="N297" s="1015"/>
      <c r="O297" s="1016"/>
      <c r="P297" s="1010" t="s">
        <v>1362</v>
      </c>
      <c r="Q297" s="1010"/>
      <c r="R297" s="1010"/>
      <c r="T297" s="1"/>
      <c r="AJ297" s="718"/>
    </row>
    <row r="298" spans="1:39" ht="15.75" x14ac:dyDescent="0.25">
      <c r="A298" s="561"/>
      <c r="B298" s="561"/>
      <c r="C298" s="561"/>
      <c r="D298" s="672"/>
      <c r="E298" s="209"/>
      <c r="F298" s="209"/>
      <c r="G298" s="209"/>
      <c r="H298" s="176">
        <f t="shared" ref="H298:H323" si="266">IF(SM_ExludeGroup9=TRUE,0,IF(G298="",E298*F298*IF(AND(S298="LOP",R298="SWING"),1+CrewRate_PlumbFitter_SwingLOP,1)*IF(AND(S298="LOP",R298="GRAVE"),1+CrewRate_PlumbFitter_GraveLOP,1)*IF(AND(S298="LOP",R298="SPECIAL"),1+CrewRate_PlumbFitter_SwingLOP,1),E298*F298*G298*IF(AND(S298="LOP",R298="SWING"),1+CrewRate_PlumbFitter_SwingLOP,1)*IF(AND(S298="LOP",R298="GRAVE"),1+CrewRate_PlumbFitter_GraveLOP,1)*IF(AND(S298="LOP",R298="SPECIAL"),1+CrewRate_PlumbFitter_SwingLOP,1)))</f>
        <v>0</v>
      </c>
      <c r="I298" s="209"/>
      <c r="J298" s="209"/>
      <c r="K298" s="176">
        <f t="shared" ref="K298:K323" si="267">IF(SM_ExludeGroup9=TRUE,0,IF(J298="",E298*I298,E298*I298*J298))</f>
        <v>0</v>
      </c>
      <c r="L298" s="209"/>
      <c r="M298" s="177">
        <f t="shared" ref="M298:M323" si="268">IF(SM_ExludeGroup9=TRUE,0,E298*L298)</f>
        <v>0</v>
      </c>
      <c r="N298" s="1012"/>
      <c r="O298" s="1012"/>
      <c r="P298" s="485"/>
      <c r="Q298" s="778"/>
      <c r="R298" s="778"/>
      <c r="S298" s="785" t="str">
        <f>IF(T298="Sheet Metal Takeoff","",IF(R298="","","LOP"))</f>
        <v/>
      </c>
      <c r="T298" s="548" t="str">
        <f t="shared" ref="T298:T323" si="269">IF($F$295="","Sheet Metal Takeoff",$F$295)</f>
        <v>Sheet Metal Takeoff</v>
      </c>
      <c r="U298" s="83">
        <f>ROUND(IF($T298="Plumb Takeoff",$H298*U$3,IF($T298="Pipe Takeoff",$H298*U$4,$H298*U$2)),2)</f>
        <v>0</v>
      </c>
      <c r="V298" s="83">
        <f>ROUND(IF($T298="Plumb Takeoff",IF($Q298="OT",$H298*V$3,0),IF($T298="Pipe Takeoff",IF($Q298="OT",$H298*V$4,0),IF($Q298="OT",$H298*V$2,0))),2)</f>
        <v>0</v>
      </c>
      <c r="W298" s="83">
        <f>ROUND(IF($T298="Plumb Takeoff",IF($Q298="DBLT",$H298*W$3,0),IF($T298="Pipe Takeoff",IF($Q298="DBLT",$H298*W$4,0),IF($Q298="DBLT",$H298*W$2,0))),2)</f>
        <v>0</v>
      </c>
      <c r="X298" s="781">
        <f>ROUND(SUM(IF($T298="Plumb Takeoff",IF($R298="SWING",ROUND(SUM($H298)*X$3,2))),IF($T298="Pipe Takeoff",IF($R298="SWING",ROUND(SUM($H298)*X$4,2))),IF($T298="Sheet Metal Takeoff",IF($R298="SWING",ROUND(SUM($H298)*X$2,2)))),2)</f>
        <v>0</v>
      </c>
      <c r="Y298" s="781">
        <f>ROUND(SUM(IF($T298="Plumb Takeoff",IF($R298="GRAVE",ROUND(SUM($H298)*Y$3,2))),IF($T298="Pipe Takeoff",IF($R298="GRAVE",ROUND(SUM($H298)*Y$4,2))),IF($T298="Sheet Metal Takeoff",IF($R298="GRAVE",ROUND(SUM($H298)*Y$2,2)))),2)</f>
        <v>0</v>
      </c>
      <c r="Z298" s="781">
        <f>ROUND(SUM(IF($T298="Plumb Takeoff",IF($R298="SPECIAL",ROUND(SUM($H298)*Z$3,2))),IF($T298="Pipe Takeoff",IF($R298="SPECIAL",ROUND(SUM($H298)*Z$4,2))),IF($T298="Sheet Metal Takeoff",IF($R298="SPECIAL",ROUND(SUM($H298)*Z$2,2)))),2)</f>
        <v>0</v>
      </c>
      <c r="AA298" s="83">
        <f t="shared" ref="AA298:AA323" si="270">ROUND($K298*AA$2,2)</f>
        <v>0</v>
      </c>
      <c r="AB298" s="83">
        <f>ROUND(IF($Q298="OT",$K298*AB$2,0),2)</f>
        <v>0</v>
      </c>
      <c r="AC298" s="83">
        <f>ROUND(IF($Q298="DBLT",$K298*AC$2,0),2)</f>
        <v>0</v>
      </c>
      <c r="AD298" s="83">
        <f>ROUND(IF($R298="SWING",$K298*AD$2,0),2)</f>
        <v>0</v>
      </c>
      <c r="AE298" s="83">
        <f>ROUND(IF($R298="GRAVE",$K298*AE$2,0),2)</f>
        <v>0</v>
      </c>
      <c r="AF298" s="83">
        <f>ROUND(IF($R298="SPECIAL",$K298*AF$2,0),2)</f>
        <v>0</v>
      </c>
      <c r="AG298" s="83">
        <f>SUM(U298:Z298)</f>
        <v>0</v>
      </c>
      <c r="AH298" s="83">
        <f>SUM(AA298:AF298)</f>
        <v>0</v>
      </c>
      <c r="AI298" s="83">
        <f>SUM(U298:AF298)</f>
        <v>0</v>
      </c>
      <c r="AJ298" s="718">
        <f>SUM(M298,AI298)</f>
        <v>0</v>
      </c>
      <c r="AL298">
        <f>SUM(V298:Z298)</f>
        <v>0</v>
      </c>
      <c r="AM298">
        <f>SUM(AB298:AF298)</f>
        <v>0</v>
      </c>
    </row>
    <row r="299" spans="1:39" ht="15.75" x14ac:dyDescent="0.25">
      <c r="A299" s="561"/>
      <c r="B299" s="561"/>
      <c r="C299" s="561"/>
      <c r="D299" s="672"/>
      <c r="E299" s="209"/>
      <c r="F299" s="209"/>
      <c r="G299" s="209"/>
      <c r="H299" s="176">
        <f t="shared" si="266"/>
        <v>0</v>
      </c>
      <c r="I299" s="209"/>
      <c r="J299" s="209"/>
      <c r="K299" s="176">
        <f t="shared" si="267"/>
        <v>0</v>
      </c>
      <c r="L299" s="209"/>
      <c r="M299" s="177">
        <f t="shared" si="268"/>
        <v>0</v>
      </c>
      <c r="N299" s="1012"/>
      <c r="O299" s="1012"/>
      <c r="P299" s="485"/>
      <c r="Q299" s="778"/>
      <c r="R299" s="778"/>
      <c r="S299" s="785" t="str">
        <f t="shared" ref="S299:S323" si="271">IF(T299="Sheet Metal Takeoff","",IF(R299="","","LOP"))</f>
        <v/>
      </c>
      <c r="T299" s="548" t="str">
        <f t="shared" si="269"/>
        <v>Sheet Metal Takeoff</v>
      </c>
      <c r="U299" s="83">
        <f t="shared" ref="U299:U322" si="272">ROUND(IF($T299="Plumb Takeoff",$H299*U$3,IF($T299="Pipe Takeoff",$H299*U$4,$H299*U$2)),2)</f>
        <v>0</v>
      </c>
      <c r="V299" s="83">
        <f t="shared" ref="V299:V323" si="273">ROUND(IF($T299="Plumb Takeoff",IF($Q299="OT",$H299*V$3,0),IF($T299="Pipe Takeoff",IF($Q299="OT",$H299*V$4,0),IF($Q299="OT",$H299*V$2,0))),2)</f>
        <v>0</v>
      </c>
      <c r="W299" s="83">
        <f t="shared" ref="W299:W323" si="274">ROUND(IF($T299="Plumb Takeoff",IF($Q299="DBLT",$H299*W$3,0),IF($T299="Pipe Takeoff",IF($Q299="DBLT",$H299*W$4,0),IF($Q299="DBLT",$H299*W$2,0))),2)</f>
        <v>0</v>
      </c>
      <c r="X299" s="781">
        <f t="shared" ref="X299:X323" si="275">ROUND(SUM(IF($T299="Plumb Takeoff",IF($R299="SWING",ROUND(SUM($H299)*X$3,2))),IF($T299="Pipe Takeoff",IF($R299="SWING",ROUND(SUM($H299)*X$4,2))),IF($T299="Sheet Metal Takeoff",IF($R299="SWING",ROUND(SUM($H299)*X$2,2)))),2)</f>
        <v>0</v>
      </c>
      <c r="Y299" s="781">
        <f t="shared" ref="Y299:Y323" si="276">ROUND(SUM(IF($T299="Plumb Takeoff",IF($R299="GRAVE",ROUND(SUM($H299)*Y$3,2))),IF($T299="Pipe Takeoff",IF($R299="GRAVE",ROUND(SUM($H299)*Y$4,2))),IF($T299="Sheet Metal Takeoff",IF($R299="GRAVE",ROUND(SUM($H299)*Y$2,2)))),2)</f>
        <v>0</v>
      </c>
      <c r="Z299" s="781">
        <f t="shared" ref="Z299:Z323" si="277">ROUND(SUM(IF($T299="Plumb Takeoff",IF($R299="SPECIAL",ROUND(SUM($H299)*Z$3,2))),IF($T299="Pipe Takeoff",IF($R299="SPECIAL",ROUND(SUM($H299)*Z$4,2))),IF($T299="Sheet Metal Takeoff",IF($R299="SPECIAL",ROUND(SUM($H299)*Z$2,2)))),2)</f>
        <v>0</v>
      </c>
      <c r="AA299" s="83">
        <f t="shared" si="270"/>
        <v>0</v>
      </c>
      <c r="AB299" s="83">
        <f t="shared" ref="AB299:AB323" si="278">ROUND(IF($Q299="OT",$K299*AB$2,0),2)</f>
        <v>0</v>
      </c>
      <c r="AC299" s="83">
        <f t="shared" ref="AC299:AC323" si="279">ROUND(IF($Q299="DBLT",$K299*AC$2,0),2)</f>
        <v>0</v>
      </c>
      <c r="AD299" s="83">
        <f t="shared" ref="AD299:AD323" si="280">ROUND(IF($R299="SWING",$K299*AD$2,0),2)</f>
        <v>0</v>
      </c>
      <c r="AE299" s="83">
        <f t="shared" ref="AE299:AE323" si="281">ROUND(IF($R299="GRAVE",$K299*AE$2,0),2)</f>
        <v>0</v>
      </c>
      <c r="AF299" s="83">
        <f t="shared" ref="AF299:AF323" si="282">ROUND(IF($R299="SPECIAL",$K299*AF$2,0),2)</f>
        <v>0</v>
      </c>
      <c r="AG299" s="83">
        <f t="shared" ref="AG299:AG323" si="283">SUM(U299:Z299)</f>
        <v>0</v>
      </c>
      <c r="AH299" s="83">
        <f t="shared" ref="AH299:AH323" si="284">SUM(AA299:AF299)</f>
        <v>0</v>
      </c>
      <c r="AI299" s="83">
        <f t="shared" ref="AI299:AI323" si="285">SUM(U299:AF299)</f>
        <v>0</v>
      </c>
      <c r="AJ299" s="718">
        <f t="shared" ref="AJ299:AJ323" si="286">SUM(M299,AI299)</f>
        <v>0</v>
      </c>
      <c r="AL299">
        <f t="shared" ref="AL299:AL323" si="287">SUM(V299:Z299)</f>
        <v>0</v>
      </c>
      <c r="AM299">
        <f t="shared" ref="AM299:AM323" si="288">SUM(AB299:AF299)</f>
        <v>0</v>
      </c>
    </row>
    <row r="300" spans="1:39" ht="15.75" x14ac:dyDescent="0.25">
      <c r="A300" s="561"/>
      <c r="B300" s="561"/>
      <c r="C300" s="561"/>
      <c r="D300" s="672"/>
      <c r="E300" s="209"/>
      <c r="F300" s="209"/>
      <c r="G300" s="209"/>
      <c r="H300" s="176">
        <f t="shared" si="266"/>
        <v>0</v>
      </c>
      <c r="I300" s="209"/>
      <c r="J300" s="209"/>
      <c r="K300" s="176">
        <f t="shared" si="267"/>
        <v>0</v>
      </c>
      <c r="L300" s="209"/>
      <c r="M300" s="177">
        <f t="shared" si="268"/>
        <v>0</v>
      </c>
      <c r="N300" s="1012"/>
      <c r="O300" s="1012"/>
      <c r="P300" s="485"/>
      <c r="Q300" s="778"/>
      <c r="R300" s="778"/>
      <c r="S300" s="785" t="str">
        <f t="shared" si="271"/>
        <v/>
      </c>
      <c r="T300" s="548" t="str">
        <f t="shared" si="269"/>
        <v>Sheet Metal Takeoff</v>
      </c>
      <c r="U300" s="83">
        <f t="shared" si="272"/>
        <v>0</v>
      </c>
      <c r="V300" s="83">
        <f t="shared" si="273"/>
        <v>0</v>
      </c>
      <c r="W300" s="83">
        <f t="shared" si="274"/>
        <v>0</v>
      </c>
      <c r="X300" s="781">
        <f t="shared" si="275"/>
        <v>0</v>
      </c>
      <c r="Y300" s="781">
        <f t="shared" si="276"/>
        <v>0</v>
      </c>
      <c r="Z300" s="781">
        <f t="shared" si="277"/>
        <v>0</v>
      </c>
      <c r="AA300" s="83">
        <f t="shared" si="270"/>
        <v>0</v>
      </c>
      <c r="AB300" s="83">
        <f t="shared" si="278"/>
        <v>0</v>
      </c>
      <c r="AC300" s="83">
        <f t="shared" si="279"/>
        <v>0</v>
      </c>
      <c r="AD300" s="83">
        <f t="shared" si="280"/>
        <v>0</v>
      </c>
      <c r="AE300" s="83">
        <f t="shared" si="281"/>
        <v>0</v>
      </c>
      <c r="AF300" s="83">
        <f t="shared" si="282"/>
        <v>0</v>
      </c>
      <c r="AG300" s="83">
        <f t="shared" si="283"/>
        <v>0</v>
      </c>
      <c r="AH300" s="83">
        <f t="shared" si="284"/>
        <v>0</v>
      </c>
      <c r="AI300" s="83">
        <f t="shared" si="285"/>
        <v>0</v>
      </c>
      <c r="AJ300" s="718">
        <f t="shared" si="286"/>
        <v>0</v>
      </c>
      <c r="AL300">
        <f t="shared" si="287"/>
        <v>0</v>
      </c>
      <c r="AM300">
        <f t="shared" si="288"/>
        <v>0</v>
      </c>
    </row>
    <row r="301" spans="1:39" ht="15.75" x14ac:dyDescent="0.25">
      <c r="A301" s="561"/>
      <c r="B301" s="561"/>
      <c r="C301" s="561"/>
      <c r="D301" s="672"/>
      <c r="E301" s="209"/>
      <c r="F301" s="209"/>
      <c r="G301" s="209"/>
      <c r="H301" s="176">
        <f t="shared" si="266"/>
        <v>0</v>
      </c>
      <c r="I301" s="209"/>
      <c r="J301" s="209"/>
      <c r="K301" s="176">
        <f t="shared" si="267"/>
        <v>0</v>
      </c>
      <c r="L301" s="209"/>
      <c r="M301" s="177">
        <f t="shared" si="268"/>
        <v>0</v>
      </c>
      <c r="N301" s="1012"/>
      <c r="O301" s="1012"/>
      <c r="P301" s="485"/>
      <c r="Q301" s="778"/>
      <c r="R301" s="778"/>
      <c r="S301" s="785" t="str">
        <f t="shared" si="271"/>
        <v/>
      </c>
      <c r="T301" s="548" t="str">
        <f t="shared" si="269"/>
        <v>Sheet Metal Takeoff</v>
      </c>
      <c r="U301" s="83">
        <f t="shared" si="272"/>
        <v>0</v>
      </c>
      <c r="V301" s="83">
        <f t="shared" si="273"/>
        <v>0</v>
      </c>
      <c r="W301" s="83">
        <f t="shared" si="274"/>
        <v>0</v>
      </c>
      <c r="X301" s="781">
        <f t="shared" si="275"/>
        <v>0</v>
      </c>
      <c r="Y301" s="781">
        <f t="shared" si="276"/>
        <v>0</v>
      </c>
      <c r="Z301" s="781">
        <f t="shared" si="277"/>
        <v>0</v>
      </c>
      <c r="AA301" s="83">
        <f t="shared" si="270"/>
        <v>0</v>
      </c>
      <c r="AB301" s="83">
        <f t="shared" si="278"/>
        <v>0</v>
      </c>
      <c r="AC301" s="83">
        <f t="shared" si="279"/>
        <v>0</v>
      </c>
      <c r="AD301" s="83">
        <f t="shared" si="280"/>
        <v>0</v>
      </c>
      <c r="AE301" s="83">
        <f t="shared" si="281"/>
        <v>0</v>
      </c>
      <c r="AF301" s="83">
        <f t="shared" si="282"/>
        <v>0</v>
      </c>
      <c r="AG301" s="83">
        <f t="shared" si="283"/>
        <v>0</v>
      </c>
      <c r="AH301" s="83">
        <f t="shared" si="284"/>
        <v>0</v>
      </c>
      <c r="AI301" s="83">
        <f t="shared" si="285"/>
        <v>0</v>
      </c>
      <c r="AJ301" s="718">
        <f t="shared" si="286"/>
        <v>0</v>
      </c>
      <c r="AL301">
        <f t="shared" si="287"/>
        <v>0</v>
      </c>
      <c r="AM301">
        <f t="shared" si="288"/>
        <v>0</v>
      </c>
    </row>
    <row r="302" spans="1:39" ht="15.75" x14ac:dyDescent="0.25">
      <c r="A302" s="561"/>
      <c r="B302" s="561"/>
      <c r="C302" s="561"/>
      <c r="D302" s="672"/>
      <c r="E302" s="209"/>
      <c r="F302" s="209"/>
      <c r="G302" s="209"/>
      <c r="H302" s="176">
        <f t="shared" si="266"/>
        <v>0</v>
      </c>
      <c r="I302" s="209"/>
      <c r="J302" s="209"/>
      <c r="K302" s="176">
        <f t="shared" si="267"/>
        <v>0</v>
      </c>
      <c r="L302" s="209"/>
      <c r="M302" s="177">
        <f t="shared" si="268"/>
        <v>0</v>
      </c>
      <c r="N302" s="1012"/>
      <c r="O302" s="1012"/>
      <c r="P302" s="485"/>
      <c r="Q302" s="778"/>
      <c r="R302" s="778"/>
      <c r="S302" s="785" t="str">
        <f t="shared" si="271"/>
        <v/>
      </c>
      <c r="T302" s="548" t="str">
        <f t="shared" si="269"/>
        <v>Sheet Metal Takeoff</v>
      </c>
      <c r="U302" s="83">
        <f t="shared" si="272"/>
        <v>0</v>
      </c>
      <c r="V302" s="83">
        <f t="shared" si="273"/>
        <v>0</v>
      </c>
      <c r="W302" s="83">
        <f t="shared" si="274"/>
        <v>0</v>
      </c>
      <c r="X302" s="781">
        <f t="shared" si="275"/>
        <v>0</v>
      </c>
      <c r="Y302" s="781">
        <f t="shared" si="276"/>
        <v>0</v>
      </c>
      <c r="Z302" s="781">
        <f t="shared" si="277"/>
        <v>0</v>
      </c>
      <c r="AA302" s="83">
        <f t="shared" si="270"/>
        <v>0</v>
      </c>
      <c r="AB302" s="83">
        <f t="shared" si="278"/>
        <v>0</v>
      </c>
      <c r="AC302" s="83">
        <f t="shared" si="279"/>
        <v>0</v>
      </c>
      <c r="AD302" s="83">
        <f t="shared" si="280"/>
        <v>0</v>
      </c>
      <c r="AE302" s="83">
        <f t="shared" si="281"/>
        <v>0</v>
      </c>
      <c r="AF302" s="83">
        <f t="shared" si="282"/>
        <v>0</v>
      </c>
      <c r="AG302" s="83">
        <f t="shared" si="283"/>
        <v>0</v>
      </c>
      <c r="AH302" s="83">
        <f t="shared" si="284"/>
        <v>0</v>
      </c>
      <c r="AI302" s="83">
        <f t="shared" si="285"/>
        <v>0</v>
      </c>
      <c r="AJ302" s="718">
        <f t="shared" si="286"/>
        <v>0</v>
      </c>
      <c r="AL302">
        <f t="shared" si="287"/>
        <v>0</v>
      </c>
      <c r="AM302">
        <f t="shared" si="288"/>
        <v>0</v>
      </c>
    </row>
    <row r="303" spans="1:39" ht="15.75" x14ac:dyDescent="0.25">
      <c r="A303" s="561"/>
      <c r="B303" s="561"/>
      <c r="C303" s="561"/>
      <c r="D303" s="672"/>
      <c r="E303" s="209"/>
      <c r="F303" s="209"/>
      <c r="G303" s="209"/>
      <c r="H303" s="176">
        <f t="shared" si="266"/>
        <v>0</v>
      </c>
      <c r="I303" s="209"/>
      <c r="J303" s="209"/>
      <c r="K303" s="176">
        <f t="shared" si="267"/>
        <v>0</v>
      </c>
      <c r="L303" s="209"/>
      <c r="M303" s="177">
        <f t="shared" si="268"/>
        <v>0</v>
      </c>
      <c r="N303" s="1012"/>
      <c r="O303" s="1012"/>
      <c r="P303" s="485"/>
      <c r="Q303" s="778"/>
      <c r="R303" s="778"/>
      <c r="S303" s="785" t="str">
        <f t="shared" si="271"/>
        <v/>
      </c>
      <c r="T303" s="548" t="str">
        <f t="shared" si="269"/>
        <v>Sheet Metal Takeoff</v>
      </c>
      <c r="U303" s="83">
        <f t="shared" si="272"/>
        <v>0</v>
      </c>
      <c r="V303" s="83">
        <f t="shared" si="273"/>
        <v>0</v>
      </c>
      <c r="W303" s="83">
        <f t="shared" si="274"/>
        <v>0</v>
      </c>
      <c r="X303" s="781">
        <f t="shared" si="275"/>
        <v>0</v>
      </c>
      <c r="Y303" s="781">
        <f t="shared" si="276"/>
        <v>0</v>
      </c>
      <c r="Z303" s="781">
        <f t="shared" si="277"/>
        <v>0</v>
      </c>
      <c r="AA303" s="83">
        <f t="shared" si="270"/>
        <v>0</v>
      </c>
      <c r="AB303" s="83">
        <f t="shared" si="278"/>
        <v>0</v>
      </c>
      <c r="AC303" s="83">
        <f t="shared" si="279"/>
        <v>0</v>
      </c>
      <c r="AD303" s="83">
        <f t="shared" si="280"/>
        <v>0</v>
      </c>
      <c r="AE303" s="83">
        <f t="shared" si="281"/>
        <v>0</v>
      </c>
      <c r="AF303" s="83">
        <f t="shared" si="282"/>
        <v>0</v>
      </c>
      <c r="AG303" s="83">
        <f t="shared" si="283"/>
        <v>0</v>
      </c>
      <c r="AH303" s="83">
        <f t="shared" si="284"/>
        <v>0</v>
      </c>
      <c r="AI303" s="83">
        <f t="shared" si="285"/>
        <v>0</v>
      </c>
      <c r="AJ303" s="718">
        <f t="shared" si="286"/>
        <v>0</v>
      </c>
      <c r="AL303">
        <f t="shared" si="287"/>
        <v>0</v>
      </c>
      <c r="AM303">
        <f t="shared" si="288"/>
        <v>0</v>
      </c>
    </row>
    <row r="304" spans="1:39" ht="15.75" x14ac:dyDescent="0.25">
      <c r="A304" s="561"/>
      <c r="B304" s="561"/>
      <c r="C304" s="561"/>
      <c r="D304" s="672"/>
      <c r="E304" s="209"/>
      <c r="F304" s="209"/>
      <c r="G304" s="209"/>
      <c r="H304" s="176">
        <f t="shared" si="266"/>
        <v>0</v>
      </c>
      <c r="I304" s="209"/>
      <c r="J304" s="209"/>
      <c r="K304" s="176">
        <f t="shared" si="267"/>
        <v>0</v>
      </c>
      <c r="L304" s="209"/>
      <c r="M304" s="177">
        <f t="shared" si="268"/>
        <v>0</v>
      </c>
      <c r="N304" s="1012"/>
      <c r="O304" s="1012"/>
      <c r="P304" s="485"/>
      <c r="Q304" s="778"/>
      <c r="R304" s="778"/>
      <c r="S304" s="785" t="str">
        <f t="shared" si="271"/>
        <v/>
      </c>
      <c r="T304" s="548" t="str">
        <f t="shared" si="269"/>
        <v>Sheet Metal Takeoff</v>
      </c>
      <c r="U304" s="83">
        <f t="shared" si="272"/>
        <v>0</v>
      </c>
      <c r="V304" s="83">
        <f t="shared" si="273"/>
        <v>0</v>
      </c>
      <c r="W304" s="83">
        <f t="shared" si="274"/>
        <v>0</v>
      </c>
      <c r="X304" s="781">
        <f t="shared" si="275"/>
        <v>0</v>
      </c>
      <c r="Y304" s="781">
        <f t="shared" si="276"/>
        <v>0</v>
      </c>
      <c r="Z304" s="781">
        <f t="shared" si="277"/>
        <v>0</v>
      </c>
      <c r="AA304" s="83">
        <f t="shared" si="270"/>
        <v>0</v>
      </c>
      <c r="AB304" s="83">
        <f t="shared" si="278"/>
        <v>0</v>
      </c>
      <c r="AC304" s="83">
        <f t="shared" si="279"/>
        <v>0</v>
      </c>
      <c r="AD304" s="83">
        <f t="shared" si="280"/>
        <v>0</v>
      </c>
      <c r="AE304" s="83">
        <f t="shared" si="281"/>
        <v>0</v>
      </c>
      <c r="AF304" s="83">
        <f t="shared" si="282"/>
        <v>0</v>
      </c>
      <c r="AG304" s="83">
        <f t="shared" si="283"/>
        <v>0</v>
      </c>
      <c r="AH304" s="83">
        <f t="shared" si="284"/>
        <v>0</v>
      </c>
      <c r="AI304" s="83">
        <f t="shared" si="285"/>
        <v>0</v>
      </c>
      <c r="AJ304" s="718">
        <f t="shared" si="286"/>
        <v>0</v>
      </c>
      <c r="AL304">
        <f t="shared" si="287"/>
        <v>0</v>
      </c>
      <c r="AM304">
        <f t="shared" si="288"/>
        <v>0</v>
      </c>
    </row>
    <row r="305" spans="1:39" ht="15.75" x14ac:dyDescent="0.25">
      <c r="A305" s="561"/>
      <c r="B305" s="561"/>
      <c r="C305" s="561"/>
      <c r="D305" s="672"/>
      <c r="E305" s="209"/>
      <c r="F305" s="209"/>
      <c r="G305" s="209"/>
      <c r="H305" s="176">
        <f t="shared" si="266"/>
        <v>0</v>
      </c>
      <c r="I305" s="209"/>
      <c r="J305" s="209"/>
      <c r="K305" s="176">
        <f t="shared" si="267"/>
        <v>0</v>
      </c>
      <c r="L305" s="209"/>
      <c r="M305" s="177">
        <f t="shared" si="268"/>
        <v>0</v>
      </c>
      <c r="N305" s="1012"/>
      <c r="O305" s="1012"/>
      <c r="P305" s="485"/>
      <c r="Q305" s="778"/>
      <c r="R305" s="778"/>
      <c r="S305" s="785" t="str">
        <f t="shared" si="271"/>
        <v/>
      </c>
      <c r="T305" s="548" t="str">
        <f t="shared" si="269"/>
        <v>Sheet Metal Takeoff</v>
      </c>
      <c r="U305" s="83">
        <f t="shared" si="272"/>
        <v>0</v>
      </c>
      <c r="V305" s="83">
        <f t="shared" si="273"/>
        <v>0</v>
      </c>
      <c r="W305" s="83">
        <f t="shared" si="274"/>
        <v>0</v>
      </c>
      <c r="X305" s="781">
        <f t="shared" si="275"/>
        <v>0</v>
      </c>
      <c r="Y305" s="781">
        <f t="shared" si="276"/>
        <v>0</v>
      </c>
      <c r="Z305" s="781">
        <f t="shared" si="277"/>
        <v>0</v>
      </c>
      <c r="AA305" s="83">
        <f t="shared" si="270"/>
        <v>0</v>
      </c>
      <c r="AB305" s="83">
        <f t="shared" si="278"/>
        <v>0</v>
      </c>
      <c r="AC305" s="83">
        <f t="shared" si="279"/>
        <v>0</v>
      </c>
      <c r="AD305" s="83">
        <f t="shared" si="280"/>
        <v>0</v>
      </c>
      <c r="AE305" s="83">
        <f t="shared" si="281"/>
        <v>0</v>
      </c>
      <c r="AF305" s="83">
        <f t="shared" si="282"/>
        <v>0</v>
      </c>
      <c r="AG305" s="83">
        <f t="shared" si="283"/>
        <v>0</v>
      </c>
      <c r="AH305" s="83">
        <f t="shared" si="284"/>
        <v>0</v>
      </c>
      <c r="AI305" s="83">
        <f t="shared" si="285"/>
        <v>0</v>
      </c>
      <c r="AJ305" s="718">
        <f t="shared" si="286"/>
        <v>0</v>
      </c>
      <c r="AL305">
        <f t="shared" si="287"/>
        <v>0</v>
      </c>
      <c r="AM305">
        <f t="shared" si="288"/>
        <v>0</v>
      </c>
    </row>
    <row r="306" spans="1:39" ht="15.75" x14ac:dyDescent="0.25">
      <c r="A306" s="561"/>
      <c r="B306" s="561"/>
      <c r="C306" s="561"/>
      <c r="D306" s="672"/>
      <c r="E306" s="209"/>
      <c r="F306" s="209"/>
      <c r="G306" s="209"/>
      <c r="H306" s="176">
        <f t="shared" si="266"/>
        <v>0</v>
      </c>
      <c r="I306" s="209"/>
      <c r="J306" s="209"/>
      <c r="K306" s="176">
        <f t="shared" si="267"/>
        <v>0</v>
      </c>
      <c r="L306" s="209"/>
      <c r="M306" s="177">
        <f t="shared" si="268"/>
        <v>0</v>
      </c>
      <c r="N306" s="1012"/>
      <c r="O306" s="1012"/>
      <c r="P306" s="485"/>
      <c r="Q306" s="778"/>
      <c r="R306" s="778"/>
      <c r="S306" s="785" t="str">
        <f t="shared" si="271"/>
        <v/>
      </c>
      <c r="T306" s="548" t="str">
        <f t="shared" si="269"/>
        <v>Sheet Metal Takeoff</v>
      </c>
      <c r="U306" s="83">
        <f t="shared" si="272"/>
        <v>0</v>
      </c>
      <c r="V306" s="83">
        <f t="shared" si="273"/>
        <v>0</v>
      </c>
      <c r="W306" s="83">
        <f t="shared" si="274"/>
        <v>0</v>
      </c>
      <c r="X306" s="781">
        <f t="shared" si="275"/>
        <v>0</v>
      </c>
      <c r="Y306" s="781">
        <f t="shared" si="276"/>
        <v>0</v>
      </c>
      <c r="Z306" s="781">
        <f t="shared" si="277"/>
        <v>0</v>
      </c>
      <c r="AA306" s="83">
        <f t="shared" si="270"/>
        <v>0</v>
      </c>
      <c r="AB306" s="83">
        <f t="shared" si="278"/>
        <v>0</v>
      </c>
      <c r="AC306" s="83">
        <f t="shared" si="279"/>
        <v>0</v>
      </c>
      <c r="AD306" s="83">
        <f t="shared" si="280"/>
        <v>0</v>
      </c>
      <c r="AE306" s="83">
        <f t="shared" si="281"/>
        <v>0</v>
      </c>
      <c r="AF306" s="83">
        <f t="shared" si="282"/>
        <v>0</v>
      </c>
      <c r="AG306" s="83">
        <f t="shared" si="283"/>
        <v>0</v>
      </c>
      <c r="AH306" s="83">
        <f t="shared" si="284"/>
        <v>0</v>
      </c>
      <c r="AI306" s="83">
        <f t="shared" si="285"/>
        <v>0</v>
      </c>
      <c r="AJ306" s="718">
        <f t="shared" si="286"/>
        <v>0</v>
      </c>
      <c r="AL306">
        <f t="shared" si="287"/>
        <v>0</v>
      </c>
      <c r="AM306">
        <f t="shared" si="288"/>
        <v>0</v>
      </c>
    </row>
    <row r="307" spans="1:39" ht="15.75" x14ac:dyDescent="0.25">
      <c r="A307" s="561"/>
      <c r="B307" s="561"/>
      <c r="C307" s="561"/>
      <c r="D307" s="672"/>
      <c r="E307" s="209"/>
      <c r="F307" s="209"/>
      <c r="G307" s="209"/>
      <c r="H307" s="176">
        <f t="shared" si="266"/>
        <v>0</v>
      </c>
      <c r="I307" s="209"/>
      <c r="J307" s="209"/>
      <c r="K307" s="176">
        <f t="shared" si="267"/>
        <v>0</v>
      </c>
      <c r="L307" s="209"/>
      <c r="M307" s="177">
        <f t="shared" si="268"/>
        <v>0</v>
      </c>
      <c r="N307" s="1012"/>
      <c r="O307" s="1012"/>
      <c r="P307" s="485"/>
      <c r="Q307" s="778"/>
      <c r="R307" s="778"/>
      <c r="S307" s="785" t="str">
        <f t="shared" si="271"/>
        <v/>
      </c>
      <c r="T307" s="548" t="str">
        <f t="shared" si="269"/>
        <v>Sheet Metal Takeoff</v>
      </c>
      <c r="U307" s="83">
        <f t="shared" si="272"/>
        <v>0</v>
      </c>
      <c r="V307" s="83">
        <f t="shared" si="273"/>
        <v>0</v>
      </c>
      <c r="W307" s="83">
        <f t="shared" si="274"/>
        <v>0</v>
      </c>
      <c r="X307" s="781">
        <f t="shared" si="275"/>
        <v>0</v>
      </c>
      <c r="Y307" s="781">
        <f t="shared" si="276"/>
        <v>0</v>
      </c>
      <c r="Z307" s="781">
        <f t="shared" si="277"/>
        <v>0</v>
      </c>
      <c r="AA307" s="83">
        <f t="shared" si="270"/>
        <v>0</v>
      </c>
      <c r="AB307" s="83">
        <f t="shared" si="278"/>
        <v>0</v>
      </c>
      <c r="AC307" s="83">
        <f t="shared" si="279"/>
        <v>0</v>
      </c>
      <c r="AD307" s="83">
        <f t="shared" si="280"/>
        <v>0</v>
      </c>
      <c r="AE307" s="83">
        <f t="shared" si="281"/>
        <v>0</v>
      </c>
      <c r="AF307" s="83">
        <f t="shared" si="282"/>
        <v>0</v>
      </c>
      <c r="AG307" s="83">
        <f t="shared" si="283"/>
        <v>0</v>
      </c>
      <c r="AH307" s="83">
        <f t="shared" si="284"/>
        <v>0</v>
      </c>
      <c r="AI307" s="83">
        <f t="shared" si="285"/>
        <v>0</v>
      </c>
      <c r="AJ307" s="718">
        <f t="shared" si="286"/>
        <v>0</v>
      </c>
      <c r="AL307">
        <f t="shared" si="287"/>
        <v>0</v>
      </c>
      <c r="AM307">
        <f t="shared" si="288"/>
        <v>0</v>
      </c>
    </row>
    <row r="308" spans="1:39" ht="15.75" x14ac:dyDescent="0.25">
      <c r="A308" s="561"/>
      <c r="B308" s="561"/>
      <c r="C308" s="561"/>
      <c r="D308" s="672"/>
      <c r="E308" s="209"/>
      <c r="F308" s="209"/>
      <c r="G308" s="209"/>
      <c r="H308" s="176">
        <f t="shared" si="266"/>
        <v>0</v>
      </c>
      <c r="I308" s="209"/>
      <c r="J308" s="209"/>
      <c r="K308" s="176">
        <f t="shared" si="267"/>
        <v>0</v>
      </c>
      <c r="L308" s="209"/>
      <c r="M308" s="177">
        <f t="shared" si="268"/>
        <v>0</v>
      </c>
      <c r="N308" s="1012"/>
      <c r="O308" s="1012"/>
      <c r="P308" s="485"/>
      <c r="Q308" s="778"/>
      <c r="R308" s="778"/>
      <c r="S308" s="785" t="str">
        <f t="shared" si="271"/>
        <v/>
      </c>
      <c r="T308" s="548" t="str">
        <f t="shared" si="269"/>
        <v>Sheet Metal Takeoff</v>
      </c>
      <c r="U308" s="83">
        <f t="shared" si="272"/>
        <v>0</v>
      </c>
      <c r="V308" s="83">
        <f t="shared" si="273"/>
        <v>0</v>
      </c>
      <c r="W308" s="83">
        <f t="shared" si="274"/>
        <v>0</v>
      </c>
      <c r="X308" s="781">
        <f t="shared" si="275"/>
        <v>0</v>
      </c>
      <c r="Y308" s="781">
        <f t="shared" si="276"/>
        <v>0</v>
      </c>
      <c r="Z308" s="781">
        <f t="shared" si="277"/>
        <v>0</v>
      </c>
      <c r="AA308" s="83">
        <f t="shared" si="270"/>
        <v>0</v>
      </c>
      <c r="AB308" s="83">
        <f t="shared" si="278"/>
        <v>0</v>
      </c>
      <c r="AC308" s="83">
        <f t="shared" si="279"/>
        <v>0</v>
      </c>
      <c r="AD308" s="83">
        <f t="shared" si="280"/>
        <v>0</v>
      </c>
      <c r="AE308" s="83">
        <f t="shared" si="281"/>
        <v>0</v>
      </c>
      <c r="AF308" s="83">
        <f t="shared" si="282"/>
        <v>0</v>
      </c>
      <c r="AG308" s="83">
        <f t="shared" si="283"/>
        <v>0</v>
      </c>
      <c r="AH308" s="83">
        <f t="shared" si="284"/>
        <v>0</v>
      </c>
      <c r="AI308" s="83">
        <f t="shared" si="285"/>
        <v>0</v>
      </c>
      <c r="AJ308" s="718">
        <f t="shared" si="286"/>
        <v>0</v>
      </c>
      <c r="AL308">
        <f t="shared" si="287"/>
        <v>0</v>
      </c>
      <c r="AM308">
        <f t="shared" si="288"/>
        <v>0</v>
      </c>
    </row>
    <row r="309" spans="1:39" ht="15.75" x14ac:dyDescent="0.25">
      <c r="A309" s="561"/>
      <c r="B309" s="561"/>
      <c r="C309" s="561"/>
      <c r="D309" s="672"/>
      <c r="E309" s="209"/>
      <c r="F309" s="209"/>
      <c r="G309" s="209"/>
      <c r="H309" s="176">
        <f t="shared" si="266"/>
        <v>0</v>
      </c>
      <c r="I309" s="209"/>
      <c r="J309" s="209"/>
      <c r="K309" s="176">
        <f t="shared" si="267"/>
        <v>0</v>
      </c>
      <c r="L309" s="209"/>
      <c r="M309" s="177">
        <f t="shared" si="268"/>
        <v>0</v>
      </c>
      <c r="N309" s="1012"/>
      <c r="O309" s="1012"/>
      <c r="P309" s="485"/>
      <c r="Q309" s="778"/>
      <c r="R309" s="778"/>
      <c r="S309" s="785" t="str">
        <f t="shared" si="271"/>
        <v/>
      </c>
      <c r="T309" s="548" t="str">
        <f t="shared" si="269"/>
        <v>Sheet Metal Takeoff</v>
      </c>
      <c r="U309" s="83">
        <f t="shared" si="272"/>
        <v>0</v>
      </c>
      <c r="V309" s="83">
        <f t="shared" si="273"/>
        <v>0</v>
      </c>
      <c r="W309" s="83">
        <f t="shared" si="274"/>
        <v>0</v>
      </c>
      <c r="X309" s="781">
        <f t="shared" si="275"/>
        <v>0</v>
      </c>
      <c r="Y309" s="781">
        <f t="shared" si="276"/>
        <v>0</v>
      </c>
      <c r="Z309" s="781">
        <f t="shared" si="277"/>
        <v>0</v>
      </c>
      <c r="AA309" s="83">
        <f t="shared" si="270"/>
        <v>0</v>
      </c>
      <c r="AB309" s="83">
        <f t="shared" si="278"/>
        <v>0</v>
      </c>
      <c r="AC309" s="83">
        <f t="shared" si="279"/>
        <v>0</v>
      </c>
      <c r="AD309" s="83">
        <f t="shared" si="280"/>
        <v>0</v>
      </c>
      <c r="AE309" s="83">
        <f t="shared" si="281"/>
        <v>0</v>
      </c>
      <c r="AF309" s="83">
        <f t="shared" si="282"/>
        <v>0</v>
      </c>
      <c r="AG309" s="83">
        <f t="shared" si="283"/>
        <v>0</v>
      </c>
      <c r="AH309" s="83">
        <f t="shared" si="284"/>
        <v>0</v>
      </c>
      <c r="AI309" s="83">
        <f t="shared" si="285"/>
        <v>0</v>
      </c>
      <c r="AJ309" s="718">
        <f t="shared" si="286"/>
        <v>0</v>
      </c>
      <c r="AL309">
        <f t="shared" si="287"/>
        <v>0</v>
      </c>
      <c r="AM309">
        <f t="shared" si="288"/>
        <v>0</v>
      </c>
    </row>
    <row r="310" spans="1:39" ht="15.75" x14ac:dyDescent="0.25">
      <c r="A310" s="561"/>
      <c r="B310" s="561"/>
      <c r="C310" s="561"/>
      <c r="D310" s="672"/>
      <c r="E310" s="209"/>
      <c r="F310" s="209"/>
      <c r="G310" s="209"/>
      <c r="H310" s="176">
        <f t="shared" si="266"/>
        <v>0</v>
      </c>
      <c r="I310" s="209"/>
      <c r="J310" s="209"/>
      <c r="K310" s="176">
        <f t="shared" si="267"/>
        <v>0</v>
      </c>
      <c r="L310" s="209"/>
      <c r="M310" s="177">
        <f t="shared" si="268"/>
        <v>0</v>
      </c>
      <c r="N310" s="1012"/>
      <c r="O310" s="1012"/>
      <c r="P310" s="485"/>
      <c r="Q310" s="778"/>
      <c r="R310" s="778"/>
      <c r="S310" s="785" t="str">
        <f t="shared" si="271"/>
        <v/>
      </c>
      <c r="T310" s="548" t="str">
        <f t="shared" si="269"/>
        <v>Sheet Metal Takeoff</v>
      </c>
      <c r="U310" s="83">
        <f t="shared" si="272"/>
        <v>0</v>
      </c>
      <c r="V310" s="83">
        <f t="shared" si="273"/>
        <v>0</v>
      </c>
      <c r="W310" s="83">
        <f t="shared" si="274"/>
        <v>0</v>
      </c>
      <c r="X310" s="781">
        <f t="shared" si="275"/>
        <v>0</v>
      </c>
      <c r="Y310" s="781">
        <f t="shared" si="276"/>
        <v>0</v>
      </c>
      <c r="Z310" s="781">
        <f t="shared" si="277"/>
        <v>0</v>
      </c>
      <c r="AA310" s="83">
        <f t="shared" si="270"/>
        <v>0</v>
      </c>
      <c r="AB310" s="83">
        <f t="shared" si="278"/>
        <v>0</v>
      </c>
      <c r="AC310" s="83">
        <f t="shared" si="279"/>
        <v>0</v>
      </c>
      <c r="AD310" s="83">
        <f t="shared" si="280"/>
        <v>0</v>
      </c>
      <c r="AE310" s="83">
        <f t="shared" si="281"/>
        <v>0</v>
      </c>
      <c r="AF310" s="83">
        <f t="shared" si="282"/>
        <v>0</v>
      </c>
      <c r="AG310" s="83">
        <f t="shared" si="283"/>
        <v>0</v>
      </c>
      <c r="AH310" s="83">
        <f t="shared" si="284"/>
        <v>0</v>
      </c>
      <c r="AI310" s="83">
        <f t="shared" si="285"/>
        <v>0</v>
      </c>
      <c r="AJ310" s="718">
        <f t="shared" si="286"/>
        <v>0</v>
      </c>
      <c r="AL310">
        <f t="shared" si="287"/>
        <v>0</v>
      </c>
      <c r="AM310">
        <f t="shared" si="288"/>
        <v>0</v>
      </c>
    </row>
    <row r="311" spans="1:39" ht="15.75" x14ac:dyDescent="0.25">
      <c r="A311" s="561"/>
      <c r="B311" s="561"/>
      <c r="C311" s="561"/>
      <c r="D311" s="672"/>
      <c r="E311" s="209"/>
      <c r="F311" s="209"/>
      <c r="G311" s="209"/>
      <c r="H311" s="176">
        <f t="shared" si="266"/>
        <v>0</v>
      </c>
      <c r="I311" s="209"/>
      <c r="J311" s="209"/>
      <c r="K311" s="176">
        <f t="shared" si="267"/>
        <v>0</v>
      </c>
      <c r="L311" s="209"/>
      <c r="M311" s="177">
        <f t="shared" si="268"/>
        <v>0</v>
      </c>
      <c r="N311" s="1012"/>
      <c r="O311" s="1012"/>
      <c r="P311" s="485"/>
      <c r="Q311" s="778"/>
      <c r="R311" s="778"/>
      <c r="S311" s="785" t="str">
        <f t="shared" si="271"/>
        <v/>
      </c>
      <c r="T311" s="548" t="str">
        <f t="shared" si="269"/>
        <v>Sheet Metal Takeoff</v>
      </c>
      <c r="U311" s="83">
        <f t="shared" si="272"/>
        <v>0</v>
      </c>
      <c r="V311" s="83">
        <f t="shared" si="273"/>
        <v>0</v>
      </c>
      <c r="W311" s="83">
        <f t="shared" si="274"/>
        <v>0</v>
      </c>
      <c r="X311" s="781">
        <f t="shared" si="275"/>
        <v>0</v>
      </c>
      <c r="Y311" s="781">
        <f t="shared" si="276"/>
        <v>0</v>
      </c>
      <c r="Z311" s="781">
        <f t="shared" si="277"/>
        <v>0</v>
      </c>
      <c r="AA311" s="83">
        <f t="shared" si="270"/>
        <v>0</v>
      </c>
      <c r="AB311" s="83">
        <f t="shared" si="278"/>
        <v>0</v>
      </c>
      <c r="AC311" s="83">
        <f t="shared" si="279"/>
        <v>0</v>
      </c>
      <c r="AD311" s="83">
        <f t="shared" si="280"/>
        <v>0</v>
      </c>
      <c r="AE311" s="83">
        <f t="shared" si="281"/>
        <v>0</v>
      </c>
      <c r="AF311" s="83">
        <f t="shared" si="282"/>
        <v>0</v>
      </c>
      <c r="AG311" s="83">
        <f t="shared" si="283"/>
        <v>0</v>
      </c>
      <c r="AH311" s="83">
        <f t="shared" si="284"/>
        <v>0</v>
      </c>
      <c r="AI311" s="83">
        <f t="shared" si="285"/>
        <v>0</v>
      </c>
      <c r="AJ311" s="718">
        <f t="shared" si="286"/>
        <v>0</v>
      </c>
      <c r="AL311">
        <f t="shared" si="287"/>
        <v>0</v>
      </c>
      <c r="AM311">
        <f t="shared" si="288"/>
        <v>0</v>
      </c>
    </row>
    <row r="312" spans="1:39" ht="15.75" x14ac:dyDescent="0.25">
      <c r="A312" s="561"/>
      <c r="B312" s="561"/>
      <c r="C312" s="561"/>
      <c r="D312" s="672"/>
      <c r="E312" s="209"/>
      <c r="F312" s="209"/>
      <c r="G312" s="209"/>
      <c r="H312" s="176">
        <f t="shared" si="266"/>
        <v>0</v>
      </c>
      <c r="I312" s="209"/>
      <c r="J312" s="209"/>
      <c r="K312" s="176">
        <f t="shared" si="267"/>
        <v>0</v>
      </c>
      <c r="L312" s="209"/>
      <c r="M312" s="177">
        <f t="shared" si="268"/>
        <v>0</v>
      </c>
      <c r="N312" s="1012"/>
      <c r="O312" s="1012"/>
      <c r="P312" s="485"/>
      <c r="Q312" s="778"/>
      <c r="R312" s="778"/>
      <c r="S312" s="785" t="str">
        <f t="shared" si="271"/>
        <v/>
      </c>
      <c r="T312" s="548" t="str">
        <f t="shared" si="269"/>
        <v>Sheet Metal Takeoff</v>
      </c>
      <c r="U312" s="83">
        <f t="shared" si="272"/>
        <v>0</v>
      </c>
      <c r="V312" s="83">
        <f t="shared" si="273"/>
        <v>0</v>
      </c>
      <c r="W312" s="83">
        <f t="shared" si="274"/>
        <v>0</v>
      </c>
      <c r="X312" s="781">
        <f t="shared" si="275"/>
        <v>0</v>
      </c>
      <c r="Y312" s="781">
        <f t="shared" si="276"/>
        <v>0</v>
      </c>
      <c r="Z312" s="781">
        <f t="shared" si="277"/>
        <v>0</v>
      </c>
      <c r="AA312" s="83">
        <f t="shared" si="270"/>
        <v>0</v>
      </c>
      <c r="AB312" s="83">
        <f t="shared" si="278"/>
        <v>0</v>
      </c>
      <c r="AC312" s="83">
        <f t="shared" si="279"/>
        <v>0</v>
      </c>
      <c r="AD312" s="83">
        <f t="shared" si="280"/>
        <v>0</v>
      </c>
      <c r="AE312" s="83">
        <f t="shared" si="281"/>
        <v>0</v>
      </c>
      <c r="AF312" s="83">
        <f t="shared" si="282"/>
        <v>0</v>
      </c>
      <c r="AG312" s="83">
        <f t="shared" si="283"/>
        <v>0</v>
      </c>
      <c r="AH312" s="83">
        <f t="shared" si="284"/>
        <v>0</v>
      </c>
      <c r="AI312" s="83">
        <f t="shared" si="285"/>
        <v>0</v>
      </c>
      <c r="AJ312" s="718">
        <f t="shared" si="286"/>
        <v>0</v>
      </c>
      <c r="AL312">
        <f t="shared" si="287"/>
        <v>0</v>
      </c>
      <c r="AM312">
        <f t="shared" si="288"/>
        <v>0</v>
      </c>
    </row>
    <row r="313" spans="1:39" ht="15.75" x14ac:dyDescent="0.25">
      <c r="A313" s="561"/>
      <c r="B313" s="561"/>
      <c r="C313" s="561"/>
      <c r="D313" s="672"/>
      <c r="E313" s="209"/>
      <c r="F313" s="209"/>
      <c r="G313" s="209"/>
      <c r="H313" s="176">
        <f t="shared" si="266"/>
        <v>0</v>
      </c>
      <c r="I313" s="209"/>
      <c r="J313" s="209"/>
      <c r="K313" s="176">
        <f t="shared" si="267"/>
        <v>0</v>
      </c>
      <c r="L313" s="209"/>
      <c r="M313" s="177">
        <f t="shared" si="268"/>
        <v>0</v>
      </c>
      <c r="N313" s="1012"/>
      <c r="O313" s="1012"/>
      <c r="P313" s="485"/>
      <c r="Q313" s="778"/>
      <c r="R313" s="778"/>
      <c r="S313" s="785" t="str">
        <f t="shared" si="271"/>
        <v/>
      </c>
      <c r="T313" s="548" t="str">
        <f t="shared" si="269"/>
        <v>Sheet Metal Takeoff</v>
      </c>
      <c r="U313" s="83">
        <f t="shared" si="272"/>
        <v>0</v>
      </c>
      <c r="V313" s="83">
        <f t="shared" si="273"/>
        <v>0</v>
      </c>
      <c r="W313" s="83">
        <f t="shared" si="274"/>
        <v>0</v>
      </c>
      <c r="X313" s="781">
        <f t="shared" si="275"/>
        <v>0</v>
      </c>
      <c r="Y313" s="781">
        <f t="shared" si="276"/>
        <v>0</v>
      </c>
      <c r="Z313" s="781">
        <f t="shared" si="277"/>
        <v>0</v>
      </c>
      <c r="AA313" s="83">
        <f t="shared" si="270"/>
        <v>0</v>
      </c>
      <c r="AB313" s="83">
        <f t="shared" si="278"/>
        <v>0</v>
      </c>
      <c r="AC313" s="83">
        <f t="shared" si="279"/>
        <v>0</v>
      </c>
      <c r="AD313" s="83">
        <f t="shared" si="280"/>
        <v>0</v>
      </c>
      <c r="AE313" s="83">
        <f t="shared" si="281"/>
        <v>0</v>
      </c>
      <c r="AF313" s="83">
        <f t="shared" si="282"/>
        <v>0</v>
      </c>
      <c r="AG313" s="83">
        <f t="shared" si="283"/>
        <v>0</v>
      </c>
      <c r="AH313" s="83">
        <f t="shared" si="284"/>
        <v>0</v>
      </c>
      <c r="AI313" s="83">
        <f t="shared" si="285"/>
        <v>0</v>
      </c>
      <c r="AJ313" s="718">
        <f t="shared" si="286"/>
        <v>0</v>
      </c>
      <c r="AL313">
        <f t="shared" si="287"/>
        <v>0</v>
      </c>
      <c r="AM313">
        <f t="shared" si="288"/>
        <v>0</v>
      </c>
    </row>
    <row r="314" spans="1:39" ht="15.75" x14ac:dyDescent="0.25">
      <c r="A314" s="561"/>
      <c r="B314" s="561"/>
      <c r="C314" s="561"/>
      <c r="D314" s="672"/>
      <c r="E314" s="209"/>
      <c r="F314" s="209"/>
      <c r="G314" s="209"/>
      <c r="H314" s="176">
        <f t="shared" si="266"/>
        <v>0</v>
      </c>
      <c r="I314" s="209"/>
      <c r="J314" s="209"/>
      <c r="K314" s="176">
        <f t="shared" si="267"/>
        <v>0</v>
      </c>
      <c r="L314" s="209"/>
      <c r="M314" s="177">
        <f t="shared" si="268"/>
        <v>0</v>
      </c>
      <c r="N314" s="1012"/>
      <c r="O314" s="1012"/>
      <c r="P314" s="485"/>
      <c r="Q314" s="778"/>
      <c r="R314" s="778"/>
      <c r="S314" s="785" t="str">
        <f t="shared" si="271"/>
        <v/>
      </c>
      <c r="T314" s="548" t="str">
        <f t="shared" si="269"/>
        <v>Sheet Metal Takeoff</v>
      </c>
      <c r="U314" s="83">
        <f t="shared" si="272"/>
        <v>0</v>
      </c>
      <c r="V314" s="83">
        <f t="shared" si="273"/>
        <v>0</v>
      </c>
      <c r="W314" s="83">
        <f t="shared" si="274"/>
        <v>0</v>
      </c>
      <c r="X314" s="781">
        <f t="shared" si="275"/>
        <v>0</v>
      </c>
      <c r="Y314" s="781">
        <f t="shared" si="276"/>
        <v>0</v>
      </c>
      <c r="Z314" s="781">
        <f t="shared" si="277"/>
        <v>0</v>
      </c>
      <c r="AA314" s="83">
        <f t="shared" si="270"/>
        <v>0</v>
      </c>
      <c r="AB314" s="83">
        <f t="shared" si="278"/>
        <v>0</v>
      </c>
      <c r="AC314" s="83">
        <f t="shared" si="279"/>
        <v>0</v>
      </c>
      <c r="AD314" s="83">
        <f t="shared" si="280"/>
        <v>0</v>
      </c>
      <c r="AE314" s="83">
        <f t="shared" si="281"/>
        <v>0</v>
      </c>
      <c r="AF314" s="83">
        <f t="shared" si="282"/>
        <v>0</v>
      </c>
      <c r="AG314" s="83">
        <f t="shared" si="283"/>
        <v>0</v>
      </c>
      <c r="AH314" s="83">
        <f t="shared" si="284"/>
        <v>0</v>
      </c>
      <c r="AI314" s="83">
        <f t="shared" si="285"/>
        <v>0</v>
      </c>
      <c r="AJ314" s="718">
        <f t="shared" si="286"/>
        <v>0</v>
      </c>
      <c r="AL314">
        <f t="shared" si="287"/>
        <v>0</v>
      </c>
      <c r="AM314">
        <f t="shared" si="288"/>
        <v>0</v>
      </c>
    </row>
    <row r="315" spans="1:39" ht="15.75" x14ac:dyDescent="0.25">
      <c r="A315" s="561"/>
      <c r="B315" s="561"/>
      <c r="C315" s="561"/>
      <c r="D315" s="672"/>
      <c r="E315" s="209"/>
      <c r="F315" s="209"/>
      <c r="G315" s="209"/>
      <c r="H315" s="176">
        <f t="shared" si="266"/>
        <v>0</v>
      </c>
      <c r="I315" s="209"/>
      <c r="J315" s="209"/>
      <c r="K315" s="176">
        <f t="shared" si="267"/>
        <v>0</v>
      </c>
      <c r="L315" s="209"/>
      <c r="M315" s="177">
        <f t="shared" si="268"/>
        <v>0</v>
      </c>
      <c r="N315" s="1012"/>
      <c r="O315" s="1012"/>
      <c r="P315" s="485"/>
      <c r="Q315" s="778"/>
      <c r="R315" s="778"/>
      <c r="S315" s="785" t="str">
        <f t="shared" si="271"/>
        <v/>
      </c>
      <c r="T315" s="548" t="str">
        <f t="shared" si="269"/>
        <v>Sheet Metal Takeoff</v>
      </c>
      <c r="U315" s="83">
        <f t="shared" si="272"/>
        <v>0</v>
      </c>
      <c r="V315" s="83">
        <f t="shared" si="273"/>
        <v>0</v>
      </c>
      <c r="W315" s="83">
        <f t="shared" si="274"/>
        <v>0</v>
      </c>
      <c r="X315" s="781">
        <f t="shared" si="275"/>
        <v>0</v>
      </c>
      <c r="Y315" s="781">
        <f t="shared" si="276"/>
        <v>0</v>
      </c>
      <c r="Z315" s="781">
        <f t="shared" si="277"/>
        <v>0</v>
      </c>
      <c r="AA315" s="83">
        <f t="shared" si="270"/>
        <v>0</v>
      </c>
      <c r="AB315" s="83">
        <f t="shared" si="278"/>
        <v>0</v>
      </c>
      <c r="AC315" s="83">
        <f t="shared" si="279"/>
        <v>0</v>
      </c>
      <c r="AD315" s="83">
        <f t="shared" si="280"/>
        <v>0</v>
      </c>
      <c r="AE315" s="83">
        <f t="shared" si="281"/>
        <v>0</v>
      </c>
      <c r="AF315" s="83">
        <f t="shared" si="282"/>
        <v>0</v>
      </c>
      <c r="AG315" s="83">
        <f t="shared" si="283"/>
        <v>0</v>
      </c>
      <c r="AH315" s="83">
        <f t="shared" si="284"/>
        <v>0</v>
      </c>
      <c r="AI315" s="83">
        <f t="shared" si="285"/>
        <v>0</v>
      </c>
      <c r="AJ315" s="718">
        <f t="shared" si="286"/>
        <v>0</v>
      </c>
      <c r="AL315">
        <f t="shared" si="287"/>
        <v>0</v>
      </c>
      <c r="AM315">
        <f t="shared" si="288"/>
        <v>0</v>
      </c>
    </row>
    <row r="316" spans="1:39" ht="15.75" x14ac:dyDescent="0.25">
      <c r="A316" s="561"/>
      <c r="B316" s="561"/>
      <c r="C316" s="561"/>
      <c r="D316" s="672"/>
      <c r="E316" s="209"/>
      <c r="F316" s="209"/>
      <c r="G316" s="209"/>
      <c r="H316" s="176">
        <f t="shared" si="266"/>
        <v>0</v>
      </c>
      <c r="I316" s="209"/>
      <c r="J316" s="209"/>
      <c r="K316" s="176">
        <f t="shared" si="267"/>
        <v>0</v>
      </c>
      <c r="L316" s="209"/>
      <c r="M316" s="177">
        <f t="shared" si="268"/>
        <v>0</v>
      </c>
      <c r="N316" s="1012"/>
      <c r="O316" s="1012"/>
      <c r="P316" s="485"/>
      <c r="Q316" s="778"/>
      <c r="R316" s="778"/>
      <c r="S316" s="785" t="str">
        <f t="shared" si="271"/>
        <v/>
      </c>
      <c r="T316" s="548" t="str">
        <f t="shared" si="269"/>
        <v>Sheet Metal Takeoff</v>
      </c>
      <c r="U316" s="83">
        <f t="shared" si="272"/>
        <v>0</v>
      </c>
      <c r="V316" s="83">
        <f t="shared" si="273"/>
        <v>0</v>
      </c>
      <c r="W316" s="83">
        <f t="shared" si="274"/>
        <v>0</v>
      </c>
      <c r="X316" s="781">
        <f t="shared" si="275"/>
        <v>0</v>
      </c>
      <c r="Y316" s="781">
        <f t="shared" si="276"/>
        <v>0</v>
      </c>
      <c r="Z316" s="781">
        <f t="shared" si="277"/>
        <v>0</v>
      </c>
      <c r="AA316" s="83">
        <f t="shared" si="270"/>
        <v>0</v>
      </c>
      <c r="AB316" s="83">
        <f t="shared" si="278"/>
        <v>0</v>
      </c>
      <c r="AC316" s="83">
        <f t="shared" si="279"/>
        <v>0</v>
      </c>
      <c r="AD316" s="83">
        <f t="shared" si="280"/>
        <v>0</v>
      </c>
      <c r="AE316" s="83">
        <f t="shared" si="281"/>
        <v>0</v>
      </c>
      <c r="AF316" s="83">
        <f t="shared" si="282"/>
        <v>0</v>
      </c>
      <c r="AG316" s="83">
        <f t="shared" si="283"/>
        <v>0</v>
      </c>
      <c r="AH316" s="83">
        <f t="shared" si="284"/>
        <v>0</v>
      </c>
      <c r="AI316" s="83">
        <f t="shared" si="285"/>
        <v>0</v>
      </c>
      <c r="AJ316" s="718">
        <f t="shared" si="286"/>
        <v>0</v>
      </c>
      <c r="AL316">
        <f t="shared" si="287"/>
        <v>0</v>
      </c>
      <c r="AM316">
        <f t="shared" si="288"/>
        <v>0</v>
      </c>
    </row>
    <row r="317" spans="1:39" ht="15.75" x14ac:dyDescent="0.25">
      <c r="A317" s="561"/>
      <c r="B317" s="561"/>
      <c r="C317" s="561"/>
      <c r="D317" s="672"/>
      <c r="E317" s="209"/>
      <c r="F317" s="209"/>
      <c r="G317" s="209"/>
      <c r="H317" s="176">
        <f t="shared" si="266"/>
        <v>0</v>
      </c>
      <c r="I317" s="209"/>
      <c r="J317" s="209"/>
      <c r="K317" s="176">
        <f t="shared" si="267"/>
        <v>0</v>
      </c>
      <c r="L317" s="209"/>
      <c r="M317" s="177">
        <f t="shared" si="268"/>
        <v>0</v>
      </c>
      <c r="N317" s="1012"/>
      <c r="O317" s="1012"/>
      <c r="P317" s="485"/>
      <c r="Q317" s="778"/>
      <c r="R317" s="778"/>
      <c r="S317" s="785" t="str">
        <f t="shared" si="271"/>
        <v/>
      </c>
      <c r="T317" s="548" t="str">
        <f t="shared" si="269"/>
        <v>Sheet Metal Takeoff</v>
      </c>
      <c r="U317" s="83">
        <f t="shared" si="272"/>
        <v>0</v>
      </c>
      <c r="V317" s="83">
        <f t="shared" si="273"/>
        <v>0</v>
      </c>
      <c r="W317" s="83">
        <f t="shared" si="274"/>
        <v>0</v>
      </c>
      <c r="X317" s="781">
        <f t="shared" si="275"/>
        <v>0</v>
      </c>
      <c r="Y317" s="781">
        <f t="shared" si="276"/>
        <v>0</v>
      </c>
      <c r="Z317" s="781">
        <f t="shared" si="277"/>
        <v>0</v>
      </c>
      <c r="AA317" s="83">
        <f t="shared" si="270"/>
        <v>0</v>
      </c>
      <c r="AB317" s="83">
        <f t="shared" si="278"/>
        <v>0</v>
      </c>
      <c r="AC317" s="83">
        <f t="shared" si="279"/>
        <v>0</v>
      </c>
      <c r="AD317" s="83">
        <f t="shared" si="280"/>
        <v>0</v>
      </c>
      <c r="AE317" s="83">
        <f t="shared" si="281"/>
        <v>0</v>
      </c>
      <c r="AF317" s="83">
        <f t="shared" si="282"/>
        <v>0</v>
      </c>
      <c r="AG317" s="83">
        <f t="shared" si="283"/>
        <v>0</v>
      </c>
      <c r="AH317" s="83">
        <f t="shared" si="284"/>
        <v>0</v>
      </c>
      <c r="AI317" s="83">
        <f t="shared" si="285"/>
        <v>0</v>
      </c>
      <c r="AJ317" s="718">
        <f t="shared" si="286"/>
        <v>0</v>
      </c>
      <c r="AL317">
        <f t="shared" si="287"/>
        <v>0</v>
      </c>
      <c r="AM317">
        <f t="shared" si="288"/>
        <v>0</v>
      </c>
    </row>
    <row r="318" spans="1:39" ht="15.75" x14ac:dyDescent="0.25">
      <c r="A318" s="561"/>
      <c r="B318" s="561"/>
      <c r="C318" s="561"/>
      <c r="D318" s="672"/>
      <c r="E318" s="209"/>
      <c r="F318" s="209"/>
      <c r="G318" s="209"/>
      <c r="H318" s="176">
        <f t="shared" si="266"/>
        <v>0</v>
      </c>
      <c r="I318" s="209"/>
      <c r="J318" s="209"/>
      <c r="K318" s="176">
        <f t="shared" si="267"/>
        <v>0</v>
      </c>
      <c r="L318" s="209"/>
      <c r="M318" s="177">
        <f t="shared" si="268"/>
        <v>0</v>
      </c>
      <c r="N318" s="1012"/>
      <c r="O318" s="1012"/>
      <c r="P318" s="485"/>
      <c r="Q318" s="778"/>
      <c r="R318" s="778"/>
      <c r="S318" s="785" t="str">
        <f t="shared" si="271"/>
        <v/>
      </c>
      <c r="T318" s="548" t="str">
        <f t="shared" si="269"/>
        <v>Sheet Metal Takeoff</v>
      </c>
      <c r="U318" s="83">
        <f t="shared" si="272"/>
        <v>0</v>
      </c>
      <c r="V318" s="83">
        <f t="shared" si="273"/>
        <v>0</v>
      </c>
      <c r="W318" s="83">
        <f t="shared" si="274"/>
        <v>0</v>
      </c>
      <c r="X318" s="781">
        <f t="shared" si="275"/>
        <v>0</v>
      </c>
      <c r="Y318" s="781">
        <f t="shared" si="276"/>
        <v>0</v>
      </c>
      <c r="Z318" s="781">
        <f t="shared" si="277"/>
        <v>0</v>
      </c>
      <c r="AA318" s="83">
        <f t="shared" si="270"/>
        <v>0</v>
      </c>
      <c r="AB318" s="83">
        <f t="shared" si="278"/>
        <v>0</v>
      </c>
      <c r="AC318" s="83">
        <f t="shared" si="279"/>
        <v>0</v>
      </c>
      <c r="AD318" s="83">
        <f t="shared" si="280"/>
        <v>0</v>
      </c>
      <c r="AE318" s="83">
        <f t="shared" si="281"/>
        <v>0</v>
      </c>
      <c r="AF318" s="83">
        <f t="shared" si="282"/>
        <v>0</v>
      </c>
      <c r="AG318" s="83">
        <f t="shared" si="283"/>
        <v>0</v>
      </c>
      <c r="AH318" s="83">
        <f t="shared" si="284"/>
        <v>0</v>
      </c>
      <c r="AI318" s="83">
        <f t="shared" si="285"/>
        <v>0</v>
      </c>
      <c r="AJ318" s="718">
        <f t="shared" si="286"/>
        <v>0</v>
      </c>
      <c r="AL318">
        <f t="shared" si="287"/>
        <v>0</v>
      </c>
      <c r="AM318">
        <f t="shared" si="288"/>
        <v>0</v>
      </c>
    </row>
    <row r="319" spans="1:39" ht="15.75" x14ac:dyDescent="0.25">
      <c r="A319" s="561"/>
      <c r="B319" s="561"/>
      <c r="C319" s="561"/>
      <c r="D319" s="672"/>
      <c r="E319" s="209"/>
      <c r="F319" s="209"/>
      <c r="G319" s="209"/>
      <c r="H319" s="176">
        <f t="shared" si="266"/>
        <v>0</v>
      </c>
      <c r="I319" s="209"/>
      <c r="J319" s="209"/>
      <c r="K319" s="176">
        <f t="shared" si="267"/>
        <v>0</v>
      </c>
      <c r="L319" s="209"/>
      <c r="M319" s="177">
        <f t="shared" si="268"/>
        <v>0</v>
      </c>
      <c r="N319" s="1012"/>
      <c r="O319" s="1012"/>
      <c r="P319" s="485"/>
      <c r="Q319" s="778"/>
      <c r="R319" s="778"/>
      <c r="S319" s="785" t="str">
        <f t="shared" si="271"/>
        <v/>
      </c>
      <c r="T319" s="548" t="str">
        <f t="shared" si="269"/>
        <v>Sheet Metal Takeoff</v>
      </c>
      <c r="U319" s="83">
        <f t="shared" si="272"/>
        <v>0</v>
      </c>
      <c r="V319" s="83">
        <f t="shared" si="273"/>
        <v>0</v>
      </c>
      <c r="W319" s="83">
        <f t="shared" si="274"/>
        <v>0</v>
      </c>
      <c r="X319" s="781">
        <f t="shared" si="275"/>
        <v>0</v>
      </c>
      <c r="Y319" s="781">
        <f t="shared" si="276"/>
        <v>0</v>
      </c>
      <c r="Z319" s="781">
        <f t="shared" si="277"/>
        <v>0</v>
      </c>
      <c r="AA319" s="83">
        <f t="shared" si="270"/>
        <v>0</v>
      </c>
      <c r="AB319" s="83">
        <f t="shared" si="278"/>
        <v>0</v>
      </c>
      <c r="AC319" s="83">
        <f t="shared" si="279"/>
        <v>0</v>
      </c>
      <c r="AD319" s="83">
        <f t="shared" si="280"/>
        <v>0</v>
      </c>
      <c r="AE319" s="83">
        <f t="shared" si="281"/>
        <v>0</v>
      </c>
      <c r="AF319" s="83">
        <f t="shared" si="282"/>
        <v>0</v>
      </c>
      <c r="AG319" s="83">
        <f t="shared" si="283"/>
        <v>0</v>
      </c>
      <c r="AH319" s="83">
        <f t="shared" si="284"/>
        <v>0</v>
      </c>
      <c r="AI319" s="83">
        <f t="shared" si="285"/>
        <v>0</v>
      </c>
      <c r="AJ319" s="718">
        <f t="shared" si="286"/>
        <v>0</v>
      </c>
      <c r="AL319">
        <f t="shared" si="287"/>
        <v>0</v>
      </c>
      <c r="AM319">
        <f t="shared" si="288"/>
        <v>0</v>
      </c>
    </row>
    <row r="320" spans="1:39" ht="15.75" x14ac:dyDescent="0.25">
      <c r="A320" s="561"/>
      <c r="B320" s="561"/>
      <c r="C320" s="561"/>
      <c r="D320" s="672"/>
      <c r="E320" s="209"/>
      <c r="F320" s="209"/>
      <c r="G320" s="209"/>
      <c r="H320" s="176">
        <f t="shared" si="266"/>
        <v>0</v>
      </c>
      <c r="I320" s="209"/>
      <c r="J320" s="209"/>
      <c r="K320" s="176">
        <f t="shared" si="267"/>
        <v>0</v>
      </c>
      <c r="L320" s="209"/>
      <c r="M320" s="177">
        <f t="shared" si="268"/>
        <v>0</v>
      </c>
      <c r="N320" s="1012"/>
      <c r="O320" s="1012"/>
      <c r="P320" s="485"/>
      <c r="Q320" s="778"/>
      <c r="R320" s="778"/>
      <c r="S320" s="785" t="str">
        <f t="shared" si="271"/>
        <v/>
      </c>
      <c r="T320" s="548" t="str">
        <f t="shared" si="269"/>
        <v>Sheet Metal Takeoff</v>
      </c>
      <c r="U320" s="83">
        <f t="shared" si="272"/>
        <v>0</v>
      </c>
      <c r="V320" s="83">
        <f t="shared" si="273"/>
        <v>0</v>
      </c>
      <c r="W320" s="83">
        <f t="shared" si="274"/>
        <v>0</v>
      </c>
      <c r="X320" s="781">
        <f t="shared" si="275"/>
        <v>0</v>
      </c>
      <c r="Y320" s="781">
        <f t="shared" si="276"/>
        <v>0</v>
      </c>
      <c r="Z320" s="781">
        <f t="shared" si="277"/>
        <v>0</v>
      </c>
      <c r="AA320" s="83">
        <f t="shared" si="270"/>
        <v>0</v>
      </c>
      <c r="AB320" s="83">
        <f t="shared" si="278"/>
        <v>0</v>
      </c>
      <c r="AC320" s="83">
        <f t="shared" si="279"/>
        <v>0</v>
      </c>
      <c r="AD320" s="83">
        <f t="shared" si="280"/>
        <v>0</v>
      </c>
      <c r="AE320" s="83">
        <f t="shared" si="281"/>
        <v>0</v>
      </c>
      <c r="AF320" s="83">
        <f t="shared" si="282"/>
        <v>0</v>
      </c>
      <c r="AG320" s="83">
        <f t="shared" si="283"/>
        <v>0</v>
      </c>
      <c r="AH320" s="83">
        <f t="shared" si="284"/>
        <v>0</v>
      </c>
      <c r="AI320" s="83">
        <f t="shared" si="285"/>
        <v>0</v>
      </c>
      <c r="AJ320" s="718">
        <f t="shared" si="286"/>
        <v>0</v>
      </c>
      <c r="AL320">
        <f t="shared" si="287"/>
        <v>0</v>
      </c>
      <c r="AM320">
        <f t="shared" si="288"/>
        <v>0</v>
      </c>
    </row>
    <row r="321" spans="1:39" ht="15.75" x14ac:dyDescent="0.25">
      <c r="A321" s="561"/>
      <c r="B321" s="561"/>
      <c r="C321" s="561"/>
      <c r="D321" s="672"/>
      <c r="E321" s="209"/>
      <c r="F321" s="209"/>
      <c r="G321" s="209"/>
      <c r="H321" s="176">
        <f t="shared" si="266"/>
        <v>0</v>
      </c>
      <c r="I321" s="209"/>
      <c r="J321" s="209"/>
      <c r="K321" s="176">
        <f t="shared" si="267"/>
        <v>0</v>
      </c>
      <c r="L321" s="209"/>
      <c r="M321" s="177">
        <f t="shared" si="268"/>
        <v>0</v>
      </c>
      <c r="N321" s="1012"/>
      <c r="O321" s="1012"/>
      <c r="P321" s="485"/>
      <c r="Q321" s="778"/>
      <c r="R321" s="778"/>
      <c r="S321" s="785" t="str">
        <f t="shared" si="271"/>
        <v/>
      </c>
      <c r="T321" s="548" t="str">
        <f t="shared" si="269"/>
        <v>Sheet Metal Takeoff</v>
      </c>
      <c r="U321" s="83">
        <f t="shared" si="272"/>
        <v>0</v>
      </c>
      <c r="V321" s="83">
        <f t="shared" si="273"/>
        <v>0</v>
      </c>
      <c r="W321" s="83">
        <f t="shared" si="274"/>
        <v>0</v>
      </c>
      <c r="X321" s="781">
        <f t="shared" si="275"/>
        <v>0</v>
      </c>
      <c r="Y321" s="781">
        <f t="shared" si="276"/>
        <v>0</v>
      </c>
      <c r="Z321" s="781">
        <f t="shared" si="277"/>
        <v>0</v>
      </c>
      <c r="AA321" s="83">
        <f t="shared" si="270"/>
        <v>0</v>
      </c>
      <c r="AB321" s="83">
        <f t="shared" si="278"/>
        <v>0</v>
      </c>
      <c r="AC321" s="83">
        <f t="shared" si="279"/>
        <v>0</v>
      </c>
      <c r="AD321" s="83">
        <f t="shared" si="280"/>
        <v>0</v>
      </c>
      <c r="AE321" s="83">
        <f t="shared" si="281"/>
        <v>0</v>
      </c>
      <c r="AF321" s="83">
        <f t="shared" si="282"/>
        <v>0</v>
      </c>
      <c r="AG321" s="83">
        <f t="shared" si="283"/>
        <v>0</v>
      </c>
      <c r="AH321" s="83">
        <f t="shared" si="284"/>
        <v>0</v>
      </c>
      <c r="AI321" s="83">
        <f t="shared" si="285"/>
        <v>0</v>
      </c>
      <c r="AJ321" s="718">
        <f t="shared" si="286"/>
        <v>0</v>
      </c>
      <c r="AL321">
        <f t="shared" si="287"/>
        <v>0</v>
      </c>
      <c r="AM321">
        <f t="shared" si="288"/>
        <v>0</v>
      </c>
    </row>
    <row r="322" spans="1:39" ht="15.75" x14ac:dyDescent="0.25">
      <c r="A322" s="561"/>
      <c r="B322" s="561"/>
      <c r="C322" s="561"/>
      <c r="D322" s="672"/>
      <c r="E322" s="209"/>
      <c r="F322" s="209"/>
      <c r="G322" s="209"/>
      <c r="H322" s="176">
        <f t="shared" si="266"/>
        <v>0</v>
      </c>
      <c r="I322" s="209"/>
      <c r="J322" s="209"/>
      <c r="K322" s="176">
        <f t="shared" si="267"/>
        <v>0</v>
      </c>
      <c r="L322" s="209"/>
      <c r="M322" s="177">
        <f t="shared" si="268"/>
        <v>0</v>
      </c>
      <c r="N322" s="1012"/>
      <c r="O322" s="1012"/>
      <c r="P322" s="485"/>
      <c r="Q322" s="778"/>
      <c r="R322" s="778"/>
      <c r="S322" s="785" t="str">
        <f t="shared" si="271"/>
        <v/>
      </c>
      <c r="T322" s="548" t="str">
        <f t="shared" si="269"/>
        <v>Sheet Metal Takeoff</v>
      </c>
      <c r="U322" s="83">
        <f t="shared" si="272"/>
        <v>0</v>
      </c>
      <c r="V322" s="83">
        <f t="shared" si="273"/>
        <v>0</v>
      </c>
      <c r="W322" s="83">
        <f t="shared" si="274"/>
        <v>0</v>
      </c>
      <c r="X322" s="781">
        <f t="shared" si="275"/>
        <v>0</v>
      </c>
      <c r="Y322" s="781">
        <f t="shared" si="276"/>
        <v>0</v>
      </c>
      <c r="Z322" s="781">
        <f t="shared" si="277"/>
        <v>0</v>
      </c>
      <c r="AA322" s="83">
        <f t="shared" si="270"/>
        <v>0</v>
      </c>
      <c r="AB322" s="83">
        <f t="shared" si="278"/>
        <v>0</v>
      </c>
      <c r="AC322" s="83">
        <f t="shared" si="279"/>
        <v>0</v>
      </c>
      <c r="AD322" s="83">
        <f t="shared" si="280"/>
        <v>0</v>
      </c>
      <c r="AE322" s="83">
        <f t="shared" si="281"/>
        <v>0</v>
      </c>
      <c r="AF322" s="83">
        <f t="shared" si="282"/>
        <v>0</v>
      </c>
      <c r="AG322" s="83">
        <f t="shared" si="283"/>
        <v>0</v>
      </c>
      <c r="AH322" s="83">
        <f t="shared" si="284"/>
        <v>0</v>
      </c>
      <c r="AI322" s="83">
        <f t="shared" si="285"/>
        <v>0</v>
      </c>
      <c r="AJ322" s="718">
        <f t="shared" si="286"/>
        <v>0</v>
      </c>
      <c r="AL322">
        <f t="shared" si="287"/>
        <v>0</v>
      </c>
      <c r="AM322">
        <f t="shared" si="288"/>
        <v>0</v>
      </c>
    </row>
    <row r="323" spans="1:39" ht="15.75" hidden="1" customHeight="1" x14ac:dyDescent="0.25">
      <c r="A323" s="561"/>
      <c r="B323" s="561"/>
      <c r="C323" s="561"/>
      <c r="D323" s="672"/>
      <c r="E323" s="209"/>
      <c r="F323" s="209"/>
      <c r="G323" s="209"/>
      <c r="H323" s="176">
        <f t="shared" si="266"/>
        <v>0</v>
      </c>
      <c r="I323" s="209"/>
      <c r="J323" s="209"/>
      <c r="K323" s="176">
        <f t="shared" si="267"/>
        <v>0</v>
      </c>
      <c r="L323" s="209"/>
      <c r="M323" s="177">
        <f t="shared" si="268"/>
        <v>0</v>
      </c>
      <c r="N323" s="1012"/>
      <c r="O323" s="1012"/>
      <c r="P323" s="485"/>
      <c r="Q323" s="778"/>
      <c r="R323" s="778"/>
      <c r="S323" s="785" t="str">
        <f t="shared" si="271"/>
        <v/>
      </c>
      <c r="T323" s="548" t="str">
        <f t="shared" si="269"/>
        <v>Sheet Metal Takeoff</v>
      </c>
      <c r="U323" s="83">
        <f>ROUND(IF($T323="Plumb Takeoff",$H323*U$3,IF($T323="Pipe Takeoff",$H323*U$4,$H323*U$2)),2)</f>
        <v>0</v>
      </c>
      <c r="V323" s="83">
        <f t="shared" si="273"/>
        <v>0</v>
      </c>
      <c r="W323" s="83">
        <f t="shared" si="274"/>
        <v>0</v>
      </c>
      <c r="X323" s="781">
        <f t="shared" si="275"/>
        <v>0</v>
      </c>
      <c r="Y323" s="781">
        <f t="shared" si="276"/>
        <v>0</v>
      </c>
      <c r="Z323" s="781">
        <f t="shared" si="277"/>
        <v>0</v>
      </c>
      <c r="AA323" s="83">
        <f t="shared" si="270"/>
        <v>0</v>
      </c>
      <c r="AB323" s="83">
        <f t="shared" si="278"/>
        <v>0</v>
      </c>
      <c r="AC323" s="83">
        <f t="shared" si="279"/>
        <v>0</v>
      </c>
      <c r="AD323" s="83">
        <f t="shared" si="280"/>
        <v>0</v>
      </c>
      <c r="AE323" s="83">
        <f t="shared" si="281"/>
        <v>0</v>
      </c>
      <c r="AF323" s="83">
        <f t="shared" si="282"/>
        <v>0</v>
      </c>
      <c r="AG323" s="83">
        <f t="shared" si="283"/>
        <v>0</v>
      </c>
      <c r="AH323" s="83">
        <f t="shared" si="284"/>
        <v>0</v>
      </c>
      <c r="AI323" s="83">
        <f t="shared" si="285"/>
        <v>0</v>
      </c>
      <c r="AJ323" s="718">
        <f t="shared" si="286"/>
        <v>0</v>
      </c>
      <c r="AL323">
        <f t="shared" si="287"/>
        <v>0</v>
      </c>
      <c r="AM323">
        <f t="shared" si="288"/>
        <v>0</v>
      </c>
    </row>
    <row r="324" spans="1:39" ht="15.75" x14ac:dyDescent="0.25">
      <c r="A324" s="551"/>
      <c r="B324" s="551"/>
      <c r="C324" s="551"/>
      <c r="D324" s="673"/>
      <c r="E324" s="552"/>
      <c r="F324" s="553"/>
      <c r="G324" s="553"/>
      <c r="H324" s="181">
        <f>SUM(H298:H323)</f>
        <v>0</v>
      </c>
      <c r="I324" s="182"/>
      <c r="J324" s="182"/>
      <c r="K324" s="181">
        <f>SUM(K298:K323)</f>
        <v>0</v>
      </c>
      <c r="L324" s="182"/>
      <c r="M324" s="177">
        <f>SUM(M298:M323)</f>
        <v>0</v>
      </c>
      <c r="O324" s="486"/>
      <c r="AJ324" s="718"/>
    </row>
    <row r="325" spans="1:39" ht="15.75" thickBot="1" x14ac:dyDescent="0.3">
      <c r="AJ325" s="718"/>
    </row>
    <row r="326" spans="1:39" ht="16.5" thickBot="1" x14ac:dyDescent="0.3">
      <c r="E326" s="678" t="s">
        <v>1122</v>
      </c>
      <c r="F326" s="1017" t="s">
        <v>1630</v>
      </c>
      <c r="G326" s="1018"/>
      <c r="H326" s="344"/>
      <c r="I326" s="1019" t="s">
        <v>1628</v>
      </c>
      <c r="J326" s="1020"/>
      <c r="K326" s="679" t="b">
        <v>0</v>
      </c>
      <c r="AJ326" s="718"/>
    </row>
    <row r="327" spans="1:39" ht="38.25" thickBot="1" x14ac:dyDescent="0.35">
      <c r="A327" s="477" t="s">
        <v>1063</v>
      </c>
      <c r="B327" s="477" t="s">
        <v>348</v>
      </c>
      <c r="C327" s="477" t="s">
        <v>349</v>
      </c>
      <c r="D327" s="666" t="s">
        <v>0</v>
      </c>
      <c r="E327" s="477" t="s">
        <v>1</v>
      </c>
      <c r="F327" s="480" t="s">
        <v>2</v>
      </c>
      <c r="G327" s="480" t="s">
        <v>1123</v>
      </c>
      <c r="H327" s="480" t="s">
        <v>3</v>
      </c>
      <c r="I327" s="483" t="s">
        <v>4</v>
      </c>
      <c r="J327" s="480" t="s">
        <v>1124</v>
      </c>
      <c r="K327" s="680" t="s">
        <v>5</v>
      </c>
      <c r="L327" s="480" t="s">
        <v>6</v>
      </c>
      <c r="M327" s="484" t="s">
        <v>7</v>
      </c>
      <c r="N327" s="1013" t="s">
        <v>1079</v>
      </c>
      <c r="O327" s="1014"/>
      <c r="P327" s="1009" t="s">
        <v>1629</v>
      </c>
      <c r="Q327" s="1009" t="s">
        <v>1147</v>
      </c>
      <c r="R327" s="1009" t="s">
        <v>1792</v>
      </c>
      <c r="T327" s="2"/>
      <c r="AJ327" s="718"/>
    </row>
    <row r="328" spans="1:39" ht="16.5" thickBot="1" x14ac:dyDescent="0.3">
      <c r="A328" s="183"/>
      <c r="B328" s="183"/>
      <c r="C328" s="183"/>
      <c r="D328" s="671"/>
      <c r="E328" s="183"/>
      <c r="F328" s="183"/>
      <c r="G328" s="183"/>
      <c r="H328" s="183"/>
      <c r="I328" s="183"/>
      <c r="J328" s="183"/>
      <c r="K328" s="183"/>
      <c r="L328" s="183"/>
      <c r="M328" s="183"/>
      <c r="N328" s="1015"/>
      <c r="O328" s="1016"/>
      <c r="P328" s="1010" t="s">
        <v>1362</v>
      </c>
      <c r="Q328" s="1010"/>
      <c r="R328" s="1010"/>
      <c r="T328" s="1"/>
      <c r="AJ328" s="718"/>
    </row>
    <row r="329" spans="1:39" ht="15.75" x14ac:dyDescent="0.25">
      <c r="A329" s="561"/>
      <c r="B329" s="561"/>
      <c r="C329" s="561"/>
      <c r="D329" s="672"/>
      <c r="E329" s="209"/>
      <c r="F329" s="209"/>
      <c r="G329" s="209"/>
      <c r="H329" s="176">
        <f t="shared" ref="H329:H354" si="289">IF(SM_ExludeGroup10=TRUE,0,IF(G329="",E329*F329*IF(AND(S329="LOP",R329="SWING"),1+CrewRate_PlumbFitter_SwingLOP,1)*IF(AND(S329="LOP",R329="GRAVE"),1+CrewRate_PlumbFitter_GraveLOP,1)*IF(AND(S329="LOP",R329="SPECIAL"),1+CrewRate_PlumbFitter_SwingLOP,1),E329*F329*G329*IF(AND(S329="LOP",R329="SWING"),1+CrewRate_PlumbFitter_SwingLOP,1)*IF(AND(S329="LOP",R329="GRAVE"),1+CrewRate_PlumbFitter_GraveLOP,1)*IF(AND(S329="LOP",R329="SPECIAL"),1+CrewRate_PlumbFitter_SwingLOP,1)))</f>
        <v>0</v>
      </c>
      <c r="I329" s="209"/>
      <c r="J329" s="209"/>
      <c r="K329" s="176">
        <f t="shared" ref="K329:K354" si="290">IF(SM_ExludeGroup10=TRUE,0,IF(J329="",E329*I329,E329*I329*J329))</f>
        <v>0</v>
      </c>
      <c r="L329" s="209"/>
      <c r="M329" s="177">
        <f t="shared" ref="M329:M354" si="291">IF(SM_ExludeGroup10=TRUE,0,E329*L329)</f>
        <v>0</v>
      </c>
      <c r="N329" s="1012"/>
      <c r="O329" s="1012"/>
      <c r="P329" s="485"/>
      <c r="Q329" s="778"/>
      <c r="R329" s="778"/>
      <c r="S329" s="785" t="str">
        <f>IF(T329="Sheet Metal Takeoff","",IF(R329="","","LOP"))</f>
        <v/>
      </c>
      <c r="T329" s="548" t="str">
        <f t="shared" ref="T329:T354" si="292">IF($F$326="","Sheet Metal Takeoff",$F$326)</f>
        <v>Sheet Metal Takeoff</v>
      </c>
      <c r="U329" s="83">
        <f>ROUND(IF($T329="Plumb Takeoff",$H329*U$3,IF($T329="Pipe Takeoff",$H329*U$4,$H329*U$2)),2)</f>
        <v>0</v>
      </c>
      <c r="V329" s="83">
        <f>ROUND(IF($T329="Plumb Takeoff",IF($Q329="OT",$H329*V$3,0),IF($T329="Pipe Takeoff",IF($Q329="OT",$H329*V$4,0),IF($Q329="OT",$H329*V$2,0))),2)</f>
        <v>0</v>
      </c>
      <c r="W329" s="83">
        <f>ROUND(IF($T329="Plumb Takeoff",IF($Q329="DBLT",$H329*W$3,0),IF($T329="Pipe Takeoff",IF($Q329="DBLT",$H329*W$4,0),IF($Q329="DBLT",$H329*W$2,0))),2)</f>
        <v>0</v>
      </c>
      <c r="X329" s="781">
        <f>ROUND(SUM(IF($T329="Plumb Takeoff",IF($R329="SWING",ROUND(SUM($H329)*X$3,2))),IF($T329="Pipe Takeoff",IF($R329="SWING",ROUND(SUM($H329)*X$4,2))),IF($T329="Sheet Metal Takeoff",IF($R329="SWING",ROUND(SUM($H329)*X$2,2)))),2)</f>
        <v>0</v>
      </c>
      <c r="Y329" s="781">
        <f>ROUND(SUM(IF($T329="Plumb Takeoff",IF($R329="GRAVE",ROUND(SUM($H329)*Y$3,2))),IF($T329="Pipe Takeoff",IF($R329="GRAVE",ROUND(SUM($H329)*Y$4,2))),IF($T329="Sheet Metal Takeoff",IF($R329="GRAVE",ROUND(SUM($H329)*Y$2,2)))),2)</f>
        <v>0</v>
      </c>
      <c r="Z329" s="781">
        <f>ROUND(SUM(IF($T329="Plumb Takeoff",IF($R329="SPECIAL",ROUND(SUM($H329)*Z$3,2))),IF($T329="Pipe Takeoff",IF($R329="SPECIAL",ROUND(SUM($H329)*Z$4,2))),IF($T329="Sheet Metal Takeoff",IF($R329="SPECIAL",ROUND(SUM($H329)*Z$2,2)))),2)</f>
        <v>0</v>
      </c>
      <c r="AA329" s="83">
        <f t="shared" ref="AA329:AA354" si="293">ROUND($K329*AA$2,2)</f>
        <v>0</v>
      </c>
      <c r="AB329" s="83">
        <f>ROUND(IF($Q329="OT",$K329*AB$2,0),2)</f>
        <v>0</v>
      </c>
      <c r="AC329" s="83">
        <f>ROUND(IF($Q329="DBLT",$K329*AC$2,0),2)</f>
        <v>0</v>
      </c>
      <c r="AD329" s="83">
        <f>ROUND(IF($R329="SWING",$K329*AD$2,0),2)</f>
        <v>0</v>
      </c>
      <c r="AE329" s="83">
        <f>ROUND(IF($R329="GRAVE",$K329*AE$2,0),2)</f>
        <v>0</v>
      </c>
      <c r="AF329" s="83">
        <f>ROUND(IF($R329="SPECIAL",$K329*AF$2,0),2)</f>
        <v>0</v>
      </c>
      <c r="AG329" s="83">
        <f>SUM(U329:Z329)</f>
        <v>0</v>
      </c>
      <c r="AH329" s="83">
        <f>SUM(AA329:AF329)</f>
        <v>0</v>
      </c>
      <c r="AI329" s="83">
        <f>SUM(U329:AF329)</f>
        <v>0</v>
      </c>
      <c r="AJ329" s="718">
        <f>SUM(M329,AI329)</f>
        <v>0</v>
      </c>
      <c r="AL329">
        <f>SUM(V329:Z329)</f>
        <v>0</v>
      </c>
      <c r="AM329">
        <f>SUM(AB329:AF329)</f>
        <v>0</v>
      </c>
    </row>
    <row r="330" spans="1:39" ht="15.75" x14ac:dyDescent="0.25">
      <c r="A330" s="561"/>
      <c r="B330" s="561"/>
      <c r="C330" s="561"/>
      <c r="D330" s="672"/>
      <c r="E330" s="209"/>
      <c r="F330" s="209"/>
      <c r="G330" s="209"/>
      <c r="H330" s="176">
        <f t="shared" si="289"/>
        <v>0</v>
      </c>
      <c r="I330" s="209"/>
      <c r="J330" s="209"/>
      <c r="K330" s="176">
        <f t="shared" si="290"/>
        <v>0</v>
      </c>
      <c r="L330" s="209"/>
      <c r="M330" s="177">
        <f t="shared" si="291"/>
        <v>0</v>
      </c>
      <c r="N330" s="1012"/>
      <c r="O330" s="1012"/>
      <c r="P330" s="485"/>
      <c r="Q330" s="778"/>
      <c r="R330" s="778"/>
      <c r="S330" s="785" t="str">
        <f t="shared" ref="S330:S354" si="294">IF(T330="Sheet Metal Takeoff","",IF(R330="","","LOP"))</f>
        <v/>
      </c>
      <c r="T330" s="548" t="str">
        <f t="shared" si="292"/>
        <v>Sheet Metal Takeoff</v>
      </c>
      <c r="U330" s="83">
        <f t="shared" ref="U330:U353" si="295">ROUND(IF($T330="Plumb Takeoff",$H330*U$3,IF($T330="Pipe Takeoff",$H330*U$4,$H330*U$2)),2)</f>
        <v>0</v>
      </c>
      <c r="V330" s="83">
        <f t="shared" ref="V330:V354" si="296">ROUND(IF($T330="Plumb Takeoff",IF($Q330="OT",$H330*V$3,0),IF($T330="Pipe Takeoff",IF($Q330="OT",$H330*V$4,0),IF($Q330="OT",$H330*V$2,0))),2)</f>
        <v>0</v>
      </c>
      <c r="W330" s="83">
        <f t="shared" ref="W330:W354" si="297">ROUND(IF($T330="Plumb Takeoff",IF($Q330="DBLT",$H330*W$3,0),IF($T330="Pipe Takeoff",IF($Q330="DBLT",$H330*W$4,0),IF($Q330="DBLT",$H330*W$2,0))),2)</f>
        <v>0</v>
      </c>
      <c r="X330" s="781">
        <f t="shared" ref="X330:X354" si="298">ROUND(SUM(IF($T330="Plumb Takeoff",IF($R330="SWING",ROUND(SUM($H330)*X$3,2))),IF($T330="Pipe Takeoff",IF($R330="SWING",ROUND(SUM($H330)*X$4,2))),IF($T330="Sheet Metal Takeoff",IF($R330="SWING",ROUND(SUM($H330)*X$2,2)))),2)</f>
        <v>0</v>
      </c>
      <c r="Y330" s="781">
        <f t="shared" ref="Y330:Y354" si="299">ROUND(SUM(IF($T330="Plumb Takeoff",IF($R330="GRAVE",ROUND(SUM($H330)*Y$3,2))),IF($T330="Pipe Takeoff",IF($R330="GRAVE",ROUND(SUM($H330)*Y$4,2))),IF($T330="Sheet Metal Takeoff",IF($R330="GRAVE",ROUND(SUM($H330)*Y$2,2)))),2)</f>
        <v>0</v>
      </c>
      <c r="Z330" s="781">
        <f t="shared" ref="Z330:Z354" si="300">ROUND(SUM(IF($T330="Plumb Takeoff",IF($R330="SPECIAL",ROUND(SUM($H330)*Z$3,2))),IF($T330="Pipe Takeoff",IF($R330="SPECIAL",ROUND(SUM($H330)*Z$4,2))),IF($T330="Sheet Metal Takeoff",IF($R330="SPECIAL",ROUND(SUM($H330)*Z$2,2)))),2)</f>
        <v>0</v>
      </c>
      <c r="AA330" s="83">
        <f t="shared" si="293"/>
        <v>0</v>
      </c>
      <c r="AB330" s="83">
        <f t="shared" ref="AB330:AB354" si="301">ROUND(IF($Q330="OT",$K330*AB$2,0),2)</f>
        <v>0</v>
      </c>
      <c r="AC330" s="83">
        <f t="shared" ref="AC330:AC354" si="302">ROUND(IF($Q330="DBLT",$K330*AC$2,0),2)</f>
        <v>0</v>
      </c>
      <c r="AD330" s="83">
        <f t="shared" ref="AD330:AD354" si="303">ROUND(IF($R330="SWING",$K330*AD$2,0),2)</f>
        <v>0</v>
      </c>
      <c r="AE330" s="83">
        <f t="shared" ref="AE330:AE354" si="304">ROUND(IF($R330="GRAVE",$K330*AE$2,0),2)</f>
        <v>0</v>
      </c>
      <c r="AF330" s="83">
        <f t="shared" ref="AF330:AF354" si="305">ROUND(IF($R330="SPECIAL",$K330*AF$2,0),2)</f>
        <v>0</v>
      </c>
      <c r="AG330" s="83">
        <f t="shared" ref="AG330:AG354" si="306">SUM(U330:Z330)</f>
        <v>0</v>
      </c>
      <c r="AH330" s="83">
        <f t="shared" ref="AH330:AH354" si="307">SUM(AA330:AF330)</f>
        <v>0</v>
      </c>
      <c r="AI330" s="83">
        <f t="shared" ref="AI330:AI354" si="308">SUM(U330:AF330)</f>
        <v>0</v>
      </c>
      <c r="AJ330" s="718">
        <f t="shared" ref="AJ330:AJ354" si="309">SUM(M330,AI330)</f>
        <v>0</v>
      </c>
      <c r="AL330">
        <f t="shared" ref="AL330:AL354" si="310">SUM(V330:Z330)</f>
        <v>0</v>
      </c>
      <c r="AM330">
        <f t="shared" ref="AM330:AM354" si="311">SUM(AB330:AF330)</f>
        <v>0</v>
      </c>
    </row>
    <row r="331" spans="1:39" ht="15.75" x14ac:dyDescent="0.25">
      <c r="A331" s="561"/>
      <c r="B331" s="561"/>
      <c r="C331" s="561"/>
      <c r="D331" s="672"/>
      <c r="E331" s="209"/>
      <c r="F331" s="209"/>
      <c r="G331" s="209"/>
      <c r="H331" s="176">
        <f t="shared" si="289"/>
        <v>0</v>
      </c>
      <c r="I331" s="209"/>
      <c r="J331" s="209"/>
      <c r="K331" s="176">
        <f t="shared" si="290"/>
        <v>0</v>
      </c>
      <c r="L331" s="209"/>
      <c r="M331" s="177">
        <f t="shared" si="291"/>
        <v>0</v>
      </c>
      <c r="N331" s="1012"/>
      <c r="O331" s="1012"/>
      <c r="P331" s="485"/>
      <c r="Q331" s="778"/>
      <c r="R331" s="778"/>
      <c r="S331" s="785" t="str">
        <f t="shared" si="294"/>
        <v/>
      </c>
      <c r="T331" s="548" t="str">
        <f t="shared" si="292"/>
        <v>Sheet Metal Takeoff</v>
      </c>
      <c r="U331" s="83">
        <f t="shared" si="295"/>
        <v>0</v>
      </c>
      <c r="V331" s="83">
        <f t="shared" si="296"/>
        <v>0</v>
      </c>
      <c r="W331" s="83">
        <f t="shared" si="297"/>
        <v>0</v>
      </c>
      <c r="X331" s="781">
        <f t="shared" si="298"/>
        <v>0</v>
      </c>
      <c r="Y331" s="781">
        <f t="shared" si="299"/>
        <v>0</v>
      </c>
      <c r="Z331" s="781">
        <f t="shared" si="300"/>
        <v>0</v>
      </c>
      <c r="AA331" s="83">
        <f t="shared" si="293"/>
        <v>0</v>
      </c>
      <c r="AB331" s="83">
        <f t="shared" si="301"/>
        <v>0</v>
      </c>
      <c r="AC331" s="83">
        <f t="shared" si="302"/>
        <v>0</v>
      </c>
      <c r="AD331" s="83">
        <f t="shared" si="303"/>
        <v>0</v>
      </c>
      <c r="AE331" s="83">
        <f t="shared" si="304"/>
        <v>0</v>
      </c>
      <c r="AF331" s="83">
        <f t="shared" si="305"/>
        <v>0</v>
      </c>
      <c r="AG331" s="83">
        <f t="shared" si="306"/>
        <v>0</v>
      </c>
      <c r="AH331" s="83">
        <f t="shared" si="307"/>
        <v>0</v>
      </c>
      <c r="AI331" s="83">
        <f t="shared" si="308"/>
        <v>0</v>
      </c>
      <c r="AJ331" s="718">
        <f t="shared" si="309"/>
        <v>0</v>
      </c>
      <c r="AL331">
        <f t="shared" si="310"/>
        <v>0</v>
      </c>
      <c r="AM331">
        <f t="shared" si="311"/>
        <v>0</v>
      </c>
    </row>
    <row r="332" spans="1:39" ht="15.75" x14ac:dyDescent="0.25">
      <c r="A332" s="561"/>
      <c r="B332" s="561"/>
      <c r="C332" s="561"/>
      <c r="D332" s="672"/>
      <c r="E332" s="209"/>
      <c r="F332" s="209"/>
      <c r="G332" s="209"/>
      <c r="H332" s="176">
        <f t="shared" si="289"/>
        <v>0</v>
      </c>
      <c r="I332" s="209"/>
      <c r="J332" s="209"/>
      <c r="K332" s="176">
        <f t="shared" si="290"/>
        <v>0</v>
      </c>
      <c r="L332" s="209"/>
      <c r="M332" s="177">
        <f t="shared" si="291"/>
        <v>0</v>
      </c>
      <c r="N332" s="1012"/>
      <c r="O332" s="1012"/>
      <c r="P332" s="485"/>
      <c r="Q332" s="778"/>
      <c r="R332" s="778"/>
      <c r="S332" s="785" t="str">
        <f t="shared" si="294"/>
        <v/>
      </c>
      <c r="T332" s="548" t="str">
        <f t="shared" si="292"/>
        <v>Sheet Metal Takeoff</v>
      </c>
      <c r="U332" s="83">
        <f t="shared" si="295"/>
        <v>0</v>
      </c>
      <c r="V332" s="83">
        <f t="shared" si="296"/>
        <v>0</v>
      </c>
      <c r="W332" s="83">
        <f t="shared" si="297"/>
        <v>0</v>
      </c>
      <c r="X332" s="781">
        <f t="shared" si="298"/>
        <v>0</v>
      </c>
      <c r="Y332" s="781">
        <f t="shared" si="299"/>
        <v>0</v>
      </c>
      <c r="Z332" s="781">
        <f t="shared" si="300"/>
        <v>0</v>
      </c>
      <c r="AA332" s="83">
        <f t="shared" si="293"/>
        <v>0</v>
      </c>
      <c r="AB332" s="83">
        <f t="shared" si="301"/>
        <v>0</v>
      </c>
      <c r="AC332" s="83">
        <f t="shared" si="302"/>
        <v>0</v>
      </c>
      <c r="AD332" s="83">
        <f t="shared" si="303"/>
        <v>0</v>
      </c>
      <c r="AE332" s="83">
        <f t="shared" si="304"/>
        <v>0</v>
      </c>
      <c r="AF332" s="83">
        <f t="shared" si="305"/>
        <v>0</v>
      </c>
      <c r="AG332" s="83">
        <f t="shared" si="306"/>
        <v>0</v>
      </c>
      <c r="AH332" s="83">
        <f t="shared" si="307"/>
        <v>0</v>
      </c>
      <c r="AI332" s="83">
        <f t="shared" si="308"/>
        <v>0</v>
      </c>
      <c r="AJ332" s="718">
        <f t="shared" si="309"/>
        <v>0</v>
      </c>
      <c r="AL332">
        <f t="shared" si="310"/>
        <v>0</v>
      </c>
      <c r="AM332">
        <f t="shared" si="311"/>
        <v>0</v>
      </c>
    </row>
    <row r="333" spans="1:39" ht="15.75" x14ac:dyDescent="0.25">
      <c r="A333" s="561"/>
      <c r="B333" s="561"/>
      <c r="C333" s="561"/>
      <c r="D333" s="672"/>
      <c r="E333" s="209"/>
      <c r="F333" s="209"/>
      <c r="G333" s="209"/>
      <c r="H333" s="176">
        <f t="shared" si="289"/>
        <v>0</v>
      </c>
      <c r="I333" s="209"/>
      <c r="J333" s="209"/>
      <c r="K333" s="176">
        <f t="shared" si="290"/>
        <v>0</v>
      </c>
      <c r="L333" s="209"/>
      <c r="M333" s="177">
        <f t="shared" si="291"/>
        <v>0</v>
      </c>
      <c r="N333" s="1012"/>
      <c r="O333" s="1012"/>
      <c r="P333" s="485"/>
      <c r="Q333" s="778"/>
      <c r="R333" s="778"/>
      <c r="S333" s="785" t="str">
        <f t="shared" si="294"/>
        <v/>
      </c>
      <c r="T333" s="548" t="str">
        <f t="shared" si="292"/>
        <v>Sheet Metal Takeoff</v>
      </c>
      <c r="U333" s="83">
        <f t="shared" si="295"/>
        <v>0</v>
      </c>
      <c r="V333" s="83">
        <f t="shared" si="296"/>
        <v>0</v>
      </c>
      <c r="W333" s="83">
        <f t="shared" si="297"/>
        <v>0</v>
      </c>
      <c r="X333" s="781">
        <f t="shared" si="298"/>
        <v>0</v>
      </c>
      <c r="Y333" s="781">
        <f t="shared" si="299"/>
        <v>0</v>
      </c>
      <c r="Z333" s="781">
        <f t="shared" si="300"/>
        <v>0</v>
      </c>
      <c r="AA333" s="83">
        <f t="shared" si="293"/>
        <v>0</v>
      </c>
      <c r="AB333" s="83">
        <f t="shared" si="301"/>
        <v>0</v>
      </c>
      <c r="AC333" s="83">
        <f t="shared" si="302"/>
        <v>0</v>
      </c>
      <c r="AD333" s="83">
        <f t="shared" si="303"/>
        <v>0</v>
      </c>
      <c r="AE333" s="83">
        <f t="shared" si="304"/>
        <v>0</v>
      </c>
      <c r="AF333" s="83">
        <f t="shared" si="305"/>
        <v>0</v>
      </c>
      <c r="AG333" s="83">
        <f t="shared" si="306"/>
        <v>0</v>
      </c>
      <c r="AH333" s="83">
        <f t="shared" si="307"/>
        <v>0</v>
      </c>
      <c r="AI333" s="83">
        <f t="shared" si="308"/>
        <v>0</v>
      </c>
      <c r="AJ333" s="718">
        <f t="shared" si="309"/>
        <v>0</v>
      </c>
      <c r="AL333">
        <f t="shared" si="310"/>
        <v>0</v>
      </c>
      <c r="AM333">
        <f t="shared" si="311"/>
        <v>0</v>
      </c>
    </row>
    <row r="334" spans="1:39" ht="15.75" x14ac:dyDescent="0.25">
      <c r="A334" s="561"/>
      <c r="B334" s="561"/>
      <c r="C334" s="561"/>
      <c r="D334" s="672"/>
      <c r="E334" s="209"/>
      <c r="F334" s="209"/>
      <c r="G334" s="209"/>
      <c r="H334" s="176">
        <f t="shared" si="289"/>
        <v>0</v>
      </c>
      <c r="I334" s="209"/>
      <c r="J334" s="209"/>
      <c r="K334" s="176">
        <f t="shared" si="290"/>
        <v>0</v>
      </c>
      <c r="L334" s="209"/>
      <c r="M334" s="177">
        <f t="shared" si="291"/>
        <v>0</v>
      </c>
      <c r="N334" s="1012"/>
      <c r="O334" s="1012"/>
      <c r="P334" s="485"/>
      <c r="Q334" s="778"/>
      <c r="R334" s="778"/>
      <c r="S334" s="785" t="str">
        <f t="shared" si="294"/>
        <v/>
      </c>
      <c r="T334" s="548" t="str">
        <f t="shared" si="292"/>
        <v>Sheet Metal Takeoff</v>
      </c>
      <c r="U334" s="83">
        <f t="shared" si="295"/>
        <v>0</v>
      </c>
      <c r="V334" s="83">
        <f t="shared" si="296"/>
        <v>0</v>
      </c>
      <c r="W334" s="83">
        <f t="shared" si="297"/>
        <v>0</v>
      </c>
      <c r="X334" s="781">
        <f t="shared" si="298"/>
        <v>0</v>
      </c>
      <c r="Y334" s="781">
        <f t="shared" si="299"/>
        <v>0</v>
      </c>
      <c r="Z334" s="781">
        <f t="shared" si="300"/>
        <v>0</v>
      </c>
      <c r="AA334" s="83">
        <f t="shared" si="293"/>
        <v>0</v>
      </c>
      <c r="AB334" s="83">
        <f t="shared" si="301"/>
        <v>0</v>
      </c>
      <c r="AC334" s="83">
        <f t="shared" si="302"/>
        <v>0</v>
      </c>
      <c r="AD334" s="83">
        <f t="shared" si="303"/>
        <v>0</v>
      </c>
      <c r="AE334" s="83">
        <f t="shared" si="304"/>
        <v>0</v>
      </c>
      <c r="AF334" s="83">
        <f t="shared" si="305"/>
        <v>0</v>
      </c>
      <c r="AG334" s="83">
        <f t="shared" si="306"/>
        <v>0</v>
      </c>
      <c r="AH334" s="83">
        <f t="shared" si="307"/>
        <v>0</v>
      </c>
      <c r="AI334" s="83">
        <f t="shared" si="308"/>
        <v>0</v>
      </c>
      <c r="AJ334" s="718">
        <f t="shared" si="309"/>
        <v>0</v>
      </c>
      <c r="AL334">
        <f t="shared" si="310"/>
        <v>0</v>
      </c>
      <c r="AM334">
        <f t="shared" si="311"/>
        <v>0</v>
      </c>
    </row>
    <row r="335" spans="1:39" ht="15.75" x14ac:dyDescent="0.25">
      <c r="A335" s="561"/>
      <c r="B335" s="561"/>
      <c r="C335" s="561"/>
      <c r="D335" s="672"/>
      <c r="E335" s="209"/>
      <c r="F335" s="209"/>
      <c r="G335" s="209"/>
      <c r="H335" s="176">
        <f t="shared" si="289"/>
        <v>0</v>
      </c>
      <c r="I335" s="209"/>
      <c r="J335" s="209"/>
      <c r="K335" s="176">
        <f t="shared" si="290"/>
        <v>0</v>
      </c>
      <c r="L335" s="209"/>
      <c r="M335" s="177">
        <f t="shared" si="291"/>
        <v>0</v>
      </c>
      <c r="N335" s="1012"/>
      <c r="O335" s="1012"/>
      <c r="P335" s="485"/>
      <c r="Q335" s="778"/>
      <c r="R335" s="778"/>
      <c r="S335" s="785" t="str">
        <f t="shared" si="294"/>
        <v/>
      </c>
      <c r="T335" s="548" t="str">
        <f t="shared" si="292"/>
        <v>Sheet Metal Takeoff</v>
      </c>
      <c r="U335" s="83">
        <f t="shared" si="295"/>
        <v>0</v>
      </c>
      <c r="V335" s="83">
        <f t="shared" si="296"/>
        <v>0</v>
      </c>
      <c r="W335" s="83">
        <f t="shared" si="297"/>
        <v>0</v>
      </c>
      <c r="X335" s="781">
        <f t="shared" si="298"/>
        <v>0</v>
      </c>
      <c r="Y335" s="781">
        <f t="shared" si="299"/>
        <v>0</v>
      </c>
      <c r="Z335" s="781">
        <f t="shared" si="300"/>
        <v>0</v>
      </c>
      <c r="AA335" s="83">
        <f t="shared" si="293"/>
        <v>0</v>
      </c>
      <c r="AB335" s="83">
        <f t="shared" si="301"/>
        <v>0</v>
      </c>
      <c r="AC335" s="83">
        <f t="shared" si="302"/>
        <v>0</v>
      </c>
      <c r="AD335" s="83">
        <f t="shared" si="303"/>
        <v>0</v>
      </c>
      <c r="AE335" s="83">
        <f t="shared" si="304"/>
        <v>0</v>
      </c>
      <c r="AF335" s="83">
        <f t="shared" si="305"/>
        <v>0</v>
      </c>
      <c r="AG335" s="83">
        <f t="shared" si="306"/>
        <v>0</v>
      </c>
      <c r="AH335" s="83">
        <f t="shared" si="307"/>
        <v>0</v>
      </c>
      <c r="AI335" s="83">
        <f t="shared" si="308"/>
        <v>0</v>
      </c>
      <c r="AJ335" s="718">
        <f t="shared" si="309"/>
        <v>0</v>
      </c>
      <c r="AL335">
        <f t="shared" si="310"/>
        <v>0</v>
      </c>
      <c r="AM335">
        <f t="shared" si="311"/>
        <v>0</v>
      </c>
    </row>
    <row r="336" spans="1:39" ht="15.75" x14ac:dyDescent="0.25">
      <c r="A336" s="561"/>
      <c r="B336" s="561"/>
      <c r="C336" s="561"/>
      <c r="D336" s="672"/>
      <c r="E336" s="209"/>
      <c r="F336" s="209"/>
      <c r="G336" s="209"/>
      <c r="H336" s="176">
        <f t="shared" si="289"/>
        <v>0</v>
      </c>
      <c r="I336" s="209"/>
      <c r="J336" s="209"/>
      <c r="K336" s="176">
        <f t="shared" si="290"/>
        <v>0</v>
      </c>
      <c r="L336" s="209"/>
      <c r="M336" s="177">
        <f t="shared" si="291"/>
        <v>0</v>
      </c>
      <c r="N336" s="1012"/>
      <c r="O336" s="1012"/>
      <c r="P336" s="485"/>
      <c r="Q336" s="778"/>
      <c r="R336" s="778"/>
      <c r="S336" s="785" t="str">
        <f t="shared" si="294"/>
        <v/>
      </c>
      <c r="T336" s="548" t="str">
        <f t="shared" si="292"/>
        <v>Sheet Metal Takeoff</v>
      </c>
      <c r="U336" s="83">
        <f t="shared" si="295"/>
        <v>0</v>
      </c>
      <c r="V336" s="83">
        <f t="shared" si="296"/>
        <v>0</v>
      </c>
      <c r="W336" s="83">
        <f t="shared" si="297"/>
        <v>0</v>
      </c>
      <c r="X336" s="781">
        <f t="shared" si="298"/>
        <v>0</v>
      </c>
      <c r="Y336" s="781">
        <f t="shared" si="299"/>
        <v>0</v>
      </c>
      <c r="Z336" s="781">
        <f t="shared" si="300"/>
        <v>0</v>
      </c>
      <c r="AA336" s="83">
        <f t="shared" si="293"/>
        <v>0</v>
      </c>
      <c r="AB336" s="83">
        <f t="shared" si="301"/>
        <v>0</v>
      </c>
      <c r="AC336" s="83">
        <f t="shared" si="302"/>
        <v>0</v>
      </c>
      <c r="AD336" s="83">
        <f t="shared" si="303"/>
        <v>0</v>
      </c>
      <c r="AE336" s="83">
        <f t="shared" si="304"/>
        <v>0</v>
      </c>
      <c r="AF336" s="83">
        <f t="shared" si="305"/>
        <v>0</v>
      </c>
      <c r="AG336" s="83">
        <f t="shared" si="306"/>
        <v>0</v>
      </c>
      <c r="AH336" s="83">
        <f t="shared" si="307"/>
        <v>0</v>
      </c>
      <c r="AI336" s="83">
        <f t="shared" si="308"/>
        <v>0</v>
      </c>
      <c r="AJ336" s="718">
        <f t="shared" si="309"/>
        <v>0</v>
      </c>
      <c r="AL336">
        <f t="shared" si="310"/>
        <v>0</v>
      </c>
      <c r="AM336">
        <f t="shared" si="311"/>
        <v>0</v>
      </c>
    </row>
    <row r="337" spans="1:39" ht="15.75" x14ac:dyDescent="0.25">
      <c r="A337" s="561"/>
      <c r="B337" s="561"/>
      <c r="C337" s="561"/>
      <c r="D337" s="672"/>
      <c r="E337" s="209"/>
      <c r="F337" s="209"/>
      <c r="G337" s="209"/>
      <c r="H337" s="176">
        <f t="shared" si="289"/>
        <v>0</v>
      </c>
      <c r="I337" s="209"/>
      <c r="J337" s="209"/>
      <c r="K337" s="176">
        <f t="shared" si="290"/>
        <v>0</v>
      </c>
      <c r="L337" s="209"/>
      <c r="M337" s="177">
        <f t="shared" si="291"/>
        <v>0</v>
      </c>
      <c r="N337" s="1012"/>
      <c r="O337" s="1012"/>
      <c r="P337" s="485"/>
      <c r="Q337" s="778"/>
      <c r="R337" s="778"/>
      <c r="S337" s="785" t="str">
        <f t="shared" si="294"/>
        <v/>
      </c>
      <c r="T337" s="548" t="str">
        <f t="shared" si="292"/>
        <v>Sheet Metal Takeoff</v>
      </c>
      <c r="U337" s="83">
        <f t="shared" si="295"/>
        <v>0</v>
      </c>
      <c r="V337" s="83">
        <f t="shared" si="296"/>
        <v>0</v>
      </c>
      <c r="W337" s="83">
        <f t="shared" si="297"/>
        <v>0</v>
      </c>
      <c r="X337" s="781">
        <f t="shared" si="298"/>
        <v>0</v>
      </c>
      <c r="Y337" s="781">
        <f t="shared" si="299"/>
        <v>0</v>
      </c>
      <c r="Z337" s="781">
        <f t="shared" si="300"/>
        <v>0</v>
      </c>
      <c r="AA337" s="83">
        <f t="shared" si="293"/>
        <v>0</v>
      </c>
      <c r="AB337" s="83">
        <f t="shared" si="301"/>
        <v>0</v>
      </c>
      <c r="AC337" s="83">
        <f t="shared" si="302"/>
        <v>0</v>
      </c>
      <c r="AD337" s="83">
        <f t="shared" si="303"/>
        <v>0</v>
      </c>
      <c r="AE337" s="83">
        <f t="shared" si="304"/>
        <v>0</v>
      </c>
      <c r="AF337" s="83">
        <f t="shared" si="305"/>
        <v>0</v>
      </c>
      <c r="AG337" s="83">
        <f t="shared" si="306"/>
        <v>0</v>
      </c>
      <c r="AH337" s="83">
        <f t="shared" si="307"/>
        <v>0</v>
      </c>
      <c r="AI337" s="83">
        <f t="shared" si="308"/>
        <v>0</v>
      </c>
      <c r="AJ337" s="718">
        <f t="shared" si="309"/>
        <v>0</v>
      </c>
      <c r="AL337">
        <f t="shared" si="310"/>
        <v>0</v>
      </c>
      <c r="AM337">
        <f t="shared" si="311"/>
        <v>0</v>
      </c>
    </row>
    <row r="338" spans="1:39" ht="15.75" x14ac:dyDescent="0.25">
      <c r="A338" s="561"/>
      <c r="B338" s="561"/>
      <c r="C338" s="561"/>
      <c r="D338" s="672"/>
      <c r="E338" s="209"/>
      <c r="F338" s="209"/>
      <c r="G338" s="209"/>
      <c r="H338" s="176">
        <f t="shared" si="289"/>
        <v>0</v>
      </c>
      <c r="I338" s="209"/>
      <c r="J338" s="209"/>
      <c r="K338" s="176">
        <f t="shared" si="290"/>
        <v>0</v>
      </c>
      <c r="L338" s="209"/>
      <c r="M338" s="177">
        <f t="shared" si="291"/>
        <v>0</v>
      </c>
      <c r="N338" s="1012"/>
      <c r="O338" s="1012"/>
      <c r="P338" s="485"/>
      <c r="Q338" s="778"/>
      <c r="R338" s="778"/>
      <c r="S338" s="785" t="str">
        <f t="shared" si="294"/>
        <v/>
      </c>
      <c r="T338" s="548" t="str">
        <f t="shared" si="292"/>
        <v>Sheet Metal Takeoff</v>
      </c>
      <c r="U338" s="83">
        <f t="shared" si="295"/>
        <v>0</v>
      </c>
      <c r="V338" s="83">
        <f t="shared" si="296"/>
        <v>0</v>
      </c>
      <c r="W338" s="83">
        <f t="shared" si="297"/>
        <v>0</v>
      </c>
      <c r="X338" s="781">
        <f t="shared" si="298"/>
        <v>0</v>
      </c>
      <c r="Y338" s="781">
        <f t="shared" si="299"/>
        <v>0</v>
      </c>
      <c r="Z338" s="781">
        <f t="shared" si="300"/>
        <v>0</v>
      </c>
      <c r="AA338" s="83">
        <f t="shared" si="293"/>
        <v>0</v>
      </c>
      <c r="AB338" s="83">
        <f t="shared" si="301"/>
        <v>0</v>
      </c>
      <c r="AC338" s="83">
        <f t="shared" si="302"/>
        <v>0</v>
      </c>
      <c r="AD338" s="83">
        <f t="shared" si="303"/>
        <v>0</v>
      </c>
      <c r="AE338" s="83">
        <f t="shared" si="304"/>
        <v>0</v>
      </c>
      <c r="AF338" s="83">
        <f t="shared" si="305"/>
        <v>0</v>
      </c>
      <c r="AG338" s="83">
        <f t="shared" si="306"/>
        <v>0</v>
      </c>
      <c r="AH338" s="83">
        <f t="shared" si="307"/>
        <v>0</v>
      </c>
      <c r="AI338" s="83">
        <f t="shared" si="308"/>
        <v>0</v>
      </c>
      <c r="AJ338" s="718">
        <f t="shared" si="309"/>
        <v>0</v>
      </c>
      <c r="AL338">
        <f t="shared" si="310"/>
        <v>0</v>
      </c>
      <c r="AM338">
        <f t="shared" si="311"/>
        <v>0</v>
      </c>
    </row>
    <row r="339" spans="1:39" ht="15.75" x14ac:dyDescent="0.25">
      <c r="A339" s="561"/>
      <c r="B339" s="561"/>
      <c r="C339" s="561"/>
      <c r="D339" s="672"/>
      <c r="E339" s="209"/>
      <c r="F339" s="209"/>
      <c r="G339" s="209"/>
      <c r="H339" s="176">
        <f t="shared" si="289"/>
        <v>0</v>
      </c>
      <c r="I339" s="209"/>
      <c r="J339" s="209"/>
      <c r="K339" s="176">
        <f t="shared" si="290"/>
        <v>0</v>
      </c>
      <c r="L339" s="209"/>
      <c r="M339" s="177">
        <f t="shared" si="291"/>
        <v>0</v>
      </c>
      <c r="N339" s="1012"/>
      <c r="O339" s="1012"/>
      <c r="P339" s="485"/>
      <c r="Q339" s="778"/>
      <c r="R339" s="778"/>
      <c r="S339" s="785" t="str">
        <f t="shared" si="294"/>
        <v/>
      </c>
      <c r="T339" s="548" t="str">
        <f t="shared" si="292"/>
        <v>Sheet Metal Takeoff</v>
      </c>
      <c r="U339" s="83">
        <f t="shared" si="295"/>
        <v>0</v>
      </c>
      <c r="V339" s="83">
        <f t="shared" si="296"/>
        <v>0</v>
      </c>
      <c r="W339" s="83">
        <f t="shared" si="297"/>
        <v>0</v>
      </c>
      <c r="X339" s="781">
        <f t="shared" si="298"/>
        <v>0</v>
      </c>
      <c r="Y339" s="781">
        <f t="shared" si="299"/>
        <v>0</v>
      </c>
      <c r="Z339" s="781">
        <f t="shared" si="300"/>
        <v>0</v>
      </c>
      <c r="AA339" s="83">
        <f t="shared" si="293"/>
        <v>0</v>
      </c>
      <c r="AB339" s="83">
        <f t="shared" si="301"/>
        <v>0</v>
      </c>
      <c r="AC339" s="83">
        <f t="shared" si="302"/>
        <v>0</v>
      </c>
      <c r="AD339" s="83">
        <f t="shared" si="303"/>
        <v>0</v>
      </c>
      <c r="AE339" s="83">
        <f t="shared" si="304"/>
        <v>0</v>
      </c>
      <c r="AF339" s="83">
        <f t="shared" si="305"/>
        <v>0</v>
      </c>
      <c r="AG339" s="83">
        <f t="shared" si="306"/>
        <v>0</v>
      </c>
      <c r="AH339" s="83">
        <f t="shared" si="307"/>
        <v>0</v>
      </c>
      <c r="AI339" s="83">
        <f t="shared" si="308"/>
        <v>0</v>
      </c>
      <c r="AJ339" s="718">
        <f t="shared" si="309"/>
        <v>0</v>
      </c>
      <c r="AL339">
        <f t="shared" si="310"/>
        <v>0</v>
      </c>
      <c r="AM339">
        <f t="shared" si="311"/>
        <v>0</v>
      </c>
    </row>
    <row r="340" spans="1:39" ht="15.75" x14ac:dyDescent="0.25">
      <c r="A340" s="561"/>
      <c r="B340" s="561"/>
      <c r="C340" s="561"/>
      <c r="D340" s="672"/>
      <c r="E340" s="209"/>
      <c r="F340" s="209"/>
      <c r="G340" s="209"/>
      <c r="H340" s="176">
        <f t="shared" si="289"/>
        <v>0</v>
      </c>
      <c r="I340" s="209"/>
      <c r="J340" s="209"/>
      <c r="K340" s="176">
        <f t="shared" si="290"/>
        <v>0</v>
      </c>
      <c r="L340" s="209"/>
      <c r="M340" s="177">
        <f t="shared" si="291"/>
        <v>0</v>
      </c>
      <c r="N340" s="1012"/>
      <c r="O340" s="1012"/>
      <c r="P340" s="485"/>
      <c r="Q340" s="778"/>
      <c r="R340" s="778"/>
      <c r="S340" s="785" t="str">
        <f t="shared" si="294"/>
        <v/>
      </c>
      <c r="T340" s="548" t="str">
        <f t="shared" si="292"/>
        <v>Sheet Metal Takeoff</v>
      </c>
      <c r="U340" s="83">
        <f t="shared" si="295"/>
        <v>0</v>
      </c>
      <c r="V340" s="83">
        <f t="shared" si="296"/>
        <v>0</v>
      </c>
      <c r="W340" s="83">
        <f t="shared" si="297"/>
        <v>0</v>
      </c>
      <c r="X340" s="781">
        <f t="shared" si="298"/>
        <v>0</v>
      </c>
      <c r="Y340" s="781">
        <f t="shared" si="299"/>
        <v>0</v>
      </c>
      <c r="Z340" s="781">
        <f t="shared" si="300"/>
        <v>0</v>
      </c>
      <c r="AA340" s="83">
        <f t="shared" si="293"/>
        <v>0</v>
      </c>
      <c r="AB340" s="83">
        <f t="shared" si="301"/>
        <v>0</v>
      </c>
      <c r="AC340" s="83">
        <f t="shared" si="302"/>
        <v>0</v>
      </c>
      <c r="AD340" s="83">
        <f t="shared" si="303"/>
        <v>0</v>
      </c>
      <c r="AE340" s="83">
        <f t="shared" si="304"/>
        <v>0</v>
      </c>
      <c r="AF340" s="83">
        <f t="shared" si="305"/>
        <v>0</v>
      </c>
      <c r="AG340" s="83">
        <f t="shared" si="306"/>
        <v>0</v>
      </c>
      <c r="AH340" s="83">
        <f t="shared" si="307"/>
        <v>0</v>
      </c>
      <c r="AI340" s="83">
        <f t="shared" si="308"/>
        <v>0</v>
      </c>
      <c r="AJ340" s="718">
        <f t="shared" si="309"/>
        <v>0</v>
      </c>
      <c r="AL340">
        <f t="shared" si="310"/>
        <v>0</v>
      </c>
      <c r="AM340">
        <f t="shared" si="311"/>
        <v>0</v>
      </c>
    </row>
    <row r="341" spans="1:39" ht="15.75" x14ac:dyDescent="0.25">
      <c r="A341" s="561"/>
      <c r="B341" s="561"/>
      <c r="C341" s="561"/>
      <c r="D341" s="672"/>
      <c r="E341" s="209"/>
      <c r="F341" s="209"/>
      <c r="G341" s="209"/>
      <c r="H341" s="176">
        <f t="shared" si="289"/>
        <v>0</v>
      </c>
      <c r="I341" s="209"/>
      <c r="J341" s="209"/>
      <c r="K341" s="176">
        <f t="shared" si="290"/>
        <v>0</v>
      </c>
      <c r="L341" s="209"/>
      <c r="M341" s="177">
        <f t="shared" si="291"/>
        <v>0</v>
      </c>
      <c r="N341" s="1012"/>
      <c r="O341" s="1012"/>
      <c r="P341" s="485"/>
      <c r="Q341" s="778"/>
      <c r="R341" s="778"/>
      <c r="S341" s="785" t="str">
        <f t="shared" si="294"/>
        <v/>
      </c>
      <c r="T341" s="548" t="str">
        <f t="shared" si="292"/>
        <v>Sheet Metal Takeoff</v>
      </c>
      <c r="U341" s="83">
        <f t="shared" si="295"/>
        <v>0</v>
      </c>
      <c r="V341" s="83">
        <f t="shared" si="296"/>
        <v>0</v>
      </c>
      <c r="W341" s="83">
        <f t="shared" si="297"/>
        <v>0</v>
      </c>
      <c r="X341" s="781">
        <f t="shared" si="298"/>
        <v>0</v>
      </c>
      <c r="Y341" s="781">
        <f t="shared" si="299"/>
        <v>0</v>
      </c>
      <c r="Z341" s="781">
        <f t="shared" si="300"/>
        <v>0</v>
      </c>
      <c r="AA341" s="83">
        <f t="shared" si="293"/>
        <v>0</v>
      </c>
      <c r="AB341" s="83">
        <f t="shared" si="301"/>
        <v>0</v>
      </c>
      <c r="AC341" s="83">
        <f t="shared" si="302"/>
        <v>0</v>
      </c>
      <c r="AD341" s="83">
        <f t="shared" si="303"/>
        <v>0</v>
      </c>
      <c r="AE341" s="83">
        <f t="shared" si="304"/>
        <v>0</v>
      </c>
      <c r="AF341" s="83">
        <f t="shared" si="305"/>
        <v>0</v>
      </c>
      <c r="AG341" s="83">
        <f t="shared" si="306"/>
        <v>0</v>
      </c>
      <c r="AH341" s="83">
        <f t="shared" si="307"/>
        <v>0</v>
      </c>
      <c r="AI341" s="83">
        <f t="shared" si="308"/>
        <v>0</v>
      </c>
      <c r="AJ341" s="718">
        <f t="shared" si="309"/>
        <v>0</v>
      </c>
      <c r="AL341">
        <f t="shared" si="310"/>
        <v>0</v>
      </c>
      <c r="AM341">
        <f t="shared" si="311"/>
        <v>0</v>
      </c>
    </row>
    <row r="342" spans="1:39" ht="15.75" x14ac:dyDescent="0.25">
      <c r="A342" s="561"/>
      <c r="B342" s="561"/>
      <c r="C342" s="561"/>
      <c r="D342" s="672"/>
      <c r="E342" s="209"/>
      <c r="F342" s="209"/>
      <c r="G342" s="209"/>
      <c r="H342" s="176">
        <f t="shared" si="289"/>
        <v>0</v>
      </c>
      <c r="I342" s="209"/>
      <c r="J342" s="209"/>
      <c r="K342" s="176">
        <f t="shared" si="290"/>
        <v>0</v>
      </c>
      <c r="L342" s="209"/>
      <c r="M342" s="177">
        <f t="shared" si="291"/>
        <v>0</v>
      </c>
      <c r="N342" s="1012"/>
      <c r="O342" s="1012"/>
      <c r="P342" s="485"/>
      <c r="Q342" s="778"/>
      <c r="R342" s="778"/>
      <c r="S342" s="785" t="str">
        <f t="shared" si="294"/>
        <v/>
      </c>
      <c r="T342" s="548" t="str">
        <f t="shared" si="292"/>
        <v>Sheet Metal Takeoff</v>
      </c>
      <c r="U342" s="83">
        <f t="shared" si="295"/>
        <v>0</v>
      </c>
      <c r="V342" s="83">
        <f t="shared" si="296"/>
        <v>0</v>
      </c>
      <c r="W342" s="83">
        <f t="shared" si="297"/>
        <v>0</v>
      </c>
      <c r="X342" s="781">
        <f t="shared" si="298"/>
        <v>0</v>
      </c>
      <c r="Y342" s="781">
        <f t="shared" si="299"/>
        <v>0</v>
      </c>
      <c r="Z342" s="781">
        <f t="shared" si="300"/>
        <v>0</v>
      </c>
      <c r="AA342" s="83">
        <f t="shared" si="293"/>
        <v>0</v>
      </c>
      <c r="AB342" s="83">
        <f t="shared" si="301"/>
        <v>0</v>
      </c>
      <c r="AC342" s="83">
        <f t="shared" si="302"/>
        <v>0</v>
      </c>
      <c r="AD342" s="83">
        <f t="shared" si="303"/>
        <v>0</v>
      </c>
      <c r="AE342" s="83">
        <f t="shared" si="304"/>
        <v>0</v>
      </c>
      <c r="AF342" s="83">
        <f t="shared" si="305"/>
        <v>0</v>
      </c>
      <c r="AG342" s="83">
        <f t="shared" si="306"/>
        <v>0</v>
      </c>
      <c r="AH342" s="83">
        <f t="shared" si="307"/>
        <v>0</v>
      </c>
      <c r="AI342" s="83">
        <f t="shared" si="308"/>
        <v>0</v>
      </c>
      <c r="AJ342" s="718">
        <f t="shared" si="309"/>
        <v>0</v>
      </c>
      <c r="AL342">
        <f t="shared" si="310"/>
        <v>0</v>
      </c>
      <c r="AM342">
        <f t="shared" si="311"/>
        <v>0</v>
      </c>
    </row>
    <row r="343" spans="1:39" ht="15.75" x14ac:dyDescent="0.25">
      <c r="A343" s="561"/>
      <c r="B343" s="561"/>
      <c r="C343" s="561"/>
      <c r="D343" s="672"/>
      <c r="E343" s="209"/>
      <c r="F343" s="209"/>
      <c r="G343" s="209"/>
      <c r="H343" s="176">
        <f t="shared" si="289"/>
        <v>0</v>
      </c>
      <c r="I343" s="209"/>
      <c r="J343" s="209"/>
      <c r="K343" s="176">
        <f t="shared" si="290"/>
        <v>0</v>
      </c>
      <c r="L343" s="209"/>
      <c r="M343" s="177">
        <f t="shared" si="291"/>
        <v>0</v>
      </c>
      <c r="N343" s="1012"/>
      <c r="O343" s="1012"/>
      <c r="P343" s="485"/>
      <c r="Q343" s="778"/>
      <c r="R343" s="778"/>
      <c r="S343" s="785" t="str">
        <f t="shared" si="294"/>
        <v/>
      </c>
      <c r="T343" s="548" t="str">
        <f t="shared" si="292"/>
        <v>Sheet Metal Takeoff</v>
      </c>
      <c r="U343" s="83">
        <f t="shared" si="295"/>
        <v>0</v>
      </c>
      <c r="V343" s="83">
        <f t="shared" si="296"/>
        <v>0</v>
      </c>
      <c r="W343" s="83">
        <f t="shared" si="297"/>
        <v>0</v>
      </c>
      <c r="X343" s="781">
        <f t="shared" si="298"/>
        <v>0</v>
      </c>
      <c r="Y343" s="781">
        <f t="shared" si="299"/>
        <v>0</v>
      </c>
      <c r="Z343" s="781">
        <f t="shared" si="300"/>
        <v>0</v>
      </c>
      <c r="AA343" s="83">
        <f t="shared" si="293"/>
        <v>0</v>
      </c>
      <c r="AB343" s="83">
        <f t="shared" si="301"/>
        <v>0</v>
      </c>
      <c r="AC343" s="83">
        <f t="shared" si="302"/>
        <v>0</v>
      </c>
      <c r="AD343" s="83">
        <f t="shared" si="303"/>
        <v>0</v>
      </c>
      <c r="AE343" s="83">
        <f t="shared" si="304"/>
        <v>0</v>
      </c>
      <c r="AF343" s="83">
        <f t="shared" si="305"/>
        <v>0</v>
      </c>
      <c r="AG343" s="83">
        <f t="shared" si="306"/>
        <v>0</v>
      </c>
      <c r="AH343" s="83">
        <f t="shared" si="307"/>
        <v>0</v>
      </c>
      <c r="AI343" s="83">
        <f t="shared" si="308"/>
        <v>0</v>
      </c>
      <c r="AJ343" s="718">
        <f t="shared" si="309"/>
        <v>0</v>
      </c>
      <c r="AL343">
        <f t="shared" si="310"/>
        <v>0</v>
      </c>
      <c r="AM343">
        <f t="shared" si="311"/>
        <v>0</v>
      </c>
    </row>
    <row r="344" spans="1:39" ht="15.75" x14ac:dyDescent="0.25">
      <c r="A344" s="561"/>
      <c r="B344" s="561"/>
      <c r="C344" s="561"/>
      <c r="D344" s="672"/>
      <c r="E344" s="209"/>
      <c r="F344" s="209"/>
      <c r="G344" s="209"/>
      <c r="H344" s="176">
        <f t="shared" si="289"/>
        <v>0</v>
      </c>
      <c r="I344" s="209"/>
      <c r="J344" s="209"/>
      <c r="K344" s="176">
        <f t="shared" si="290"/>
        <v>0</v>
      </c>
      <c r="L344" s="209"/>
      <c r="M344" s="177">
        <f t="shared" si="291"/>
        <v>0</v>
      </c>
      <c r="N344" s="1012"/>
      <c r="O344" s="1012"/>
      <c r="P344" s="485"/>
      <c r="Q344" s="778"/>
      <c r="R344" s="778"/>
      <c r="S344" s="785" t="str">
        <f t="shared" si="294"/>
        <v/>
      </c>
      <c r="T344" s="548" t="str">
        <f t="shared" si="292"/>
        <v>Sheet Metal Takeoff</v>
      </c>
      <c r="U344" s="83">
        <f t="shared" si="295"/>
        <v>0</v>
      </c>
      <c r="V344" s="83">
        <f t="shared" si="296"/>
        <v>0</v>
      </c>
      <c r="W344" s="83">
        <f t="shared" si="297"/>
        <v>0</v>
      </c>
      <c r="X344" s="781">
        <f t="shared" si="298"/>
        <v>0</v>
      </c>
      <c r="Y344" s="781">
        <f t="shared" si="299"/>
        <v>0</v>
      </c>
      <c r="Z344" s="781">
        <f t="shared" si="300"/>
        <v>0</v>
      </c>
      <c r="AA344" s="83">
        <f t="shared" si="293"/>
        <v>0</v>
      </c>
      <c r="AB344" s="83">
        <f t="shared" si="301"/>
        <v>0</v>
      </c>
      <c r="AC344" s="83">
        <f t="shared" si="302"/>
        <v>0</v>
      </c>
      <c r="AD344" s="83">
        <f t="shared" si="303"/>
        <v>0</v>
      </c>
      <c r="AE344" s="83">
        <f t="shared" si="304"/>
        <v>0</v>
      </c>
      <c r="AF344" s="83">
        <f t="shared" si="305"/>
        <v>0</v>
      </c>
      <c r="AG344" s="83">
        <f t="shared" si="306"/>
        <v>0</v>
      </c>
      <c r="AH344" s="83">
        <f t="shared" si="307"/>
        <v>0</v>
      </c>
      <c r="AI344" s="83">
        <f t="shared" si="308"/>
        <v>0</v>
      </c>
      <c r="AJ344" s="718">
        <f t="shared" si="309"/>
        <v>0</v>
      </c>
      <c r="AL344">
        <f t="shared" si="310"/>
        <v>0</v>
      </c>
      <c r="AM344">
        <f t="shared" si="311"/>
        <v>0</v>
      </c>
    </row>
    <row r="345" spans="1:39" ht="15.75" x14ac:dyDescent="0.25">
      <c r="A345" s="561"/>
      <c r="B345" s="561"/>
      <c r="C345" s="561"/>
      <c r="D345" s="672"/>
      <c r="E345" s="209"/>
      <c r="F345" s="209"/>
      <c r="G345" s="209"/>
      <c r="H345" s="176">
        <f t="shared" si="289"/>
        <v>0</v>
      </c>
      <c r="I345" s="209"/>
      <c r="J345" s="209"/>
      <c r="K345" s="176">
        <f t="shared" si="290"/>
        <v>0</v>
      </c>
      <c r="L345" s="209"/>
      <c r="M345" s="177">
        <f t="shared" si="291"/>
        <v>0</v>
      </c>
      <c r="N345" s="1012"/>
      <c r="O345" s="1012"/>
      <c r="P345" s="485"/>
      <c r="Q345" s="778"/>
      <c r="R345" s="778"/>
      <c r="S345" s="785" t="str">
        <f t="shared" si="294"/>
        <v/>
      </c>
      <c r="T345" s="548" t="str">
        <f t="shared" si="292"/>
        <v>Sheet Metal Takeoff</v>
      </c>
      <c r="U345" s="83">
        <f t="shared" si="295"/>
        <v>0</v>
      </c>
      <c r="V345" s="83">
        <f t="shared" si="296"/>
        <v>0</v>
      </c>
      <c r="W345" s="83">
        <f t="shared" si="297"/>
        <v>0</v>
      </c>
      <c r="X345" s="781">
        <f t="shared" si="298"/>
        <v>0</v>
      </c>
      <c r="Y345" s="781">
        <f t="shared" si="299"/>
        <v>0</v>
      </c>
      <c r="Z345" s="781">
        <f t="shared" si="300"/>
        <v>0</v>
      </c>
      <c r="AA345" s="83">
        <f t="shared" si="293"/>
        <v>0</v>
      </c>
      <c r="AB345" s="83">
        <f t="shared" si="301"/>
        <v>0</v>
      </c>
      <c r="AC345" s="83">
        <f t="shared" si="302"/>
        <v>0</v>
      </c>
      <c r="AD345" s="83">
        <f t="shared" si="303"/>
        <v>0</v>
      </c>
      <c r="AE345" s="83">
        <f t="shared" si="304"/>
        <v>0</v>
      </c>
      <c r="AF345" s="83">
        <f t="shared" si="305"/>
        <v>0</v>
      </c>
      <c r="AG345" s="83">
        <f t="shared" si="306"/>
        <v>0</v>
      </c>
      <c r="AH345" s="83">
        <f t="shared" si="307"/>
        <v>0</v>
      </c>
      <c r="AI345" s="83">
        <f t="shared" si="308"/>
        <v>0</v>
      </c>
      <c r="AJ345" s="718">
        <f t="shared" si="309"/>
        <v>0</v>
      </c>
      <c r="AL345">
        <f t="shared" si="310"/>
        <v>0</v>
      </c>
      <c r="AM345">
        <f t="shared" si="311"/>
        <v>0</v>
      </c>
    </row>
    <row r="346" spans="1:39" ht="15.75" x14ac:dyDescent="0.25">
      <c r="A346" s="561"/>
      <c r="B346" s="561"/>
      <c r="C346" s="561"/>
      <c r="D346" s="672"/>
      <c r="E346" s="209"/>
      <c r="F346" s="209"/>
      <c r="G346" s="209"/>
      <c r="H346" s="176">
        <f t="shared" si="289"/>
        <v>0</v>
      </c>
      <c r="I346" s="209"/>
      <c r="J346" s="209"/>
      <c r="K346" s="176">
        <f t="shared" si="290"/>
        <v>0</v>
      </c>
      <c r="L346" s="209"/>
      <c r="M346" s="177">
        <f t="shared" si="291"/>
        <v>0</v>
      </c>
      <c r="N346" s="1012"/>
      <c r="O346" s="1012"/>
      <c r="P346" s="485"/>
      <c r="Q346" s="778"/>
      <c r="R346" s="778"/>
      <c r="S346" s="785" t="str">
        <f t="shared" si="294"/>
        <v/>
      </c>
      <c r="T346" s="548" t="str">
        <f t="shared" si="292"/>
        <v>Sheet Metal Takeoff</v>
      </c>
      <c r="U346" s="83">
        <f t="shared" si="295"/>
        <v>0</v>
      </c>
      <c r="V346" s="83">
        <f t="shared" si="296"/>
        <v>0</v>
      </c>
      <c r="W346" s="83">
        <f t="shared" si="297"/>
        <v>0</v>
      </c>
      <c r="X346" s="781">
        <f t="shared" si="298"/>
        <v>0</v>
      </c>
      <c r="Y346" s="781">
        <f t="shared" si="299"/>
        <v>0</v>
      </c>
      <c r="Z346" s="781">
        <f t="shared" si="300"/>
        <v>0</v>
      </c>
      <c r="AA346" s="83">
        <f t="shared" si="293"/>
        <v>0</v>
      </c>
      <c r="AB346" s="83">
        <f t="shared" si="301"/>
        <v>0</v>
      </c>
      <c r="AC346" s="83">
        <f t="shared" si="302"/>
        <v>0</v>
      </c>
      <c r="AD346" s="83">
        <f t="shared" si="303"/>
        <v>0</v>
      </c>
      <c r="AE346" s="83">
        <f t="shared" si="304"/>
        <v>0</v>
      </c>
      <c r="AF346" s="83">
        <f t="shared" si="305"/>
        <v>0</v>
      </c>
      <c r="AG346" s="83">
        <f t="shared" si="306"/>
        <v>0</v>
      </c>
      <c r="AH346" s="83">
        <f t="shared" si="307"/>
        <v>0</v>
      </c>
      <c r="AI346" s="83">
        <f t="shared" si="308"/>
        <v>0</v>
      </c>
      <c r="AJ346" s="718">
        <f t="shared" si="309"/>
        <v>0</v>
      </c>
      <c r="AL346">
        <f t="shared" si="310"/>
        <v>0</v>
      </c>
      <c r="AM346">
        <f t="shared" si="311"/>
        <v>0</v>
      </c>
    </row>
    <row r="347" spans="1:39" ht="15.75" x14ac:dyDescent="0.25">
      <c r="A347" s="561"/>
      <c r="B347" s="561"/>
      <c r="C347" s="561"/>
      <c r="D347" s="672"/>
      <c r="E347" s="209"/>
      <c r="F347" s="209"/>
      <c r="G347" s="209"/>
      <c r="H347" s="176">
        <f t="shared" si="289"/>
        <v>0</v>
      </c>
      <c r="I347" s="209"/>
      <c r="J347" s="209"/>
      <c r="K347" s="176">
        <f t="shared" si="290"/>
        <v>0</v>
      </c>
      <c r="L347" s="209"/>
      <c r="M347" s="177">
        <f t="shared" si="291"/>
        <v>0</v>
      </c>
      <c r="N347" s="1012"/>
      <c r="O347" s="1012"/>
      <c r="P347" s="485"/>
      <c r="Q347" s="778"/>
      <c r="R347" s="778"/>
      <c r="S347" s="785" t="str">
        <f t="shared" si="294"/>
        <v/>
      </c>
      <c r="T347" s="548" t="str">
        <f t="shared" si="292"/>
        <v>Sheet Metal Takeoff</v>
      </c>
      <c r="U347" s="83">
        <f t="shared" si="295"/>
        <v>0</v>
      </c>
      <c r="V347" s="83">
        <f t="shared" si="296"/>
        <v>0</v>
      </c>
      <c r="W347" s="83">
        <f t="shared" si="297"/>
        <v>0</v>
      </c>
      <c r="X347" s="781">
        <f t="shared" si="298"/>
        <v>0</v>
      </c>
      <c r="Y347" s="781">
        <f t="shared" si="299"/>
        <v>0</v>
      </c>
      <c r="Z347" s="781">
        <f t="shared" si="300"/>
        <v>0</v>
      </c>
      <c r="AA347" s="83">
        <f t="shared" si="293"/>
        <v>0</v>
      </c>
      <c r="AB347" s="83">
        <f t="shared" si="301"/>
        <v>0</v>
      </c>
      <c r="AC347" s="83">
        <f t="shared" si="302"/>
        <v>0</v>
      </c>
      <c r="AD347" s="83">
        <f t="shared" si="303"/>
        <v>0</v>
      </c>
      <c r="AE347" s="83">
        <f t="shared" si="304"/>
        <v>0</v>
      </c>
      <c r="AF347" s="83">
        <f t="shared" si="305"/>
        <v>0</v>
      </c>
      <c r="AG347" s="83">
        <f t="shared" si="306"/>
        <v>0</v>
      </c>
      <c r="AH347" s="83">
        <f t="shared" si="307"/>
        <v>0</v>
      </c>
      <c r="AI347" s="83">
        <f t="shared" si="308"/>
        <v>0</v>
      </c>
      <c r="AJ347" s="718">
        <f t="shared" si="309"/>
        <v>0</v>
      </c>
      <c r="AL347">
        <f t="shared" si="310"/>
        <v>0</v>
      </c>
      <c r="AM347">
        <f t="shared" si="311"/>
        <v>0</v>
      </c>
    </row>
    <row r="348" spans="1:39" ht="15.75" x14ac:dyDescent="0.25">
      <c r="A348" s="561"/>
      <c r="B348" s="561"/>
      <c r="C348" s="561"/>
      <c r="D348" s="672"/>
      <c r="E348" s="209"/>
      <c r="F348" s="209"/>
      <c r="G348" s="209"/>
      <c r="H348" s="176">
        <f t="shared" si="289"/>
        <v>0</v>
      </c>
      <c r="I348" s="209"/>
      <c r="J348" s="209"/>
      <c r="K348" s="176">
        <f t="shared" si="290"/>
        <v>0</v>
      </c>
      <c r="L348" s="209"/>
      <c r="M348" s="177">
        <f t="shared" si="291"/>
        <v>0</v>
      </c>
      <c r="N348" s="1012"/>
      <c r="O348" s="1012"/>
      <c r="P348" s="485"/>
      <c r="Q348" s="778"/>
      <c r="R348" s="778"/>
      <c r="S348" s="785" t="str">
        <f t="shared" si="294"/>
        <v/>
      </c>
      <c r="T348" s="548" t="str">
        <f t="shared" si="292"/>
        <v>Sheet Metal Takeoff</v>
      </c>
      <c r="U348" s="83">
        <f t="shared" si="295"/>
        <v>0</v>
      </c>
      <c r="V348" s="83">
        <f t="shared" si="296"/>
        <v>0</v>
      </c>
      <c r="W348" s="83">
        <f t="shared" si="297"/>
        <v>0</v>
      </c>
      <c r="X348" s="781">
        <f t="shared" si="298"/>
        <v>0</v>
      </c>
      <c r="Y348" s="781">
        <f t="shared" si="299"/>
        <v>0</v>
      </c>
      <c r="Z348" s="781">
        <f t="shared" si="300"/>
        <v>0</v>
      </c>
      <c r="AA348" s="83">
        <f t="shared" si="293"/>
        <v>0</v>
      </c>
      <c r="AB348" s="83">
        <f t="shared" si="301"/>
        <v>0</v>
      </c>
      <c r="AC348" s="83">
        <f t="shared" si="302"/>
        <v>0</v>
      </c>
      <c r="AD348" s="83">
        <f t="shared" si="303"/>
        <v>0</v>
      </c>
      <c r="AE348" s="83">
        <f t="shared" si="304"/>
        <v>0</v>
      </c>
      <c r="AF348" s="83">
        <f t="shared" si="305"/>
        <v>0</v>
      </c>
      <c r="AG348" s="83">
        <f t="shared" si="306"/>
        <v>0</v>
      </c>
      <c r="AH348" s="83">
        <f t="shared" si="307"/>
        <v>0</v>
      </c>
      <c r="AI348" s="83">
        <f t="shared" si="308"/>
        <v>0</v>
      </c>
      <c r="AJ348" s="718">
        <f t="shared" si="309"/>
        <v>0</v>
      </c>
      <c r="AL348">
        <f t="shared" si="310"/>
        <v>0</v>
      </c>
      <c r="AM348">
        <f t="shared" si="311"/>
        <v>0</v>
      </c>
    </row>
    <row r="349" spans="1:39" ht="15.75" x14ac:dyDescent="0.25">
      <c r="A349" s="561"/>
      <c r="B349" s="561"/>
      <c r="C349" s="561"/>
      <c r="D349" s="672"/>
      <c r="E349" s="209"/>
      <c r="F349" s="209"/>
      <c r="G349" s="209"/>
      <c r="H349" s="176">
        <f t="shared" si="289"/>
        <v>0</v>
      </c>
      <c r="I349" s="209"/>
      <c r="J349" s="209"/>
      <c r="K349" s="176">
        <f t="shared" si="290"/>
        <v>0</v>
      </c>
      <c r="L349" s="209"/>
      <c r="M349" s="177">
        <f t="shared" si="291"/>
        <v>0</v>
      </c>
      <c r="N349" s="1012"/>
      <c r="O349" s="1012"/>
      <c r="P349" s="485"/>
      <c r="Q349" s="778"/>
      <c r="R349" s="778"/>
      <c r="S349" s="785" t="str">
        <f t="shared" si="294"/>
        <v/>
      </c>
      <c r="T349" s="548" t="str">
        <f t="shared" si="292"/>
        <v>Sheet Metal Takeoff</v>
      </c>
      <c r="U349" s="83">
        <f t="shared" si="295"/>
        <v>0</v>
      </c>
      <c r="V349" s="83">
        <f t="shared" si="296"/>
        <v>0</v>
      </c>
      <c r="W349" s="83">
        <f t="shared" si="297"/>
        <v>0</v>
      </c>
      <c r="X349" s="781">
        <f t="shared" si="298"/>
        <v>0</v>
      </c>
      <c r="Y349" s="781">
        <f t="shared" si="299"/>
        <v>0</v>
      </c>
      <c r="Z349" s="781">
        <f t="shared" si="300"/>
        <v>0</v>
      </c>
      <c r="AA349" s="83">
        <f t="shared" si="293"/>
        <v>0</v>
      </c>
      <c r="AB349" s="83">
        <f t="shared" si="301"/>
        <v>0</v>
      </c>
      <c r="AC349" s="83">
        <f t="shared" si="302"/>
        <v>0</v>
      </c>
      <c r="AD349" s="83">
        <f t="shared" si="303"/>
        <v>0</v>
      </c>
      <c r="AE349" s="83">
        <f t="shared" si="304"/>
        <v>0</v>
      </c>
      <c r="AF349" s="83">
        <f t="shared" si="305"/>
        <v>0</v>
      </c>
      <c r="AG349" s="83">
        <f t="shared" si="306"/>
        <v>0</v>
      </c>
      <c r="AH349" s="83">
        <f t="shared" si="307"/>
        <v>0</v>
      </c>
      <c r="AI349" s="83">
        <f t="shared" si="308"/>
        <v>0</v>
      </c>
      <c r="AJ349" s="718">
        <f t="shared" si="309"/>
        <v>0</v>
      </c>
      <c r="AL349">
        <f t="shared" si="310"/>
        <v>0</v>
      </c>
      <c r="AM349">
        <f t="shared" si="311"/>
        <v>0</v>
      </c>
    </row>
    <row r="350" spans="1:39" ht="15.75" x14ac:dyDescent="0.25">
      <c r="A350" s="561"/>
      <c r="B350" s="561"/>
      <c r="C350" s="561"/>
      <c r="D350" s="672"/>
      <c r="E350" s="209"/>
      <c r="F350" s="209"/>
      <c r="G350" s="209"/>
      <c r="H350" s="176">
        <f t="shared" si="289"/>
        <v>0</v>
      </c>
      <c r="I350" s="209"/>
      <c r="J350" s="209"/>
      <c r="K350" s="176">
        <f t="shared" si="290"/>
        <v>0</v>
      </c>
      <c r="L350" s="209"/>
      <c r="M350" s="177">
        <f t="shared" si="291"/>
        <v>0</v>
      </c>
      <c r="N350" s="1012"/>
      <c r="O350" s="1012"/>
      <c r="P350" s="485"/>
      <c r="Q350" s="778"/>
      <c r="R350" s="778"/>
      <c r="S350" s="785" t="str">
        <f t="shared" si="294"/>
        <v/>
      </c>
      <c r="T350" s="548" t="str">
        <f t="shared" si="292"/>
        <v>Sheet Metal Takeoff</v>
      </c>
      <c r="U350" s="83">
        <f t="shared" si="295"/>
        <v>0</v>
      </c>
      <c r="V350" s="83">
        <f t="shared" si="296"/>
        <v>0</v>
      </c>
      <c r="W350" s="83">
        <f t="shared" si="297"/>
        <v>0</v>
      </c>
      <c r="X350" s="781">
        <f t="shared" si="298"/>
        <v>0</v>
      </c>
      <c r="Y350" s="781">
        <f t="shared" si="299"/>
        <v>0</v>
      </c>
      <c r="Z350" s="781">
        <f t="shared" si="300"/>
        <v>0</v>
      </c>
      <c r="AA350" s="83">
        <f t="shared" si="293"/>
        <v>0</v>
      </c>
      <c r="AB350" s="83">
        <f t="shared" si="301"/>
        <v>0</v>
      </c>
      <c r="AC350" s="83">
        <f t="shared" si="302"/>
        <v>0</v>
      </c>
      <c r="AD350" s="83">
        <f t="shared" si="303"/>
        <v>0</v>
      </c>
      <c r="AE350" s="83">
        <f t="shared" si="304"/>
        <v>0</v>
      </c>
      <c r="AF350" s="83">
        <f t="shared" si="305"/>
        <v>0</v>
      </c>
      <c r="AG350" s="83">
        <f t="shared" si="306"/>
        <v>0</v>
      </c>
      <c r="AH350" s="83">
        <f t="shared" si="307"/>
        <v>0</v>
      </c>
      <c r="AI350" s="83">
        <f t="shared" si="308"/>
        <v>0</v>
      </c>
      <c r="AJ350" s="718">
        <f t="shared" si="309"/>
        <v>0</v>
      </c>
      <c r="AL350">
        <f t="shared" si="310"/>
        <v>0</v>
      </c>
      <c r="AM350">
        <f t="shared" si="311"/>
        <v>0</v>
      </c>
    </row>
    <row r="351" spans="1:39" ht="15.75" x14ac:dyDescent="0.25">
      <c r="A351" s="561"/>
      <c r="B351" s="561"/>
      <c r="C351" s="561"/>
      <c r="D351" s="672"/>
      <c r="E351" s="209"/>
      <c r="F351" s="209"/>
      <c r="G351" s="209"/>
      <c r="H351" s="176">
        <f t="shared" si="289"/>
        <v>0</v>
      </c>
      <c r="I351" s="209"/>
      <c r="J351" s="209"/>
      <c r="K351" s="176">
        <f t="shared" si="290"/>
        <v>0</v>
      </c>
      <c r="L351" s="209"/>
      <c r="M351" s="177">
        <f t="shared" si="291"/>
        <v>0</v>
      </c>
      <c r="N351" s="1012"/>
      <c r="O351" s="1012"/>
      <c r="P351" s="485"/>
      <c r="Q351" s="778"/>
      <c r="R351" s="778"/>
      <c r="S351" s="785" t="str">
        <f t="shared" si="294"/>
        <v/>
      </c>
      <c r="T351" s="548" t="str">
        <f t="shared" si="292"/>
        <v>Sheet Metal Takeoff</v>
      </c>
      <c r="U351" s="83">
        <f t="shared" si="295"/>
        <v>0</v>
      </c>
      <c r="V351" s="83">
        <f t="shared" si="296"/>
        <v>0</v>
      </c>
      <c r="W351" s="83">
        <f t="shared" si="297"/>
        <v>0</v>
      </c>
      <c r="X351" s="781">
        <f t="shared" si="298"/>
        <v>0</v>
      </c>
      <c r="Y351" s="781">
        <f t="shared" si="299"/>
        <v>0</v>
      </c>
      <c r="Z351" s="781">
        <f t="shared" si="300"/>
        <v>0</v>
      </c>
      <c r="AA351" s="83">
        <f t="shared" si="293"/>
        <v>0</v>
      </c>
      <c r="AB351" s="83">
        <f t="shared" si="301"/>
        <v>0</v>
      </c>
      <c r="AC351" s="83">
        <f t="shared" si="302"/>
        <v>0</v>
      </c>
      <c r="AD351" s="83">
        <f t="shared" si="303"/>
        <v>0</v>
      </c>
      <c r="AE351" s="83">
        <f t="shared" si="304"/>
        <v>0</v>
      </c>
      <c r="AF351" s="83">
        <f t="shared" si="305"/>
        <v>0</v>
      </c>
      <c r="AG351" s="83">
        <f t="shared" si="306"/>
        <v>0</v>
      </c>
      <c r="AH351" s="83">
        <f t="shared" si="307"/>
        <v>0</v>
      </c>
      <c r="AI351" s="83">
        <f t="shared" si="308"/>
        <v>0</v>
      </c>
      <c r="AJ351" s="718">
        <f t="shared" si="309"/>
        <v>0</v>
      </c>
      <c r="AL351">
        <f t="shared" si="310"/>
        <v>0</v>
      </c>
      <c r="AM351">
        <f t="shared" si="311"/>
        <v>0</v>
      </c>
    </row>
    <row r="352" spans="1:39" ht="15.75" x14ac:dyDescent="0.25">
      <c r="A352" s="561"/>
      <c r="B352" s="561"/>
      <c r="C352" s="561"/>
      <c r="D352" s="672"/>
      <c r="E352" s="209"/>
      <c r="F352" s="209"/>
      <c r="G352" s="209"/>
      <c r="H352" s="176">
        <f t="shared" si="289"/>
        <v>0</v>
      </c>
      <c r="I352" s="209"/>
      <c r="J352" s="209"/>
      <c r="K352" s="176">
        <f t="shared" si="290"/>
        <v>0</v>
      </c>
      <c r="L352" s="209"/>
      <c r="M352" s="177">
        <f t="shared" si="291"/>
        <v>0</v>
      </c>
      <c r="N352" s="1012"/>
      <c r="O352" s="1012"/>
      <c r="P352" s="485"/>
      <c r="Q352" s="778"/>
      <c r="R352" s="778"/>
      <c r="S352" s="785" t="str">
        <f t="shared" si="294"/>
        <v/>
      </c>
      <c r="T352" s="548" t="str">
        <f t="shared" si="292"/>
        <v>Sheet Metal Takeoff</v>
      </c>
      <c r="U352" s="83">
        <f t="shared" si="295"/>
        <v>0</v>
      </c>
      <c r="V352" s="83">
        <f t="shared" si="296"/>
        <v>0</v>
      </c>
      <c r="W352" s="83">
        <f t="shared" si="297"/>
        <v>0</v>
      </c>
      <c r="X352" s="781">
        <f t="shared" si="298"/>
        <v>0</v>
      </c>
      <c r="Y352" s="781">
        <f t="shared" si="299"/>
        <v>0</v>
      </c>
      <c r="Z352" s="781">
        <f t="shared" si="300"/>
        <v>0</v>
      </c>
      <c r="AA352" s="83">
        <f t="shared" si="293"/>
        <v>0</v>
      </c>
      <c r="AB352" s="83">
        <f t="shared" si="301"/>
        <v>0</v>
      </c>
      <c r="AC352" s="83">
        <f t="shared" si="302"/>
        <v>0</v>
      </c>
      <c r="AD352" s="83">
        <f t="shared" si="303"/>
        <v>0</v>
      </c>
      <c r="AE352" s="83">
        <f t="shared" si="304"/>
        <v>0</v>
      </c>
      <c r="AF352" s="83">
        <f t="shared" si="305"/>
        <v>0</v>
      </c>
      <c r="AG352" s="83">
        <f t="shared" si="306"/>
        <v>0</v>
      </c>
      <c r="AH352" s="83">
        <f t="shared" si="307"/>
        <v>0</v>
      </c>
      <c r="AI352" s="83">
        <f t="shared" si="308"/>
        <v>0</v>
      </c>
      <c r="AJ352" s="718">
        <f t="shared" si="309"/>
        <v>0</v>
      </c>
      <c r="AL352">
        <f t="shared" si="310"/>
        <v>0</v>
      </c>
      <c r="AM352">
        <f t="shared" si="311"/>
        <v>0</v>
      </c>
    </row>
    <row r="353" spans="1:39" ht="15.75" x14ac:dyDescent="0.25">
      <c r="A353" s="561"/>
      <c r="B353" s="561"/>
      <c r="C353" s="561"/>
      <c r="D353" s="672"/>
      <c r="E353" s="209"/>
      <c r="F353" s="209"/>
      <c r="G353" s="209"/>
      <c r="H353" s="176">
        <f t="shared" si="289"/>
        <v>0</v>
      </c>
      <c r="I353" s="209"/>
      <c r="J353" s="209"/>
      <c r="K353" s="176">
        <f t="shared" si="290"/>
        <v>0</v>
      </c>
      <c r="L353" s="209"/>
      <c r="M353" s="177">
        <f t="shared" si="291"/>
        <v>0</v>
      </c>
      <c r="N353" s="1012"/>
      <c r="O353" s="1012"/>
      <c r="P353" s="485"/>
      <c r="Q353" s="778"/>
      <c r="R353" s="778"/>
      <c r="S353" s="785" t="str">
        <f t="shared" si="294"/>
        <v/>
      </c>
      <c r="T353" s="548" t="str">
        <f t="shared" si="292"/>
        <v>Sheet Metal Takeoff</v>
      </c>
      <c r="U353" s="83">
        <f t="shared" si="295"/>
        <v>0</v>
      </c>
      <c r="V353" s="83">
        <f t="shared" si="296"/>
        <v>0</v>
      </c>
      <c r="W353" s="83">
        <f t="shared" si="297"/>
        <v>0</v>
      </c>
      <c r="X353" s="781">
        <f t="shared" si="298"/>
        <v>0</v>
      </c>
      <c r="Y353" s="781">
        <f t="shared" si="299"/>
        <v>0</v>
      </c>
      <c r="Z353" s="781">
        <f t="shared" si="300"/>
        <v>0</v>
      </c>
      <c r="AA353" s="83">
        <f t="shared" si="293"/>
        <v>0</v>
      </c>
      <c r="AB353" s="83">
        <f t="shared" si="301"/>
        <v>0</v>
      </c>
      <c r="AC353" s="83">
        <f t="shared" si="302"/>
        <v>0</v>
      </c>
      <c r="AD353" s="83">
        <f t="shared" si="303"/>
        <v>0</v>
      </c>
      <c r="AE353" s="83">
        <f t="shared" si="304"/>
        <v>0</v>
      </c>
      <c r="AF353" s="83">
        <f t="shared" si="305"/>
        <v>0</v>
      </c>
      <c r="AG353" s="83">
        <f t="shared" si="306"/>
        <v>0</v>
      </c>
      <c r="AH353" s="83">
        <f t="shared" si="307"/>
        <v>0</v>
      </c>
      <c r="AI353" s="83">
        <f t="shared" si="308"/>
        <v>0</v>
      </c>
      <c r="AJ353" s="718">
        <f t="shared" si="309"/>
        <v>0</v>
      </c>
      <c r="AL353">
        <f t="shared" si="310"/>
        <v>0</v>
      </c>
      <c r="AM353">
        <f t="shared" si="311"/>
        <v>0</v>
      </c>
    </row>
    <row r="354" spans="1:39" ht="15.75" hidden="1" customHeight="1" x14ac:dyDescent="0.25">
      <c r="A354" s="561"/>
      <c r="B354" s="561"/>
      <c r="C354" s="561"/>
      <c r="D354" s="672"/>
      <c r="E354" s="209"/>
      <c r="F354" s="209"/>
      <c r="G354" s="209"/>
      <c r="H354" s="176">
        <f t="shared" si="289"/>
        <v>0</v>
      </c>
      <c r="I354" s="209"/>
      <c r="J354" s="209"/>
      <c r="K354" s="176">
        <f t="shared" si="290"/>
        <v>0</v>
      </c>
      <c r="L354" s="209"/>
      <c r="M354" s="177">
        <f t="shared" si="291"/>
        <v>0</v>
      </c>
      <c r="N354" s="1012"/>
      <c r="O354" s="1012"/>
      <c r="P354" s="485"/>
      <c r="Q354" s="778"/>
      <c r="R354" s="778"/>
      <c r="S354" s="785" t="str">
        <f t="shared" si="294"/>
        <v/>
      </c>
      <c r="T354" s="548" t="str">
        <f t="shared" si="292"/>
        <v>Sheet Metal Takeoff</v>
      </c>
      <c r="U354" s="83">
        <f>ROUND(IF($T354="Plumb Takeoff",$H354*U$3,IF($T354="Pipe Takeoff",$H354*U$4,$H354*U$2)),2)</f>
        <v>0</v>
      </c>
      <c r="V354" s="83">
        <f t="shared" si="296"/>
        <v>0</v>
      </c>
      <c r="W354" s="83">
        <f t="shared" si="297"/>
        <v>0</v>
      </c>
      <c r="X354" s="781">
        <f t="shared" si="298"/>
        <v>0</v>
      </c>
      <c r="Y354" s="781">
        <f t="shared" si="299"/>
        <v>0</v>
      </c>
      <c r="Z354" s="781">
        <f t="shared" si="300"/>
        <v>0</v>
      </c>
      <c r="AA354" s="83">
        <f t="shared" si="293"/>
        <v>0</v>
      </c>
      <c r="AB354" s="83">
        <f t="shared" si="301"/>
        <v>0</v>
      </c>
      <c r="AC354" s="83">
        <f t="shared" si="302"/>
        <v>0</v>
      </c>
      <c r="AD354" s="83">
        <f t="shared" si="303"/>
        <v>0</v>
      </c>
      <c r="AE354" s="83">
        <f t="shared" si="304"/>
        <v>0</v>
      </c>
      <c r="AF354" s="83">
        <f t="shared" si="305"/>
        <v>0</v>
      </c>
      <c r="AG354" s="83">
        <f t="shared" si="306"/>
        <v>0</v>
      </c>
      <c r="AH354" s="83">
        <f t="shared" si="307"/>
        <v>0</v>
      </c>
      <c r="AI354" s="83">
        <f t="shared" si="308"/>
        <v>0</v>
      </c>
      <c r="AJ354" s="718">
        <f t="shared" si="309"/>
        <v>0</v>
      </c>
      <c r="AL354">
        <f t="shared" si="310"/>
        <v>0</v>
      </c>
      <c r="AM354">
        <f t="shared" si="311"/>
        <v>0</v>
      </c>
    </row>
    <row r="355" spans="1:39" ht="15.75" x14ac:dyDescent="0.25">
      <c r="A355" s="551"/>
      <c r="B355" s="551"/>
      <c r="C355" s="551"/>
      <c r="D355" s="673"/>
      <c r="E355" s="552"/>
      <c r="F355" s="553"/>
      <c r="G355" s="553"/>
      <c r="H355" s="181">
        <f>SUM(H329:H354)</f>
        <v>0</v>
      </c>
      <c r="I355" s="182"/>
      <c r="J355" s="182"/>
      <c r="K355" s="181">
        <f>SUM(K329:K354)</f>
        <v>0</v>
      </c>
      <c r="L355" s="182"/>
      <c r="M355" s="177">
        <f>SUM(M329:M354)</f>
        <v>0</v>
      </c>
      <c r="O355" s="486"/>
      <c r="AJ355" s="718"/>
    </row>
    <row r="356" spans="1:39" ht="15.75" thickBot="1" x14ac:dyDescent="0.3">
      <c r="AJ356" s="718"/>
    </row>
    <row r="357" spans="1:39" ht="16.5" thickBot="1" x14ac:dyDescent="0.3">
      <c r="E357" s="678" t="s">
        <v>1122</v>
      </c>
      <c r="F357" s="1017" t="s">
        <v>1630</v>
      </c>
      <c r="G357" s="1018"/>
      <c r="H357" s="344"/>
      <c r="I357" s="1019" t="s">
        <v>1628</v>
      </c>
      <c r="J357" s="1020"/>
      <c r="K357" s="679" t="b">
        <v>0</v>
      </c>
      <c r="AJ357" s="718"/>
    </row>
    <row r="358" spans="1:39" ht="38.25" thickBot="1" x14ac:dyDescent="0.35">
      <c r="A358" s="477" t="s">
        <v>1063</v>
      </c>
      <c r="B358" s="477" t="s">
        <v>348</v>
      </c>
      <c r="C358" s="477" t="s">
        <v>349</v>
      </c>
      <c r="D358" s="666" t="s">
        <v>0</v>
      </c>
      <c r="E358" s="477" t="s">
        <v>1</v>
      </c>
      <c r="F358" s="480" t="s">
        <v>2</v>
      </c>
      <c r="G358" s="480" t="s">
        <v>1123</v>
      </c>
      <c r="H358" s="480" t="s">
        <v>3</v>
      </c>
      <c r="I358" s="483" t="s">
        <v>4</v>
      </c>
      <c r="J358" s="480" t="s">
        <v>1124</v>
      </c>
      <c r="K358" s="680" t="s">
        <v>5</v>
      </c>
      <c r="L358" s="480" t="s">
        <v>6</v>
      </c>
      <c r="M358" s="484" t="s">
        <v>7</v>
      </c>
      <c r="N358" s="1013" t="s">
        <v>1079</v>
      </c>
      <c r="O358" s="1014"/>
      <c r="P358" s="1009" t="s">
        <v>1629</v>
      </c>
      <c r="Q358" s="1009" t="s">
        <v>1147</v>
      </c>
      <c r="R358" s="1009" t="s">
        <v>1792</v>
      </c>
      <c r="T358" s="2"/>
      <c r="AJ358" s="718"/>
    </row>
    <row r="359" spans="1:39" ht="16.5" thickBot="1" x14ac:dyDescent="0.3">
      <c r="A359" s="183"/>
      <c r="B359" s="183"/>
      <c r="C359" s="183"/>
      <c r="D359" s="671"/>
      <c r="E359" s="183"/>
      <c r="F359" s="183"/>
      <c r="G359" s="183"/>
      <c r="H359" s="183"/>
      <c r="I359" s="183"/>
      <c r="J359" s="183"/>
      <c r="K359" s="183"/>
      <c r="L359" s="183"/>
      <c r="M359" s="183"/>
      <c r="N359" s="1015"/>
      <c r="O359" s="1016"/>
      <c r="P359" s="1010" t="s">
        <v>1362</v>
      </c>
      <c r="Q359" s="1010"/>
      <c r="R359" s="1010"/>
      <c r="T359" s="1"/>
      <c r="AJ359" s="718"/>
    </row>
    <row r="360" spans="1:39" ht="15.75" x14ac:dyDescent="0.25">
      <c r="A360" s="561"/>
      <c r="B360" s="561"/>
      <c r="C360" s="561"/>
      <c r="D360" s="672"/>
      <c r="E360" s="209"/>
      <c r="F360" s="209"/>
      <c r="G360" s="209"/>
      <c r="H360" s="176">
        <f t="shared" ref="H360:H385" si="312">IF(SM_ExludeGroup11=TRUE,0,IF(G360="",E360*F360*IF(AND(S360="LOP",R360="SWING"),1+CrewRate_PlumbFitter_SwingLOP,1)*IF(AND(S360="LOP",R360="GRAVE"),1+CrewRate_PlumbFitter_GraveLOP,1)*IF(AND(S360="LOP",R360="SPECIAL"),1+CrewRate_PlumbFitter_SwingLOP,1),E360*F360*G360*IF(AND(S360="LOP",R360="SWING"),1+CrewRate_PlumbFitter_SwingLOP,1)*IF(AND(S360="LOP",R360="GRAVE"),1+CrewRate_PlumbFitter_GraveLOP,1)*IF(AND(S360="LOP",R360="SPECIAL"),1+CrewRate_PlumbFitter_SwingLOP,1)))</f>
        <v>0</v>
      </c>
      <c r="I360" s="209"/>
      <c r="J360" s="209"/>
      <c r="K360" s="176">
        <f t="shared" ref="K360:K385" si="313">IF(SM_ExludeGroup11=TRUE,0,IF(J360="",E360*I360,E360*I360*J360))</f>
        <v>0</v>
      </c>
      <c r="L360" s="209"/>
      <c r="M360" s="177">
        <f t="shared" ref="M360:M385" si="314">IF(SM_ExludeGroup11=TRUE,0,E360*L360)</f>
        <v>0</v>
      </c>
      <c r="N360" s="1012"/>
      <c r="O360" s="1012"/>
      <c r="P360" s="485"/>
      <c r="Q360" s="778"/>
      <c r="R360" s="778"/>
      <c r="S360" s="785" t="str">
        <f>IF(T360="Sheet Metal Takeoff","",IF(R360="","","LOP"))</f>
        <v/>
      </c>
      <c r="T360" s="548" t="str">
        <f t="shared" ref="T360:T385" si="315">IF($F$357="","Sheet Metal Takeoff",$F$357)</f>
        <v>Sheet Metal Takeoff</v>
      </c>
      <c r="U360" s="83">
        <f>ROUND(IF($T360="Plumb Takeoff",$H360*U$3,IF($T360="Pipe Takeoff",$H360*U$4,$H360*U$2)),2)</f>
        <v>0</v>
      </c>
      <c r="V360" s="83">
        <f>ROUND(IF($T360="Plumb Takeoff",IF($Q360="OT",$H360*V$3,0),IF($T360="Pipe Takeoff",IF($Q360="OT",$H360*V$4,0),IF($Q360="OT",$H360*V$2,0))),2)</f>
        <v>0</v>
      </c>
      <c r="W360" s="83">
        <f>ROUND(IF($T360="Plumb Takeoff",IF($Q360="DBLT",$H360*W$3,0),IF($T360="Pipe Takeoff",IF($Q360="DBLT",$H360*W$4,0),IF($Q360="DBLT",$H360*W$2,0))),2)</f>
        <v>0</v>
      </c>
      <c r="X360" s="781">
        <f>ROUND(SUM(IF($T360="Plumb Takeoff",IF($R360="SWING",ROUND(SUM($H360)*X$3,2))),IF($T360="Pipe Takeoff",IF($R360="SWING",ROUND(SUM($H360)*X$4,2))),IF($T360="Sheet Metal Takeoff",IF($R360="SWING",ROUND(SUM($H360)*X$2,2)))),2)</f>
        <v>0</v>
      </c>
      <c r="Y360" s="781">
        <f>ROUND(SUM(IF($T360="Plumb Takeoff",IF($R360="GRAVE",ROUND(SUM($H360)*Y$3,2))),IF($T360="Pipe Takeoff",IF($R360="GRAVE",ROUND(SUM($H360)*Y$4,2))),IF($T360="Sheet Metal Takeoff",IF($R360="GRAVE",ROUND(SUM($H360)*Y$2,2)))),2)</f>
        <v>0</v>
      </c>
      <c r="Z360" s="781">
        <f>ROUND(SUM(IF($T360="Plumb Takeoff",IF($R360="SPECIAL",ROUND(SUM($H360)*Z$3,2))),IF($T360="Pipe Takeoff",IF($R360="SPECIAL",ROUND(SUM($H360)*Z$4,2))),IF($T360="Sheet Metal Takeoff",IF($R360="SPECIAL",ROUND(SUM($H360)*Z$2,2)))),2)</f>
        <v>0</v>
      </c>
      <c r="AA360" s="83">
        <f t="shared" ref="AA360:AA385" si="316">ROUND($K360*AA$2,2)</f>
        <v>0</v>
      </c>
      <c r="AB360" s="83">
        <f>ROUND(IF($Q360="OT",$K360*AB$2,0),2)</f>
        <v>0</v>
      </c>
      <c r="AC360" s="83">
        <f>ROUND(IF($Q360="DBLT",$K360*AC$2,0),2)</f>
        <v>0</v>
      </c>
      <c r="AD360" s="83">
        <f>ROUND(IF($R360="SWING",$K360*AD$2,0),2)</f>
        <v>0</v>
      </c>
      <c r="AE360" s="83">
        <f>ROUND(IF($R360="GRAVE",$K360*AE$2,0),2)</f>
        <v>0</v>
      </c>
      <c r="AF360" s="83">
        <f>ROUND(IF($R360="SPECIAL",$K360*AF$2,0),2)</f>
        <v>0</v>
      </c>
      <c r="AG360" s="83">
        <f>SUM(U360:Z360)</f>
        <v>0</v>
      </c>
      <c r="AH360" s="83">
        <f>SUM(AA360:AF360)</f>
        <v>0</v>
      </c>
      <c r="AI360" s="83">
        <f>SUM(U360:AF360)</f>
        <v>0</v>
      </c>
      <c r="AJ360" s="718">
        <f>SUM(M360,AI360)</f>
        <v>0</v>
      </c>
      <c r="AL360">
        <f>SUM(V360:Z360)</f>
        <v>0</v>
      </c>
      <c r="AM360">
        <f>SUM(AB360:AF360)</f>
        <v>0</v>
      </c>
    </row>
    <row r="361" spans="1:39" ht="15.75" x14ac:dyDescent="0.25">
      <c r="A361" s="561"/>
      <c r="B361" s="561"/>
      <c r="C361" s="561"/>
      <c r="D361" s="672"/>
      <c r="E361" s="209"/>
      <c r="F361" s="209"/>
      <c r="G361" s="209"/>
      <c r="H361" s="176">
        <f t="shared" si="312"/>
        <v>0</v>
      </c>
      <c r="I361" s="209"/>
      <c r="J361" s="209"/>
      <c r="K361" s="176">
        <f t="shared" si="313"/>
        <v>0</v>
      </c>
      <c r="L361" s="209"/>
      <c r="M361" s="177">
        <f t="shared" si="314"/>
        <v>0</v>
      </c>
      <c r="N361" s="1012"/>
      <c r="O361" s="1012"/>
      <c r="P361" s="485"/>
      <c r="Q361" s="778"/>
      <c r="R361" s="778"/>
      <c r="S361" s="785" t="str">
        <f t="shared" ref="S361:S385" si="317">IF(T361="Sheet Metal Takeoff","",IF(R361="","","LOP"))</f>
        <v/>
      </c>
      <c r="T361" s="548" t="str">
        <f t="shared" si="315"/>
        <v>Sheet Metal Takeoff</v>
      </c>
      <c r="U361" s="83">
        <f t="shared" ref="U361:U384" si="318">ROUND(IF($T361="Plumb Takeoff",$H361*U$3,IF($T361="Pipe Takeoff",$H361*U$4,$H361*U$2)),2)</f>
        <v>0</v>
      </c>
      <c r="V361" s="83">
        <f t="shared" ref="V361:V385" si="319">ROUND(IF($T361="Plumb Takeoff",IF($Q361="OT",$H361*V$3,0),IF($T361="Pipe Takeoff",IF($Q361="OT",$H361*V$4,0),IF($Q361="OT",$H361*V$2,0))),2)</f>
        <v>0</v>
      </c>
      <c r="W361" s="83">
        <f t="shared" ref="W361:W385" si="320">ROUND(IF($T361="Plumb Takeoff",IF($Q361="DBLT",$H361*W$3,0),IF($T361="Pipe Takeoff",IF($Q361="DBLT",$H361*W$4,0),IF($Q361="DBLT",$H361*W$2,0))),2)</f>
        <v>0</v>
      </c>
      <c r="X361" s="781">
        <f t="shared" ref="X361:X385" si="321">ROUND(SUM(IF($T361="Plumb Takeoff",IF($R361="SWING",ROUND(SUM($H361)*X$3,2))),IF($T361="Pipe Takeoff",IF($R361="SWING",ROUND(SUM($H361)*X$4,2))),IF($T361="Sheet Metal Takeoff",IF($R361="SWING",ROUND(SUM($H361)*X$2,2)))),2)</f>
        <v>0</v>
      </c>
      <c r="Y361" s="781">
        <f t="shared" ref="Y361:Y385" si="322">ROUND(SUM(IF($T361="Plumb Takeoff",IF($R361="GRAVE",ROUND(SUM($H361)*Y$3,2))),IF($T361="Pipe Takeoff",IF($R361="GRAVE",ROUND(SUM($H361)*Y$4,2))),IF($T361="Sheet Metal Takeoff",IF($R361="GRAVE",ROUND(SUM($H361)*Y$2,2)))),2)</f>
        <v>0</v>
      </c>
      <c r="Z361" s="781">
        <f t="shared" ref="Z361:Z385" si="323">ROUND(SUM(IF($T361="Plumb Takeoff",IF($R361="SPECIAL",ROUND(SUM($H361)*Z$3,2))),IF($T361="Pipe Takeoff",IF($R361="SPECIAL",ROUND(SUM($H361)*Z$4,2))),IF($T361="Sheet Metal Takeoff",IF($R361="SPECIAL",ROUND(SUM($H361)*Z$2,2)))),2)</f>
        <v>0</v>
      </c>
      <c r="AA361" s="83">
        <f t="shared" si="316"/>
        <v>0</v>
      </c>
      <c r="AB361" s="83">
        <f t="shared" ref="AB361:AB385" si="324">ROUND(IF($Q361="OT",$K361*AB$2,0),2)</f>
        <v>0</v>
      </c>
      <c r="AC361" s="83">
        <f t="shared" ref="AC361:AC385" si="325">ROUND(IF($Q361="DBLT",$K361*AC$2,0),2)</f>
        <v>0</v>
      </c>
      <c r="AD361" s="83">
        <f t="shared" ref="AD361:AD385" si="326">ROUND(IF($R361="SWING",$K361*AD$2,0),2)</f>
        <v>0</v>
      </c>
      <c r="AE361" s="83">
        <f t="shared" ref="AE361:AE385" si="327">ROUND(IF($R361="GRAVE",$K361*AE$2,0),2)</f>
        <v>0</v>
      </c>
      <c r="AF361" s="83">
        <f t="shared" ref="AF361:AF385" si="328">ROUND(IF($R361="SPECIAL",$K361*AF$2,0),2)</f>
        <v>0</v>
      </c>
      <c r="AG361" s="83">
        <f t="shared" ref="AG361:AG385" si="329">SUM(U361:Z361)</f>
        <v>0</v>
      </c>
      <c r="AH361" s="83">
        <f t="shared" ref="AH361:AH385" si="330">SUM(AA361:AF361)</f>
        <v>0</v>
      </c>
      <c r="AI361" s="83">
        <f t="shared" ref="AI361:AI385" si="331">SUM(U361:AF361)</f>
        <v>0</v>
      </c>
      <c r="AJ361" s="718">
        <f t="shared" ref="AJ361:AJ385" si="332">SUM(M361,AI361)</f>
        <v>0</v>
      </c>
      <c r="AL361">
        <f t="shared" ref="AL361:AL385" si="333">SUM(V361:Z361)</f>
        <v>0</v>
      </c>
      <c r="AM361">
        <f t="shared" ref="AM361:AM385" si="334">SUM(AB361:AF361)</f>
        <v>0</v>
      </c>
    </row>
    <row r="362" spans="1:39" ht="15.75" x14ac:dyDescent="0.25">
      <c r="A362" s="561"/>
      <c r="B362" s="561"/>
      <c r="C362" s="561"/>
      <c r="D362" s="672"/>
      <c r="E362" s="209"/>
      <c r="F362" s="209"/>
      <c r="G362" s="209"/>
      <c r="H362" s="176">
        <f t="shared" si="312"/>
        <v>0</v>
      </c>
      <c r="I362" s="209"/>
      <c r="J362" s="209"/>
      <c r="K362" s="176">
        <f t="shared" si="313"/>
        <v>0</v>
      </c>
      <c r="L362" s="209"/>
      <c r="M362" s="177">
        <f t="shared" si="314"/>
        <v>0</v>
      </c>
      <c r="N362" s="1012"/>
      <c r="O362" s="1012"/>
      <c r="P362" s="485"/>
      <c r="Q362" s="778"/>
      <c r="R362" s="778"/>
      <c r="S362" s="785" t="str">
        <f t="shared" si="317"/>
        <v/>
      </c>
      <c r="T362" s="548" t="str">
        <f t="shared" si="315"/>
        <v>Sheet Metal Takeoff</v>
      </c>
      <c r="U362" s="83">
        <f t="shared" si="318"/>
        <v>0</v>
      </c>
      <c r="V362" s="83">
        <f t="shared" si="319"/>
        <v>0</v>
      </c>
      <c r="W362" s="83">
        <f t="shared" si="320"/>
        <v>0</v>
      </c>
      <c r="X362" s="781">
        <f t="shared" si="321"/>
        <v>0</v>
      </c>
      <c r="Y362" s="781">
        <f t="shared" si="322"/>
        <v>0</v>
      </c>
      <c r="Z362" s="781">
        <f t="shared" si="323"/>
        <v>0</v>
      </c>
      <c r="AA362" s="83">
        <f t="shared" si="316"/>
        <v>0</v>
      </c>
      <c r="AB362" s="83">
        <f t="shared" si="324"/>
        <v>0</v>
      </c>
      <c r="AC362" s="83">
        <f t="shared" si="325"/>
        <v>0</v>
      </c>
      <c r="AD362" s="83">
        <f t="shared" si="326"/>
        <v>0</v>
      </c>
      <c r="AE362" s="83">
        <f t="shared" si="327"/>
        <v>0</v>
      </c>
      <c r="AF362" s="83">
        <f t="shared" si="328"/>
        <v>0</v>
      </c>
      <c r="AG362" s="83">
        <f t="shared" si="329"/>
        <v>0</v>
      </c>
      <c r="AH362" s="83">
        <f t="shared" si="330"/>
        <v>0</v>
      </c>
      <c r="AI362" s="83">
        <f t="shared" si="331"/>
        <v>0</v>
      </c>
      <c r="AJ362" s="718">
        <f t="shared" si="332"/>
        <v>0</v>
      </c>
      <c r="AL362">
        <f t="shared" si="333"/>
        <v>0</v>
      </c>
      <c r="AM362">
        <f t="shared" si="334"/>
        <v>0</v>
      </c>
    </row>
    <row r="363" spans="1:39" ht="15.75" x14ac:dyDescent="0.25">
      <c r="A363" s="561"/>
      <c r="B363" s="561"/>
      <c r="C363" s="561"/>
      <c r="D363" s="672"/>
      <c r="E363" s="209"/>
      <c r="F363" s="209"/>
      <c r="G363" s="209"/>
      <c r="H363" s="176">
        <f t="shared" si="312"/>
        <v>0</v>
      </c>
      <c r="I363" s="209"/>
      <c r="J363" s="209"/>
      <c r="K363" s="176">
        <f t="shared" si="313"/>
        <v>0</v>
      </c>
      <c r="L363" s="209"/>
      <c r="M363" s="177">
        <f t="shared" si="314"/>
        <v>0</v>
      </c>
      <c r="N363" s="1012"/>
      <c r="O363" s="1012"/>
      <c r="P363" s="485"/>
      <c r="Q363" s="778"/>
      <c r="R363" s="778"/>
      <c r="S363" s="785" t="str">
        <f t="shared" si="317"/>
        <v/>
      </c>
      <c r="T363" s="548" t="str">
        <f t="shared" si="315"/>
        <v>Sheet Metal Takeoff</v>
      </c>
      <c r="U363" s="83">
        <f t="shared" si="318"/>
        <v>0</v>
      </c>
      <c r="V363" s="83">
        <f t="shared" si="319"/>
        <v>0</v>
      </c>
      <c r="W363" s="83">
        <f t="shared" si="320"/>
        <v>0</v>
      </c>
      <c r="X363" s="781">
        <f t="shared" si="321"/>
        <v>0</v>
      </c>
      <c r="Y363" s="781">
        <f t="shared" si="322"/>
        <v>0</v>
      </c>
      <c r="Z363" s="781">
        <f t="shared" si="323"/>
        <v>0</v>
      </c>
      <c r="AA363" s="83">
        <f t="shared" si="316"/>
        <v>0</v>
      </c>
      <c r="AB363" s="83">
        <f t="shared" si="324"/>
        <v>0</v>
      </c>
      <c r="AC363" s="83">
        <f t="shared" si="325"/>
        <v>0</v>
      </c>
      <c r="AD363" s="83">
        <f t="shared" si="326"/>
        <v>0</v>
      </c>
      <c r="AE363" s="83">
        <f t="shared" si="327"/>
        <v>0</v>
      </c>
      <c r="AF363" s="83">
        <f t="shared" si="328"/>
        <v>0</v>
      </c>
      <c r="AG363" s="83">
        <f t="shared" si="329"/>
        <v>0</v>
      </c>
      <c r="AH363" s="83">
        <f t="shared" si="330"/>
        <v>0</v>
      </c>
      <c r="AI363" s="83">
        <f t="shared" si="331"/>
        <v>0</v>
      </c>
      <c r="AJ363" s="718">
        <f t="shared" si="332"/>
        <v>0</v>
      </c>
      <c r="AL363">
        <f t="shared" si="333"/>
        <v>0</v>
      </c>
      <c r="AM363">
        <f t="shared" si="334"/>
        <v>0</v>
      </c>
    </row>
    <row r="364" spans="1:39" ht="15.75" x14ac:dyDescent="0.25">
      <c r="A364" s="561"/>
      <c r="B364" s="561"/>
      <c r="C364" s="561"/>
      <c r="D364" s="672"/>
      <c r="E364" s="209"/>
      <c r="F364" s="209"/>
      <c r="G364" s="209"/>
      <c r="H364" s="176">
        <f t="shared" si="312"/>
        <v>0</v>
      </c>
      <c r="I364" s="209"/>
      <c r="J364" s="209"/>
      <c r="K364" s="176">
        <f t="shared" si="313"/>
        <v>0</v>
      </c>
      <c r="L364" s="209"/>
      <c r="M364" s="177">
        <f t="shared" si="314"/>
        <v>0</v>
      </c>
      <c r="N364" s="1012"/>
      <c r="O364" s="1012"/>
      <c r="P364" s="485"/>
      <c r="Q364" s="778"/>
      <c r="R364" s="778"/>
      <c r="S364" s="785" t="str">
        <f t="shared" si="317"/>
        <v/>
      </c>
      <c r="T364" s="548" t="str">
        <f t="shared" si="315"/>
        <v>Sheet Metal Takeoff</v>
      </c>
      <c r="U364" s="83">
        <f t="shared" si="318"/>
        <v>0</v>
      </c>
      <c r="V364" s="83">
        <f t="shared" si="319"/>
        <v>0</v>
      </c>
      <c r="W364" s="83">
        <f t="shared" si="320"/>
        <v>0</v>
      </c>
      <c r="X364" s="781">
        <f t="shared" si="321"/>
        <v>0</v>
      </c>
      <c r="Y364" s="781">
        <f t="shared" si="322"/>
        <v>0</v>
      </c>
      <c r="Z364" s="781">
        <f t="shared" si="323"/>
        <v>0</v>
      </c>
      <c r="AA364" s="83">
        <f t="shared" si="316"/>
        <v>0</v>
      </c>
      <c r="AB364" s="83">
        <f t="shared" si="324"/>
        <v>0</v>
      </c>
      <c r="AC364" s="83">
        <f t="shared" si="325"/>
        <v>0</v>
      </c>
      <c r="AD364" s="83">
        <f t="shared" si="326"/>
        <v>0</v>
      </c>
      <c r="AE364" s="83">
        <f t="shared" si="327"/>
        <v>0</v>
      </c>
      <c r="AF364" s="83">
        <f t="shared" si="328"/>
        <v>0</v>
      </c>
      <c r="AG364" s="83">
        <f t="shared" si="329"/>
        <v>0</v>
      </c>
      <c r="AH364" s="83">
        <f t="shared" si="330"/>
        <v>0</v>
      </c>
      <c r="AI364" s="83">
        <f t="shared" si="331"/>
        <v>0</v>
      </c>
      <c r="AJ364" s="718">
        <f t="shared" si="332"/>
        <v>0</v>
      </c>
      <c r="AL364">
        <f t="shared" si="333"/>
        <v>0</v>
      </c>
      <c r="AM364">
        <f t="shared" si="334"/>
        <v>0</v>
      </c>
    </row>
    <row r="365" spans="1:39" ht="15.75" x14ac:dyDescent="0.25">
      <c r="A365" s="561"/>
      <c r="B365" s="561"/>
      <c r="C365" s="561"/>
      <c r="D365" s="672"/>
      <c r="E365" s="209"/>
      <c r="F365" s="209"/>
      <c r="G365" s="209"/>
      <c r="H365" s="176">
        <f t="shared" si="312"/>
        <v>0</v>
      </c>
      <c r="I365" s="209"/>
      <c r="J365" s="209"/>
      <c r="K365" s="176">
        <f t="shared" si="313"/>
        <v>0</v>
      </c>
      <c r="L365" s="209"/>
      <c r="M365" s="177">
        <f t="shared" si="314"/>
        <v>0</v>
      </c>
      <c r="N365" s="1012"/>
      <c r="O365" s="1012"/>
      <c r="P365" s="485"/>
      <c r="Q365" s="778"/>
      <c r="R365" s="778"/>
      <c r="S365" s="785" t="str">
        <f t="shared" si="317"/>
        <v/>
      </c>
      <c r="T365" s="548" t="str">
        <f t="shared" si="315"/>
        <v>Sheet Metal Takeoff</v>
      </c>
      <c r="U365" s="83">
        <f t="shared" si="318"/>
        <v>0</v>
      </c>
      <c r="V365" s="83">
        <f t="shared" si="319"/>
        <v>0</v>
      </c>
      <c r="W365" s="83">
        <f t="shared" si="320"/>
        <v>0</v>
      </c>
      <c r="X365" s="781">
        <f t="shared" si="321"/>
        <v>0</v>
      </c>
      <c r="Y365" s="781">
        <f t="shared" si="322"/>
        <v>0</v>
      </c>
      <c r="Z365" s="781">
        <f t="shared" si="323"/>
        <v>0</v>
      </c>
      <c r="AA365" s="83">
        <f t="shared" si="316"/>
        <v>0</v>
      </c>
      <c r="AB365" s="83">
        <f t="shared" si="324"/>
        <v>0</v>
      </c>
      <c r="AC365" s="83">
        <f t="shared" si="325"/>
        <v>0</v>
      </c>
      <c r="AD365" s="83">
        <f t="shared" si="326"/>
        <v>0</v>
      </c>
      <c r="AE365" s="83">
        <f t="shared" si="327"/>
        <v>0</v>
      </c>
      <c r="AF365" s="83">
        <f t="shared" si="328"/>
        <v>0</v>
      </c>
      <c r="AG365" s="83">
        <f t="shared" si="329"/>
        <v>0</v>
      </c>
      <c r="AH365" s="83">
        <f t="shared" si="330"/>
        <v>0</v>
      </c>
      <c r="AI365" s="83">
        <f t="shared" si="331"/>
        <v>0</v>
      </c>
      <c r="AJ365" s="718">
        <f t="shared" si="332"/>
        <v>0</v>
      </c>
      <c r="AL365">
        <f t="shared" si="333"/>
        <v>0</v>
      </c>
      <c r="AM365">
        <f t="shared" si="334"/>
        <v>0</v>
      </c>
    </row>
    <row r="366" spans="1:39" ht="15.75" x14ac:dyDescent="0.25">
      <c r="A366" s="561"/>
      <c r="B366" s="561"/>
      <c r="C366" s="561"/>
      <c r="D366" s="672"/>
      <c r="E366" s="209"/>
      <c r="F366" s="209"/>
      <c r="G366" s="209"/>
      <c r="H366" s="176">
        <f t="shared" si="312"/>
        <v>0</v>
      </c>
      <c r="I366" s="209"/>
      <c r="J366" s="209"/>
      <c r="K366" s="176">
        <f t="shared" si="313"/>
        <v>0</v>
      </c>
      <c r="L366" s="209"/>
      <c r="M366" s="177">
        <f t="shared" si="314"/>
        <v>0</v>
      </c>
      <c r="N366" s="1012"/>
      <c r="O366" s="1012"/>
      <c r="P366" s="485"/>
      <c r="Q366" s="778"/>
      <c r="R366" s="778"/>
      <c r="S366" s="785" t="str">
        <f t="shared" si="317"/>
        <v/>
      </c>
      <c r="T366" s="548" t="str">
        <f t="shared" si="315"/>
        <v>Sheet Metal Takeoff</v>
      </c>
      <c r="U366" s="83">
        <f t="shared" si="318"/>
        <v>0</v>
      </c>
      <c r="V366" s="83">
        <f t="shared" si="319"/>
        <v>0</v>
      </c>
      <c r="W366" s="83">
        <f t="shared" si="320"/>
        <v>0</v>
      </c>
      <c r="X366" s="781">
        <f t="shared" si="321"/>
        <v>0</v>
      </c>
      <c r="Y366" s="781">
        <f t="shared" si="322"/>
        <v>0</v>
      </c>
      <c r="Z366" s="781">
        <f t="shared" si="323"/>
        <v>0</v>
      </c>
      <c r="AA366" s="83">
        <f t="shared" si="316"/>
        <v>0</v>
      </c>
      <c r="AB366" s="83">
        <f t="shared" si="324"/>
        <v>0</v>
      </c>
      <c r="AC366" s="83">
        <f t="shared" si="325"/>
        <v>0</v>
      </c>
      <c r="AD366" s="83">
        <f t="shared" si="326"/>
        <v>0</v>
      </c>
      <c r="AE366" s="83">
        <f t="shared" si="327"/>
        <v>0</v>
      </c>
      <c r="AF366" s="83">
        <f t="shared" si="328"/>
        <v>0</v>
      </c>
      <c r="AG366" s="83">
        <f t="shared" si="329"/>
        <v>0</v>
      </c>
      <c r="AH366" s="83">
        <f t="shared" si="330"/>
        <v>0</v>
      </c>
      <c r="AI366" s="83">
        <f t="shared" si="331"/>
        <v>0</v>
      </c>
      <c r="AJ366" s="718">
        <f t="shared" si="332"/>
        <v>0</v>
      </c>
      <c r="AL366">
        <f t="shared" si="333"/>
        <v>0</v>
      </c>
      <c r="AM366">
        <f t="shared" si="334"/>
        <v>0</v>
      </c>
    </row>
    <row r="367" spans="1:39" ht="15.75" x14ac:dyDescent="0.25">
      <c r="A367" s="561"/>
      <c r="B367" s="561"/>
      <c r="C367" s="561"/>
      <c r="D367" s="672"/>
      <c r="E367" s="209"/>
      <c r="F367" s="209"/>
      <c r="G367" s="209"/>
      <c r="H367" s="176">
        <f t="shared" si="312"/>
        <v>0</v>
      </c>
      <c r="I367" s="209"/>
      <c r="J367" s="209"/>
      <c r="K367" s="176">
        <f t="shared" si="313"/>
        <v>0</v>
      </c>
      <c r="L367" s="209"/>
      <c r="M367" s="177">
        <f t="shared" si="314"/>
        <v>0</v>
      </c>
      <c r="N367" s="1012"/>
      <c r="O367" s="1012"/>
      <c r="P367" s="485"/>
      <c r="Q367" s="778"/>
      <c r="R367" s="778"/>
      <c r="S367" s="785" t="str">
        <f t="shared" si="317"/>
        <v/>
      </c>
      <c r="T367" s="548" t="str">
        <f t="shared" si="315"/>
        <v>Sheet Metal Takeoff</v>
      </c>
      <c r="U367" s="83">
        <f t="shared" si="318"/>
        <v>0</v>
      </c>
      <c r="V367" s="83">
        <f t="shared" si="319"/>
        <v>0</v>
      </c>
      <c r="W367" s="83">
        <f t="shared" si="320"/>
        <v>0</v>
      </c>
      <c r="X367" s="781">
        <f t="shared" si="321"/>
        <v>0</v>
      </c>
      <c r="Y367" s="781">
        <f t="shared" si="322"/>
        <v>0</v>
      </c>
      <c r="Z367" s="781">
        <f t="shared" si="323"/>
        <v>0</v>
      </c>
      <c r="AA367" s="83">
        <f t="shared" si="316"/>
        <v>0</v>
      </c>
      <c r="AB367" s="83">
        <f t="shared" si="324"/>
        <v>0</v>
      </c>
      <c r="AC367" s="83">
        <f t="shared" si="325"/>
        <v>0</v>
      </c>
      <c r="AD367" s="83">
        <f t="shared" si="326"/>
        <v>0</v>
      </c>
      <c r="AE367" s="83">
        <f t="shared" si="327"/>
        <v>0</v>
      </c>
      <c r="AF367" s="83">
        <f t="shared" si="328"/>
        <v>0</v>
      </c>
      <c r="AG367" s="83">
        <f t="shared" si="329"/>
        <v>0</v>
      </c>
      <c r="AH367" s="83">
        <f t="shared" si="330"/>
        <v>0</v>
      </c>
      <c r="AI367" s="83">
        <f t="shared" si="331"/>
        <v>0</v>
      </c>
      <c r="AJ367" s="718">
        <f t="shared" si="332"/>
        <v>0</v>
      </c>
      <c r="AL367">
        <f t="shared" si="333"/>
        <v>0</v>
      </c>
      <c r="AM367">
        <f t="shared" si="334"/>
        <v>0</v>
      </c>
    </row>
    <row r="368" spans="1:39" ht="15.75" x14ac:dyDescent="0.25">
      <c r="A368" s="561"/>
      <c r="B368" s="561"/>
      <c r="C368" s="561"/>
      <c r="D368" s="672"/>
      <c r="E368" s="209"/>
      <c r="F368" s="209"/>
      <c r="G368" s="209"/>
      <c r="H368" s="176">
        <f t="shared" si="312"/>
        <v>0</v>
      </c>
      <c r="I368" s="209"/>
      <c r="J368" s="209"/>
      <c r="K368" s="176">
        <f t="shared" si="313"/>
        <v>0</v>
      </c>
      <c r="L368" s="209"/>
      <c r="M368" s="177">
        <f t="shared" si="314"/>
        <v>0</v>
      </c>
      <c r="N368" s="1012"/>
      <c r="O368" s="1012"/>
      <c r="P368" s="485"/>
      <c r="Q368" s="778"/>
      <c r="R368" s="778"/>
      <c r="S368" s="785" t="str">
        <f t="shared" si="317"/>
        <v/>
      </c>
      <c r="T368" s="548" t="str">
        <f t="shared" si="315"/>
        <v>Sheet Metal Takeoff</v>
      </c>
      <c r="U368" s="83">
        <f t="shared" si="318"/>
        <v>0</v>
      </c>
      <c r="V368" s="83">
        <f t="shared" si="319"/>
        <v>0</v>
      </c>
      <c r="W368" s="83">
        <f t="shared" si="320"/>
        <v>0</v>
      </c>
      <c r="X368" s="781">
        <f t="shared" si="321"/>
        <v>0</v>
      </c>
      <c r="Y368" s="781">
        <f t="shared" si="322"/>
        <v>0</v>
      </c>
      <c r="Z368" s="781">
        <f t="shared" si="323"/>
        <v>0</v>
      </c>
      <c r="AA368" s="83">
        <f t="shared" si="316"/>
        <v>0</v>
      </c>
      <c r="AB368" s="83">
        <f t="shared" si="324"/>
        <v>0</v>
      </c>
      <c r="AC368" s="83">
        <f t="shared" si="325"/>
        <v>0</v>
      </c>
      <c r="AD368" s="83">
        <f t="shared" si="326"/>
        <v>0</v>
      </c>
      <c r="AE368" s="83">
        <f t="shared" si="327"/>
        <v>0</v>
      </c>
      <c r="AF368" s="83">
        <f t="shared" si="328"/>
        <v>0</v>
      </c>
      <c r="AG368" s="83">
        <f t="shared" si="329"/>
        <v>0</v>
      </c>
      <c r="AH368" s="83">
        <f t="shared" si="330"/>
        <v>0</v>
      </c>
      <c r="AI368" s="83">
        <f t="shared" si="331"/>
        <v>0</v>
      </c>
      <c r="AJ368" s="718">
        <f t="shared" si="332"/>
        <v>0</v>
      </c>
      <c r="AL368">
        <f t="shared" si="333"/>
        <v>0</v>
      </c>
      <c r="AM368">
        <f t="shared" si="334"/>
        <v>0</v>
      </c>
    </row>
    <row r="369" spans="1:39" ht="15.75" x14ac:dyDescent="0.25">
      <c r="A369" s="561"/>
      <c r="B369" s="561"/>
      <c r="C369" s="561"/>
      <c r="D369" s="672"/>
      <c r="E369" s="209"/>
      <c r="F369" s="209"/>
      <c r="G369" s="209"/>
      <c r="H369" s="176">
        <f t="shared" si="312"/>
        <v>0</v>
      </c>
      <c r="I369" s="209"/>
      <c r="J369" s="209"/>
      <c r="K369" s="176">
        <f t="shared" si="313"/>
        <v>0</v>
      </c>
      <c r="L369" s="209"/>
      <c r="M369" s="177">
        <f t="shared" si="314"/>
        <v>0</v>
      </c>
      <c r="N369" s="1012"/>
      <c r="O369" s="1012"/>
      <c r="P369" s="485"/>
      <c r="Q369" s="778"/>
      <c r="R369" s="778"/>
      <c r="S369" s="785" t="str">
        <f t="shared" si="317"/>
        <v/>
      </c>
      <c r="T369" s="548" t="str">
        <f t="shared" si="315"/>
        <v>Sheet Metal Takeoff</v>
      </c>
      <c r="U369" s="83">
        <f t="shared" si="318"/>
        <v>0</v>
      </c>
      <c r="V369" s="83">
        <f t="shared" si="319"/>
        <v>0</v>
      </c>
      <c r="W369" s="83">
        <f t="shared" si="320"/>
        <v>0</v>
      </c>
      <c r="X369" s="781">
        <f t="shared" si="321"/>
        <v>0</v>
      </c>
      <c r="Y369" s="781">
        <f t="shared" si="322"/>
        <v>0</v>
      </c>
      <c r="Z369" s="781">
        <f t="shared" si="323"/>
        <v>0</v>
      </c>
      <c r="AA369" s="83">
        <f t="shared" si="316"/>
        <v>0</v>
      </c>
      <c r="AB369" s="83">
        <f t="shared" si="324"/>
        <v>0</v>
      </c>
      <c r="AC369" s="83">
        <f t="shared" si="325"/>
        <v>0</v>
      </c>
      <c r="AD369" s="83">
        <f t="shared" si="326"/>
        <v>0</v>
      </c>
      <c r="AE369" s="83">
        <f t="shared" si="327"/>
        <v>0</v>
      </c>
      <c r="AF369" s="83">
        <f t="shared" si="328"/>
        <v>0</v>
      </c>
      <c r="AG369" s="83">
        <f t="shared" si="329"/>
        <v>0</v>
      </c>
      <c r="AH369" s="83">
        <f t="shared" si="330"/>
        <v>0</v>
      </c>
      <c r="AI369" s="83">
        <f t="shared" si="331"/>
        <v>0</v>
      </c>
      <c r="AJ369" s="718">
        <f t="shared" si="332"/>
        <v>0</v>
      </c>
      <c r="AL369">
        <f t="shared" si="333"/>
        <v>0</v>
      </c>
      <c r="AM369">
        <f t="shared" si="334"/>
        <v>0</v>
      </c>
    </row>
    <row r="370" spans="1:39" ht="15.75" x14ac:dyDescent="0.25">
      <c r="A370" s="561"/>
      <c r="B370" s="561"/>
      <c r="C370" s="561"/>
      <c r="D370" s="672"/>
      <c r="E370" s="209"/>
      <c r="F370" s="209"/>
      <c r="G370" s="209"/>
      <c r="H370" s="176">
        <f t="shared" si="312"/>
        <v>0</v>
      </c>
      <c r="I370" s="209"/>
      <c r="J370" s="209"/>
      <c r="K370" s="176">
        <f t="shared" si="313"/>
        <v>0</v>
      </c>
      <c r="L370" s="209"/>
      <c r="M370" s="177">
        <f t="shared" si="314"/>
        <v>0</v>
      </c>
      <c r="N370" s="1012"/>
      <c r="O370" s="1012"/>
      <c r="P370" s="485"/>
      <c r="Q370" s="778"/>
      <c r="R370" s="778"/>
      <c r="S370" s="785" t="str">
        <f t="shared" si="317"/>
        <v/>
      </c>
      <c r="T370" s="548" t="str">
        <f t="shared" si="315"/>
        <v>Sheet Metal Takeoff</v>
      </c>
      <c r="U370" s="83">
        <f t="shared" si="318"/>
        <v>0</v>
      </c>
      <c r="V370" s="83">
        <f t="shared" si="319"/>
        <v>0</v>
      </c>
      <c r="W370" s="83">
        <f t="shared" si="320"/>
        <v>0</v>
      </c>
      <c r="X370" s="781">
        <f t="shared" si="321"/>
        <v>0</v>
      </c>
      <c r="Y370" s="781">
        <f t="shared" si="322"/>
        <v>0</v>
      </c>
      <c r="Z370" s="781">
        <f t="shared" si="323"/>
        <v>0</v>
      </c>
      <c r="AA370" s="83">
        <f t="shared" si="316"/>
        <v>0</v>
      </c>
      <c r="AB370" s="83">
        <f t="shared" si="324"/>
        <v>0</v>
      </c>
      <c r="AC370" s="83">
        <f t="shared" si="325"/>
        <v>0</v>
      </c>
      <c r="AD370" s="83">
        <f t="shared" si="326"/>
        <v>0</v>
      </c>
      <c r="AE370" s="83">
        <f t="shared" si="327"/>
        <v>0</v>
      </c>
      <c r="AF370" s="83">
        <f t="shared" si="328"/>
        <v>0</v>
      </c>
      <c r="AG370" s="83">
        <f t="shared" si="329"/>
        <v>0</v>
      </c>
      <c r="AH370" s="83">
        <f t="shared" si="330"/>
        <v>0</v>
      </c>
      <c r="AI370" s="83">
        <f t="shared" si="331"/>
        <v>0</v>
      </c>
      <c r="AJ370" s="718">
        <f t="shared" si="332"/>
        <v>0</v>
      </c>
      <c r="AL370">
        <f t="shared" si="333"/>
        <v>0</v>
      </c>
      <c r="AM370">
        <f t="shared" si="334"/>
        <v>0</v>
      </c>
    </row>
    <row r="371" spans="1:39" ht="15.75" x14ac:dyDescent="0.25">
      <c r="A371" s="561"/>
      <c r="B371" s="561"/>
      <c r="C371" s="561"/>
      <c r="D371" s="672"/>
      <c r="E371" s="209"/>
      <c r="F371" s="209"/>
      <c r="G371" s="209"/>
      <c r="H371" s="176">
        <f t="shared" si="312"/>
        <v>0</v>
      </c>
      <c r="I371" s="209"/>
      <c r="J371" s="209"/>
      <c r="K371" s="176">
        <f t="shared" si="313"/>
        <v>0</v>
      </c>
      <c r="L371" s="209"/>
      <c r="M371" s="177">
        <f t="shared" si="314"/>
        <v>0</v>
      </c>
      <c r="N371" s="1012"/>
      <c r="O371" s="1012"/>
      <c r="P371" s="485"/>
      <c r="Q371" s="778"/>
      <c r="R371" s="778"/>
      <c r="S371" s="785" t="str">
        <f t="shared" si="317"/>
        <v/>
      </c>
      <c r="T371" s="548" t="str">
        <f t="shared" si="315"/>
        <v>Sheet Metal Takeoff</v>
      </c>
      <c r="U371" s="83">
        <f t="shared" si="318"/>
        <v>0</v>
      </c>
      <c r="V371" s="83">
        <f t="shared" si="319"/>
        <v>0</v>
      </c>
      <c r="W371" s="83">
        <f t="shared" si="320"/>
        <v>0</v>
      </c>
      <c r="X371" s="781">
        <f t="shared" si="321"/>
        <v>0</v>
      </c>
      <c r="Y371" s="781">
        <f t="shared" si="322"/>
        <v>0</v>
      </c>
      <c r="Z371" s="781">
        <f t="shared" si="323"/>
        <v>0</v>
      </c>
      <c r="AA371" s="83">
        <f t="shared" si="316"/>
        <v>0</v>
      </c>
      <c r="AB371" s="83">
        <f t="shared" si="324"/>
        <v>0</v>
      </c>
      <c r="AC371" s="83">
        <f t="shared" si="325"/>
        <v>0</v>
      </c>
      <c r="AD371" s="83">
        <f t="shared" si="326"/>
        <v>0</v>
      </c>
      <c r="AE371" s="83">
        <f t="shared" si="327"/>
        <v>0</v>
      </c>
      <c r="AF371" s="83">
        <f t="shared" si="328"/>
        <v>0</v>
      </c>
      <c r="AG371" s="83">
        <f t="shared" si="329"/>
        <v>0</v>
      </c>
      <c r="AH371" s="83">
        <f t="shared" si="330"/>
        <v>0</v>
      </c>
      <c r="AI371" s="83">
        <f t="shared" si="331"/>
        <v>0</v>
      </c>
      <c r="AJ371" s="718">
        <f t="shared" si="332"/>
        <v>0</v>
      </c>
      <c r="AL371">
        <f t="shared" si="333"/>
        <v>0</v>
      </c>
      <c r="AM371">
        <f t="shared" si="334"/>
        <v>0</v>
      </c>
    </row>
    <row r="372" spans="1:39" ht="15.75" x14ac:dyDescent="0.25">
      <c r="A372" s="561"/>
      <c r="B372" s="561"/>
      <c r="C372" s="561"/>
      <c r="D372" s="672"/>
      <c r="E372" s="209"/>
      <c r="F372" s="209"/>
      <c r="G372" s="209"/>
      <c r="H372" s="176">
        <f t="shared" si="312"/>
        <v>0</v>
      </c>
      <c r="I372" s="209"/>
      <c r="J372" s="209"/>
      <c r="K372" s="176">
        <f t="shared" si="313"/>
        <v>0</v>
      </c>
      <c r="L372" s="209"/>
      <c r="M372" s="177">
        <f t="shared" si="314"/>
        <v>0</v>
      </c>
      <c r="N372" s="1012"/>
      <c r="O372" s="1012"/>
      <c r="P372" s="485"/>
      <c r="Q372" s="778"/>
      <c r="R372" s="778"/>
      <c r="S372" s="785" t="str">
        <f t="shared" si="317"/>
        <v/>
      </c>
      <c r="T372" s="548" t="str">
        <f t="shared" si="315"/>
        <v>Sheet Metal Takeoff</v>
      </c>
      <c r="U372" s="83">
        <f t="shared" si="318"/>
        <v>0</v>
      </c>
      <c r="V372" s="83">
        <f t="shared" si="319"/>
        <v>0</v>
      </c>
      <c r="W372" s="83">
        <f t="shared" si="320"/>
        <v>0</v>
      </c>
      <c r="X372" s="781">
        <f t="shared" si="321"/>
        <v>0</v>
      </c>
      <c r="Y372" s="781">
        <f t="shared" si="322"/>
        <v>0</v>
      </c>
      <c r="Z372" s="781">
        <f t="shared" si="323"/>
        <v>0</v>
      </c>
      <c r="AA372" s="83">
        <f t="shared" si="316"/>
        <v>0</v>
      </c>
      <c r="AB372" s="83">
        <f t="shared" si="324"/>
        <v>0</v>
      </c>
      <c r="AC372" s="83">
        <f t="shared" si="325"/>
        <v>0</v>
      </c>
      <c r="AD372" s="83">
        <f t="shared" si="326"/>
        <v>0</v>
      </c>
      <c r="AE372" s="83">
        <f t="shared" si="327"/>
        <v>0</v>
      </c>
      <c r="AF372" s="83">
        <f t="shared" si="328"/>
        <v>0</v>
      </c>
      <c r="AG372" s="83">
        <f t="shared" si="329"/>
        <v>0</v>
      </c>
      <c r="AH372" s="83">
        <f t="shared" si="330"/>
        <v>0</v>
      </c>
      <c r="AI372" s="83">
        <f t="shared" si="331"/>
        <v>0</v>
      </c>
      <c r="AJ372" s="718">
        <f t="shared" si="332"/>
        <v>0</v>
      </c>
      <c r="AL372">
        <f t="shared" si="333"/>
        <v>0</v>
      </c>
      <c r="AM372">
        <f t="shared" si="334"/>
        <v>0</v>
      </c>
    </row>
    <row r="373" spans="1:39" ht="15.75" x14ac:dyDescent="0.25">
      <c r="A373" s="561"/>
      <c r="B373" s="561"/>
      <c r="C373" s="561"/>
      <c r="D373" s="672"/>
      <c r="E373" s="209"/>
      <c r="F373" s="209"/>
      <c r="G373" s="209"/>
      <c r="H373" s="176">
        <f t="shared" si="312"/>
        <v>0</v>
      </c>
      <c r="I373" s="209"/>
      <c r="J373" s="209"/>
      <c r="K373" s="176">
        <f t="shared" si="313"/>
        <v>0</v>
      </c>
      <c r="L373" s="209"/>
      <c r="M373" s="177">
        <f t="shared" si="314"/>
        <v>0</v>
      </c>
      <c r="N373" s="1012"/>
      <c r="O373" s="1012"/>
      <c r="P373" s="485"/>
      <c r="Q373" s="778"/>
      <c r="R373" s="778"/>
      <c r="S373" s="785" t="str">
        <f t="shared" si="317"/>
        <v/>
      </c>
      <c r="T373" s="548" t="str">
        <f t="shared" si="315"/>
        <v>Sheet Metal Takeoff</v>
      </c>
      <c r="U373" s="83">
        <f t="shared" si="318"/>
        <v>0</v>
      </c>
      <c r="V373" s="83">
        <f t="shared" si="319"/>
        <v>0</v>
      </c>
      <c r="W373" s="83">
        <f t="shared" si="320"/>
        <v>0</v>
      </c>
      <c r="X373" s="781">
        <f t="shared" si="321"/>
        <v>0</v>
      </c>
      <c r="Y373" s="781">
        <f t="shared" si="322"/>
        <v>0</v>
      </c>
      <c r="Z373" s="781">
        <f t="shared" si="323"/>
        <v>0</v>
      </c>
      <c r="AA373" s="83">
        <f t="shared" si="316"/>
        <v>0</v>
      </c>
      <c r="AB373" s="83">
        <f t="shared" si="324"/>
        <v>0</v>
      </c>
      <c r="AC373" s="83">
        <f t="shared" si="325"/>
        <v>0</v>
      </c>
      <c r="AD373" s="83">
        <f t="shared" si="326"/>
        <v>0</v>
      </c>
      <c r="AE373" s="83">
        <f t="shared" si="327"/>
        <v>0</v>
      </c>
      <c r="AF373" s="83">
        <f t="shared" si="328"/>
        <v>0</v>
      </c>
      <c r="AG373" s="83">
        <f t="shared" si="329"/>
        <v>0</v>
      </c>
      <c r="AH373" s="83">
        <f t="shared" si="330"/>
        <v>0</v>
      </c>
      <c r="AI373" s="83">
        <f t="shared" si="331"/>
        <v>0</v>
      </c>
      <c r="AJ373" s="718">
        <f t="shared" si="332"/>
        <v>0</v>
      </c>
      <c r="AL373">
        <f t="shared" si="333"/>
        <v>0</v>
      </c>
      <c r="AM373">
        <f t="shared" si="334"/>
        <v>0</v>
      </c>
    </row>
    <row r="374" spans="1:39" ht="15.75" x14ac:dyDescent="0.25">
      <c r="A374" s="561"/>
      <c r="B374" s="561"/>
      <c r="C374" s="561"/>
      <c r="D374" s="672"/>
      <c r="E374" s="209"/>
      <c r="F374" s="209"/>
      <c r="G374" s="209"/>
      <c r="H374" s="176">
        <f t="shared" si="312"/>
        <v>0</v>
      </c>
      <c r="I374" s="209"/>
      <c r="J374" s="209"/>
      <c r="K374" s="176">
        <f t="shared" si="313"/>
        <v>0</v>
      </c>
      <c r="L374" s="209"/>
      <c r="M374" s="177">
        <f t="shared" si="314"/>
        <v>0</v>
      </c>
      <c r="N374" s="1012"/>
      <c r="O374" s="1012"/>
      <c r="P374" s="485"/>
      <c r="Q374" s="778"/>
      <c r="R374" s="778"/>
      <c r="S374" s="785" t="str">
        <f t="shared" si="317"/>
        <v/>
      </c>
      <c r="T374" s="548" t="str">
        <f t="shared" si="315"/>
        <v>Sheet Metal Takeoff</v>
      </c>
      <c r="U374" s="83">
        <f t="shared" si="318"/>
        <v>0</v>
      </c>
      <c r="V374" s="83">
        <f t="shared" si="319"/>
        <v>0</v>
      </c>
      <c r="W374" s="83">
        <f t="shared" si="320"/>
        <v>0</v>
      </c>
      <c r="X374" s="781">
        <f t="shared" si="321"/>
        <v>0</v>
      </c>
      <c r="Y374" s="781">
        <f t="shared" si="322"/>
        <v>0</v>
      </c>
      <c r="Z374" s="781">
        <f t="shared" si="323"/>
        <v>0</v>
      </c>
      <c r="AA374" s="83">
        <f t="shared" si="316"/>
        <v>0</v>
      </c>
      <c r="AB374" s="83">
        <f t="shared" si="324"/>
        <v>0</v>
      </c>
      <c r="AC374" s="83">
        <f t="shared" si="325"/>
        <v>0</v>
      </c>
      <c r="AD374" s="83">
        <f t="shared" si="326"/>
        <v>0</v>
      </c>
      <c r="AE374" s="83">
        <f t="shared" si="327"/>
        <v>0</v>
      </c>
      <c r="AF374" s="83">
        <f t="shared" si="328"/>
        <v>0</v>
      </c>
      <c r="AG374" s="83">
        <f t="shared" si="329"/>
        <v>0</v>
      </c>
      <c r="AH374" s="83">
        <f t="shared" si="330"/>
        <v>0</v>
      </c>
      <c r="AI374" s="83">
        <f t="shared" si="331"/>
        <v>0</v>
      </c>
      <c r="AJ374" s="718">
        <f t="shared" si="332"/>
        <v>0</v>
      </c>
      <c r="AL374">
        <f t="shared" si="333"/>
        <v>0</v>
      </c>
      <c r="AM374">
        <f t="shared" si="334"/>
        <v>0</v>
      </c>
    </row>
    <row r="375" spans="1:39" ht="15.75" x14ac:dyDescent="0.25">
      <c r="A375" s="561"/>
      <c r="B375" s="561"/>
      <c r="C375" s="561"/>
      <c r="D375" s="672"/>
      <c r="E375" s="209"/>
      <c r="F375" s="209"/>
      <c r="G375" s="209"/>
      <c r="H375" s="176">
        <f t="shared" si="312"/>
        <v>0</v>
      </c>
      <c r="I375" s="209"/>
      <c r="J375" s="209"/>
      <c r="K375" s="176">
        <f t="shared" si="313"/>
        <v>0</v>
      </c>
      <c r="L375" s="209"/>
      <c r="M375" s="177">
        <f t="shared" si="314"/>
        <v>0</v>
      </c>
      <c r="N375" s="1012"/>
      <c r="O375" s="1012"/>
      <c r="P375" s="485"/>
      <c r="Q375" s="778"/>
      <c r="R375" s="778"/>
      <c r="S375" s="785" t="str">
        <f t="shared" si="317"/>
        <v/>
      </c>
      <c r="T375" s="548" t="str">
        <f t="shared" si="315"/>
        <v>Sheet Metal Takeoff</v>
      </c>
      <c r="U375" s="83">
        <f t="shared" si="318"/>
        <v>0</v>
      </c>
      <c r="V375" s="83">
        <f t="shared" si="319"/>
        <v>0</v>
      </c>
      <c r="W375" s="83">
        <f t="shared" si="320"/>
        <v>0</v>
      </c>
      <c r="X375" s="781">
        <f t="shared" si="321"/>
        <v>0</v>
      </c>
      <c r="Y375" s="781">
        <f t="shared" si="322"/>
        <v>0</v>
      </c>
      <c r="Z375" s="781">
        <f t="shared" si="323"/>
        <v>0</v>
      </c>
      <c r="AA375" s="83">
        <f t="shared" si="316"/>
        <v>0</v>
      </c>
      <c r="AB375" s="83">
        <f t="shared" si="324"/>
        <v>0</v>
      </c>
      <c r="AC375" s="83">
        <f t="shared" si="325"/>
        <v>0</v>
      </c>
      <c r="AD375" s="83">
        <f t="shared" si="326"/>
        <v>0</v>
      </c>
      <c r="AE375" s="83">
        <f t="shared" si="327"/>
        <v>0</v>
      </c>
      <c r="AF375" s="83">
        <f t="shared" si="328"/>
        <v>0</v>
      </c>
      <c r="AG375" s="83">
        <f t="shared" si="329"/>
        <v>0</v>
      </c>
      <c r="AH375" s="83">
        <f t="shared" si="330"/>
        <v>0</v>
      </c>
      <c r="AI375" s="83">
        <f t="shared" si="331"/>
        <v>0</v>
      </c>
      <c r="AJ375" s="718">
        <f t="shared" si="332"/>
        <v>0</v>
      </c>
      <c r="AL375">
        <f t="shared" si="333"/>
        <v>0</v>
      </c>
      <c r="AM375">
        <f t="shared" si="334"/>
        <v>0</v>
      </c>
    </row>
    <row r="376" spans="1:39" ht="15.75" x14ac:dyDescent="0.25">
      <c r="A376" s="561"/>
      <c r="B376" s="561"/>
      <c r="C376" s="561"/>
      <c r="D376" s="672"/>
      <c r="E376" s="209"/>
      <c r="F376" s="209"/>
      <c r="G376" s="209"/>
      <c r="H376" s="176">
        <f t="shared" si="312"/>
        <v>0</v>
      </c>
      <c r="I376" s="209"/>
      <c r="J376" s="209"/>
      <c r="K376" s="176">
        <f t="shared" si="313"/>
        <v>0</v>
      </c>
      <c r="L376" s="209"/>
      <c r="M376" s="177">
        <f t="shared" si="314"/>
        <v>0</v>
      </c>
      <c r="N376" s="1012"/>
      <c r="O376" s="1012"/>
      <c r="P376" s="485"/>
      <c r="Q376" s="778"/>
      <c r="R376" s="778"/>
      <c r="S376" s="785" t="str">
        <f t="shared" si="317"/>
        <v/>
      </c>
      <c r="T376" s="548" t="str">
        <f t="shared" si="315"/>
        <v>Sheet Metal Takeoff</v>
      </c>
      <c r="U376" s="83">
        <f t="shared" si="318"/>
        <v>0</v>
      </c>
      <c r="V376" s="83">
        <f t="shared" si="319"/>
        <v>0</v>
      </c>
      <c r="W376" s="83">
        <f t="shared" si="320"/>
        <v>0</v>
      </c>
      <c r="X376" s="781">
        <f t="shared" si="321"/>
        <v>0</v>
      </c>
      <c r="Y376" s="781">
        <f t="shared" si="322"/>
        <v>0</v>
      </c>
      <c r="Z376" s="781">
        <f t="shared" si="323"/>
        <v>0</v>
      </c>
      <c r="AA376" s="83">
        <f t="shared" si="316"/>
        <v>0</v>
      </c>
      <c r="AB376" s="83">
        <f t="shared" si="324"/>
        <v>0</v>
      </c>
      <c r="AC376" s="83">
        <f t="shared" si="325"/>
        <v>0</v>
      </c>
      <c r="AD376" s="83">
        <f t="shared" si="326"/>
        <v>0</v>
      </c>
      <c r="AE376" s="83">
        <f t="shared" si="327"/>
        <v>0</v>
      </c>
      <c r="AF376" s="83">
        <f t="shared" si="328"/>
        <v>0</v>
      </c>
      <c r="AG376" s="83">
        <f t="shared" si="329"/>
        <v>0</v>
      </c>
      <c r="AH376" s="83">
        <f t="shared" si="330"/>
        <v>0</v>
      </c>
      <c r="AI376" s="83">
        <f t="shared" si="331"/>
        <v>0</v>
      </c>
      <c r="AJ376" s="718">
        <f t="shared" si="332"/>
        <v>0</v>
      </c>
      <c r="AL376">
        <f t="shared" si="333"/>
        <v>0</v>
      </c>
      <c r="AM376">
        <f t="shared" si="334"/>
        <v>0</v>
      </c>
    </row>
    <row r="377" spans="1:39" ht="15.75" x14ac:dyDescent="0.25">
      <c r="A377" s="561"/>
      <c r="B377" s="561"/>
      <c r="C377" s="561"/>
      <c r="D377" s="672"/>
      <c r="E377" s="209"/>
      <c r="F377" s="209"/>
      <c r="G377" s="209"/>
      <c r="H377" s="176">
        <f t="shared" si="312"/>
        <v>0</v>
      </c>
      <c r="I377" s="209"/>
      <c r="J377" s="209"/>
      <c r="K377" s="176">
        <f t="shared" si="313"/>
        <v>0</v>
      </c>
      <c r="L377" s="209"/>
      <c r="M377" s="177">
        <f t="shared" si="314"/>
        <v>0</v>
      </c>
      <c r="N377" s="1012"/>
      <c r="O377" s="1012"/>
      <c r="P377" s="485"/>
      <c r="Q377" s="778"/>
      <c r="R377" s="778"/>
      <c r="S377" s="785" t="str">
        <f t="shared" si="317"/>
        <v/>
      </c>
      <c r="T377" s="548" t="str">
        <f t="shared" si="315"/>
        <v>Sheet Metal Takeoff</v>
      </c>
      <c r="U377" s="83">
        <f t="shared" si="318"/>
        <v>0</v>
      </c>
      <c r="V377" s="83">
        <f t="shared" si="319"/>
        <v>0</v>
      </c>
      <c r="W377" s="83">
        <f t="shared" si="320"/>
        <v>0</v>
      </c>
      <c r="X377" s="781">
        <f t="shared" si="321"/>
        <v>0</v>
      </c>
      <c r="Y377" s="781">
        <f t="shared" si="322"/>
        <v>0</v>
      </c>
      <c r="Z377" s="781">
        <f t="shared" si="323"/>
        <v>0</v>
      </c>
      <c r="AA377" s="83">
        <f t="shared" si="316"/>
        <v>0</v>
      </c>
      <c r="AB377" s="83">
        <f t="shared" si="324"/>
        <v>0</v>
      </c>
      <c r="AC377" s="83">
        <f t="shared" si="325"/>
        <v>0</v>
      </c>
      <c r="AD377" s="83">
        <f t="shared" si="326"/>
        <v>0</v>
      </c>
      <c r="AE377" s="83">
        <f t="shared" si="327"/>
        <v>0</v>
      </c>
      <c r="AF377" s="83">
        <f t="shared" si="328"/>
        <v>0</v>
      </c>
      <c r="AG377" s="83">
        <f t="shared" si="329"/>
        <v>0</v>
      </c>
      <c r="AH377" s="83">
        <f t="shared" si="330"/>
        <v>0</v>
      </c>
      <c r="AI377" s="83">
        <f t="shared" si="331"/>
        <v>0</v>
      </c>
      <c r="AJ377" s="718">
        <f t="shared" si="332"/>
        <v>0</v>
      </c>
      <c r="AL377">
        <f t="shared" si="333"/>
        <v>0</v>
      </c>
      <c r="AM377">
        <f t="shared" si="334"/>
        <v>0</v>
      </c>
    </row>
    <row r="378" spans="1:39" ht="15.75" x14ac:dyDescent="0.25">
      <c r="A378" s="561"/>
      <c r="B378" s="561"/>
      <c r="C378" s="561"/>
      <c r="D378" s="672"/>
      <c r="E378" s="209"/>
      <c r="F378" s="209"/>
      <c r="G378" s="209"/>
      <c r="H378" s="176">
        <f t="shared" si="312"/>
        <v>0</v>
      </c>
      <c r="I378" s="209"/>
      <c r="J378" s="209"/>
      <c r="K378" s="176">
        <f t="shared" si="313"/>
        <v>0</v>
      </c>
      <c r="L378" s="209"/>
      <c r="M378" s="177">
        <f t="shared" si="314"/>
        <v>0</v>
      </c>
      <c r="N378" s="1012"/>
      <c r="O378" s="1012"/>
      <c r="P378" s="485"/>
      <c r="Q378" s="778"/>
      <c r="R378" s="778"/>
      <c r="S378" s="785" t="str">
        <f t="shared" si="317"/>
        <v/>
      </c>
      <c r="T378" s="548" t="str">
        <f t="shared" si="315"/>
        <v>Sheet Metal Takeoff</v>
      </c>
      <c r="U378" s="83">
        <f t="shared" si="318"/>
        <v>0</v>
      </c>
      <c r="V378" s="83">
        <f t="shared" si="319"/>
        <v>0</v>
      </c>
      <c r="W378" s="83">
        <f t="shared" si="320"/>
        <v>0</v>
      </c>
      <c r="X378" s="781">
        <f t="shared" si="321"/>
        <v>0</v>
      </c>
      <c r="Y378" s="781">
        <f t="shared" si="322"/>
        <v>0</v>
      </c>
      <c r="Z378" s="781">
        <f t="shared" si="323"/>
        <v>0</v>
      </c>
      <c r="AA378" s="83">
        <f t="shared" si="316"/>
        <v>0</v>
      </c>
      <c r="AB378" s="83">
        <f t="shared" si="324"/>
        <v>0</v>
      </c>
      <c r="AC378" s="83">
        <f t="shared" si="325"/>
        <v>0</v>
      </c>
      <c r="AD378" s="83">
        <f t="shared" si="326"/>
        <v>0</v>
      </c>
      <c r="AE378" s="83">
        <f t="shared" si="327"/>
        <v>0</v>
      </c>
      <c r="AF378" s="83">
        <f t="shared" si="328"/>
        <v>0</v>
      </c>
      <c r="AG378" s="83">
        <f t="shared" si="329"/>
        <v>0</v>
      </c>
      <c r="AH378" s="83">
        <f t="shared" si="330"/>
        <v>0</v>
      </c>
      <c r="AI378" s="83">
        <f t="shared" si="331"/>
        <v>0</v>
      </c>
      <c r="AJ378" s="718">
        <f t="shared" si="332"/>
        <v>0</v>
      </c>
      <c r="AL378">
        <f t="shared" si="333"/>
        <v>0</v>
      </c>
      <c r="AM378">
        <f t="shared" si="334"/>
        <v>0</v>
      </c>
    </row>
    <row r="379" spans="1:39" ht="15.75" x14ac:dyDescent="0.25">
      <c r="A379" s="561"/>
      <c r="B379" s="561"/>
      <c r="C379" s="561"/>
      <c r="D379" s="672"/>
      <c r="E379" s="209"/>
      <c r="F379" s="209"/>
      <c r="G379" s="209"/>
      <c r="H379" s="176">
        <f t="shared" si="312"/>
        <v>0</v>
      </c>
      <c r="I379" s="209"/>
      <c r="J379" s="209"/>
      <c r="K379" s="176">
        <f t="shared" si="313"/>
        <v>0</v>
      </c>
      <c r="L379" s="209"/>
      <c r="M379" s="177">
        <f t="shared" si="314"/>
        <v>0</v>
      </c>
      <c r="N379" s="1012"/>
      <c r="O379" s="1012"/>
      <c r="P379" s="485"/>
      <c r="Q379" s="778"/>
      <c r="R379" s="778"/>
      <c r="S379" s="785" t="str">
        <f t="shared" si="317"/>
        <v/>
      </c>
      <c r="T379" s="548" t="str">
        <f t="shared" si="315"/>
        <v>Sheet Metal Takeoff</v>
      </c>
      <c r="U379" s="83">
        <f t="shared" si="318"/>
        <v>0</v>
      </c>
      <c r="V379" s="83">
        <f t="shared" si="319"/>
        <v>0</v>
      </c>
      <c r="W379" s="83">
        <f t="shared" si="320"/>
        <v>0</v>
      </c>
      <c r="X379" s="781">
        <f t="shared" si="321"/>
        <v>0</v>
      </c>
      <c r="Y379" s="781">
        <f t="shared" si="322"/>
        <v>0</v>
      </c>
      <c r="Z379" s="781">
        <f t="shared" si="323"/>
        <v>0</v>
      </c>
      <c r="AA379" s="83">
        <f t="shared" si="316"/>
        <v>0</v>
      </c>
      <c r="AB379" s="83">
        <f t="shared" si="324"/>
        <v>0</v>
      </c>
      <c r="AC379" s="83">
        <f t="shared" si="325"/>
        <v>0</v>
      </c>
      <c r="AD379" s="83">
        <f t="shared" si="326"/>
        <v>0</v>
      </c>
      <c r="AE379" s="83">
        <f t="shared" si="327"/>
        <v>0</v>
      </c>
      <c r="AF379" s="83">
        <f t="shared" si="328"/>
        <v>0</v>
      </c>
      <c r="AG379" s="83">
        <f t="shared" si="329"/>
        <v>0</v>
      </c>
      <c r="AH379" s="83">
        <f t="shared" si="330"/>
        <v>0</v>
      </c>
      <c r="AI379" s="83">
        <f t="shared" si="331"/>
        <v>0</v>
      </c>
      <c r="AJ379" s="718">
        <f t="shared" si="332"/>
        <v>0</v>
      </c>
      <c r="AL379">
        <f t="shared" si="333"/>
        <v>0</v>
      </c>
      <c r="AM379">
        <f t="shared" si="334"/>
        <v>0</v>
      </c>
    </row>
    <row r="380" spans="1:39" ht="15.75" x14ac:dyDescent="0.25">
      <c r="A380" s="561"/>
      <c r="B380" s="561"/>
      <c r="C380" s="561"/>
      <c r="D380" s="672"/>
      <c r="E380" s="209"/>
      <c r="F380" s="209"/>
      <c r="G380" s="209"/>
      <c r="H380" s="176">
        <f t="shared" si="312"/>
        <v>0</v>
      </c>
      <c r="I380" s="209"/>
      <c r="J380" s="209"/>
      <c r="K380" s="176">
        <f t="shared" si="313"/>
        <v>0</v>
      </c>
      <c r="L380" s="209"/>
      <c r="M380" s="177">
        <f t="shared" si="314"/>
        <v>0</v>
      </c>
      <c r="N380" s="1012"/>
      <c r="O380" s="1012"/>
      <c r="P380" s="485"/>
      <c r="Q380" s="778"/>
      <c r="R380" s="778"/>
      <c r="S380" s="785" t="str">
        <f t="shared" si="317"/>
        <v/>
      </c>
      <c r="T380" s="548" t="str">
        <f t="shared" si="315"/>
        <v>Sheet Metal Takeoff</v>
      </c>
      <c r="U380" s="83">
        <f t="shared" si="318"/>
        <v>0</v>
      </c>
      <c r="V380" s="83">
        <f t="shared" si="319"/>
        <v>0</v>
      </c>
      <c r="W380" s="83">
        <f t="shared" si="320"/>
        <v>0</v>
      </c>
      <c r="X380" s="781">
        <f t="shared" si="321"/>
        <v>0</v>
      </c>
      <c r="Y380" s="781">
        <f t="shared" si="322"/>
        <v>0</v>
      </c>
      <c r="Z380" s="781">
        <f t="shared" si="323"/>
        <v>0</v>
      </c>
      <c r="AA380" s="83">
        <f t="shared" si="316"/>
        <v>0</v>
      </c>
      <c r="AB380" s="83">
        <f t="shared" si="324"/>
        <v>0</v>
      </c>
      <c r="AC380" s="83">
        <f t="shared" si="325"/>
        <v>0</v>
      </c>
      <c r="AD380" s="83">
        <f t="shared" si="326"/>
        <v>0</v>
      </c>
      <c r="AE380" s="83">
        <f t="shared" si="327"/>
        <v>0</v>
      </c>
      <c r="AF380" s="83">
        <f t="shared" si="328"/>
        <v>0</v>
      </c>
      <c r="AG380" s="83">
        <f t="shared" si="329"/>
        <v>0</v>
      </c>
      <c r="AH380" s="83">
        <f t="shared" si="330"/>
        <v>0</v>
      </c>
      <c r="AI380" s="83">
        <f t="shared" si="331"/>
        <v>0</v>
      </c>
      <c r="AJ380" s="718">
        <f t="shared" si="332"/>
        <v>0</v>
      </c>
      <c r="AL380">
        <f t="shared" si="333"/>
        <v>0</v>
      </c>
      <c r="AM380">
        <f t="shared" si="334"/>
        <v>0</v>
      </c>
    </row>
    <row r="381" spans="1:39" ht="15.75" x14ac:dyDescent="0.25">
      <c r="A381" s="561"/>
      <c r="B381" s="561"/>
      <c r="C381" s="561"/>
      <c r="D381" s="672"/>
      <c r="E381" s="209"/>
      <c r="F381" s="209"/>
      <c r="G381" s="209"/>
      <c r="H381" s="176">
        <f t="shared" si="312"/>
        <v>0</v>
      </c>
      <c r="I381" s="209"/>
      <c r="J381" s="209"/>
      <c r="K381" s="176">
        <f t="shared" si="313"/>
        <v>0</v>
      </c>
      <c r="L381" s="209"/>
      <c r="M381" s="177">
        <f t="shared" si="314"/>
        <v>0</v>
      </c>
      <c r="N381" s="1012"/>
      <c r="O381" s="1012"/>
      <c r="P381" s="485"/>
      <c r="Q381" s="778"/>
      <c r="R381" s="778"/>
      <c r="S381" s="785" t="str">
        <f t="shared" si="317"/>
        <v/>
      </c>
      <c r="T381" s="548" t="str">
        <f t="shared" si="315"/>
        <v>Sheet Metal Takeoff</v>
      </c>
      <c r="U381" s="83">
        <f t="shared" si="318"/>
        <v>0</v>
      </c>
      <c r="V381" s="83">
        <f t="shared" si="319"/>
        <v>0</v>
      </c>
      <c r="W381" s="83">
        <f t="shared" si="320"/>
        <v>0</v>
      </c>
      <c r="X381" s="781">
        <f t="shared" si="321"/>
        <v>0</v>
      </c>
      <c r="Y381" s="781">
        <f t="shared" si="322"/>
        <v>0</v>
      </c>
      <c r="Z381" s="781">
        <f t="shared" si="323"/>
        <v>0</v>
      </c>
      <c r="AA381" s="83">
        <f t="shared" si="316"/>
        <v>0</v>
      </c>
      <c r="AB381" s="83">
        <f t="shared" si="324"/>
        <v>0</v>
      </c>
      <c r="AC381" s="83">
        <f t="shared" si="325"/>
        <v>0</v>
      </c>
      <c r="AD381" s="83">
        <f t="shared" si="326"/>
        <v>0</v>
      </c>
      <c r="AE381" s="83">
        <f t="shared" si="327"/>
        <v>0</v>
      </c>
      <c r="AF381" s="83">
        <f t="shared" si="328"/>
        <v>0</v>
      </c>
      <c r="AG381" s="83">
        <f t="shared" si="329"/>
        <v>0</v>
      </c>
      <c r="AH381" s="83">
        <f t="shared" si="330"/>
        <v>0</v>
      </c>
      <c r="AI381" s="83">
        <f t="shared" si="331"/>
        <v>0</v>
      </c>
      <c r="AJ381" s="718">
        <f t="shared" si="332"/>
        <v>0</v>
      </c>
      <c r="AL381">
        <f t="shared" si="333"/>
        <v>0</v>
      </c>
      <c r="AM381">
        <f t="shared" si="334"/>
        <v>0</v>
      </c>
    </row>
    <row r="382" spans="1:39" ht="15.75" x14ac:dyDescent="0.25">
      <c r="A382" s="561"/>
      <c r="B382" s="561"/>
      <c r="C382" s="561"/>
      <c r="D382" s="672"/>
      <c r="E382" s="209"/>
      <c r="F382" s="209"/>
      <c r="G382" s="209"/>
      <c r="H382" s="176">
        <f t="shared" si="312"/>
        <v>0</v>
      </c>
      <c r="I382" s="209"/>
      <c r="J382" s="209"/>
      <c r="K382" s="176">
        <f t="shared" si="313"/>
        <v>0</v>
      </c>
      <c r="L382" s="209"/>
      <c r="M382" s="177">
        <f t="shared" si="314"/>
        <v>0</v>
      </c>
      <c r="N382" s="1012"/>
      <c r="O382" s="1012"/>
      <c r="P382" s="485"/>
      <c r="Q382" s="778"/>
      <c r="R382" s="778"/>
      <c r="S382" s="785" t="str">
        <f t="shared" si="317"/>
        <v/>
      </c>
      <c r="T382" s="548" t="str">
        <f t="shared" si="315"/>
        <v>Sheet Metal Takeoff</v>
      </c>
      <c r="U382" s="83">
        <f t="shared" si="318"/>
        <v>0</v>
      </c>
      <c r="V382" s="83">
        <f t="shared" si="319"/>
        <v>0</v>
      </c>
      <c r="W382" s="83">
        <f t="shared" si="320"/>
        <v>0</v>
      </c>
      <c r="X382" s="781">
        <f t="shared" si="321"/>
        <v>0</v>
      </c>
      <c r="Y382" s="781">
        <f t="shared" si="322"/>
        <v>0</v>
      </c>
      <c r="Z382" s="781">
        <f t="shared" si="323"/>
        <v>0</v>
      </c>
      <c r="AA382" s="83">
        <f t="shared" si="316"/>
        <v>0</v>
      </c>
      <c r="AB382" s="83">
        <f t="shared" si="324"/>
        <v>0</v>
      </c>
      <c r="AC382" s="83">
        <f t="shared" si="325"/>
        <v>0</v>
      </c>
      <c r="AD382" s="83">
        <f t="shared" si="326"/>
        <v>0</v>
      </c>
      <c r="AE382" s="83">
        <f t="shared" si="327"/>
        <v>0</v>
      </c>
      <c r="AF382" s="83">
        <f t="shared" si="328"/>
        <v>0</v>
      </c>
      <c r="AG382" s="83">
        <f t="shared" si="329"/>
        <v>0</v>
      </c>
      <c r="AH382" s="83">
        <f t="shared" si="330"/>
        <v>0</v>
      </c>
      <c r="AI382" s="83">
        <f t="shared" si="331"/>
        <v>0</v>
      </c>
      <c r="AJ382" s="718">
        <f t="shared" si="332"/>
        <v>0</v>
      </c>
      <c r="AL382">
        <f t="shared" si="333"/>
        <v>0</v>
      </c>
      <c r="AM382">
        <f t="shared" si="334"/>
        <v>0</v>
      </c>
    </row>
    <row r="383" spans="1:39" ht="15.75" x14ac:dyDescent="0.25">
      <c r="A383" s="561"/>
      <c r="B383" s="561"/>
      <c r="C383" s="561"/>
      <c r="D383" s="672"/>
      <c r="E383" s="209"/>
      <c r="F383" s="209"/>
      <c r="G383" s="209"/>
      <c r="H383" s="176">
        <f t="shared" si="312"/>
        <v>0</v>
      </c>
      <c r="I383" s="209"/>
      <c r="J383" s="209"/>
      <c r="K383" s="176">
        <f t="shared" si="313"/>
        <v>0</v>
      </c>
      <c r="L383" s="209"/>
      <c r="M383" s="177">
        <f t="shared" si="314"/>
        <v>0</v>
      </c>
      <c r="N383" s="1012"/>
      <c r="O383" s="1012"/>
      <c r="P383" s="485"/>
      <c r="Q383" s="778"/>
      <c r="R383" s="778"/>
      <c r="S383" s="785" t="str">
        <f t="shared" si="317"/>
        <v/>
      </c>
      <c r="T383" s="548" t="str">
        <f t="shared" si="315"/>
        <v>Sheet Metal Takeoff</v>
      </c>
      <c r="U383" s="83">
        <f t="shared" si="318"/>
        <v>0</v>
      </c>
      <c r="V383" s="83">
        <f t="shared" si="319"/>
        <v>0</v>
      </c>
      <c r="W383" s="83">
        <f t="shared" si="320"/>
        <v>0</v>
      </c>
      <c r="X383" s="781">
        <f t="shared" si="321"/>
        <v>0</v>
      </c>
      <c r="Y383" s="781">
        <f t="shared" si="322"/>
        <v>0</v>
      </c>
      <c r="Z383" s="781">
        <f t="shared" si="323"/>
        <v>0</v>
      </c>
      <c r="AA383" s="83">
        <f t="shared" si="316"/>
        <v>0</v>
      </c>
      <c r="AB383" s="83">
        <f t="shared" si="324"/>
        <v>0</v>
      </c>
      <c r="AC383" s="83">
        <f t="shared" si="325"/>
        <v>0</v>
      </c>
      <c r="AD383" s="83">
        <f t="shared" si="326"/>
        <v>0</v>
      </c>
      <c r="AE383" s="83">
        <f t="shared" si="327"/>
        <v>0</v>
      </c>
      <c r="AF383" s="83">
        <f t="shared" si="328"/>
        <v>0</v>
      </c>
      <c r="AG383" s="83">
        <f t="shared" si="329"/>
        <v>0</v>
      </c>
      <c r="AH383" s="83">
        <f t="shared" si="330"/>
        <v>0</v>
      </c>
      <c r="AI383" s="83">
        <f t="shared" si="331"/>
        <v>0</v>
      </c>
      <c r="AJ383" s="718">
        <f t="shared" si="332"/>
        <v>0</v>
      </c>
      <c r="AL383">
        <f t="shared" si="333"/>
        <v>0</v>
      </c>
      <c r="AM383">
        <f t="shared" si="334"/>
        <v>0</v>
      </c>
    </row>
    <row r="384" spans="1:39" ht="15.75" x14ac:dyDescent="0.25">
      <c r="A384" s="561"/>
      <c r="B384" s="561"/>
      <c r="C384" s="561"/>
      <c r="D384" s="672"/>
      <c r="E384" s="209"/>
      <c r="F384" s="209"/>
      <c r="G384" s="209"/>
      <c r="H384" s="176">
        <f t="shared" si="312"/>
        <v>0</v>
      </c>
      <c r="I384" s="209"/>
      <c r="J384" s="209"/>
      <c r="K384" s="176">
        <f t="shared" si="313"/>
        <v>0</v>
      </c>
      <c r="L384" s="209"/>
      <c r="M384" s="177">
        <f t="shared" si="314"/>
        <v>0</v>
      </c>
      <c r="N384" s="1012"/>
      <c r="O384" s="1012"/>
      <c r="P384" s="485"/>
      <c r="Q384" s="778"/>
      <c r="R384" s="778"/>
      <c r="S384" s="785" t="str">
        <f t="shared" si="317"/>
        <v/>
      </c>
      <c r="T384" s="548" t="str">
        <f t="shared" si="315"/>
        <v>Sheet Metal Takeoff</v>
      </c>
      <c r="U384" s="83">
        <f t="shared" si="318"/>
        <v>0</v>
      </c>
      <c r="V384" s="83">
        <f t="shared" si="319"/>
        <v>0</v>
      </c>
      <c r="W384" s="83">
        <f t="shared" si="320"/>
        <v>0</v>
      </c>
      <c r="X384" s="781">
        <f t="shared" si="321"/>
        <v>0</v>
      </c>
      <c r="Y384" s="781">
        <f t="shared" si="322"/>
        <v>0</v>
      </c>
      <c r="Z384" s="781">
        <f t="shared" si="323"/>
        <v>0</v>
      </c>
      <c r="AA384" s="83">
        <f t="shared" si="316"/>
        <v>0</v>
      </c>
      <c r="AB384" s="83">
        <f t="shared" si="324"/>
        <v>0</v>
      </c>
      <c r="AC384" s="83">
        <f t="shared" si="325"/>
        <v>0</v>
      </c>
      <c r="AD384" s="83">
        <f t="shared" si="326"/>
        <v>0</v>
      </c>
      <c r="AE384" s="83">
        <f t="shared" si="327"/>
        <v>0</v>
      </c>
      <c r="AF384" s="83">
        <f t="shared" si="328"/>
        <v>0</v>
      </c>
      <c r="AG384" s="83">
        <f t="shared" si="329"/>
        <v>0</v>
      </c>
      <c r="AH384" s="83">
        <f t="shared" si="330"/>
        <v>0</v>
      </c>
      <c r="AI384" s="83">
        <f t="shared" si="331"/>
        <v>0</v>
      </c>
      <c r="AJ384" s="718">
        <f t="shared" si="332"/>
        <v>0</v>
      </c>
      <c r="AL384">
        <f t="shared" si="333"/>
        <v>0</v>
      </c>
      <c r="AM384">
        <f t="shared" si="334"/>
        <v>0</v>
      </c>
    </row>
    <row r="385" spans="1:39" ht="15.75" hidden="1" customHeight="1" x14ac:dyDescent="0.25">
      <c r="A385" s="561"/>
      <c r="B385" s="561"/>
      <c r="C385" s="561"/>
      <c r="D385" s="672"/>
      <c r="E385" s="209"/>
      <c r="F385" s="209"/>
      <c r="G385" s="209"/>
      <c r="H385" s="176">
        <f t="shared" si="312"/>
        <v>0</v>
      </c>
      <c r="I385" s="209"/>
      <c r="J385" s="209"/>
      <c r="K385" s="176">
        <f t="shared" si="313"/>
        <v>0</v>
      </c>
      <c r="L385" s="209"/>
      <c r="M385" s="177">
        <f t="shared" si="314"/>
        <v>0</v>
      </c>
      <c r="N385" s="1012"/>
      <c r="O385" s="1012"/>
      <c r="P385" s="485"/>
      <c r="Q385" s="778"/>
      <c r="R385" s="778"/>
      <c r="S385" s="785" t="str">
        <f t="shared" si="317"/>
        <v/>
      </c>
      <c r="T385" s="548" t="str">
        <f t="shared" si="315"/>
        <v>Sheet Metal Takeoff</v>
      </c>
      <c r="U385" s="83">
        <f>ROUND(IF($T385="Plumb Takeoff",$H385*U$3,IF($T385="Pipe Takeoff",$H385*U$4,$H385*U$2)),2)</f>
        <v>0</v>
      </c>
      <c r="V385" s="83">
        <f t="shared" si="319"/>
        <v>0</v>
      </c>
      <c r="W385" s="83">
        <f t="shared" si="320"/>
        <v>0</v>
      </c>
      <c r="X385" s="781">
        <f t="shared" si="321"/>
        <v>0</v>
      </c>
      <c r="Y385" s="781">
        <f t="shared" si="322"/>
        <v>0</v>
      </c>
      <c r="Z385" s="781">
        <f t="shared" si="323"/>
        <v>0</v>
      </c>
      <c r="AA385" s="83">
        <f t="shared" si="316"/>
        <v>0</v>
      </c>
      <c r="AB385" s="83">
        <f t="shared" si="324"/>
        <v>0</v>
      </c>
      <c r="AC385" s="83">
        <f t="shared" si="325"/>
        <v>0</v>
      </c>
      <c r="AD385" s="83">
        <f t="shared" si="326"/>
        <v>0</v>
      </c>
      <c r="AE385" s="83">
        <f t="shared" si="327"/>
        <v>0</v>
      </c>
      <c r="AF385" s="83">
        <f t="shared" si="328"/>
        <v>0</v>
      </c>
      <c r="AG385" s="83">
        <f t="shared" si="329"/>
        <v>0</v>
      </c>
      <c r="AH385" s="83">
        <f t="shared" si="330"/>
        <v>0</v>
      </c>
      <c r="AI385" s="83">
        <f t="shared" si="331"/>
        <v>0</v>
      </c>
      <c r="AJ385" s="718">
        <f t="shared" si="332"/>
        <v>0</v>
      </c>
      <c r="AL385">
        <f t="shared" si="333"/>
        <v>0</v>
      </c>
      <c r="AM385">
        <f t="shared" si="334"/>
        <v>0</v>
      </c>
    </row>
    <row r="386" spans="1:39" ht="15.75" x14ac:dyDescent="0.25">
      <c r="A386" s="551"/>
      <c r="B386" s="551"/>
      <c r="C386" s="551"/>
      <c r="D386" s="673"/>
      <c r="E386" s="552"/>
      <c r="F386" s="553"/>
      <c r="G386" s="553"/>
      <c r="H386" s="181">
        <f>SUM(H360:H385)</f>
        <v>0</v>
      </c>
      <c r="I386" s="182"/>
      <c r="J386" s="182"/>
      <c r="K386" s="181">
        <f>SUM(K360:K385)</f>
        <v>0</v>
      </c>
      <c r="L386" s="182"/>
      <c r="M386" s="177">
        <f>SUM(M360:M385)</f>
        <v>0</v>
      </c>
      <c r="O386" s="486"/>
      <c r="AJ386" s="718"/>
    </row>
    <row r="387" spans="1:39" ht="15.75" thickBot="1" x14ac:dyDescent="0.3">
      <c r="AJ387" s="718"/>
    </row>
    <row r="388" spans="1:39" ht="16.5" thickBot="1" x14ac:dyDescent="0.3">
      <c r="E388" s="678" t="s">
        <v>1122</v>
      </c>
      <c r="F388" s="1017" t="s">
        <v>1630</v>
      </c>
      <c r="G388" s="1018"/>
      <c r="H388" s="344"/>
      <c r="I388" s="1019" t="s">
        <v>1628</v>
      </c>
      <c r="J388" s="1020"/>
      <c r="K388" s="679" t="b">
        <v>0</v>
      </c>
      <c r="AJ388" s="718"/>
    </row>
    <row r="389" spans="1:39" ht="38.25" thickBot="1" x14ac:dyDescent="0.35">
      <c r="A389" s="477" t="s">
        <v>1063</v>
      </c>
      <c r="B389" s="477" t="s">
        <v>348</v>
      </c>
      <c r="C389" s="477" t="s">
        <v>349</v>
      </c>
      <c r="D389" s="666" t="s">
        <v>0</v>
      </c>
      <c r="E389" s="477" t="s">
        <v>1</v>
      </c>
      <c r="F389" s="480" t="s">
        <v>2</v>
      </c>
      <c r="G389" s="480" t="s">
        <v>1123</v>
      </c>
      <c r="H389" s="480" t="s">
        <v>3</v>
      </c>
      <c r="I389" s="483" t="s">
        <v>4</v>
      </c>
      <c r="J389" s="480" t="s">
        <v>1124</v>
      </c>
      <c r="K389" s="680" t="s">
        <v>5</v>
      </c>
      <c r="L389" s="480" t="s">
        <v>6</v>
      </c>
      <c r="M389" s="484" t="s">
        <v>7</v>
      </c>
      <c r="N389" s="1013" t="s">
        <v>1079</v>
      </c>
      <c r="O389" s="1014"/>
      <c r="P389" s="1009" t="s">
        <v>1629</v>
      </c>
      <c r="Q389" s="1009" t="s">
        <v>1147</v>
      </c>
      <c r="R389" s="1009" t="s">
        <v>1792</v>
      </c>
      <c r="T389" s="2"/>
      <c r="AJ389" s="718"/>
    </row>
    <row r="390" spans="1:39" ht="16.5" thickBot="1" x14ac:dyDescent="0.3">
      <c r="A390" s="183"/>
      <c r="B390" s="183"/>
      <c r="C390" s="183"/>
      <c r="D390" s="671"/>
      <c r="E390" s="183"/>
      <c r="F390" s="183"/>
      <c r="G390" s="183"/>
      <c r="H390" s="183"/>
      <c r="I390" s="183"/>
      <c r="J390" s="183"/>
      <c r="K390" s="183"/>
      <c r="L390" s="183"/>
      <c r="M390" s="183"/>
      <c r="N390" s="1015"/>
      <c r="O390" s="1016"/>
      <c r="P390" s="1010" t="s">
        <v>1362</v>
      </c>
      <c r="Q390" s="1010"/>
      <c r="R390" s="1010"/>
      <c r="T390" s="1"/>
      <c r="AJ390" s="718"/>
    </row>
    <row r="391" spans="1:39" ht="15.75" x14ac:dyDescent="0.25">
      <c r="A391" s="561"/>
      <c r="B391" s="561"/>
      <c r="C391" s="561"/>
      <c r="D391" s="672"/>
      <c r="E391" s="209"/>
      <c r="F391" s="209"/>
      <c r="G391" s="209"/>
      <c r="H391" s="176">
        <f t="shared" ref="H391:H416" si="335">IF(SM_ExludeGroup12=TRUE,0,IF(G391="",E391*F391*IF(AND(S391="LOP",R391="SWING"),1+CrewRate_PlumbFitter_SwingLOP,1)*IF(AND(S391="LOP",R391="GRAVE"),1+CrewRate_PlumbFitter_GraveLOP,1)*IF(AND(S391="LOP",R391="SPECIAL"),1+CrewRate_PlumbFitter_SwingLOP,1),E391*F391*G391*IF(AND(S391="LOP",R391="SWING"),1+CrewRate_PlumbFitter_SwingLOP,1)*IF(AND(S391="LOP",R391="GRAVE"),1+CrewRate_PlumbFitter_GraveLOP,1)*IF(AND(S391="LOP",R391="SPECIAL"),1+CrewRate_PlumbFitter_SwingLOP,1)))</f>
        <v>0</v>
      </c>
      <c r="I391" s="209"/>
      <c r="J391" s="209"/>
      <c r="K391" s="176">
        <f t="shared" ref="K391:K416" si="336">IF(SM_ExludeGroup12=TRUE,0,IF(J391="",E391*I391,E391*I391*J391))</f>
        <v>0</v>
      </c>
      <c r="L391" s="209"/>
      <c r="M391" s="177">
        <f t="shared" ref="M391:M416" si="337">IF(SM_ExludeGroup12=TRUE,0,E391*L391)</f>
        <v>0</v>
      </c>
      <c r="N391" s="1012"/>
      <c r="O391" s="1012"/>
      <c r="P391" s="485"/>
      <c r="Q391" s="778"/>
      <c r="R391" s="778"/>
      <c r="S391" s="785" t="str">
        <f>IF(T391="Sheet Metal Takeoff","",IF(R391="","","LOP"))</f>
        <v/>
      </c>
      <c r="T391" s="548" t="str">
        <f t="shared" ref="T391:T416" si="338">IF($F$388="","Sheet Metal Takeoff",$F$388)</f>
        <v>Sheet Metal Takeoff</v>
      </c>
      <c r="U391" s="83">
        <f>ROUND(IF($T391="Plumb Takeoff",$H391*U$3,IF($T391="Pipe Takeoff",$H391*U$4,$H391*U$2)),2)</f>
        <v>0</v>
      </c>
      <c r="V391" s="83">
        <f>ROUND(IF($T391="Plumb Takeoff",IF($Q391="OT",$H391*V$3,0),IF($T391="Pipe Takeoff",IF($Q391="OT",$H391*V$4,0),IF($Q391="OT",$H391*V$2,0))),2)</f>
        <v>0</v>
      </c>
      <c r="W391" s="83">
        <f>ROUND(IF($T391="Plumb Takeoff",IF($Q391="DBLT",$H391*W$3,0),IF($T391="Pipe Takeoff",IF($Q391="DBLT",$H391*W$4,0),IF($Q391="DBLT",$H391*W$2,0))),2)</f>
        <v>0</v>
      </c>
      <c r="X391" s="781">
        <f>ROUND(SUM(IF($T391="Plumb Takeoff",IF($R391="SWING",ROUND(SUM($H391)*X$3,2))),IF($T391="Pipe Takeoff",IF($R391="SWING",ROUND(SUM($H391)*X$4,2))),IF($T391="Sheet Metal Takeoff",IF($R391="SWING",ROUND(SUM($H391)*X$2,2)))),2)</f>
        <v>0</v>
      </c>
      <c r="Y391" s="781">
        <f>ROUND(SUM(IF($T391="Plumb Takeoff",IF($R391="GRAVE",ROUND(SUM($H391)*Y$3,2))),IF($T391="Pipe Takeoff",IF($R391="GRAVE",ROUND(SUM($H391)*Y$4,2))),IF($T391="Sheet Metal Takeoff",IF($R391="GRAVE",ROUND(SUM($H391)*Y$2,2)))),2)</f>
        <v>0</v>
      </c>
      <c r="Z391" s="781">
        <f>ROUND(SUM(IF($T391="Plumb Takeoff",IF($R391="SPECIAL",ROUND(SUM($H391)*Z$3,2))),IF($T391="Pipe Takeoff",IF($R391="SPECIAL",ROUND(SUM($H391)*Z$4,2))),IF($T391="Sheet Metal Takeoff",IF($R391="SPECIAL",ROUND(SUM($H391)*Z$2,2)))),2)</f>
        <v>0</v>
      </c>
      <c r="AA391" s="83">
        <f t="shared" ref="AA391:AA416" si="339">ROUND($K391*AA$2,2)</f>
        <v>0</v>
      </c>
      <c r="AB391" s="83">
        <f>ROUND(IF($Q391="OT",$K391*AB$2,0),2)</f>
        <v>0</v>
      </c>
      <c r="AC391" s="83">
        <f>ROUND(IF($Q391="DBLT",$K391*AC$2,0),2)</f>
        <v>0</v>
      </c>
      <c r="AD391" s="83">
        <f>ROUND(IF($R391="SWING",$K391*AD$2,0),2)</f>
        <v>0</v>
      </c>
      <c r="AE391" s="83">
        <f>ROUND(IF($R391="GRAVE",$K391*AE$2,0),2)</f>
        <v>0</v>
      </c>
      <c r="AF391" s="83">
        <f>ROUND(IF($R391="SPECIAL",$K391*AF$2,0),2)</f>
        <v>0</v>
      </c>
      <c r="AG391" s="83">
        <f>SUM(U391:Z391)</f>
        <v>0</v>
      </c>
      <c r="AH391" s="83">
        <f>SUM(AA391:AF391)</f>
        <v>0</v>
      </c>
      <c r="AI391" s="83">
        <f>SUM(U391:AF391)</f>
        <v>0</v>
      </c>
      <c r="AJ391" s="718">
        <f>SUM(M391,AI391)</f>
        <v>0</v>
      </c>
      <c r="AL391">
        <f>SUM(V391:Z391)</f>
        <v>0</v>
      </c>
      <c r="AM391">
        <f>SUM(AB391:AF391)</f>
        <v>0</v>
      </c>
    </row>
    <row r="392" spans="1:39" ht="15.75" x14ac:dyDescent="0.25">
      <c r="A392" s="561"/>
      <c r="B392" s="561"/>
      <c r="C392" s="561"/>
      <c r="D392" s="672"/>
      <c r="E392" s="209"/>
      <c r="F392" s="209"/>
      <c r="G392" s="209"/>
      <c r="H392" s="176">
        <f t="shared" si="335"/>
        <v>0</v>
      </c>
      <c r="I392" s="209"/>
      <c r="J392" s="209"/>
      <c r="K392" s="176">
        <f t="shared" si="336"/>
        <v>0</v>
      </c>
      <c r="L392" s="209"/>
      <c r="M392" s="177">
        <f t="shared" si="337"/>
        <v>0</v>
      </c>
      <c r="N392" s="1012"/>
      <c r="O392" s="1012"/>
      <c r="P392" s="485"/>
      <c r="Q392" s="778"/>
      <c r="R392" s="778"/>
      <c r="S392" s="785" t="str">
        <f t="shared" ref="S392:S416" si="340">IF(T392="Sheet Metal Takeoff","",IF(R392="","","LOP"))</f>
        <v/>
      </c>
      <c r="T392" s="548" t="str">
        <f t="shared" si="338"/>
        <v>Sheet Metal Takeoff</v>
      </c>
      <c r="U392" s="83">
        <f t="shared" ref="U392:U415" si="341">ROUND(IF($T392="Plumb Takeoff",$H392*U$3,IF($T392="Pipe Takeoff",$H392*U$4,$H392*U$2)),2)</f>
        <v>0</v>
      </c>
      <c r="V392" s="83">
        <f t="shared" ref="V392:V416" si="342">ROUND(IF($T392="Plumb Takeoff",IF($Q392="OT",$H392*V$3,0),IF($T392="Pipe Takeoff",IF($Q392="OT",$H392*V$4,0),IF($Q392="OT",$H392*V$2,0))),2)</f>
        <v>0</v>
      </c>
      <c r="W392" s="83">
        <f t="shared" ref="W392:W416" si="343">ROUND(IF($T392="Plumb Takeoff",IF($Q392="DBLT",$H392*W$3,0),IF($T392="Pipe Takeoff",IF($Q392="DBLT",$H392*W$4,0),IF($Q392="DBLT",$H392*W$2,0))),2)</f>
        <v>0</v>
      </c>
      <c r="X392" s="781">
        <f t="shared" ref="X392:X416" si="344">ROUND(SUM(IF($T392="Plumb Takeoff",IF($R392="SWING",ROUND(SUM($H392)*X$3,2))),IF($T392="Pipe Takeoff",IF($R392="SWING",ROUND(SUM($H392)*X$4,2))),IF($T392="Sheet Metal Takeoff",IF($R392="SWING",ROUND(SUM($H392)*X$2,2)))),2)</f>
        <v>0</v>
      </c>
      <c r="Y392" s="781">
        <f t="shared" ref="Y392:Y416" si="345">ROUND(SUM(IF($T392="Plumb Takeoff",IF($R392="GRAVE",ROUND(SUM($H392)*Y$3,2))),IF($T392="Pipe Takeoff",IF($R392="GRAVE",ROUND(SUM($H392)*Y$4,2))),IF($T392="Sheet Metal Takeoff",IF($R392="GRAVE",ROUND(SUM($H392)*Y$2,2)))),2)</f>
        <v>0</v>
      </c>
      <c r="Z392" s="781">
        <f t="shared" ref="Z392:Z416" si="346">ROUND(SUM(IF($T392="Plumb Takeoff",IF($R392="SPECIAL",ROUND(SUM($H392)*Z$3,2))),IF($T392="Pipe Takeoff",IF($R392="SPECIAL",ROUND(SUM($H392)*Z$4,2))),IF($T392="Sheet Metal Takeoff",IF($R392="SPECIAL",ROUND(SUM($H392)*Z$2,2)))),2)</f>
        <v>0</v>
      </c>
      <c r="AA392" s="83">
        <f t="shared" si="339"/>
        <v>0</v>
      </c>
      <c r="AB392" s="83">
        <f t="shared" ref="AB392:AB416" si="347">ROUND(IF($Q392="OT",$K392*AB$2,0),2)</f>
        <v>0</v>
      </c>
      <c r="AC392" s="83">
        <f t="shared" ref="AC392:AC416" si="348">ROUND(IF($Q392="DBLT",$K392*AC$2,0),2)</f>
        <v>0</v>
      </c>
      <c r="AD392" s="83">
        <f t="shared" ref="AD392:AD416" si="349">ROUND(IF($R392="SWING",$K392*AD$2,0),2)</f>
        <v>0</v>
      </c>
      <c r="AE392" s="83">
        <f t="shared" ref="AE392:AE416" si="350">ROUND(IF($R392="GRAVE",$K392*AE$2,0),2)</f>
        <v>0</v>
      </c>
      <c r="AF392" s="83">
        <f t="shared" ref="AF392:AF416" si="351">ROUND(IF($R392="SPECIAL",$K392*AF$2,0),2)</f>
        <v>0</v>
      </c>
      <c r="AG392" s="83">
        <f t="shared" ref="AG392:AG416" si="352">SUM(U392:Z392)</f>
        <v>0</v>
      </c>
      <c r="AH392" s="83">
        <f t="shared" ref="AH392:AH416" si="353">SUM(AA392:AF392)</f>
        <v>0</v>
      </c>
      <c r="AI392" s="83">
        <f t="shared" ref="AI392:AI416" si="354">SUM(U392:AF392)</f>
        <v>0</v>
      </c>
      <c r="AJ392" s="718">
        <f t="shared" ref="AJ392:AJ416" si="355">SUM(M392,AI392)</f>
        <v>0</v>
      </c>
      <c r="AL392">
        <f t="shared" ref="AL392:AL416" si="356">SUM(V392:Z392)</f>
        <v>0</v>
      </c>
      <c r="AM392">
        <f t="shared" ref="AM392:AM416" si="357">SUM(AB392:AF392)</f>
        <v>0</v>
      </c>
    </row>
    <row r="393" spans="1:39" ht="15.75" x14ac:dyDescent="0.25">
      <c r="A393" s="561"/>
      <c r="B393" s="561"/>
      <c r="C393" s="561"/>
      <c r="D393" s="672"/>
      <c r="E393" s="209"/>
      <c r="F393" s="209"/>
      <c r="G393" s="209"/>
      <c r="H393" s="176">
        <f t="shared" si="335"/>
        <v>0</v>
      </c>
      <c r="I393" s="209"/>
      <c r="J393" s="209"/>
      <c r="K393" s="176">
        <f t="shared" si="336"/>
        <v>0</v>
      </c>
      <c r="L393" s="209"/>
      <c r="M393" s="177">
        <f t="shared" si="337"/>
        <v>0</v>
      </c>
      <c r="N393" s="1012"/>
      <c r="O393" s="1012"/>
      <c r="P393" s="485"/>
      <c r="Q393" s="778"/>
      <c r="R393" s="778"/>
      <c r="S393" s="785" t="str">
        <f t="shared" si="340"/>
        <v/>
      </c>
      <c r="T393" s="548" t="str">
        <f t="shared" si="338"/>
        <v>Sheet Metal Takeoff</v>
      </c>
      <c r="U393" s="83">
        <f t="shared" si="341"/>
        <v>0</v>
      </c>
      <c r="V393" s="83">
        <f t="shared" si="342"/>
        <v>0</v>
      </c>
      <c r="W393" s="83">
        <f t="shared" si="343"/>
        <v>0</v>
      </c>
      <c r="X393" s="781">
        <f t="shared" si="344"/>
        <v>0</v>
      </c>
      <c r="Y393" s="781">
        <f t="shared" si="345"/>
        <v>0</v>
      </c>
      <c r="Z393" s="781">
        <f t="shared" si="346"/>
        <v>0</v>
      </c>
      <c r="AA393" s="83">
        <f t="shared" si="339"/>
        <v>0</v>
      </c>
      <c r="AB393" s="83">
        <f t="shared" si="347"/>
        <v>0</v>
      </c>
      <c r="AC393" s="83">
        <f t="shared" si="348"/>
        <v>0</v>
      </c>
      <c r="AD393" s="83">
        <f t="shared" si="349"/>
        <v>0</v>
      </c>
      <c r="AE393" s="83">
        <f t="shared" si="350"/>
        <v>0</v>
      </c>
      <c r="AF393" s="83">
        <f t="shared" si="351"/>
        <v>0</v>
      </c>
      <c r="AG393" s="83">
        <f t="shared" si="352"/>
        <v>0</v>
      </c>
      <c r="AH393" s="83">
        <f t="shared" si="353"/>
        <v>0</v>
      </c>
      <c r="AI393" s="83">
        <f t="shared" si="354"/>
        <v>0</v>
      </c>
      <c r="AJ393" s="718">
        <f t="shared" si="355"/>
        <v>0</v>
      </c>
      <c r="AL393">
        <f t="shared" si="356"/>
        <v>0</v>
      </c>
      <c r="AM393">
        <f t="shared" si="357"/>
        <v>0</v>
      </c>
    </row>
    <row r="394" spans="1:39" ht="15.75" x14ac:dyDescent="0.25">
      <c r="A394" s="561"/>
      <c r="B394" s="561"/>
      <c r="C394" s="561"/>
      <c r="D394" s="672"/>
      <c r="E394" s="209"/>
      <c r="F394" s="209"/>
      <c r="G394" s="209"/>
      <c r="H394" s="176">
        <f t="shared" si="335"/>
        <v>0</v>
      </c>
      <c r="I394" s="209"/>
      <c r="J394" s="209"/>
      <c r="K394" s="176">
        <f t="shared" si="336"/>
        <v>0</v>
      </c>
      <c r="L394" s="209"/>
      <c r="M394" s="177">
        <f t="shared" si="337"/>
        <v>0</v>
      </c>
      <c r="N394" s="1012"/>
      <c r="O394" s="1012"/>
      <c r="P394" s="485"/>
      <c r="Q394" s="778"/>
      <c r="R394" s="778"/>
      <c r="S394" s="785" t="str">
        <f t="shared" si="340"/>
        <v/>
      </c>
      <c r="T394" s="548" t="str">
        <f t="shared" si="338"/>
        <v>Sheet Metal Takeoff</v>
      </c>
      <c r="U394" s="83">
        <f t="shared" si="341"/>
        <v>0</v>
      </c>
      <c r="V394" s="83">
        <f t="shared" si="342"/>
        <v>0</v>
      </c>
      <c r="W394" s="83">
        <f t="shared" si="343"/>
        <v>0</v>
      </c>
      <c r="X394" s="781">
        <f t="shared" si="344"/>
        <v>0</v>
      </c>
      <c r="Y394" s="781">
        <f t="shared" si="345"/>
        <v>0</v>
      </c>
      <c r="Z394" s="781">
        <f t="shared" si="346"/>
        <v>0</v>
      </c>
      <c r="AA394" s="83">
        <f t="shared" si="339"/>
        <v>0</v>
      </c>
      <c r="AB394" s="83">
        <f t="shared" si="347"/>
        <v>0</v>
      </c>
      <c r="AC394" s="83">
        <f t="shared" si="348"/>
        <v>0</v>
      </c>
      <c r="AD394" s="83">
        <f t="shared" si="349"/>
        <v>0</v>
      </c>
      <c r="AE394" s="83">
        <f t="shared" si="350"/>
        <v>0</v>
      </c>
      <c r="AF394" s="83">
        <f t="shared" si="351"/>
        <v>0</v>
      </c>
      <c r="AG394" s="83">
        <f t="shared" si="352"/>
        <v>0</v>
      </c>
      <c r="AH394" s="83">
        <f t="shared" si="353"/>
        <v>0</v>
      </c>
      <c r="AI394" s="83">
        <f t="shared" si="354"/>
        <v>0</v>
      </c>
      <c r="AJ394" s="718">
        <f t="shared" si="355"/>
        <v>0</v>
      </c>
      <c r="AL394">
        <f t="shared" si="356"/>
        <v>0</v>
      </c>
      <c r="AM394">
        <f t="shared" si="357"/>
        <v>0</v>
      </c>
    </row>
    <row r="395" spans="1:39" ht="15.75" x14ac:dyDescent="0.25">
      <c r="A395" s="561"/>
      <c r="B395" s="561"/>
      <c r="C395" s="561"/>
      <c r="D395" s="672"/>
      <c r="E395" s="209"/>
      <c r="F395" s="209"/>
      <c r="G395" s="209"/>
      <c r="H395" s="176">
        <f t="shared" si="335"/>
        <v>0</v>
      </c>
      <c r="I395" s="209"/>
      <c r="J395" s="209"/>
      <c r="K395" s="176">
        <f t="shared" si="336"/>
        <v>0</v>
      </c>
      <c r="L395" s="209"/>
      <c r="M395" s="177">
        <f t="shared" si="337"/>
        <v>0</v>
      </c>
      <c r="N395" s="1012"/>
      <c r="O395" s="1012"/>
      <c r="P395" s="485"/>
      <c r="Q395" s="778"/>
      <c r="R395" s="778"/>
      <c r="S395" s="785" t="str">
        <f t="shared" si="340"/>
        <v/>
      </c>
      <c r="T395" s="548" t="str">
        <f t="shared" si="338"/>
        <v>Sheet Metal Takeoff</v>
      </c>
      <c r="U395" s="83">
        <f t="shared" si="341"/>
        <v>0</v>
      </c>
      <c r="V395" s="83">
        <f t="shared" si="342"/>
        <v>0</v>
      </c>
      <c r="W395" s="83">
        <f t="shared" si="343"/>
        <v>0</v>
      </c>
      <c r="X395" s="781">
        <f t="shared" si="344"/>
        <v>0</v>
      </c>
      <c r="Y395" s="781">
        <f t="shared" si="345"/>
        <v>0</v>
      </c>
      <c r="Z395" s="781">
        <f t="shared" si="346"/>
        <v>0</v>
      </c>
      <c r="AA395" s="83">
        <f t="shared" si="339"/>
        <v>0</v>
      </c>
      <c r="AB395" s="83">
        <f t="shared" si="347"/>
        <v>0</v>
      </c>
      <c r="AC395" s="83">
        <f t="shared" si="348"/>
        <v>0</v>
      </c>
      <c r="AD395" s="83">
        <f t="shared" si="349"/>
        <v>0</v>
      </c>
      <c r="AE395" s="83">
        <f t="shared" si="350"/>
        <v>0</v>
      </c>
      <c r="AF395" s="83">
        <f t="shared" si="351"/>
        <v>0</v>
      </c>
      <c r="AG395" s="83">
        <f t="shared" si="352"/>
        <v>0</v>
      </c>
      <c r="AH395" s="83">
        <f t="shared" si="353"/>
        <v>0</v>
      </c>
      <c r="AI395" s="83">
        <f t="shared" si="354"/>
        <v>0</v>
      </c>
      <c r="AJ395" s="718">
        <f t="shared" si="355"/>
        <v>0</v>
      </c>
      <c r="AL395">
        <f t="shared" si="356"/>
        <v>0</v>
      </c>
      <c r="AM395">
        <f t="shared" si="357"/>
        <v>0</v>
      </c>
    </row>
    <row r="396" spans="1:39" ht="15.75" x14ac:dyDescent="0.25">
      <c r="A396" s="561"/>
      <c r="B396" s="561"/>
      <c r="C396" s="561"/>
      <c r="D396" s="672"/>
      <c r="E396" s="209"/>
      <c r="F396" s="209"/>
      <c r="G396" s="209"/>
      <c r="H396" s="176">
        <f t="shared" si="335"/>
        <v>0</v>
      </c>
      <c r="I396" s="209"/>
      <c r="J396" s="209"/>
      <c r="K396" s="176">
        <f t="shared" si="336"/>
        <v>0</v>
      </c>
      <c r="L396" s="209"/>
      <c r="M396" s="177">
        <f t="shared" si="337"/>
        <v>0</v>
      </c>
      <c r="N396" s="1012"/>
      <c r="O396" s="1012"/>
      <c r="P396" s="485"/>
      <c r="Q396" s="778"/>
      <c r="R396" s="778"/>
      <c r="S396" s="785" t="str">
        <f t="shared" si="340"/>
        <v/>
      </c>
      <c r="T396" s="548" t="str">
        <f t="shared" si="338"/>
        <v>Sheet Metal Takeoff</v>
      </c>
      <c r="U396" s="83">
        <f t="shared" si="341"/>
        <v>0</v>
      </c>
      <c r="V396" s="83">
        <f t="shared" si="342"/>
        <v>0</v>
      </c>
      <c r="W396" s="83">
        <f t="shared" si="343"/>
        <v>0</v>
      </c>
      <c r="X396" s="781">
        <f t="shared" si="344"/>
        <v>0</v>
      </c>
      <c r="Y396" s="781">
        <f t="shared" si="345"/>
        <v>0</v>
      </c>
      <c r="Z396" s="781">
        <f t="shared" si="346"/>
        <v>0</v>
      </c>
      <c r="AA396" s="83">
        <f t="shared" si="339"/>
        <v>0</v>
      </c>
      <c r="AB396" s="83">
        <f t="shared" si="347"/>
        <v>0</v>
      </c>
      <c r="AC396" s="83">
        <f t="shared" si="348"/>
        <v>0</v>
      </c>
      <c r="AD396" s="83">
        <f t="shared" si="349"/>
        <v>0</v>
      </c>
      <c r="AE396" s="83">
        <f t="shared" si="350"/>
        <v>0</v>
      </c>
      <c r="AF396" s="83">
        <f t="shared" si="351"/>
        <v>0</v>
      </c>
      <c r="AG396" s="83">
        <f t="shared" si="352"/>
        <v>0</v>
      </c>
      <c r="AH396" s="83">
        <f t="shared" si="353"/>
        <v>0</v>
      </c>
      <c r="AI396" s="83">
        <f t="shared" si="354"/>
        <v>0</v>
      </c>
      <c r="AJ396" s="718">
        <f t="shared" si="355"/>
        <v>0</v>
      </c>
      <c r="AL396">
        <f t="shared" si="356"/>
        <v>0</v>
      </c>
      <c r="AM396">
        <f t="shared" si="357"/>
        <v>0</v>
      </c>
    </row>
    <row r="397" spans="1:39" ht="15.75" x14ac:dyDescent="0.25">
      <c r="A397" s="561"/>
      <c r="B397" s="561"/>
      <c r="C397" s="561"/>
      <c r="D397" s="672"/>
      <c r="E397" s="209"/>
      <c r="F397" s="209"/>
      <c r="G397" s="209"/>
      <c r="H397" s="176">
        <f t="shared" si="335"/>
        <v>0</v>
      </c>
      <c r="I397" s="209"/>
      <c r="J397" s="209"/>
      <c r="K397" s="176">
        <f t="shared" si="336"/>
        <v>0</v>
      </c>
      <c r="L397" s="209"/>
      <c r="M397" s="177">
        <f t="shared" si="337"/>
        <v>0</v>
      </c>
      <c r="N397" s="1012"/>
      <c r="O397" s="1012"/>
      <c r="P397" s="485"/>
      <c r="Q397" s="778"/>
      <c r="R397" s="778"/>
      <c r="S397" s="785" t="str">
        <f t="shared" si="340"/>
        <v/>
      </c>
      <c r="T397" s="548" t="str">
        <f t="shared" si="338"/>
        <v>Sheet Metal Takeoff</v>
      </c>
      <c r="U397" s="83">
        <f t="shared" si="341"/>
        <v>0</v>
      </c>
      <c r="V397" s="83">
        <f t="shared" si="342"/>
        <v>0</v>
      </c>
      <c r="W397" s="83">
        <f t="shared" si="343"/>
        <v>0</v>
      </c>
      <c r="X397" s="781">
        <f t="shared" si="344"/>
        <v>0</v>
      </c>
      <c r="Y397" s="781">
        <f t="shared" si="345"/>
        <v>0</v>
      </c>
      <c r="Z397" s="781">
        <f t="shared" si="346"/>
        <v>0</v>
      </c>
      <c r="AA397" s="83">
        <f t="shared" si="339"/>
        <v>0</v>
      </c>
      <c r="AB397" s="83">
        <f t="shared" si="347"/>
        <v>0</v>
      </c>
      <c r="AC397" s="83">
        <f t="shared" si="348"/>
        <v>0</v>
      </c>
      <c r="AD397" s="83">
        <f t="shared" si="349"/>
        <v>0</v>
      </c>
      <c r="AE397" s="83">
        <f t="shared" si="350"/>
        <v>0</v>
      </c>
      <c r="AF397" s="83">
        <f t="shared" si="351"/>
        <v>0</v>
      </c>
      <c r="AG397" s="83">
        <f t="shared" si="352"/>
        <v>0</v>
      </c>
      <c r="AH397" s="83">
        <f t="shared" si="353"/>
        <v>0</v>
      </c>
      <c r="AI397" s="83">
        <f t="shared" si="354"/>
        <v>0</v>
      </c>
      <c r="AJ397" s="718">
        <f t="shared" si="355"/>
        <v>0</v>
      </c>
      <c r="AL397">
        <f t="shared" si="356"/>
        <v>0</v>
      </c>
      <c r="AM397">
        <f t="shared" si="357"/>
        <v>0</v>
      </c>
    </row>
    <row r="398" spans="1:39" ht="15.75" x14ac:dyDescent="0.25">
      <c r="A398" s="561"/>
      <c r="B398" s="561"/>
      <c r="C398" s="561"/>
      <c r="D398" s="672"/>
      <c r="E398" s="209"/>
      <c r="F398" s="209"/>
      <c r="G398" s="209"/>
      <c r="H398" s="176">
        <f t="shared" si="335"/>
        <v>0</v>
      </c>
      <c r="I398" s="209"/>
      <c r="J398" s="209"/>
      <c r="K398" s="176">
        <f t="shared" si="336"/>
        <v>0</v>
      </c>
      <c r="L398" s="209"/>
      <c r="M398" s="177">
        <f t="shared" si="337"/>
        <v>0</v>
      </c>
      <c r="N398" s="1012"/>
      <c r="O398" s="1012"/>
      <c r="P398" s="485"/>
      <c r="Q398" s="778"/>
      <c r="R398" s="778"/>
      <c r="S398" s="785" t="str">
        <f t="shared" si="340"/>
        <v/>
      </c>
      <c r="T398" s="548" t="str">
        <f t="shared" si="338"/>
        <v>Sheet Metal Takeoff</v>
      </c>
      <c r="U398" s="83">
        <f t="shared" si="341"/>
        <v>0</v>
      </c>
      <c r="V398" s="83">
        <f t="shared" si="342"/>
        <v>0</v>
      </c>
      <c r="W398" s="83">
        <f t="shared" si="343"/>
        <v>0</v>
      </c>
      <c r="X398" s="781">
        <f t="shared" si="344"/>
        <v>0</v>
      </c>
      <c r="Y398" s="781">
        <f t="shared" si="345"/>
        <v>0</v>
      </c>
      <c r="Z398" s="781">
        <f t="shared" si="346"/>
        <v>0</v>
      </c>
      <c r="AA398" s="83">
        <f t="shared" si="339"/>
        <v>0</v>
      </c>
      <c r="AB398" s="83">
        <f t="shared" si="347"/>
        <v>0</v>
      </c>
      <c r="AC398" s="83">
        <f t="shared" si="348"/>
        <v>0</v>
      </c>
      <c r="AD398" s="83">
        <f t="shared" si="349"/>
        <v>0</v>
      </c>
      <c r="AE398" s="83">
        <f t="shared" si="350"/>
        <v>0</v>
      </c>
      <c r="AF398" s="83">
        <f t="shared" si="351"/>
        <v>0</v>
      </c>
      <c r="AG398" s="83">
        <f t="shared" si="352"/>
        <v>0</v>
      </c>
      <c r="AH398" s="83">
        <f t="shared" si="353"/>
        <v>0</v>
      </c>
      <c r="AI398" s="83">
        <f t="shared" si="354"/>
        <v>0</v>
      </c>
      <c r="AJ398" s="718">
        <f t="shared" si="355"/>
        <v>0</v>
      </c>
      <c r="AL398">
        <f t="shared" si="356"/>
        <v>0</v>
      </c>
      <c r="AM398">
        <f t="shared" si="357"/>
        <v>0</v>
      </c>
    </row>
    <row r="399" spans="1:39" ht="15.75" x14ac:dyDescent="0.25">
      <c r="A399" s="561"/>
      <c r="B399" s="561"/>
      <c r="C399" s="561"/>
      <c r="D399" s="672"/>
      <c r="E399" s="209"/>
      <c r="F399" s="209"/>
      <c r="G399" s="209"/>
      <c r="H399" s="176">
        <f t="shared" si="335"/>
        <v>0</v>
      </c>
      <c r="I399" s="209"/>
      <c r="J399" s="209"/>
      <c r="K399" s="176">
        <f t="shared" si="336"/>
        <v>0</v>
      </c>
      <c r="L399" s="209"/>
      <c r="M399" s="177">
        <f t="shared" si="337"/>
        <v>0</v>
      </c>
      <c r="N399" s="1012"/>
      <c r="O399" s="1012"/>
      <c r="P399" s="485"/>
      <c r="Q399" s="778"/>
      <c r="R399" s="778"/>
      <c r="S399" s="785" t="str">
        <f t="shared" si="340"/>
        <v/>
      </c>
      <c r="T399" s="548" t="str">
        <f t="shared" si="338"/>
        <v>Sheet Metal Takeoff</v>
      </c>
      <c r="U399" s="83">
        <f t="shared" si="341"/>
        <v>0</v>
      </c>
      <c r="V399" s="83">
        <f t="shared" si="342"/>
        <v>0</v>
      </c>
      <c r="W399" s="83">
        <f t="shared" si="343"/>
        <v>0</v>
      </c>
      <c r="X399" s="781">
        <f t="shared" si="344"/>
        <v>0</v>
      </c>
      <c r="Y399" s="781">
        <f t="shared" si="345"/>
        <v>0</v>
      </c>
      <c r="Z399" s="781">
        <f t="shared" si="346"/>
        <v>0</v>
      </c>
      <c r="AA399" s="83">
        <f t="shared" si="339"/>
        <v>0</v>
      </c>
      <c r="AB399" s="83">
        <f t="shared" si="347"/>
        <v>0</v>
      </c>
      <c r="AC399" s="83">
        <f t="shared" si="348"/>
        <v>0</v>
      </c>
      <c r="AD399" s="83">
        <f t="shared" si="349"/>
        <v>0</v>
      </c>
      <c r="AE399" s="83">
        <f t="shared" si="350"/>
        <v>0</v>
      </c>
      <c r="AF399" s="83">
        <f t="shared" si="351"/>
        <v>0</v>
      </c>
      <c r="AG399" s="83">
        <f t="shared" si="352"/>
        <v>0</v>
      </c>
      <c r="AH399" s="83">
        <f t="shared" si="353"/>
        <v>0</v>
      </c>
      <c r="AI399" s="83">
        <f t="shared" si="354"/>
        <v>0</v>
      </c>
      <c r="AJ399" s="718">
        <f t="shared" si="355"/>
        <v>0</v>
      </c>
      <c r="AL399">
        <f t="shared" si="356"/>
        <v>0</v>
      </c>
      <c r="AM399">
        <f t="shared" si="357"/>
        <v>0</v>
      </c>
    </row>
    <row r="400" spans="1:39" ht="15.75" x14ac:dyDescent="0.25">
      <c r="A400" s="561"/>
      <c r="B400" s="561"/>
      <c r="C400" s="561"/>
      <c r="D400" s="672"/>
      <c r="E400" s="209"/>
      <c r="F400" s="209"/>
      <c r="G400" s="209"/>
      <c r="H400" s="176">
        <f t="shared" si="335"/>
        <v>0</v>
      </c>
      <c r="I400" s="209"/>
      <c r="J400" s="209"/>
      <c r="K400" s="176">
        <f t="shared" si="336"/>
        <v>0</v>
      </c>
      <c r="L400" s="209"/>
      <c r="M400" s="177">
        <f t="shared" si="337"/>
        <v>0</v>
      </c>
      <c r="N400" s="1012"/>
      <c r="O400" s="1012"/>
      <c r="P400" s="485"/>
      <c r="Q400" s="778"/>
      <c r="R400" s="778"/>
      <c r="S400" s="785" t="str">
        <f t="shared" si="340"/>
        <v/>
      </c>
      <c r="T400" s="548" t="str">
        <f t="shared" si="338"/>
        <v>Sheet Metal Takeoff</v>
      </c>
      <c r="U400" s="83">
        <f t="shared" si="341"/>
        <v>0</v>
      </c>
      <c r="V400" s="83">
        <f t="shared" si="342"/>
        <v>0</v>
      </c>
      <c r="W400" s="83">
        <f t="shared" si="343"/>
        <v>0</v>
      </c>
      <c r="X400" s="781">
        <f t="shared" si="344"/>
        <v>0</v>
      </c>
      <c r="Y400" s="781">
        <f t="shared" si="345"/>
        <v>0</v>
      </c>
      <c r="Z400" s="781">
        <f t="shared" si="346"/>
        <v>0</v>
      </c>
      <c r="AA400" s="83">
        <f t="shared" si="339"/>
        <v>0</v>
      </c>
      <c r="AB400" s="83">
        <f t="shared" si="347"/>
        <v>0</v>
      </c>
      <c r="AC400" s="83">
        <f t="shared" si="348"/>
        <v>0</v>
      </c>
      <c r="AD400" s="83">
        <f t="shared" si="349"/>
        <v>0</v>
      </c>
      <c r="AE400" s="83">
        <f t="shared" si="350"/>
        <v>0</v>
      </c>
      <c r="AF400" s="83">
        <f t="shared" si="351"/>
        <v>0</v>
      </c>
      <c r="AG400" s="83">
        <f t="shared" si="352"/>
        <v>0</v>
      </c>
      <c r="AH400" s="83">
        <f t="shared" si="353"/>
        <v>0</v>
      </c>
      <c r="AI400" s="83">
        <f t="shared" si="354"/>
        <v>0</v>
      </c>
      <c r="AJ400" s="718">
        <f t="shared" si="355"/>
        <v>0</v>
      </c>
      <c r="AL400">
        <f t="shared" si="356"/>
        <v>0</v>
      </c>
      <c r="AM400">
        <f t="shared" si="357"/>
        <v>0</v>
      </c>
    </row>
    <row r="401" spans="1:39" ht="15.75" x14ac:dyDescent="0.25">
      <c r="A401" s="561"/>
      <c r="B401" s="561"/>
      <c r="C401" s="561"/>
      <c r="D401" s="672"/>
      <c r="E401" s="209"/>
      <c r="F401" s="209"/>
      <c r="G401" s="209"/>
      <c r="H401" s="176">
        <f t="shared" si="335"/>
        <v>0</v>
      </c>
      <c r="I401" s="209"/>
      <c r="J401" s="209"/>
      <c r="K401" s="176">
        <f t="shared" si="336"/>
        <v>0</v>
      </c>
      <c r="L401" s="209"/>
      <c r="M401" s="177">
        <f t="shared" si="337"/>
        <v>0</v>
      </c>
      <c r="N401" s="1012"/>
      <c r="O401" s="1012"/>
      <c r="P401" s="485"/>
      <c r="Q401" s="778"/>
      <c r="R401" s="778"/>
      <c r="S401" s="785" t="str">
        <f t="shared" si="340"/>
        <v/>
      </c>
      <c r="T401" s="548" t="str">
        <f t="shared" si="338"/>
        <v>Sheet Metal Takeoff</v>
      </c>
      <c r="U401" s="83">
        <f t="shared" si="341"/>
        <v>0</v>
      </c>
      <c r="V401" s="83">
        <f t="shared" si="342"/>
        <v>0</v>
      </c>
      <c r="W401" s="83">
        <f t="shared" si="343"/>
        <v>0</v>
      </c>
      <c r="X401" s="781">
        <f t="shared" si="344"/>
        <v>0</v>
      </c>
      <c r="Y401" s="781">
        <f t="shared" si="345"/>
        <v>0</v>
      </c>
      <c r="Z401" s="781">
        <f t="shared" si="346"/>
        <v>0</v>
      </c>
      <c r="AA401" s="83">
        <f t="shared" si="339"/>
        <v>0</v>
      </c>
      <c r="AB401" s="83">
        <f t="shared" si="347"/>
        <v>0</v>
      </c>
      <c r="AC401" s="83">
        <f t="shared" si="348"/>
        <v>0</v>
      </c>
      <c r="AD401" s="83">
        <f t="shared" si="349"/>
        <v>0</v>
      </c>
      <c r="AE401" s="83">
        <f t="shared" si="350"/>
        <v>0</v>
      </c>
      <c r="AF401" s="83">
        <f t="shared" si="351"/>
        <v>0</v>
      </c>
      <c r="AG401" s="83">
        <f t="shared" si="352"/>
        <v>0</v>
      </c>
      <c r="AH401" s="83">
        <f t="shared" si="353"/>
        <v>0</v>
      </c>
      <c r="AI401" s="83">
        <f t="shared" si="354"/>
        <v>0</v>
      </c>
      <c r="AJ401" s="718">
        <f t="shared" si="355"/>
        <v>0</v>
      </c>
      <c r="AL401">
        <f t="shared" si="356"/>
        <v>0</v>
      </c>
      <c r="AM401">
        <f t="shared" si="357"/>
        <v>0</v>
      </c>
    </row>
    <row r="402" spans="1:39" ht="15.75" x14ac:dyDescent="0.25">
      <c r="A402" s="561"/>
      <c r="B402" s="561"/>
      <c r="C402" s="561"/>
      <c r="D402" s="672"/>
      <c r="E402" s="209"/>
      <c r="F402" s="209"/>
      <c r="G402" s="209"/>
      <c r="H402" s="176">
        <f t="shared" si="335"/>
        <v>0</v>
      </c>
      <c r="I402" s="209"/>
      <c r="J402" s="209"/>
      <c r="K402" s="176">
        <f t="shared" si="336"/>
        <v>0</v>
      </c>
      <c r="L402" s="209"/>
      <c r="M402" s="177">
        <f t="shared" si="337"/>
        <v>0</v>
      </c>
      <c r="N402" s="1012"/>
      <c r="O402" s="1012"/>
      <c r="P402" s="485"/>
      <c r="Q402" s="778"/>
      <c r="R402" s="778"/>
      <c r="S402" s="785" t="str">
        <f t="shared" si="340"/>
        <v/>
      </c>
      <c r="T402" s="548" t="str">
        <f t="shared" si="338"/>
        <v>Sheet Metal Takeoff</v>
      </c>
      <c r="U402" s="83">
        <f t="shared" si="341"/>
        <v>0</v>
      </c>
      <c r="V402" s="83">
        <f t="shared" si="342"/>
        <v>0</v>
      </c>
      <c r="W402" s="83">
        <f t="shared" si="343"/>
        <v>0</v>
      </c>
      <c r="X402" s="781">
        <f t="shared" si="344"/>
        <v>0</v>
      </c>
      <c r="Y402" s="781">
        <f t="shared" si="345"/>
        <v>0</v>
      </c>
      <c r="Z402" s="781">
        <f t="shared" si="346"/>
        <v>0</v>
      </c>
      <c r="AA402" s="83">
        <f t="shared" si="339"/>
        <v>0</v>
      </c>
      <c r="AB402" s="83">
        <f t="shared" si="347"/>
        <v>0</v>
      </c>
      <c r="AC402" s="83">
        <f t="shared" si="348"/>
        <v>0</v>
      </c>
      <c r="AD402" s="83">
        <f t="shared" si="349"/>
        <v>0</v>
      </c>
      <c r="AE402" s="83">
        <f t="shared" si="350"/>
        <v>0</v>
      </c>
      <c r="AF402" s="83">
        <f t="shared" si="351"/>
        <v>0</v>
      </c>
      <c r="AG402" s="83">
        <f t="shared" si="352"/>
        <v>0</v>
      </c>
      <c r="AH402" s="83">
        <f t="shared" si="353"/>
        <v>0</v>
      </c>
      <c r="AI402" s="83">
        <f t="shared" si="354"/>
        <v>0</v>
      </c>
      <c r="AJ402" s="718">
        <f t="shared" si="355"/>
        <v>0</v>
      </c>
      <c r="AL402">
        <f t="shared" si="356"/>
        <v>0</v>
      </c>
      <c r="AM402">
        <f t="shared" si="357"/>
        <v>0</v>
      </c>
    </row>
    <row r="403" spans="1:39" ht="15.75" x14ac:dyDescent="0.25">
      <c r="A403" s="561"/>
      <c r="B403" s="561"/>
      <c r="C403" s="561"/>
      <c r="D403" s="672"/>
      <c r="E403" s="209"/>
      <c r="F403" s="209"/>
      <c r="G403" s="209"/>
      <c r="H403" s="176">
        <f t="shared" si="335"/>
        <v>0</v>
      </c>
      <c r="I403" s="209"/>
      <c r="J403" s="209"/>
      <c r="K403" s="176">
        <f t="shared" si="336"/>
        <v>0</v>
      </c>
      <c r="L403" s="209"/>
      <c r="M403" s="177">
        <f t="shared" si="337"/>
        <v>0</v>
      </c>
      <c r="N403" s="1012"/>
      <c r="O403" s="1012"/>
      <c r="P403" s="485"/>
      <c r="Q403" s="778"/>
      <c r="R403" s="778"/>
      <c r="S403" s="785" t="str">
        <f t="shared" si="340"/>
        <v/>
      </c>
      <c r="T403" s="548" t="str">
        <f t="shared" si="338"/>
        <v>Sheet Metal Takeoff</v>
      </c>
      <c r="U403" s="83">
        <f t="shared" si="341"/>
        <v>0</v>
      </c>
      <c r="V403" s="83">
        <f t="shared" si="342"/>
        <v>0</v>
      </c>
      <c r="W403" s="83">
        <f t="shared" si="343"/>
        <v>0</v>
      </c>
      <c r="X403" s="781">
        <f t="shared" si="344"/>
        <v>0</v>
      </c>
      <c r="Y403" s="781">
        <f t="shared" si="345"/>
        <v>0</v>
      </c>
      <c r="Z403" s="781">
        <f t="shared" si="346"/>
        <v>0</v>
      </c>
      <c r="AA403" s="83">
        <f t="shared" si="339"/>
        <v>0</v>
      </c>
      <c r="AB403" s="83">
        <f t="shared" si="347"/>
        <v>0</v>
      </c>
      <c r="AC403" s="83">
        <f t="shared" si="348"/>
        <v>0</v>
      </c>
      <c r="AD403" s="83">
        <f t="shared" si="349"/>
        <v>0</v>
      </c>
      <c r="AE403" s="83">
        <f t="shared" si="350"/>
        <v>0</v>
      </c>
      <c r="AF403" s="83">
        <f t="shared" si="351"/>
        <v>0</v>
      </c>
      <c r="AG403" s="83">
        <f t="shared" si="352"/>
        <v>0</v>
      </c>
      <c r="AH403" s="83">
        <f t="shared" si="353"/>
        <v>0</v>
      </c>
      <c r="AI403" s="83">
        <f t="shared" si="354"/>
        <v>0</v>
      </c>
      <c r="AJ403" s="718">
        <f t="shared" si="355"/>
        <v>0</v>
      </c>
      <c r="AL403">
        <f t="shared" si="356"/>
        <v>0</v>
      </c>
      <c r="AM403">
        <f t="shared" si="357"/>
        <v>0</v>
      </c>
    </row>
    <row r="404" spans="1:39" ht="15.75" x14ac:dyDescent="0.25">
      <c r="A404" s="561"/>
      <c r="B404" s="561"/>
      <c r="C404" s="561"/>
      <c r="D404" s="672"/>
      <c r="E404" s="209"/>
      <c r="F404" s="209"/>
      <c r="G404" s="209"/>
      <c r="H404" s="176">
        <f t="shared" si="335"/>
        <v>0</v>
      </c>
      <c r="I404" s="209"/>
      <c r="J404" s="209"/>
      <c r="K404" s="176">
        <f t="shared" si="336"/>
        <v>0</v>
      </c>
      <c r="L404" s="209"/>
      <c r="M404" s="177">
        <f t="shared" si="337"/>
        <v>0</v>
      </c>
      <c r="N404" s="1012"/>
      <c r="O404" s="1012"/>
      <c r="P404" s="485"/>
      <c r="Q404" s="778"/>
      <c r="R404" s="778"/>
      <c r="S404" s="785" t="str">
        <f t="shared" si="340"/>
        <v/>
      </c>
      <c r="T404" s="548" t="str">
        <f t="shared" si="338"/>
        <v>Sheet Metal Takeoff</v>
      </c>
      <c r="U404" s="83">
        <f t="shared" si="341"/>
        <v>0</v>
      </c>
      <c r="V404" s="83">
        <f t="shared" si="342"/>
        <v>0</v>
      </c>
      <c r="W404" s="83">
        <f t="shared" si="343"/>
        <v>0</v>
      </c>
      <c r="X404" s="781">
        <f t="shared" si="344"/>
        <v>0</v>
      </c>
      <c r="Y404" s="781">
        <f t="shared" si="345"/>
        <v>0</v>
      </c>
      <c r="Z404" s="781">
        <f t="shared" si="346"/>
        <v>0</v>
      </c>
      <c r="AA404" s="83">
        <f t="shared" si="339"/>
        <v>0</v>
      </c>
      <c r="AB404" s="83">
        <f t="shared" si="347"/>
        <v>0</v>
      </c>
      <c r="AC404" s="83">
        <f t="shared" si="348"/>
        <v>0</v>
      </c>
      <c r="AD404" s="83">
        <f t="shared" si="349"/>
        <v>0</v>
      </c>
      <c r="AE404" s="83">
        <f t="shared" si="350"/>
        <v>0</v>
      </c>
      <c r="AF404" s="83">
        <f t="shared" si="351"/>
        <v>0</v>
      </c>
      <c r="AG404" s="83">
        <f t="shared" si="352"/>
        <v>0</v>
      </c>
      <c r="AH404" s="83">
        <f t="shared" si="353"/>
        <v>0</v>
      </c>
      <c r="AI404" s="83">
        <f t="shared" si="354"/>
        <v>0</v>
      </c>
      <c r="AJ404" s="718">
        <f t="shared" si="355"/>
        <v>0</v>
      </c>
      <c r="AL404">
        <f t="shared" si="356"/>
        <v>0</v>
      </c>
      <c r="AM404">
        <f t="shared" si="357"/>
        <v>0</v>
      </c>
    </row>
    <row r="405" spans="1:39" ht="15.75" x14ac:dyDescent="0.25">
      <c r="A405" s="561"/>
      <c r="B405" s="561"/>
      <c r="C405" s="561"/>
      <c r="D405" s="672"/>
      <c r="E405" s="209"/>
      <c r="F405" s="209"/>
      <c r="G405" s="209"/>
      <c r="H405" s="176">
        <f t="shared" si="335"/>
        <v>0</v>
      </c>
      <c r="I405" s="209"/>
      <c r="J405" s="209"/>
      <c r="K405" s="176">
        <f t="shared" si="336"/>
        <v>0</v>
      </c>
      <c r="L405" s="209"/>
      <c r="M405" s="177">
        <f t="shared" si="337"/>
        <v>0</v>
      </c>
      <c r="N405" s="1012"/>
      <c r="O405" s="1012"/>
      <c r="P405" s="485"/>
      <c r="Q405" s="778"/>
      <c r="R405" s="778"/>
      <c r="S405" s="785" t="str">
        <f t="shared" si="340"/>
        <v/>
      </c>
      <c r="T405" s="548" t="str">
        <f t="shared" si="338"/>
        <v>Sheet Metal Takeoff</v>
      </c>
      <c r="U405" s="83">
        <f t="shared" si="341"/>
        <v>0</v>
      </c>
      <c r="V405" s="83">
        <f t="shared" si="342"/>
        <v>0</v>
      </c>
      <c r="W405" s="83">
        <f t="shared" si="343"/>
        <v>0</v>
      </c>
      <c r="X405" s="781">
        <f t="shared" si="344"/>
        <v>0</v>
      </c>
      <c r="Y405" s="781">
        <f t="shared" si="345"/>
        <v>0</v>
      </c>
      <c r="Z405" s="781">
        <f t="shared" si="346"/>
        <v>0</v>
      </c>
      <c r="AA405" s="83">
        <f t="shared" si="339"/>
        <v>0</v>
      </c>
      <c r="AB405" s="83">
        <f t="shared" si="347"/>
        <v>0</v>
      </c>
      <c r="AC405" s="83">
        <f t="shared" si="348"/>
        <v>0</v>
      </c>
      <c r="AD405" s="83">
        <f t="shared" si="349"/>
        <v>0</v>
      </c>
      <c r="AE405" s="83">
        <f t="shared" si="350"/>
        <v>0</v>
      </c>
      <c r="AF405" s="83">
        <f t="shared" si="351"/>
        <v>0</v>
      </c>
      <c r="AG405" s="83">
        <f t="shared" si="352"/>
        <v>0</v>
      </c>
      <c r="AH405" s="83">
        <f t="shared" si="353"/>
        <v>0</v>
      </c>
      <c r="AI405" s="83">
        <f t="shared" si="354"/>
        <v>0</v>
      </c>
      <c r="AJ405" s="718">
        <f t="shared" si="355"/>
        <v>0</v>
      </c>
      <c r="AL405">
        <f t="shared" si="356"/>
        <v>0</v>
      </c>
      <c r="AM405">
        <f t="shared" si="357"/>
        <v>0</v>
      </c>
    </row>
    <row r="406" spans="1:39" ht="15.75" x14ac:dyDescent="0.25">
      <c r="A406" s="561"/>
      <c r="B406" s="561"/>
      <c r="C406" s="561"/>
      <c r="D406" s="672"/>
      <c r="E406" s="209"/>
      <c r="F406" s="209"/>
      <c r="G406" s="209"/>
      <c r="H406" s="176">
        <f t="shared" si="335"/>
        <v>0</v>
      </c>
      <c r="I406" s="209"/>
      <c r="J406" s="209"/>
      <c r="K406" s="176">
        <f t="shared" si="336"/>
        <v>0</v>
      </c>
      <c r="L406" s="209"/>
      <c r="M406" s="177">
        <f t="shared" si="337"/>
        <v>0</v>
      </c>
      <c r="N406" s="1012"/>
      <c r="O406" s="1012"/>
      <c r="P406" s="485"/>
      <c r="Q406" s="778"/>
      <c r="R406" s="778"/>
      <c r="S406" s="785" t="str">
        <f t="shared" si="340"/>
        <v/>
      </c>
      <c r="T406" s="548" t="str">
        <f t="shared" si="338"/>
        <v>Sheet Metal Takeoff</v>
      </c>
      <c r="U406" s="83">
        <f t="shared" si="341"/>
        <v>0</v>
      </c>
      <c r="V406" s="83">
        <f t="shared" si="342"/>
        <v>0</v>
      </c>
      <c r="W406" s="83">
        <f t="shared" si="343"/>
        <v>0</v>
      </c>
      <c r="X406" s="781">
        <f t="shared" si="344"/>
        <v>0</v>
      </c>
      <c r="Y406" s="781">
        <f t="shared" si="345"/>
        <v>0</v>
      </c>
      <c r="Z406" s="781">
        <f t="shared" si="346"/>
        <v>0</v>
      </c>
      <c r="AA406" s="83">
        <f t="shared" si="339"/>
        <v>0</v>
      </c>
      <c r="AB406" s="83">
        <f t="shared" si="347"/>
        <v>0</v>
      </c>
      <c r="AC406" s="83">
        <f t="shared" si="348"/>
        <v>0</v>
      </c>
      <c r="AD406" s="83">
        <f t="shared" si="349"/>
        <v>0</v>
      </c>
      <c r="AE406" s="83">
        <f t="shared" si="350"/>
        <v>0</v>
      </c>
      <c r="AF406" s="83">
        <f t="shared" si="351"/>
        <v>0</v>
      </c>
      <c r="AG406" s="83">
        <f t="shared" si="352"/>
        <v>0</v>
      </c>
      <c r="AH406" s="83">
        <f t="shared" si="353"/>
        <v>0</v>
      </c>
      <c r="AI406" s="83">
        <f t="shared" si="354"/>
        <v>0</v>
      </c>
      <c r="AJ406" s="718">
        <f t="shared" si="355"/>
        <v>0</v>
      </c>
      <c r="AL406">
        <f t="shared" si="356"/>
        <v>0</v>
      </c>
      <c r="AM406">
        <f t="shared" si="357"/>
        <v>0</v>
      </c>
    </row>
    <row r="407" spans="1:39" ht="15.75" x14ac:dyDescent="0.25">
      <c r="A407" s="561"/>
      <c r="B407" s="561"/>
      <c r="C407" s="561"/>
      <c r="D407" s="672"/>
      <c r="E407" s="209"/>
      <c r="F407" s="209"/>
      <c r="G407" s="209"/>
      <c r="H407" s="176">
        <f t="shared" si="335"/>
        <v>0</v>
      </c>
      <c r="I407" s="209"/>
      <c r="J407" s="209"/>
      <c r="K407" s="176">
        <f t="shared" si="336"/>
        <v>0</v>
      </c>
      <c r="L407" s="209"/>
      <c r="M407" s="177">
        <f t="shared" si="337"/>
        <v>0</v>
      </c>
      <c r="N407" s="1012"/>
      <c r="O407" s="1012"/>
      <c r="P407" s="485"/>
      <c r="Q407" s="778"/>
      <c r="R407" s="778"/>
      <c r="S407" s="785" t="str">
        <f t="shared" si="340"/>
        <v/>
      </c>
      <c r="T407" s="548" t="str">
        <f t="shared" si="338"/>
        <v>Sheet Metal Takeoff</v>
      </c>
      <c r="U407" s="83">
        <f t="shared" si="341"/>
        <v>0</v>
      </c>
      <c r="V407" s="83">
        <f t="shared" si="342"/>
        <v>0</v>
      </c>
      <c r="W407" s="83">
        <f t="shared" si="343"/>
        <v>0</v>
      </c>
      <c r="X407" s="781">
        <f t="shared" si="344"/>
        <v>0</v>
      </c>
      <c r="Y407" s="781">
        <f t="shared" si="345"/>
        <v>0</v>
      </c>
      <c r="Z407" s="781">
        <f t="shared" si="346"/>
        <v>0</v>
      </c>
      <c r="AA407" s="83">
        <f t="shared" si="339"/>
        <v>0</v>
      </c>
      <c r="AB407" s="83">
        <f t="shared" si="347"/>
        <v>0</v>
      </c>
      <c r="AC407" s="83">
        <f t="shared" si="348"/>
        <v>0</v>
      </c>
      <c r="AD407" s="83">
        <f t="shared" si="349"/>
        <v>0</v>
      </c>
      <c r="AE407" s="83">
        <f t="shared" si="350"/>
        <v>0</v>
      </c>
      <c r="AF407" s="83">
        <f t="shared" si="351"/>
        <v>0</v>
      </c>
      <c r="AG407" s="83">
        <f t="shared" si="352"/>
        <v>0</v>
      </c>
      <c r="AH407" s="83">
        <f t="shared" si="353"/>
        <v>0</v>
      </c>
      <c r="AI407" s="83">
        <f t="shared" si="354"/>
        <v>0</v>
      </c>
      <c r="AJ407" s="718">
        <f t="shared" si="355"/>
        <v>0</v>
      </c>
      <c r="AL407">
        <f t="shared" si="356"/>
        <v>0</v>
      </c>
      <c r="AM407">
        <f t="shared" si="357"/>
        <v>0</v>
      </c>
    </row>
    <row r="408" spans="1:39" ht="15.75" x14ac:dyDescent="0.25">
      <c r="A408" s="561"/>
      <c r="B408" s="561"/>
      <c r="C408" s="561"/>
      <c r="D408" s="672"/>
      <c r="E408" s="209"/>
      <c r="F408" s="209"/>
      <c r="G408" s="209"/>
      <c r="H408" s="176">
        <f t="shared" si="335"/>
        <v>0</v>
      </c>
      <c r="I408" s="209"/>
      <c r="J408" s="209"/>
      <c r="K408" s="176">
        <f t="shared" si="336"/>
        <v>0</v>
      </c>
      <c r="L408" s="209"/>
      <c r="M408" s="177">
        <f t="shared" si="337"/>
        <v>0</v>
      </c>
      <c r="N408" s="1012"/>
      <c r="O408" s="1012"/>
      <c r="P408" s="485"/>
      <c r="Q408" s="778"/>
      <c r="R408" s="778"/>
      <c r="S408" s="785" t="str">
        <f t="shared" si="340"/>
        <v/>
      </c>
      <c r="T408" s="548" t="str">
        <f t="shared" si="338"/>
        <v>Sheet Metal Takeoff</v>
      </c>
      <c r="U408" s="83">
        <f t="shared" si="341"/>
        <v>0</v>
      </c>
      <c r="V408" s="83">
        <f t="shared" si="342"/>
        <v>0</v>
      </c>
      <c r="W408" s="83">
        <f t="shared" si="343"/>
        <v>0</v>
      </c>
      <c r="X408" s="781">
        <f t="shared" si="344"/>
        <v>0</v>
      </c>
      <c r="Y408" s="781">
        <f t="shared" si="345"/>
        <v>0</v>
      </c>
      <c r="Z408" s="781">
        <f t="shared" si="346"/>
        <v>0</v>
      </c>
      <c r="AA408" s="83">
        <f t="shared" si="339"/>
        <v>0</v>
      </c>
      <c r="AB408" s="83">
        <f t="shared" si="347"/>
        <v>0</v>
      </c>
      <c r="AC408" s="83">
        <f t="shared" si="348"/>
        <v>0</v>
      </c>
      <c r="AD408" s="83">
        <f t="shared" si="349"/>
        <v>0</v>
      </c>
      <c r="AE408" s="83">
        <f t="shared" si="350"/>
        <v>0</v>
      </c>
      <c r="AF408" s="83">
        <f t="shared" si="351"/>
        <v>0</v>
      </c>
      <c r="AG408" s="83">
        <f t="shared" si="352"/>
        <v>0</v>
      </c>
      <c r="AH408" s="83">
        <f t="shared" si="353"/>
        <v>0</v>
      </c>
      <c r="AI408" s="83">
        <f t="shared" si="354"/>
        <v>0</v>
      </c>
      <c r="AJ408" s="718">
        <f t="shared" si="355"/>
        <v>0</v>
      </c>
      <c r="AL408">
        <f t="shared" si="356"/>
        <v>0</v>
      </c>
      <c r="AM408">
        <f t="shared" si="357"/>
        <v>0</v>
      </c>
    </row>
    <row r="409" spans="1:39" ht="15.75" x14ac:dyDescent="0.25">
      <c r="A409" s="561"/>
      <c r="B409" s="561"/>
      <c r="C409" s="561"/>
      <c r="D409" s="672"/>
      <c r="E409" s="209"/>
      <c r="F409" s="209"/>
      <c r="G409" s="209"/>
      <c r="H409" s="176">
        <f t="shared" si="335"/>
        <v>0</v>
      </c>
      <c r="I409" s="209"/>
      <c r="J409" s="209"/>
      <c r="K409" s="176">
        <f t="shared" si="336"/>
        <v>0</v>
      </c>
      <c r="L409" s="209"/>
      <c r="M409" s="177">
        <f t="shared" si="337"/>
        <v>0</v>
      </c>
      <c r="N409" s="1012"/>
      <c r="O409" s="1012"/>
      <c r="P409" s="485"/>
      <c r="Q409" s="778"/>
      <c r="R409" s="778"/>
      <c r="S409" s="785" t="str">
        <f t="shared" si="340"/>
        <v/>
      </c>
      <c r="T409" s="548" t="str">
        <f t="shared" si="338"/>
        <v>Sheet Metal Takeoff</v>
      </c>
      <c r="U409" s="83">
        <f t="shared" si="341"/>
        <v>0</v>
      </c>
      <c r="V409" s="83">
        <f t="shared" si="342"/>
        <v>0</v>
      </c>
      <c r="W409" s="83">
        <f t="shared" si="343"/>
        <v>0</v>
      </c>
      <c r="X409" s="781">
        <f t="shared" si="344"/>
        <v>0</v>
      </c>
      <c r="Y409" s="781">
        <f t="shared" si="345"/>
        <v>0</v>
      </c>
      <c r="Z409" s="781">
        <f t="shared" si="346"/>
        <v>0</v>
      </c>
      <c r="AA409" s="83">
        <f t="shared" si="339"/>
        <v>0</v>
      </c>
      <c r="AB409" s="83">
        <f t="shared" si="347"/>
        <v>0</v>
      </c>
      <c r="AC409" s="83">
        <f t="shared" si="348"/>
        <v>0</v>
      </c>
      <c r="AD409" s="83">
        <f t="shared" si="349"/>
        <v>0</v>
      </c>
      <c r="AE409" s="83">
        <f t="shared" si="350"/>
        <v>0</v>
      </c>
      <c r="AF409" s="83">
        <f t="shared" si="351"/>
        <v>0</v>
      </c>
      <c r="AG409" s="83">
        <f t="shared" si="352"/>
        <v>0</v>
      </c>
      <c r="AH409" s="83">
        <f t="shared" si="353"/>
        <v>0</v>
      </c>
      <c r="AI409" s="83">
        <f t="shared" si="354"/>
        <v>0</v>
      </c>
      <c r="AJ409" s="718">
        <f t="shared" si="355"/>
        <v>0</v>
      </c>
      <c r="AL409">
        <f t="shared" si="356"/>
        <v>0</v>
      </c>
      <c r="AM409">
        <f t="shared" si="357"/>
        <v>0</v>
      </c>
    </row>
    <row r="410" spans="1:39" ht="15.75" x14ac:dyDescent="0.25">
      <c r="A410" s="561"/>
      <c r="B410" s="561"/>
      <c r="C410" s="561"/>
      <c r="D410" s="672"/>
      <c r="E410" s="209"/>
      <c r="F410" s="209"/>
      <c r="G410" s="209"/>
      <c r="H410" s="176">
        <f t="shared" si="335"/>
        <v>0</v>
      </c>
      <c r="I410" s="209"/>
      <c r="J410" s="209"/>
      <c r="K410" s="176">
        <f t="shared" si="336"/>
        <v>0</v>
      </c>
      <c r="L410" s="209"/>
      <c r="M410" s="177">
        <f t="shared" si="337"/>
        <v>0</v>
      </c>
      <c r="N410" s="1012"/>
      <c r="O410" s="1012"/>
      <c r="P410" s="485"/>
      <c r="Q410" s="778"/>
      <c r="R410" s="778"/>
      <c r="S410" s="785" t="str">
        <f t="shared" si="340"/>
        <v/>
      </c>
      <c r="T410" s="548" t="str">
        <f t="shared" si="338"/>
        <v>Sheet Metal Takeoff</v>
      </c>
      <c r="U410" s="83">
        <f t="shared" si="341"/>
        <v>0</v>
      </c>
      <c r="V410" s="83">
        <f t="shared" si="342"/>
        <v>0</v>
      </c>
      <c r="W410" s="83">
        <f t="shared" si="343"/>
        <v>0</v>
      </c>
      <c r="X410" s="781">
        <f t="shared" si="344"/>
        <v>0</v>
      </c>
      <c r="Y410" s="781">
        <f t="shared" si="345"/>
        <v>0</v>
      </c>
      <c r="Z410" s="781">
        <f t="shared" si="346"/>
        <v>0</v>
      </c>
      <c r="AA410" s="83">
        <f t="shared" si="339"/>
        <v>0</v>
      </c>
      <c r="AB410" s="83">
        <f t="shared" si="347"/>
        <v>0</v>
      </c>
      <c r="AC410" s="83">
        <f t="shared" si="348"/>
        <v>0</v>
      </c>
      <c r="AD410" s="83">
        <f t="shared" si="349"/>
        <v>0</v>
      </c>
      <c r="AE410" s="83">
        <f t="shared" si="350"/>
        <v>0</v>
      </c>
      <c r="AF410" s="83">
        <f t="shared" si="351"/>
        <v>0</v>
      </c>
      <c r="AG410" s="83">
        <f t="shared" si="352"/>
        <v>0</v>
      </c>
      <c r="AH410" s="83">
        <f t="shared" si="353"/>
        <v>0</v>
      </c>
      <c r="AI410" s="83">
        <f t="shared" si="354"/>
        <v>0</v>
      </c>
      <c r="AJ410" s="718">
        <f t="shared" si="355"/>
        <v>0</v>
      </c>
      <c r="AL410">
        <f t="shared" si="356"/>
        <v>0</v>
      </c>
      <c r="AM410">
        <f t="shared" si="357"/>
        <v>0</v>
      </c>
    </row>
    <row r="411" spans="1:39" ht="15.75" x14ac:dyDescent="0.25">
      <c r="A411" s="561"/>
      <c r="B411" s="561"/>
      <c r="C411" s="561"/>
      <c r="D411" s="672"/>
      <c r="E411" s="209"/>
      <c r="F411" s="209"/>
      <c r="G411" s="209"/>
      <c r="H411" s="176">
        <f t="shared" si="335"/>
        <v>0</v>
      </c>
      <c r="I411" s="209"/>
      <c r="J411" s="209"/>
      <c r="K411" s="176">
        <f t="shared" si="336"/>
        <v>0</v>
      </c>
      <c r="L411" s="209"/>
      <c r="M411" s="177">
        <f t="shared" si="337"/>
        <v>0</v>
      </c>
      <c r="N411" s="1012"/>
      <c r="O411" s="1012"/>
      <c r="P411" s="485"/>
      <c r="Q411" s="778"/>
      <c r="R411" s="778"/>
      <c r="S411" s="785" t="str">
        <f t="shared" si="340"/>
        <v/>
      </c>
      <c r="T411" s="548" t="str">
        <f t="shared" si="338"/>
        <v>Sheet Metal Takeoff</v>
      </c>
      <c r="U411" s="83">
        <f t="shared" si="341"/>
        <v>0</v>
      </c>
      <c r="V411" s="83">
        <f t="shared" si="342"/>
        <v>0</v>
      </c>
      <c r="W411" s="83">
        <f t="shared" si="343"/>
        <v>0</v>
      </c>
      <c r="X411" s="781">
        <f t="shared" si="344"/>
        <v>0</v>
      </c>
      <c r="Y411" s="781">
        <f t="shared" si="345"/>
        <v>0</v>
      </c>
      <c r="Z411" s="781">
        <f t="shared" si="346"/>
        <v>0</v>
      </c>
      <c r="AA411" s="83">
        <f t="shared" si="339"/>
        <v>0</v>
      </c>
      <c r="AB411" s="83">
        <f t="shared" si="347"/>
        <v>0</v>
      </c>
      <c r="AC411" s="83">
        <f t="shared" si="348"/>
        <v>0</v>
      </c>
      <c r="AD411" s="83">
        <f t="shared" si="349"/>
        <v>0</v>
      </c>
      <c r="AE411" s="83">
        <f t="shared" si="350"/>
        <v>0</v>
      </c>
      <c r="AF411" s="83">
        <f t="shared" si="351"/>
        <v>0</v>
      </c>
      <c r="AG411" s="83">
        <f t="shared" si="352"/>
        <v>0</v>
      </c>
      <c r="AH411" s="83">
        <f t="shared" si="353"/>
        <v>0</v>
      </c>
      <c r="AI411" s="83">
        <f t="shared" si="354"/>
        <v>0</v>
      </c>
      <c r="AJ411" s="718">
        <f t="shared" si="355"/>
        <v>0</v>
      </c>
      <c r="AL411">
        <f t="shared" si="356"/>
        <v>0</v>
      </c>
      <c r="AM411">
        <f t="shared" si="357"/>
        <v>0</v>
      </c>
    </row>
    <row r="412" spans="1:39" ht="15.75" x14ac:dyDescent="0.25">
      <c r="A412" s="561"/>
      <c r="B412" s="561"/>
      <c r="C412" s="561"/>
      <c r="D412" s="672"/>
      <c r="E412" s="209"/>
      <c r="F412" s="209"/>
      <c r="G412" s="209"/>
      <c r="H412" s="176">
        <f t="shared" si="335"/>
        <v>0</v>
      </c>
      <c r="I412" s="209"/>
      <c r="J412" s="209"/>
      <c r="K412" s="176">
        <f t="shared" si="336"/>
        <v>0</v>
      </c>
      <c r="L412" s="209"/>
      <c r="M412" s="177">
        <f t="shared" si="337"/>
        <v>0</v>
      </c>
      <c r="N412" s="1012"/>
      <c r="O412" s="1012"/>
      <c r="P412" s="485"/>
      <c r="Q412" s="778"/>
      <c r="R412" s="778"/>
      <c r="S412" s="785" t="str">
        <f t="shared" si="340"/>
        <v/>
      </c>
      <c r="T412" s="548" t="str">
        <f t="shared" si="338"/>
        <v>Sheet Metal Takeoff</v>
      </c>
      <c r="U412" s="83">
        <f t="shared" si="341"/>
        <v>0</v>
      </c>
      <c r="V412" s="83">
        <f t="shared" si="342"/>
        <v>0</v>
      </c>
      <c r="W412" s="83">
        <f t="shared" si="343"/>
        <v>0</v>
      </c>
      <c r="X412" s="781">
        <f t="shared" si="344"/>
        <v>0</v>
      </c>
      <c r="Y412" s="781">
        <f t="shared" si="345"/>
        <v>0</v>
      </c>
      <c r="Z412" s="781">
        <f t="shared" si="346"/>
        <v>0</v>
      </c>
      <c r="AA412" s="83">
        <f t="shared" si="339"/>
        <v>0</v>
      </c>
      <c r="AB412" s="83">
        <f t="shared" si="347"/>
        <v>0</v>
      </c>
      <c r="AC412" s="83">
        <f t="shared" si="348"/>
        <v>0</v>
      </c>
      <c r="AD412" s="83">
        <f t="shared" si="349"/>
        <v>0</v>
      </c>
      <c r="AE412" s="83">
        <f t="shared" si="350"/>
        <v>0</v>
      </c>
      <c r="AF412" s="83">
        <f t="shared" si="351"/>
        <v>0</v>
      </c>
      <c r="AG412" s="83">
        <f t="shared" si="352"/>
        <v>0</v>
      </c>
      <c r="AH412" s="83">
        <f t="shared" si="353"/>
        <v>0</v>
      </c>
      <c r="AI412" s="83">
        <f t="shared" si="354"/>
        <v>0</v>
      </c>
      <c r="AJ412" s="718">
        <f t="shared" si="355"/>
        <v>0</v>
      </c>
      <c r="AL412">
        <f t="shared" si="356"/>
        <v>0</v>
      </c>
      <c r="AM412">
        <f t="shared" si="357"/>
        <v>0</v>
      </c>
    </row>
    <row r="413" spans="1:39" ht="15.75" x14ac:dyDescent="0.25">
      <c r="A413" s="561"/>
      <c r="B413" s="561"/>
      <c r="C413" s="561"/>
      <c r="D413" s="672"/>
      <c r="E413" s="209"/>
      <c r="F413" s="209"/>
      <c r="G413" s="209"/>
      <c r="H413" s="176">
        <f t="shared" si="335"/>
        <v>0</v>
      </c>
      <c r="I413" s="209"/>
      <c r="J413" s="209"/>
      <c r="K413" s="176">
        <f t="shared" si="336"/>
        <v>0</v>
      </c>
      <c r="L413" s="209"/>
      <c r="M413" s="177">
        <f t="shared" si="337"/>
        <v>0</v>
      </c>
      <c r="N413" s="1012"/>
      <c r="O413" s="1012"/>
      <c r="P413" s="485"/>
      <c r="Q413" s="778"/>
      <c r="R413" s="778"/>
      <c r="S413" s="785" t="str">
        <f t="shared" si="340"/>
        <v/>
      </c>
      <c r="T413" s="548" t="str">
        <f t="shared" si="338"/>
        <v>Sheet Metal Takeoff</v>
      </c>
      <c r="U413" s="83">
        <f t="shared" si="341"/>
        <v>0</v>
      </c>
      <c r="V413" s="83">
        <f t="shared" si="342"/>
        <v>0</v>
      </c>
      <c r="W413" s="83">
        <f t="shared" si="343"/>
        <v>0</v>
      </c>
      <c r="X413" s="781">
        <f t="shared" si="344"/>
        <v>0</v>
      </c>
      <c r="Y413" s="781">
        <f t="shared" si="345"/>
        <v>0</v>
      </c>
      <c r="Z413" s="781">
        <f t="shared" si="346"/>
        <v>0</v>
      </c>
      <c r="AA413" s="83">
        <f t="shared" si="339"/>
        <v>0</v>
      </c>
      <c r="AB413" s="83">
        <f t="shared" si="347"/>
        <v>0</v>
      </c>
      <c r="AC413" s="83">
        <f t="shared" si="348"/>
        <v>0</v>
      </c>
      <c r="AD413" s="83">
        <f t="shared" si="349"/>
        <v>0</v>
      </c>
      <c r="AE413" s="83">
        <f t="shared" si="350"/>
        <v>0</v>
      </c>
      <c r="AF413" s="83">
        <f t="shared" si="351"/>
        <v>0</v>
      </c>
      <c r="AG413" s="83">
        <f t="shared" si="352"/>
        <v>0</v>
      </c>
      <c r="AH413" s="83">
        <f t="shared" si="353"/>
        <v>0</v>
      </c>
      <c r="AI413" s="83">
        <f t="shared" si="354"/>
        <v>0</v>
      </c>
      <c r="AJ413" s="718">
        <f t="shared" si="355"/>
        <v>0</v>
      </c>
      <c r="AL413">
        <f t="shared" si="356"/>
        <v>0</v>
      </c>
      <c r="AM413">
        <f t="shared" si="357"/>
        <v>0</v>
      </c>
    </row>
    <row r="414" spans="1:39" ht="15.75" x14ac:dyDescent="0.25">
      <c r="A414" s="561"/>
      <c r="B414" s="561"/>
      <c r="C414" s="561"/>
      <c r="D414" s="672"/>
      <c r="E414" s="209"/>
      <c r="F414" s="209"/>
      <c r="G414" s="209"/>
      <c r="H414" s="176">
        <f t="shared" si="335"/>
        <v>0</v>
      </c>
      <c r="I414" s="209"/>
      <c r="J414" s="209"/>
      <c r="K414" s="176">
        <f t="shared" si="336"/>
        <v>0</v>
      </c>
      <c r="L414" s="209"/>
      <c r="M414" s="177">
        <f t="shared" si="337"/>
        <v>0</v>
      </c>
      <c r="N414" s="1012"/>
      <c r="O414" s="1012"/>
      <c r="P414" s="485"/>
      <c r="Q414" s="778"/>
      <c r="R414" s="778"/>
      <c r="S414" s="785" t="str">
        <f t="shared" si="340"/>
        <v/>
      </c>
      <c r="T414" s="548" t="str">
        <f t="shared" si="338"/>
        <v>Sheet Metal Takeoff</v>
      </c>
      <c r="U414" s="83">
        <f t="shared" si="341"/>
        <v>0</v>
      </c>
      <c r="V414" s="83">
        <f t="shared" si="342"/>
        <v>0</v>
      </c>
      <c r="W414" s="83">
        <f t="shared" si="343"/>
        <v>0</v>
      </c>
      <c r="X414" s="781">
        <f t="shared" si="344"/>
        <v>0</v>
      </c>
      <c r="Y414" s="781">
        <f t="shared" si="345"/>
        <v>0</v>
      </c>
      <c r="Z414" s="781">
        <f t="shared" si="346"/>
        <v>0</v>
      </c>
      <c r="AA414" s="83">
        <f t="shared" si="339"/>
        <v>0</v>
      </c>
      <c r="AB414" s="83">
        <f t="shared" si="347"/>
        <v>0</v>
      </c>
      <c r="AC414" s="83">
        <f t="shared" si="348"/>
        <v>0</v>
      </c>
      <c r="AD414" s="83">
        <f t="shared" si="349"/>
        <v>0</v>
      </c>
      <c r="AE414" s="83">
        <f t="shared" si="350"/>
        <v>0</v>
      </c>
      <c r="AF414" s="83">
        <f t="shared" si="351"/>
        <v>0</v>
      </c>
      <c r="AG414" s="83">
        <f t="shared" si="352"/>
        <v>0</v>
      </c>
      <c r="AH414" s="83">
        <f t="shared" si="353"/>
        <v>0</v>
      </c>
      <c r="AI414" s="83">
        <f t="shared" si="354"/>
        <v>0</v>
      </c>
      <c r="AJ414" s="718">
        <f t="shared" si="355"/>
        <v>0</v>
      </c>
      <c r="AL414">
        <f t="shared" si="356"/>
        <v>0</v>
      </c>
      <c r="AM414">
        <f t="shared" si="357"/>
        <v>0</v>
      </c>
    </row>
    <row r="415" spans="1:39" ht="15.75" x14ac:dyDescent="0.25">
      <c r="A415" s="561"/>
      <c r="B415" s="561"/>
      <c r="C415" s="561"/>
      <c r="D415" s="672"/>
      <c r="E415" s="209"/>
      <c r="F415" s="209"/>
      <c r="G415" s="209"/>
      <c r="H415" s="176">
        <f t="shared" si="335"/>
        <v>0</v>
      </c>
      <c r="I415" s="209"/>
      <c r="J415" s="209"/>
      <c r="K415" s="176">
        <f t="shared" si="336"/>
        <v>0</v>
      </c>
      <c r="L415" s="209"/>
      <c r="M415" s="177">
        <f t="shared" si="337"/>
        <v>0</v>
      </c>
      <c r="N415" s="1012"/>
      <c r="O415" s="1012"/>
      <c r="P415" s="485"/>
      <c r="Q415" s="778"/>
      <c r="R415" s="778"/>
      <c r="S415" s="785" t="str">
        <f t="shared" si="340"/>
        <v/>
      </c>
      <c r="T415" s="548" t="str">
        <f t="shared" si="338"/>
        <v>Sheet Metal Takeoff</v>
      </c>
      <c r="U415" s="83">
        <f t="shared" si="341"/>
        <v>0</v>
      </c>
      <c r="V415" s="83">
        <f t="shared" si="342"/>
        <v>0</v>
      </c>
      <c r="W415" s="83">
        <f t="shared" si="343"/>
        <v>0</v>
      </c>
      <c r="X415" s="781">
        <f t="shared" si="344"/>
        <v>0</v>
      </c>
      <c r="Y415" s="781">
        <f t="shared" si="345"/>
        <v>0</v>
      </c>
      <c r="Z415" s="781">
        <f t="shared" si="346"/>
        <v>0</v>
      </c>
      <c r="AA415" s="83">
        <f t="shared" si="339"/>
        <v>0</v>
      </c>
      <c r="AB415" s="83">
        <f t="shared" si="347"/>
        <v>0</v>
      </c>
      <c r="AC415" s="83">
        <f t="shared" si="348"/>
        <v>0</v>
      </c>
      <c r="AD415" s="83">
        <f t="shared" si="349"/>
        <v>0</v>
      </c>
      <c r="AE415" s="83">
        <f t="shared" si="350"/>
        <v>0</v>
      </c>
      <c r="AF415" s="83">
        <f t="shared" si="351"/>
        <v>0</v>
      </c>
      <c r="AG415" s="83">
        <f t="shared" si="352"/>
        <v>0</v>
      </c>
      <c r="AH415" s="83">
        <f t="shared" si="353"/>
        <v>0</v>
      </c>
      <c r="AI415" s="83">
        <f t="shared" si="354"/>
        <v>0</v>
      </c>
      <c r="AJ415" s="718">
        <f t="shared" si="355"/>
        <v>0</v>
      </c>
      <c r="AL415">
        <f t="shared" si="356"/>
        <v>0</v>
      </c>
      <c r="AM415">
        <f t="shared" si="357"/>
        <v>0</v>
      </c>
    </row>
    <row r="416" spans="1:39" ht="15.75" hidden="1" customHeight="1" x14ac:dyDescent="0.25">
      <c r="A416" s="561"/>
      <c r="B416" s="561"/>
      <c r="C416" s="561"/>
      <c r="D416" s="672"/>
      <c r="E416" s="209"/>
      <c r="F416" s="209"/>
      <c r="G416" s="209"/>
      <c r="H416" s="176">
        <f t="shared" si="335"/>
        <v>0</v>
      </c>
      <c r="I416" s="209"/>
      <c r="J416" s="209"/>
      <c r="K416" s="176">
        <f t="shared" si="336"/>
        <v>0</v>
      </c>
      <c r="L416" s="209"/>
      <c r="M416" s="177">
        <f t="shared" si="337"/>
        <v>0</v>
      </c>
      <c r="N416" s="1012"/>
      <c r="O416" s="1012"/>
      <c r="P416" s="485"/>
      <c r="Q416" s="778"/>
      <c r="R416" s="778"/>
      <c r="S416" s="785" t="str">
        <f t="shared" si="340"/>
        <v/>
      </c>
      <c r="T416" s="548" t="str">
        <f t="shared" si="338"/>
        <v>Sheet Metal Takeoff</v>
      </c>
      <c r="U416" s="83">
        <f>ROUND(IF($T416="Plumb Takeoff",$H416*U$3,IF($T416="Pipe Takeoff",$H416*U$4,$H416*U$2)),2)</f>
        <v>0</v>
      </c>
      <c r="V416" s="83">
        <f t="shared" si="342"/>
        <v>0</v>
      </c>
      <c r="W416" s="83">
        <f t="shared" si="343"/>
        <v>0</v>
      </c>
      <c r="X416" s="781">
        <f t="shared" si="344"/>
        <v>0</v>
      </c>
      <c r="Y416" s="781">
        <f t="shared" si="345"/>
        <v>0</v>
      </c>
      <c r="Z416" s="781">
        <f t="shared" si="346"/>
        <v>0</v>
      </c>
      <c r="AA416" s="83">
        <f t="shared" si="339"/>
        <v>0</v>
      </c>
      <c r="AB416" s="83">
        <f t="shared" si="347"/>
        <v>0</v>
      </c>
      <c r="AC416" s="83">
        <f t="shared" si="348"/>
        <v>0</v>
      </c>
      <c r="AD416" s="83">
        <f t="shared" si="349"/>
        <v>0</v>
      </c>
      <c r="AE416" s="83">
        <f t="shared" si="350"/>
        <v>0</v>
      </c>
      <c r="AF416" s="83">
        <f t="shared" si="351"/>
        <v>0</v>
      </c>
      <c r="AG416" s="83">
        <f t="shared" si="352"/>
        <v>0</v>
      </c>
      <c r="AH416" s="83">
        <f t="shared" si="353"/>
        <v>0</v>
      </c>
      <c r="AI416" s="83">
        <f t="shared" si="354"/>
        <v>0</v>
      </c>
      <c r="AJ416" s="718">
        <f t="shared" si="355"/>
        <v>0</v>
      </c>
      <c r="AL416">
        <f t="shared" si="356"/>
        <v>0</v>
      </c>
      <c r="AM416">
        <f t="shared" si="357"/>
        <v>0</v>
      </c>
    </row>
    <row r="417" spans="1:39" ht="15.75" x14ac:dyDescent="0.25">
      <c r="A417" s="551"/>
      <c r="B417" s="551"/>
      <c r="C417" s="551"/>
      <c r="D417" s="673"/>
      <c r="E417" s="552"/>
      <c r="F417" s="553"/>
      <c r="G417" s="553"/>
      <c r="H417" s="181">
        <f>SUM(H391:H416)</f>
        <v>0</v>
      </c>
      <c r="I417" s="182"/>
      <c r="J417" s="182"/>
      <c r="K417" s="181">
        <f>SUM(K391:K416)</f>
        <v>0</v>
      </c>
      <c r="L417" s="182"/>
      <c r="M417" s="177">
        <f>SUM(M391:M416)</f>
        <v>0</v>
      </c>
      <c r="O417" s="486"/>
      <c r="AJ417" s="718"/>
    </row>
    <row r="418" spans="1:39" ht="15.75" thickBot="1" x14ac:dyDescent="0.3">
      <c r="AJ418" s="718"/>
    </row>
    <row r="419" spans="1:39" ht="16.5" thickBot="1" x14ac:dyDescent="0.3">
      <c r="E419" s="678" t="s">
        <v>1122</v>
      </c>
      <c r="F419" s="1017" t="s">
        <v>1630</v>
      </c>
      <c r="G419" s="1018"/>
      <c r="H419" s="344"/>
      <c r="I419" s="1019" t="s">
        <v>1628</v>
      </c>
      <c r="J419" s="1020"/>
      <c r="K419" s="679" t="b">
        <v>0</v>
      </c>
      <c r="AJ419" s="718"/>
    </row>
    <row r="420" spans="1:39" ht="38.25" thickBot="1" x14ac:dyDescent="0.35">
      <c r="A420" s="477" t="s">
        <v>1063</v>
      </c>
      <c r="B420" s="477" t="s">
        <v>348</v>
      </c>
      <c r="C420" s="477" t="s">
        <v>349</v>
      </c>
      <c r="D420" s="666" t="s">
        <v>0</v>
      </c>
      <c r="E420" s="477" t="s">
        <v>1</v>
      </c>
      <c r="F420" s="480" t="s">
        <v>2</v>
      </c>
      <c r="G420" s="480" t="s">
        <v>1123</v>
      </c>
      <c r="H420" s="480" t="s">
        <v>3</v>
      </c>
      <c r="I420" s="483" t="s">
        <v>4</v>
      </c>
      <c r="J420" s="480" t="s">
        <v>1124</v>
      </c>
      <c r="K420" s="680" t="s">
        <v>5</v>
      </c>
      <c r="L420" s="480" t="s">
        <v>6</v>
      </c>
      <c r="M420" s="484" t="s">
        <v>7</v>
      </c>
      <c r="N420" s="1013" t="s">
        <v>1079</v>
      </c>
      <c r="O420" s="1014"/>
      <c r="P420" s="1009" t="s">
        <v>1629</v>
      </c>
      <c r="Q420" s="1009" t="s">
        <v>1147</v>
      </c>
      <c r="R420" s="1009" t="s">
        <v>1792</v>
      </c>
      <c r="T420" s="2"/>
      <c r="AJ420" s="718"/>
    </row>
    <row r="421" spans="1:39" ht="16.5" thickBot="1" x14ac:dyDescent="0.3">
      <c r="A421" s="183"/>
      <c r="B421" s="183"/>
      <c r="C421" s="183"/>
      <c r="D421" s="671"/>
      <c r="E421" s="183"/>
      <c r="F421" s="183"/>
      <c r="G421" s="183"/>
      <c r="H421" s="183"/>
      <c r="I421" s="183"/>
      <c r="J421" s="183"/>
      <c r="K421" s="183"/>
      <c r="L421" s="183"/>
      <c r="M421" s="183"/>
      <c r="N421" s="1015"/>
      <c r="O421" s="1016"/>
      <c r="P421" s="1010" t="s">
        <v>1362</v>
      </c>
      <c r="Q421" s="1010"/>
      <c r="R421" s="1010"/>
      <c r="T421" s="1"/>
      <c r="AJ421" s="718"/>
    </row>
    <row r="422" spans="1:39" ht="15.75" x14ac:dyDescent="0.25">
      <c r="A422" s="561"/>
      <c r="B422" s="561"/>
      <c r="C422" s="561"/>
      <c r="D422" s="672"/>
      <c r="E422" s="209"/>
      <c r="F422" s="209"/>
      <c r="G422" s="209"/>
      <c r="H422" s="176">
        <f t="shared" ref="H422:H447" si="358">IF(SM_ExludeGroup13=TRUE,0,IF(G422="",E422*F422*IF(AND(S422="LOP",R422="SWING"),1+CrewRate_PlumbFitter_SwingLOP,1)*IF(AND(S422="LOP",R422="GRAVE"),1+CrewRate_PlumbFitter_GraveLOP,1)*IF(AND(S422="LOP",R422="SPECIAL"),1+CrewRate_PlumbFitter_SwingLOP,1),E422*F422*G422*IF(AND(S422="LOP",R422="SWING"),1+CrewRate_PlumbFitter_SwingLOP,1)*IF(AND(S422="LOP",R422="GRAVE"),1+CrewRate_PlumbFitter_GraveLOP,1)*IF(AND(S422="LOP",R422="SPECIAL"),1+CrewRate_PlumbFitter_SwingLOP,1)))</f>
        <v>0</v>
      </c>
      <c r="I422" s="209"/>
      <c r="J422" s="209"/>
      <c r="K422" s="176">
        <f t="shared" ref="K422:K447" si="359">IF(SM_ExludeGroup13=TRUE,0,IF(J422="",E422*I422,E422*I422*J422))</f>
        <v>0</v>
      </c>
      <c r="L422" s="209"/>
      <c r="M422" s="177">
        <f t="shared" ref="M422:M447" si="360">IF(SM_ExludeGroup13=TRUE,0,E422*L422)</f>
        <v>0</v>
      </c>
      <c r="N422" s="1012"/>
      <c r="O422" s="1012"/>
      <c r="P422" s="485"/>
      <c r="Q422" s="778"/>
      <c r="R422" s="778"/>
      <c r="S422" s="785" t="str">
        <f>IF(T422="Sheet Metal Takeoff","",IF(R422="","","LOP"))</f>
        <v/>
      </c>
      <c r="T422" s="548" t="str">
        <f t="shared" ref="T422:T447" si="361">IF($F$419="","Sheet Metal Takeoff",$F$419)</f>
        <v>Sheet Metal Takeoff</v>
      </c>
      <c r="U422" s="83">
        <f>ROUND(IF($T422="Plumb Takeoff",$H422*U$3,IF($T422="Pipe Takeoff",$H422*U$4,$H422*U$2)),2)</f>
        <v>0</v>
      </c>
      <c r="V422" s="83">
        <f>ROUND(IF($T422="Plumb Takeoff",IF($Q422="OT",$H422*V$3,0),IF($T422="Pipe Takeoff",IF($Q422="OT",$H422*V$4,0),IF($Q422="OT",$H422*V$2,0))),2)</f>
        <v>0</v>
      </c>
      <c r="W422" s="83">
        <f>ROUND(IF($T422="Plumb Takeoff",IF($Q422="DBLT",$H422*W$3,0),IF($T422="Pipe Takeoff",IF($Q422="DBLT",$H422*W$4,0),IF($Q422="DBLT",$H422*W$2,0))),2)</f>
        <v>0</v>
      </c>
      <c r="X422" s="781">
        <f>ROUND(SUM(IF($T422="Plumb Takeoff",IF($R422="SWING",ROUND(SUM($H422)*X$3,2))),IF($T422="Pipe Takeoff",IF($R422="SWING",ROUND(SUM($H422)*X$4,2))),IF($T422="Sheet Metal Takeoff",IF($R422="SWING",ROUND(SUM($H422)*X$2,2)))),2)</f>
        <v>0</v>
      </c>
      <c r="Y422" s="781">
        <f>ROUND(SUM(IF($T422="Plumb Takeoff",IF($R422="GRAVE",ROUND(SUM($H422)*Y$3,2))),IF($T422="Pipe Takeoff",IF($R422="GRAVE",ROUND(SUM($H422)*Y$4,2))),IF($T422="Sheet Metal Takeoff",IF($R422="GRAVE",ROUND(SUM($H422)*Y$2,2)))),2)</f>
        <v>0</v>
      </c>
      <c r="Z422" s="781">
        <f>ROUND(SUM(IF($T422="Plumb Takeoff",IF($R422="SPECIAL",ROUND(SUM($H422)*Z$3,2))),IF($T422="Pipe Takeoff",IF($R422="SPECIAL",ROUND(SUM($H422)*Z$4,2))),IF($T422="Sheet Metal Takeoff",IF($R422="SPECIAL",ROUND(SUM($H422)*Z$2,2)))),2)</f>
        <v>0</v>
      </c>
      <c r="AA422" s="83">
        <f t="shared" ref="AA422:AA447" si="362">ROUND($K422*AA$2,2)</f>
        <v>0</v>
      </c>
      <c r="AB422" s="83">
        <f>ROUND(IF($Q422="OT",$K422*AB$2,0),2)</f>
        <v>0</v>
      </c>
      <c r="AC422" s="83">
        <f>ROUND(IF($Q422="DBLT",$K422*AC$2,0),2)</f>
        <v>0</v>
      </c>
      <c r="AD422" s="83">
        <f>ROUND(IF($R422="SWING",$K422*AD$2,0),2)</f>
        <v>0</v>
      </c>
      <c r="AE422" s="83">
        <f>ROUND(IF($R422="GRAVE",$K422*AE$2,0),2)</f>
        <v>0</v>
      </c>
      <c r="AF422" s="83">
        <f>ROUND(IF($R422="SPECIAL",$K422*AF$2,0),2)</f>
        <v>0</v>
      </c>
      <c r="AG422" s="83">
        <f>SUM(U422:Z422)</f>
        <v>0</v>
      </c>
      <c r="AH422" s="83">
        <f>SUM(AA422:AF422)</f>
        <v>0</v>
      </c>
      <c r="AI422" s="83">
        <f>SUM(U422:AF422)</f>
        <v>0</v>
      </c>
      <c r="AJ422" s="718">
        <f>SUM(M422,AI422)</f>
        <v>0</v>
      </c>
      <c r="AL422">
        <f>SUM(V422:Z422)</f>
        <v>0</v>
      </c>
      <c r="AM422">
        <f>SUM(AB422:AF422)</f>
        <v>0</v>
      </c>
    </row>
    <row r="423" spans="1:39" ht="15.75" x14ac:dyDescent="0.25">
      <c r="A423" s="561"/>
      <c r="B423" s="561"/>
      <c r="C423" s="561"/>
      <c r="D423" s="672"/>
      <c r="E423" s="209"/>
      <c r="F423" s="209"/>
      <c r="G423" s="209"/>
      <c r="H423" s="176">
        <f t="shared" si="358"/>
        <v>0</v>
      </c>
      <c r="I423" s="209"/>
      <c r="J423" s="209"/>
      <c r="K423" s="176">
        <f t="shared" si="359"/>
        <v>0</v>
      </c>
      <c r="L423" s="209"/>
      <c r="M423" s="177">
        <f t="shared" si="360"/>
        <v>0</v>
      </c>
      <c r="N423" s="1012"/>
      <c r="O423" s="1012"/>
      <c r="P423" s="485"/>
      <c r="Q423" s="778"/>
      <c r="R423" s="778"/>
      <c r="S423" s="785" t="str">
        <f t="shared" ref="S423:S447" si="363">IF(T423="Sheet Metal Takeoff","",IF(R423="","","LOP"))</f>
        <v/>
      </c>
      <c r="T423" s="548" t="str">
        <f t="shared" si="361"/>
        <v>Sheet Metal Takeoff</v>
      </c>
      <c r="U423" s="83">
        <f t="shared" ref="U423:U446" si="364">ROUND(IF($T423="Plumb Takeoff",$H423*U$3,IF($T423="Pipe Takeoff",$H423*U$4,$H423*U$2)),2)</f>
        <v>0</v>
      </c>
      <c r="V423" s="83">
        <f t="shared" ref="V423:V447" si="365">ROUND(IF($T423="Plumb Takeoff",IF($Q423="OT",$H423*V$3,0),IF($T423="Pipe Takeoff",IF($Q423="OT",$H423*V$4,0),IF($Q423="OT",$H423*V$2,0))),2)</f>
        <v>0</v>
      </c>
      <c r="W423" s="83">
        <f t="shared" ref="W423:W447" si="366">ROUND(IF($T423="Plumb Takeoff",IF($Q423="DBLT",$H423*W$3,0),IF($T423="Pipe Takeoff",IF($Q423="DBLT",$H423*W$4,0),IF($Q423="DBLT",$H423*W$2,0))),2)</f>
        <v>0</v>
      </c>
      <c r="X423" s="781">
        <f t="shared" ref="X423:X447" si="367">ROUND(SUM(IF($T423="Plumb Takeoff",IF($R423="SWING",ROUND(SUM($H423)*X$3,2))),IF($T423="Pipe Takeoff",IF($R423="SWING",ROUND(SUM($H423)*X$4,2))),IF($T423="Sheet Metal Takeoff",IF($R423="SWING",ROUND(SUM($H423)*X$2,2)))),2)</f>
        <v>0</v>
      </c>
      <c r="Y423" s="781">
        <f t="shared" ref="Y423:Y447" si="368">ROUND(SUM(IF($T423="Plumb Takeoff",IF($R423="GRAVE",ROUND(SUM($H423)*Y$3,2))),IF($T423="Pipe Takeoff",IF($R423="GRAVE",ROUND(SUM($H423)*Y$4,2))),IF($T423="Sheet Metal Takeoff",IF($R423="GRAVE",ROUND(SUM($H423)*Y$2,2)))),2)</f>
        <v>0</v>
      </c>
      <c r="Z423" s="781">
        <f t="shared" ref="Z423:Z447" si="369">ROUND(SUM(IF($T423="Plumb Takeoff",IF($R423="SPECIAL",ROUND(SUM($H423)*Z$3,2))),IF($T423="Pipe Takeoff",IF($R423="SPECIAL",ROUND(SUM($H423)*Z$4,2))),IF($T423="Sheet Metal Takeoff",IF($R423="SPECIAL",ROUND(SUM($H423)*Z$2,2)))),2)</f>
        <v>0</v>
      </c>
      <c r="AA423" s="83">
        <f t="shared" si="362"/>
        <v>0</v>
      </c>
      <c r="AB423" s="83">
        <f t="shared" ref="AB423:AB447" si="370">ROUND(IF($Q423="OT",$K423*AB$2,0),2)</f>
        <v>0</v>
      </c>
      <c r="AC423" s="83">
        <f t="shared" ref="AC423:AC447" si="371">ROUND(IF($Q423="DBLT",$K423*AC$2,0),2)</f>
        <v>0</v>
      </c>
      <c r="AD423" s="83">
        <f t="shared" ref="AD423:AD447" si="372">ROUND(IF($R423="SWING",$K423*AD$2,0),2)</f>
        <v>0</v>
      </c>
      <c r="AE423" s="83">
        <f t="shared" ref="AE423:AE447" si="373">ROUND(IF($R423="GRAVE",$K423*AE$2,0),2)</f>
        <v>0</v>
      </c>
      <c r="AF423" s="83">
        <f t="shared" ref="AF423:AF447" si="374">ROUND(IF($R423="SPECIAL",$K423*AF$2,0),2)</f>
        <v>0</v>
      </c>
      <c r="AG423" s="83">
        <f t="shared" ref="AG423:AG447" si="375">SUM(U423:Z423)</f>
        <v>0</v>
      </c>
      <c r="AH423" s="83">
        <f t="shared" ref="AH423:AH447" si="376">SUM(AA423:AF423)</f>
        <v>0</v>
      </c>
      <c r="AI423" s="83">
        <f t="shared" ref="AI423:AI447" si="377">SUM(U423:AF423)</f>
        <v>0</v>
      </c>
      <c r="AJ423" s="718">
        <f t="shared" ref="AJ423:AJ447" si="378">SUM(M423,AI423)</f>
        <v>0</v>
      </c>
      <c r="AL423">
        <f t="shared" ref="AL423:AL447" si="379">SUM(V423:Z423)</f>
        <v>0</v>
      </c>
      <c r="AM423">
        <f t="shared" ref="AM423:AM447" si="380">SUM(AB423:AF423)</f>
        <v>0</v>
      </c>
    </row>
    <row r="424" spans="1:39" ht="15.75" x14ac:dyDescent="0.25">
      <c r="A424" s="561"/>
      <c r="B424" s="561"/>
      <c r="C424" s="561"/>
      <c r="D424" s="672"/>
      <c r="E424" s="209"/>
      <c r="F424" s="209"/>
      <c r="G424" s="209"/>
      <c r="H424" s="176">
        <f t="shared" si="358"/>
        <v>0</v>
      </c>
      <c r="I424" s="209"/>
      <c r="J424" s="209"/>
      <c r="K424" s="176">
        <f t="shared" si="359"/>
        <v>0</v>
      </c>
      <c r="L424" s="209"/>
      <c r="M424" s="177">
        <f t="shared" si="360"/>
        <v>0</v>
      </c>
      <c r="N424" s="1012"/>
      <c r="O424" s="1012"/>
      <c r="P424" s="485"/>
      <c r="Q424" s="778"/>
      <c r="R424" s="778"/>
      <c r="S424" s="785" t="str">
        <f t="shared" si="363"/>
        <v/>
      </c>
      <c r="T424" s="548" t="str">
        <f t="shared" si="361"/>
        <v>Sheet Metal Takeoff</v>
      </c>
      <c r="U424" s="83">
        <f t="shared" si="364"/>
        <v>0</v>
      </c>
      <c r="V424" s="83">
        <f t="shared" si="365"/>
        <v>0</v>
      </c>
      <c r="W424" s="83">
        <f t="shared" si="366"/>
        <v>0</v>
      </c>
      <c r="X424" s="781">
        <f t="shared" si="367"/>
        <v>0</v>
      </c>
      <c r="Y424" s="781">
        <f t="shared" si="368"/>
        <v>0</v>
      </c>
      <c r="Z424" s="781">
        <f t="shared" si="369"/>
        <v>0</v>
      </c>
      <c r="AA424" s="83">
        <f t="shared" si="362"/>
        <v>0</v>
      </c>
      <c r="AB424" s="83">
        <f t="shared" si="370"/>
        <v>0</v>
      </c>
      <c r="AC424" s="83">
        <f t="shared" si="371"/>
        <v>0</v>
      </c>
      <c r="AD424" s="83">
        <f t="shared" si="372"/>
        <v>0</v>
      </c>
      <c r="AE424" s="83">
        <f t="shared" si="373"/>
        <v>0</v>
      </c>
      <c r="AF424" s="83">
        <f t="shared" si="374"/>
        <v>0</v>
      </c>
      <c r="AG424" s="83">
        <f t="shared" si="375"/>
        <v>0</v>
      </c>
      <c r="AH424" s="83">
        <f t="shared" si="376"/>
        <v>0</v>
      </c>
      <c r="AI424" s="83">
        <f t="shared" si="377"/>
        <v>0</v>
      </c>
      <c r="AJ424" s="718">
        <f t="shared" si="378"/>
        <v>0</v>
      </c>
      <c r="AL424">
        <f t="shared" si="379"/>
        <v>0</v>
      </c>
      <c r="AM424">
        <f t="shared" si="380"/>
        <v>0</v>
      </c>
    </row>
    <row r="425" spans="1:39" ht="15.75" x14ac:dyDescent="0.25">
      <c r="A425" s="561"/>
      <c r="B425" s="561"/>
      <c r="C425" s="561"/>
      <c r="D425" s="672"/>
      <c r="E425" s="209"/>
      <c r="F425" s="209"/>
      <c r="G425" s="209"/>
      <c r="H425" s="176">
        <f t="shared" si="358"/>
        <v>0</v>
      </c>
      <c r="I425" s="209"/>
      <c r="J425" s="209"/>
      <c r="K425" s="176">
        <f t="shared" si="359"/>
        <v>0</v>
      </c>
      <c r="L425" s="209"/>
      <c r="M425" s="177">
        <f t="shared" si="360"/>
        <v>0</v>
      </c>
      <c r="N425" s="1012"/>
      <c r="O425" s="1012"/>
      <c r="P425" s="485"/>
      <c r="Q425" s="778"/>
      <c r="R425" s="778"/>
      <c r="S425" s="785" t="str">
        <f t="shared" si="363"/>
        <v/>
      </c>
      <c r="T425" s="548" t="str">
        <f t="shared" si="361"/>
        <v>Sheet Metal Takeoff</v>
      </c>
      <c r="U425" s="83">
        <f t="shared" si="364"/>
        <v>0</v>
      </c>
      <c r="V425" s="83">
        <f t="shared" si="365"/>
        <v>0</v>
      </c>
      <c r="W425" s="83">
        <f t="shared" si="366"/>
        <v>0</v>
      </c>
      <c r="X425" s="781">
        <f t="shared" si="367"/>
        <v>0</v>
      </c>
      <c r="Y425" s="781">
        <f t="shared" si="368"/>
        <v>0</v>
      </c>
      <c r="Z425" s="781">
        <f t="shared" si="369"/>
        <v>0</v>
      </c>
      <c r="AA425" s="83">
        <f t="shared" si="362"/>
        <v>0</v>
      </c>
      <c r="AB425" s="83">
        <f t="shared" si="370"/>
        <v>0</v>
      </c>
      <c r="AC425" s="83">
        <f t="shared" si="371"/>
        <v>0</v>
      </c>
      <c r="AD425" s="83">
        <f t="shared" si="372"/>
        <v>0</v>
      </c>
      <c r="AE425" s="83">
        <f t="shared" si="373"/>
        <v>0</v>
      </c>
      <c r="AF425" s="83">
        <f t="shared" si="374"/>
        <v>0</v>
      </c>
      <c r="AG425" s="83">
        <f t="shared" si="375"/>
        <v>0</v>
      </c>
      <c r="AH425" s="83">
        <f t="shared" si="376"/>
        <v>0</v>
      </c>
      <c r="AI425" s="83">
        <f t="shared" si="377"/>
        <v>0</v>
      </c>
      <c r="AJ425" s="718">
        <f t="shared" si="378"/>
        <v>0</v>
      </c>
      <c r="AL425">
        <f t="shared" si="379"/>
        <v>0</v>
      </c>
      <c r="AM425">
        <f t="shared" si="380"/>
        <v>0</v>
      </c>
    </row>
    <row r="426" spans="1:39" ht="15.75" x14ac:dyDescent="0.25">
      <c r="A426" s="561"/>
      <c r="B426" s="561"/>
      <c r="C426" s="561"/>
      <c r="D426" s="672"/>
      <c r="E426" s="209"/>
      <c r="F426" s="209"/>
      <c r="G426" s="209"/>
      <c r="H426" s="176">
        <f t="shared" si="358"/>
        <v>0</v>
      </c>
      <c r="I426" s="209"/>
      <c r="J426" s="209"/>
      <c r="K426" s="176">
        <f t="shared" si="359"/>
        <v>0</v>
      </c>
      <c r="L426" s="209"/>
      <c r="M426" s="177">
        <f t="shared" si="360"/>
        <v>0</v>
      </c>
      <c r="N426" s="1012"/>
      <c r="O426" s="1012"/>
      <c r="P426" s="485"/>
      <c r="Q426" s="778"/>
      <c r="R426" s="778"/>
      <c r="S426" s="785" t="str">
        <f t="shared" si="363"/>
        <v/>
      </c>
      <c r="T426" s="548" t="str">
        <f t="shared" si="361"/>
        <v>Sheet Metal Takeoff</v>
      </c>
      <c r="U426" s="83">
        <f t="shared" si="364"/>
        <v>0</v>
      </c>
      <c r="V426" s="83">
        <f t="shared" si="365"/>
        <v>0</v>
      </c>
      <c r="W426" s="83">
        <f t="shared" si="366"/>
        <v>0</v>
      </c>
      <c r="X426" s="781">
        <f t="shared" si="367"/>
        <v>0</v>
      </c>
      <c r="Y426" s="781">
        <f t="shared" si="368"/>
        <v>0</v>
      </c>
      <c r="Z426" s="781">
        <f t="shared" si="369"/>
        <v>0</v>
      </c>
      <c r="AA426" s="83">
        <f t="shared" si="362"/>
        <v>0</v>
      </c>
      <c r="AB426" s="83">
        <f t="shared" si="370"/>
        <v>0</v>
      </c>
      <c r="AC426" s="83">
        <f t="shared" si="371"/>
        <v>0</v>
      </c>
      <c r="AD426" s="83">
        <f t="shared" si="372"/>
        <v>0</v>
      </c>
      <c r="AE426" s="83">
        <f t="shared" si="373"/>
        <v>0</v>
      </c>
      <c r="AF426" s="83">
        <f t="shared" si="374"/>
        <v>0</v>
      </c>
      <c r="AG426" s="83">
        <f t="shared" si="375"/>
        <v>0</v>
      </c>
      <c r="AH426" s="83">
        <f t="shared" si="376"/>
        <v>0</v>
      </c>
      <c r="AI426" s="83">
        <f t="shared" si="377"/>
        <v>0</v>
      </c>
      <c r="AJ426" s="718">
        <f t="shared" si="378"/>
        <v>0</v>
      </c>
      <c r="AL426">
        <f t="shared" si="379"/>
        <v>0</v>
      </c>
      <c r="AM426">
        <f t="shared" si="380"/>
        <v>0</v>
      </c>
    </row>
    <row r="427" spans="1:39" ht="15.75" x14ac:dyDescent="0.25">
      <c r="A427" s="561"/>
      <c r="B427" s="561"/>
      <c r="C427" s="561"/>
      <c r="D427" s="672"/>
      <c r="E427" s="209"/>
      <c r="F427" s="209"/>
      <c r="G427" s="209"/>
      <c r="H427" s="176">
        <f t="shared" si="358"/>
        <v>0</v>
      </c>
      <c r="I427" s="209"/>
      <c r="J427" s="209"/>
      <c r="K427" s="176">
        <f t="shared" si="359"/>
        <v>0</v>
      </c>
      <c r="L427" s="209"/>
      <c r="M427" s="177">
        <f t="shared" si="360"/>
        <v>0</v>
      </c>
      <c r="N427" s="1012"/>
      <c r="O427" s="1012"/>
      <c r="P427" s="485"/>
      <c r="Q427" s="778"/>
      <c r="R427" s="778"/>
      <c r="S427" s="785" t="str">
        <f t="shared" si="363"/>
        <v/>
      </c>
      <c r="T427" s="548" t="str">
        <f t="shared" si="361"/>
        <v>Sheet Metal Takeoff</v>
      </c>
      <c r="U427" s="83">
        <f t="shared" si="364"/>
        <v>0</v>
      </c>
      <c r="V427" s="83">
        <f t="shared" si="365"/>
        <v>0</v>
      </c>
      <c r="W427" s="83">
        <f t="shared" si="366"/>
        <v>0</v>
      </c>
      <c r="X427" s="781">
        <f t="shared" si="367"/>
        <v>0</v>
      </c>
      <c r="Y427" s="781">
        <f t="shared" si="368"/>
        <v>0</v>
      </c>
      <c r="Z427" s="781">
        <f t="shared" si="369"/>
        <v>0</v>
      </c>
      <c r="AA427" s="83">
        <f t="shared" si="362"/>
        <v>0</v>
      </c>
      <c r="AB427" s="83">
        <f t="shared" si="370"/>
        <v>0</v>
      </c>
      <c r="AC427" s="83">
        <f t="shared" si="371"/>
        <v>0</v>
      </c>
      <c r="AD427" s="83">
        <f t="shared" si="372"/>
        <v>0</v>
      </c>
      <c r="AE427" s="83">
        <f t="shared" si="373"/>
        <v>0</v>
      </c>
      <c r="AF427" s="83">
        <f t="shared" si="374"/>
        <v>0</v>
      </c>
      <c r="AG427" s="83">
        <f t="shared" si="375"/>
        <v>0</v>
      </c>
      <c r="AH427" s="83">
        <f t="shared" si="376"/>
        <v>0</v>
      </c>
      <c r="AI427" s="83">
        <f t="shared" si="377"/>
        <v>0</v>
      </c>
      <c r="AJ427" s="718">
        <f t="shared" si="378"/>
        <v>0</v>
      </c>
      <c r="AL427">
        <f t="shared" si="379"/>
        <v>0</v>
      </c>
      <c r="AM427">
        <f t="shared" si="380"/>
        <v>0</v>
      </c>
    </row>
    <row r="428" spans="1:39" ht="15.75" x14ac:dyDescent="0.25">
      <c r="A428" s="561"/>
      <c r="B428" s="561"/>
      <c r="C428" s="561"/>
      <c r="D428" s="672"/>
      <c r="E428" s="209"/>
      <c r="F428" s="209"/>
      <c r="G428" s="209"/>
      <c r="H428" s="176">
        <f t="shared" si="358"/>
        <v>0</v>
      </c>
      <c r="I428" s="209"/>
      <c r="J428" s="209"/>
      <c r="K428" s="176">
        <f t="shared" si="359"/>
        <v>0</v>
      </c>
      <c r="L428" s="209"/>
      <c r="M428" s="177">
        <f t="shared" si="360"/>
        <v>0</v>
      </c>
      <c r="N428" s="1012"/>
      <c r="O428" s="1012"/>
      <c r="P428" s="485"/>
      <c r="Q428" s="778"/>
      <c r="R428" s="778"/>
      <c r="S428" s="785" t="str">
        <f t="shared" si="363"/>
        <v/>
      </c>
      <c r="T428" s="548" t="str">
        <f t="shared" si="361"/>
        <v>Sheet Metal Takeoff</v>
      </c>
      <c r="U428" s="83">
        <f t="shared" si="364"/>
        <v>0</v>
      </c>
      <c r="V428" s="83">
        <f t="shared" si="365"/>
        <v>0</v>
      </c>
      <c r="W428" s="83">
        <f t="shared" si="366"/>
        <v>0</v>
      </c>
      <c r="X428" s="781">
        <f t="shared" si="367"/>
        <v>0</v>
      </c>
      <c r="Y428" s="781">
        <f t="shared" si="368"/>
        <v>0</v>
      </c>
      <c r="Z428" s="781">
        <f t="shared" si="369"/>
        <v>0</v>
      </c>
      <c r="AA428" s="83">
        <f t="shared" si="362"/>
        <v>0</v>
      </c>
      <c r="AB428" s="83">
        <f t="shared" si="370"/>
        <v>0</v>
      </c>
      <c r="AC428" s="83">
        <f t="shared" si="371"/>
        <v>0</v>
      </c>
      <c r="AD428" s="83">
        <f t="shared" si="372"/>
        <v>0</v>
      </c>
      <c r="AE428" s="83">
        <f t="shared" si="373"/>
        <v>0</v>
      </c>
      <c r="AF428" s="83">
        <f t="shared" si="374"/>
        <v>0</v>
      </c>
      <c r="AG428" s="83">
        <f t="shared" si="375"/>
        <v>0</v>
      </c>
      <c r="AH428" s="83">
        <f t="shared" si="376"/>
        <v>0</v>
      </c>
      <c r="AI428" s="83">
        <f t="shared" si="377"/>
        <v>0</v>
      </c>
      <c r="AJ428" s="718">
        <f t="shared" si="378"/>
        <v>0</v>
      </c>
      <c r="AL428">
        <f t="shared" si="379"/>
        <v>0</v>
      </c>
      <c r="AM428">
        <f t="shared" si="380"/>
        <v>0</v>
      </c>
    </row>
    <row r="429" spans="1:39" ht="15.75" x14ac:dyDescent="0.25">
      <c r="A429" s="561"/>
      <c r="B429" s="561"/>
      <c r="C429" s="561"/>
      <c r="D429" s="672"/>
      <c r="E429" s="209"/>
      <c r="F429" s="209"/>
      <c r="G429" s="209"/>
      <c r="H429" s="176">
        <f t="shared" si="358"/>
        <v>0</v>
      </c>
      <c r="I429" s="209"/>
      <c r="J429" s="209"/>
      <c r="K429" s="176">
        <f t="shared" si="359"/>
        <v>0</v>
      </c>
      <c r="L429" s="209"/>
      <c r="M429" s="177">
        <f t="shared" si="360"/>
        <v>0</v>
      </c>
      <c r="N429" s="1012"/>
      <c r="O429" s="1012"/>
      <c r="P429" s="485"/>
      <c r="Q429" s="778"/>
      <c r="R429" s="778"/>
      <c r="S429" s="785" t="str">
        <f t="shared" si="363"/>
        <v/>
      </c>
      <c r="T429" s="548" t="str">
        <f t="shared" si="361"/>
        <v>Sheet Metal Takeoff</v>
      </c>
      <c r="U429" s="83">
        <f t="shared" si="364"/>
        <v>0</v>
      </c>
      <c r="V429" s="83">
        <f t="shared" si="365"/>
        <v>0</v>
      </c>
      <c r="W429" s="83">
        <f t="shared" si="366"/>
        <v>0</v>
      </c>
      <c r="X429" s="781">
        <f t="shared" si="367"/>
        <v>0</v>
      </c>
      <c r="Y429" s="781">
        <f t="shared" si="368"/>
        <v>0</v>
      </c>
      <c r="Z429" s="781">
        <f t="shared" si="369"/>
        <v>0</v>
      </c>
      <c r="AA429" s="83">
        <f t="shared" si="362"/>
        <v>0</v>
      </c>
      <c r="AB429" s="83">
        <f t="shared" si="370"/>
        <v>0</v>
      </c>
      <c r="AC429" s="83">
        <f t="shared" si="371"/>
        <v>0</v>
      </c>
      <c r="AD429" s="83">
        <f t="shared" si="372"/>
        <v>0</v>
      </c>
      <c r="AE429" s="83">
        <f t="shared" si="373"/>
        <v>0</v>
      </c>
      <c r="AF429" s="83">
        <f t="shared" si="374"/>
        <v>0</v>
      </c>
      <c r="AG429" s="83">
        <f t="shared" si="375"/>
        <v>0</v>
      </c>
      <c r="AH429" s="83">
        <f t="shared" si="376"/>
        <v>0</v>
      </c>
      <c r="AI429" s="83">
        <f t="shared" si="377"/>
        <v>0</v>
      </c>
      <c r="AJ429" s="718">
        <f t="shared" si="378"/>
        <v>0</v>
      </c>
      <c r="AL429">
        <f t="shared" si="379"/>
        <v>0</v>
      </c>
      <c r="AM429">
        <f t="shared" si="380"/>
        <v>0</v>
      </c>
    </row>
    <row r="430" spans="1:39" ht="15.75" x14ac:dyDescent="0.25">
      <c r="A430" s="561"/>
      <c r="B430" s="561"/>
      <c r="C430" s="561"/>
      <c r="D430" s="672"/>
      <c r="E430" s="209"/>
      <c r="F430" s="209"/>
      <c r="G430" s="209"/>
      <c r="H430" s="176">
        <f t="shared" si="358"/>
        <v>0</v>
      </c>
      <c r="I430" s="209"/>
      <c r="J430" s="209"/>
      <c r="K430" s="176">
        <f t="shared" si="359"/>
        <v>0</v>
      </c>
      <c r="L430" s="209"/>
      <c r="M430" s="177">
        <f t="shared" si="360"/>
        <v>0</v>
      </c>
      <c r="N430" s="1012"/>
      <c r="O430" s="1012"/>
      <c r="P430" s="485"/>
      <c r="Q430" s="778"/>
      <c r="R430" s="778"/>
      <c r="S430" s="785" t="str">
        <f t="shared" si="363"/>
        <v/>
      </c>
      <c r="T430" s="548" t="str">
        <f t="shared" si="361"/>
        <v>Sheet Metal Takeoff</v>
      </c>
      <c r="U430" s="83">
        <f t="shared" si="364"/>
        <v>0</v>
      </c>
      <c r="V430" s="83">
        <f t="shared" si="365"/>
        <v>0</v>
      </c>
      <c r="W430" s="83">
        <f t="shared" si="366"/>
        <v>0</v>
      </c>
      <c r="X430" s="781">
        <f t="shared" si="367"/>
        <v>0</v>
      </c>
      <c r="Y430" s="781">
        <f t="shared" si="368"/>
        <v>0</v>
      </c>
      <c r="Z430" s="781">
        <f t="shared" si="369"/>
        <v>0</v>
      </c>
      <c r="AA430" s="83">
        <f t="shared" si="362"/>
        <v>0</v>
      </c>
      <c r="AB430" s="83">
        <f t="shared" si="370"/>
        <v>0</v>
      </c>
      <c r="AC430" s="83">
        <f t="shared" si="371"/>
        <v>0</v>
      </c>
      <c r="AD430" s="83">
        <f t="shared" si="372"/>
        <v>0</v>
      </c>
      <c r="AE430" s="83">
        <f t="shared" si="373"/>
        <v>0</v>
      </c>
      <c r="AF430" s="83">
        <f t="shared" si="374"/>
        <v>0</v>
      </c>
      <c r="AG430" s="83">
        <f t="shared" si="375"/>
        <v>0</v>
      </c>
      <c r="AH430" s="83">
        <f t="shared" si="376"/>
        <v>0</v>
      </c>
      <c r="AI430" s="83">
        <f t="shared" si="377"/>
        <v>0</v>
      </c>
      <c r="AJ430" s="718">
        <f t="shared" si="378"/>
        <v>0</v>
      </c>
      <c r="AL430">
        <f t="shared" si="379"/>
        <v>0</v>
      </c>
      <c r="AM430">
        <f t="shared" si="380"/>
        <v>0</v>
      </c>
    </row>
    <row r="431" spans="1:39" ht="15.75" x14ac:dyDescent="0.25">
      <c r="A431" s="561"/>
      <c r="B431" s="561"/>
      <c r="C431" s="561"/>
      <c r="D431" s="672"/>
      <c r="E431" s="209"/>
      <c r="F431" s="209"/>
      <c r="G431" s="209"/>
      <c r="H431" s="176">
        <f t="shared" si="358"/>
        <v>0</v>
      </c>
      <c r="I431" s="209"/>
      <c r="J431" s="209"/>
      <c r="K431" s="176">
        <f t="shared" si="359"/>
        <v>0</v>
      </c>
      <c r="L431" s="209"/>
      <c r="M431" s="177">
        <f t="shared" si="360"/>
        <v>0</v>
      </c>
      <c r="N431" s="1012"/>
      <c r="O431" s="1012"/>
      <c r="P431" s="485"/>
      <c r="Q431" s="778"/>
      <c r="R431" s="778"/>
      <c r="S431" s="785" t="str">
        <f t="shared" si="363"/>
        <v/>
      </c>
      <c r="T431" s="548" t="str">
        <f t="shared" si="361"/>
        <v>Sheet Metal Takeoff</v>
      </c>
      <c r="U431" s="83">
        <f t="shared" si="364"/>
        <v>0</v>
      </c>
      <c r="V431" s="83">
        <f t="shared" si="365"/>
        <v>0</v>
      </c>
      <c r="W431" s="83">
        <f t="shared" si="366"/>
        <v>0</v>
      </c>
      <c r="X431" s="781">
        <f t="shared" si="367"/>
        <v>0</v>
      </c>
      <c r="Y431" s="781">
        <f t="shared" si="368"/>
        <v>0</v>
      </c>
      <c r="Z431" s="781">
        <f t="shared" si="369"/>
        <v>0</v>
      </c>
      <c r="AA431" s="83">
        <f t="shared" si="362"/>
        <v>0</v>
      </c>
      <c r="AB431" s="83">
        <f t="shared" si="370"/>
        <v>0</v>
      </c>
      <c r="AC431" s="83">
        <f t="shared" si="371"/>
        <v>0</v>
      </c>
      <c r="AD431" s="83">
        <f t="shared" si="372"/>
        <v>0</v>
      </c>
      <c r="AE431" s="83">
        <f t="shared" si="373"/>
        <v>0</v>
      </c>
      <c r="AF431" s="83">
        <f t="shared" si="374"/>
        <v>0</v>
      </c>
      <c r="AG431" s="83">
        <f t="shared" si="375"/>
        <v>0</v>
      </c>
      <c r="AH431" s="83">
        <f t="shared" si="376"/>
        <v>0</v>
      </c>
      <c r="AI431" s="83">
        <f t="shared" si="377"/>
        <v>0</v>
      </c>
      <c r="AJ431" s="718">
        <f t="shared" si="378"/>
        <v>0</v>
      </c>
      <c r="AL431">
        <f t="shared" si="379"/>
        <v>0</v>
      </c>
      <c r="AM431">
        <f t="shared" si="380"/>
        <v>0</v>
      </c>
    </row>
    <row r="432" spans="1:39" ht="15.75" x14ac:dyDescent="0.25">
      <c r="A432" s="561"/>
      <c r="B432" s="561"/>
      <c r="C432" s="561"/>
      <c r="D432" s="672"/>
      <c r="E432" s="209"/>
      <c r="F432" s="209"/>
      <c r="G432" s="209"/>
      <c r="H432" s="176">
        <f t="shared" si="358"/>
        <v>0</v>
      </c>
      <c r="I432" s="209"/>
      <c r="J432" s="209"/>
      <c r="K432" s="176">
        <f t="shared" si="359"/>
        <v>0</v>
      </c>
      <c r="L432" s="209"/>
      <c r="M432" s="177">
        <f t="shared" si="360"/>
        <v>0</v>
      </c>
      <c r="N432" s="1012"/>
      <c r="O432" s="1012"/>
      <c r="P432" s="485"/>
      <c r="Q432" s="778"/>
      <c r="R432" s="778"/>
      <c r="S432" s="785" t="str">
        <f t="shared" si="363"/>
        <v/>
      </c>
      <c r="T432" s="548" t="str">
        <f t="shared" si="361"/>
        <v>Sheet Metal Takeoff</v>
      </c>
      <c r="U432" s="83">
        <f t="shared" si="364"/>
        <v>0</v>
      </c>
      <c r="V432" s="83">
        <f t="shared" si="365"/>
        <v>0</v>
      </c>
      <c r="W432" s="83">
        <f t="shared" si="366"/>
        <v>0</v>
      </c>
      <c r="X432" s="781">
        <f t="shared" si="367"/>
        <v>0</v>
      </c>
      <c r="Y432" s="781">
        <f t="shared" si="368"/>
        <v>0</v>
      </c>
      <c r="Z432" s="781">
        <f t="shared" si="369"/>
        <v>0</v>
      </c>
      <c r="AA432" s="83">
        <f t="shared" si="362"/>
        <v>0</v>
      </c>
      <c r="AB432" s="83">
        <f t="shared" si="370"/>
        <v>0</v>
      </c>
      <c r="AC432" s="83">
        <f t="shared" si="371"/>
        <v>0</v>
      </c>
      <c r="AD432" s="83">
        <f t="shared" si="372"/>
        <v>0</v>
      </c>
      <c r="AE432" s="83">
        <f t="shared" si="373"/>
        <v>0</v>
      </c>
      <c r="AF432" s="83">
        <f t="shared" si="374"/>
        <v>0</v>
      </c>
      <c r="AG432" s="83">
        <f t="shared" si="375"/>
        <v>0</v>
      </c>
      <c r="AH432" s="83">
        <f t="shared" si="376"/>
        <v>0</v>
      </c>
      <c r="AI432" s="83">
        <f t="shared" si="377"/>
        <v>0</v>
      </c>
      <c r="AJ432" s="718">
        <f t="shared" si="378"/>
        <v>0</v>
      </c>
      <c r="AL432">
        <f t="shared" si="379"/>
        <v>0</v>
      </c>
      <c r="AM432">
        <f t="shared" si="380"/>
        <v>0</v>
      </c>
    </row>
    <row r="433" spans="1:39" ht="15.75" x14ac:dyDescent="0.25">
      <c r="A433" s="561"/>
      <c r="B433" s="561"/>
      <c r="C433" s="561"/>
      <c r="D433" s="672"/>
      <c r="E433" s="209"/>
      <c r="F433" s="209"/>
      <c r="G433" s="209"/>
      <c r="H433" s="176">
        <f t="shared" si="358"/>
        <v>0</v>
      </c>
      <c r="I433" s="209"/>
      <c r="J433" s="209"/>
      <c r="K433" s="176">
        <f t="shared" si="359"/>
        <v>0</v>
      </c>
      <c r="L433" s="209"/>
      <c r="M433" s="177">
        <f t="shared" si="360"/>
        <v>0</v>
      </c>
      <c r="N433" s="1012"/>
      <c r="O433" s="1012"/>
      <c r="P433" s="485"/>
      <c r="Q433" s="778"/>
      <c r="R433" s="778"/>
      <c r="S433" s="785" t="str">
        <f t="shared" si="363"/>
        <v/>
      </c>
      <c r="T433" s="548" t="str">
        <f t="shared" si="361"/>
        <v>Sheet Metal Takeoff</v>
      </c>
      <c r="U433" s="83">
        <f t="shared" si="364"/>
        <v>0</v>
      </c>
      <c r="V433" s="83">
        <f t="shared" si="365"/>
        <v>0</v>
      </c>
      <c r="W433" s="83">
        <f t="shared" si="366"/>
        <v>0</v>
      </c>
      <c r="X433" s="781">
        <f t="shared" si="367"/>
        <v>0</v>
      </c>
      <c r="Y433" s="781">
        <f t="shared" si="368"/>
        <v>0</v>
      </c>
      <c r="Z433" s="781">
        <f t="shared" si="369"/>
        <v>0</v>
      </c>
      <c r="AA433" s="83">
        <f t="shared" si="362"/>
        <v>0</v>
      </c>
      <c r="AB433" s="83">
        <f t="shared" si="370"/>
        <v>0</v>
      </c>
      <c r="AC433" s="83">
        <f t="shared" si="371"/>
        <v>0</v>
      </c>
      <c r="AD433" s="83">
        <f t="shared" si="372"/>
        <v>0</v>
      </c>
      <c r="AE433" s="83">
        <f t="shared" si="373"/>
        <v>0</v>
      </c>
      <c r="AF433" s="83">
        <f t="shared" si="374"/>
        <v>0</v>
      </c>
      <c r="AG433" s="83">
        <f t="shared" si="375"/>
        <v>0</v>
      </c>
      <c r="AH433" s="83">
        <f t="shared" si="376"/>
        <v>0</v>
      </c>
      <c r="AI433" s="83">
        <f t="shared" si="377"/>
        <v>0</v>
      </c>
      <c r="AJ433" s="718">
        <f t="shared" si="378"/>
        <v>0</v>
      </c>
      <c r="AL433">
        <f t="shared" si="379"/>
        <v>0</v>
      </c>
      <c r="AM433">
        <f t="shared" si="380"/>
        <v>0</v>
      </c>
    </row>
    <row r="434" spans="1:39" ht="15.75" x14ac:dyDescent="0.25">
      <c r="A434" s="561"/>
      <c r="B434" s="561"/>
      <c r="C434" s="561"/>
      <c r="D434" s="672"/>
      <c r="E434" s="209"/>
      <c r="F434" s="209"/>
      <c r="G434" s="209"/>
      <c r="H434" s="176">
        <f t="shared" si="358"/>
        <v>0</v>
      </c>
      <c r="I434" s="209"/>
      <c r="J434" s="209"/>
      <c r="K434" s="176">
        <f t="shared" si="359"/>
        <v>0</v>
      </c>
      <c r="L434" s="209"/>
      <c r="M434" s="177">
        <f t="shared" si="360"/>
        <v>0</v>
      </c>
      <c r="N434" s="1012"/>
      <c r="O434" s="1012"/>
      <c r="P434" s="485"/>
      <c r="Q434" s="778"/>
      <c r="R434" s="778"/>
      <c r="S434" s="785" t="str">
        <f t="shared" si="363"/>
        <v/>
      </c>
      <c r="T434" s="548" t="str">
        <f t="shared" si="361"/>
        <v>Sheet Metal Takeoff</v>
      </c>
      <c r="U434" s="83">
        <f t="shared" si="364"/>
        <v>0</v>
      </c>
      <c r="V434" s="83">
        <f t="shared" si="365"/>
        <v>0</v>
      </c>
      <c r="W434" s="83">
        <f t="shared" si="366"/>
        <v>0</v>
      </c>
      <c r="X434" s="781">
        <f t="shared" si="367"/>
        <v>0</v>
      </c>
      <c r="Y434" s="781">
        <f t="shared" si="368"/>
        <v>0</v>
      </c>
      <c r="Z434" s="781">
        <f t="shared" si="369"/>
        <v>0</v>
      </c>
      <c r="AA434" s="83">
        <f t="shared" si="362"/>
        <v>0</v>
      </c>
      <c r="AB434" s="83">
        <f t="shared" si="370"/>
        <v>0</v>
      </c>
      <c r="AC434" s="83">
        <f t="shared" si="371"/>
        <v>0</v>
      </c>
      <c r="AD434" s="83">
        <f t="shared" si="372"/>
        <v>0</v>
      </c>
      <c r="AE434" s="83">
        <f t="shared" si="373"/>
        <v>0</v>
      </c>
      <c r="AF434" s="83">
        <f t="shared" si="374"/>
        <v>0</v>
      </c>
      <c r="AG434" s="83">
        <f t="shared" si="375"/>
        <v>0</v>
      </c>
      <c r="AH434" s="83">
        <f t="shared" si="376"/>
        <v>0</v>
      </c>
      <c r="AI434" s="83">
        <f t="shared" si="377"/>
        <v>0</v>
      </c>
      <c r="AJ434" s="718">
        <f t="shared" si="378"/>
        <v>0</v>
      </c>
      <c r="AL434">
        <f t="shared" si="379"/>
        <v>0</v>
      </c>
      <c r="AM434">
        <f t="shared" si="380"/>
        <v>0</v>
      </c>
    </row>
    <row r="435" spans="1:39" ht="15.75" x14ac:dyDescent="0.25">
      <c r="A435" s="561"/>
      <c r="B435" s="561"/>
      <c r="C435" s="561"/>
      <c r="D435" s="672"/>
      <c r="E435" s="209"/>
      <c r="F435" s="209"/>
      <c r="G435" s="209"/>
      <c r="H435" s="176">
        <f t="shared" si="358"/>
        <v>0</v>
      </c>
      <c r="I435" s="209"/>
      <c r="J435" s="209"/>
      <c r="K435" s="176">
        <f t="shared" si="359"/>
        <v>0</v>
      </c>
      <c r="L435" s="209"/>
      <c r="M435" s="177">
        <f t="shared" si="360"/>
        <v>0</v>
      </c>
      <c r="N435" s="1012"/>
      <c r="O435" s="1012"/>
      <c r="P435" s="485"/>
      <c r="Q435" s="778"/>
      <c r="R435" s="778"/>
      <c r="S435" s="785" t="str">
        <f t="shared" si="363"/>
        <v/>
      </c>
      <c r="T435" s="548" t="str">
        <f t="shared" si="361"/>
        <v>Sheet Metal Takeoff</v>
      </c>
      <c r="U435" s="83">
        <f t="shared" si="364"/>
        <v>0</v>
      </c>
      <c r="V435" s="83">
        <f t="shared" si="365"/>
        <v>0</v>
      </c>
      <c r="W435" s="83">
        <f t="shared" si="366"/>
        <v>0</v>
      </c>
      <c r="X435" s="781">
        <f t="shared" si="367"/>
        <v>0</v>
      </c>
      <c r="Y435" s="781">
        <f t="shared" si="368"/>
        <v>0</v>
      </c>
      <c r="Z435" s="781">
        <f t="shared" si="369"/>
        <v>0</v>
      </c>
      <c r="AA435" s="83">
        <f t="shared" si="362"/>
        <v>0</v>
      </c>
      <c r="AB435" s="83">
        <f t="shared" si="370"/>
        <v>0</v>
      </c>
      <c r="AC435" s="83">
        <f t="shared" si="371"/>
        <v>0</v>
      </c>
      <c r="AD435" s="83">
        <f t="shared" si="372"/>
        <v>0</v>
      </c>
      <c r="AE435" s="83">
        <f t="shared" si="373"/>
        <v>0</v>
      </c>
      <c r="AF435" s="83">
        <f t="shared" si="374"/>
        <v>0</v>
      </c>
      <c r="AG435" s="83">
        <f t="shared" si="375"/>
        <v>0</v>
      </c>
      <c r="AH435" s="83">
        <f t="shared" si="376"/>
        <v>0</v>
      </c>
      <c r="AI435" s="83">
        <f t="shared" si="377"/>
        <v>0</v>
      </c>
      <c r="AJ435" s="718">
        <f t="shared" si="378"/>
        <v>0</v>
      </c>
      <c r="AL435">
        <f t="shared" si="379"/>
        <v>0</v>
      </c>
      <c r="AM435">
        <f t="shared" si="380"/>
        <v>0</v>
      </c>
    </row>
    <row r="436" spans="1:39" ht="15.75" x14ac:dyDescent="0.25">
      <c r="A436" s="561"/>
      <c r="B436" s="561"/>
      <c r="C436" s="561"/>
      <c r="D436" s="672"/>
      <c r="E436" s="209"/>
      <c r="F436" s="209"/>
      <c r="G436" s="209"/>
      <c r="H436" s="176">
        <f t="shared" si="358"/>
        <v>0</v>
      </c>
      <c r="I436" s="209"/>
      <c r="J436" s="209"/>
      <c r="K436" s="176">
        <f t="shared" si="359"/>
        <v>0</v>
      </c>
      <c r="L436" s="209"/>
      <c r="M436" s="177">
        <f t="shared" si="360"/>
        <v>0</v>
      </c>
      <c r="N436" s="1012"/>
      <c r="O436" s="1012"/>
      <c r="P436" s="485"/>
      <c r="Q436" s="778"/>
      <c r="R436" s="778"/>
      <c r="S436" s="785" t="str">
        <f t="shared" si="363"/>
        <v/>
      </c>
      <c r="T436" s="548" t="str">
        <f t="shared" si="361"/>
        <v>Sheet Metal Takeoff</v>
      </c>
      <c r="U436" s="83">
        <f t="shared" si="364"/>
        <v>0</v>
      </c>
      <c r="V436" s="83">
        <f t="shared" si="365"/>
        <v>0</v>
      </c>
      <c r="W436" s="83">
        <f t="shared" si="366"/>
        <v>0</v>
      </c>
      <c r="X436" s="781">
        <f t="shared" si="367"/>
        <v>0</v>
      </c>
      <c r="Y436" s="781">
        <f t="shared" si="368"/>
        <v>0</v>
      </c>
      <c r="Z436" s="781">
        <f t="shared" si="369"/>
        <v>0</v>
      </c>
      <c r="AA436" s="83">
        <f t="shared" si="362"/>
        <v>0</v>
      </c>
      <c r="AB436" s="83">
        <f t="shared" si="370"/>
        <v>0</v>
      </c>
      <c r="AC436" s="83">
        <f t="shared" si="371"/>
        <v>0</v>
      </c>
      <c r="AD436" s="83">
        <f t="shared" si="372"/>
        <v>0</v>
      </c>
      <c r="AE436" s="83">
        <f t="shared" si="373"/>
        <v>0</v>
      </c>
      <c r="AF436" s="83">
        <f t="shared" si="374"/>
        <v>0</v>
      </c>
      <c r="AG436" s="83">
        <f t="shared" si="375"/>
        <v>0</v>
      </c>
      <c r="AH436" s="83">
        <f t="shared" si="376"/>
        <v>0</v>
      </c>
      <c r="AI436" s="83">
        <f t="shared" si="377"/>
        <v>0</v>
      </c>
      <c r="AJ436" s="718">
        <f t="shared" si="378"/>
        <v>0</v>
      </c>
      <c r="AL436">
        <f t="shared" si="379"/>
        <v>0</v>
      </c>
      <c r="AM436">
        <f t="shared" si="380"/>
        <v>0</v>
      </c>
    </row>
    <row r="437" spans="1:39" ht="15.75" x14ac:dyDescent="0.25">
      <c r="A437" s="561"/>
      <c r="B437" s="561"/>
      <c r="C437" s="561"/>
      <c r="D437" s="672"/>
      <c r="E437" s="209"/>
      <c r="F437" s="209"/>
      <c r="G437" s="209"/>
      <c r="H437" s="176">
        <f t="shared" si="358"/>
        <v>0</v>
      </c>
      <c r="I437" s="209"/>
      <c r="J437" s="209"/>
      <c r="K437" s="176">
        <f t="shared" si="359"/>
        <v>0</v>
      </c>
      <c r="L437" s="209"/>
      <c r="M437" s="177">
        <f t="shared" si="360"/>
        <v>0</v>
      </c>
      <c r="N437" s="1012"/>
      <c r="O437" s="1012"/>
      <c r="P437" s="485"/>
      <c r="Q437" s="778"/>
      <c r="R437" s="778"/>
      <c r="S437" s="785" t="str">
        <f t="shared" si="363"/>
        <v/>
      </c>
      <c r="T437" s="548" t="str">
        <f t="shared" si="361"/>
        <v>Sheet Metal Takeoff</v>
      </c>
      <c r="U437" s="83">
        <f t="shared" si="364"/>
        <v>0</v>
      </c>
      <c r="V437" s="83">
        <f t="shared" si="365"/>
        <v>0</v>
      </c>
      <c r="W437" s="83">
        <f t="shared" si="366"/>
        <v>0</v>
      </c>
      <c r="X437" s="781">
        <f t="shared" si="367"/>
        <v>0</v>
      </c>
      <c r="Y437" s="781">
        <f t="shared" si="368"/>
        <v>0</v>
      </c>
      <c r="Z437" s="781">
        <f t="shared" si="369"/>
        <v>0</v>
      </c>
      <c r="AA437" s="83">
        <f t="shared" si="362"/>
        <v>0</v>
      </c>
      <c r="AB437" s="83">
        <f t="shared" si="370"/>
        <v>0</v>
      </c>
      <c r="AC437" s="83">
        <f t="shared" si="371"/>
        <v>0</v>
      </c>
      <c r="AD437" s="83">
        <f t="shared" si="372"/>
        <v>0</v>
      </c>
      <c r="AE437" s="83">
        <f t="shared" si="373"/>
        <v>0</v>
      </c>
      <c r="AF437" s="83">
        <f t="shared" si="374"/>
        <v>0</v>
      </c>
      <c r="AG437" s="83">
        <f t="shared" si="375"/>
        <v>0</v>
      </c>
      <c r="AH437" s="83">
        <f t="shared" si="376"/>
        <v>0</v>
      </c>
      <c r="AI437" s="83">
        <f t="shared" si="377"/>
        <v>0</v>
      </c>
      <c r="AJ437" s="718">
        <f t="shared" si="378"/>
        <v>0</v>
      </c>
      <c r="AL437">
        <f t="shared" si="379"/>
        <v>0</v>
      </c>
      <c r="AM437">
        <f t="shared" si="380"/>
        <v>0</v>
      </c>
    </row>
    <row r="438" spans="1:39" ht="15.75" x14ac:dyDescent="0.25">
      <c r="A438" s="561"/>
      <c r="B438" s="561"/>
      <c r="C438" s="561"/>
      <c r="D438" s="672"/>
      <c r="E438" s="209"/>
      <c r="F438" s="209"/>
      <c r="G438" s="209"/>
      <c r="H438" s="176">
        <f t="shared" si="358"/>
        <v>0</v>
      </c>
      <c r="I438" s="209"/>
      <c r="J438" s="209"/>
      <c r="K438" s="176">
        <f t="shared" si="359"/>
        <v>0</v>
      </c>
      <c r="L438" s="209"/>
      <c r="M438" s="177">
        <f t="shared" si="360"/>
        <v>0</v>
      </c>
      <c r="N438" s="1012"/>
      <c r="O438" s="1012"/>
      <c r="P438" s="485"/>
      <c r="Q438" s="778"/>
      <c r="R438" s="778"/>
      <c r="S438" s="785" t="str">
        <f t="shared" si="363"/>
        <v/>
      </c>
      <c r="T438" s="548" t="str">
        <f t="shared" si="361"/>
        <v>Sheet Metal Takeoff</v>
      </c>
      <c r="U438" s="83">
        <f t="shared" si="364"/>
        <v>0</v>
      </c>
      <c r="V438" s="83">
        <f t="shared" si="365"/>
        <v>0</v>
      </c>
      <c r="W438" s="83">
        <f t="shared" si="366"/>
        <v>0</v>
      </c>
      <c r="X438" s="781">
        <f t="shared" si="367"/>
        <v>0</v>
      </c>
      <c r="Y438" s="781">
        <f t="shared" si="368"/>
        <v>0</v>
      </c>
      <c r="Z438" s="781">
        <f t="shared" si="369"/>
        <v>0</v>
      </c>
      <c r="AA438" s="83">
        <f t="shared" si="362"/>
        <v>0</v>
      </c>
      <c r="AB438" s="83">
        <f t="shared" si="370"/>
        <v>0</v>
      </c>
      <c r="AC438" s="83">
        <f t="shared" si="371"/>
        <v>0</v>
      </c>
      <c r="AD438" s="83">
        <f t="shared" si="372"/>
        <v>0</v>
      </c>
      <c r="AE438" s="83">
        <f t="shared" si="373"/>
        <v>0</v>
      </c>
      <c r="AF438" s="83">
        <f t="shared" si="374"/>
        <v>0</v>
      </c>
      <c r="AG438" s="83">
        <f t="shared" si="375"/>
        <v>0</v>
      </c>
      <c r="AH438" s="83">
        <f t="shared" si="376"/>
        <v>0</v>
      </c>
      <c r="AI438" s="83">
        <f t="shared" si="377"/>
        <v>0</v>
      </c>
      <c r="AJ438" s="718">
        <f t="shared" si="378"/>
        <v>0</v>
      </c>
      <c r="AL438">
        <f t="shared" si="379"/>
        <v>0</v>
      </c>
      <c r="AM438">
        <f t="shared" si="380"/>
        <v>0</v>
      </c>
    </row>
    <row r="439" spans="1:39" ht="15.75" x14ac:dyDescent="0.25">
      <c r="A439" s="561"/>
      <c r="B439" s="561"/>
      <c r="C439" s="561"/>
      <c r="D439" s="672"/>
      <c r="E439" s="209"/>
      <c r="F439" s="209"/>
      <c r="G439" s="209"/>
      <c r="H439" s="176">
        <f t="shared" si="358"/>
        <v>0</v>
      </c>
      <c r="I439" s="209"/>
      <c r="J439" s="209"/>
      <c r="K439" s="176">
        <f t="shared" si="359"/>
        <v>0</v>
      </c>
      <c r="L439" s="209"/>
      <c r="M439" s="177">
        <f t="shared" si="360"/>
        <v>0</v>
      </c>
      <c r="N439" s="1012"/>
      <c r="O439" s="1012"/>
      <c r="P439" s="485"/>
      <c r="Q439" s="778"/>
      <c r="R439" s="778"/>
      <c r="S439" s="785" t="str">
        <f t="shared" si="363"/>
        <v/>
      </c>
      <c r="T439" s="548" t="str">
        <f t="shared" si="361"/>
        <v>Sheet Metal Takeoff</v>
      </c>
      <c r="U439" s="83">
        <f t="shared" si="364"/>
        <v>0</v>
      </c>
      <c r="V439" s="83">
        <f t="shared" si="365"/>
        <v>0</v>
      </c>
      <c r="W439" s="83">
        <f t="shared" si="366"/>
        <v>0</v>
      </c>
      <c r="X439" s="781">
        <f t="shared" si="367"/>
        <v>0</v>
      </c>
      <c r="Y439" s="781">
        <f t="shared" si="368"/>
        <v>0</v>
      </c>
      <c r="Z439" s="781">
        <f t="shared" si="369"/>
        <v>0</v>
      </c>
      <c r="AA439" s="83">
        <f t="shared" si="362"/>
        <v>0</v>
      </c>
      <c r="AB439" s="83">
        <f t="shared" si="370"/>
        <v>0</v>
      </c>
      <c r="AC439" s="83">
        <f t="shared" si="371"/>
        <v>0</v>
      </c>
      <c r="AD439" s="83">
        <f t="shared" si="372"/>
        <v>0</v>
      </c>
      <c r="AE439" s="83">
        <f t="shared" si="373"/>
        <v>0</v>
      </c>
      <c r="AF439" s="83">
        <f t="shared" si="374"/>
        <v>0</v>
      </c>
      <c r="AG439" s="83">
        <f t="shared" si="375"/>
        <v>0</v>
      </c>
      <c r="AH439" s="83">
        <f t="shared" si="376"/>
        <v>0</v>
      </c>
      <c r="AI439" s="83">
        <f t="shared" si="377"/>
        <v>0</v>
      </c>
      <c r="AJ439" s="718">
        <f t="shared" si="378"/>
        <v>0</v>
      </c>
      <c r="AL439">
        <f t="shared" si="379"/>
        <v>0</v>
      </c>
      <c r="AM439">
        <f t="shared" si="380"/>
        <v>0</v>
      </c>
    </row>
    <row r="440" spans="1:39" ht="15.75" x14ac:dyDescent="0.25">
      <c r="A440" s="561"/>
      <c r="B440" s="561"/>
      <c r="C440" s="561"/>
      <c r="D440" s="672"/>
      <c r="E440" s="209"/>
      <c r="F440" s="209"/>
      <c r="G440" s="209"/>
      <c r="H440" s="176">
        <f t="shared" si="358"/>
        <v>0</v>
      </c>
      <c r="I440" s="209"/>
      <c r="J440" s="209"/>
      <c r="K440" s="176">
        <f t="shared" si="359"/>
        <v>0</v>
      </c>
      <c r="L440" s="209"/>
      <c r="M440" s="177">
        <f t="shared" si="360"/>
        <v>0</v>
      </c>
      <c r="N440" s="1012"/>
      <c r="O440" s="1012"/>
      <c r="P440" s="485"/>
      <c r="Q440" s="778"/>
      <c r="R440" s="778"/>
      <c r="S440" s="785" t="str">
        <f t="shared" si="363"/>
        <v/>
      </c>
      <c r="T440" s="548" t="str">
        <f t="shared" si="361"/>
        <v>Sheet Metal Takeoff</v>
      </c>
      <c r="U440" s="83">
        <f t="shared" si="364"/>
        <v>0</v>
      </c>
      <c r="V440" s="83">
        <f t="shared" si="365"/>
        <v>0</v>
      </c>
      <c r="W440" s="83">
        <f t="shared" si="366"/>
        <v>0</v>
      </c>
      <c r="X440" s="781">
        <f t="shared" si="367"/>
        <v>0</v>
      </c>
      <c r="Y440" s="781">
        <f t="shared" si="368"/>
        <v>0</v>
      </c>
      <c r="Z440" s="781">
        <f t="shared" si="369"/>
        <v>0</v>
      </c>
      <c r="AA440" s="83">
        <f t="shared" si="362"/>
        <v>0</v>
      </c>
      <c r="AB440" s="83">
        <f t="shared" si="370"/>
        <v>0</v>
      </c>
      <c r="AC440" s="83">
        <f t="shared" si="371"/>
        <v>0</v>
      </c>
      <c r="AD440" s="83">
        <f t="shared" si="372"/>
        <v>0</v>
      </c>
      <c r="AE440" s="83">
        <f t="shared" si="373"/>
        <v>0</v>
      </c>
      <c r="AF440" s="83">
        <f t="shared" si="374"/>
        <v>0</v>
      </c>
      <c r="AG440" s="83">
        <f t="shared" si="375"/>
        <v>0</v>
      </c>
      <c r="AH440" s="83">
        <f t="shared" si="376"/>
        <v>0</v>
      </c>
      <c r="AI440" s="83">
        <f t="shared" si="377"/>
        <v>0</v>
      </c>
      <c r="AJ440" s="718">
        <f t="shared" si="378"/>
        <v>0</v>
      </c>
      <c r="AL440">
        <f t="shared" si="379"/>
        <v>0</v>
      </c>
      <c r="AM440">
        <f t="shared" si="380"/>
        <v>0</v>
      </c>
    </row>
    <row r="441" spans="1:39" ht="15.75" x14ac:dyDescent="0.25">
      <c r="A441" s="561"/>
      <c r="B441" s="561"/>
      <c r="C441" s="561"/>
      <c r="D441" s="672"/>
      <c r="E441" s="209"/>
      <c r="F441" s="209"/>
      <c r="G441" s="209"/>
      <c r="H441" s="176">
        <f t="shared" si="358"/>
        <v>0</v>
      </c>
      <c r="I441" s="209"/>
      <c r="J441" s="209"/>
      <c r="K441" s="176">
        <f t="shared" si="359"/>
        <v>0</v>
      </c>
      <c r="L441" s="209"/>
      <c r="M441" s="177">
        <f t="shared" si="360"/>
        <v>0</v>
      </c>
      <c r="N441" s="1012"/>
      <c r="O441" s="1012"/>
      <c r="P441" s="485"/>
      <c r="Q441" s="778"/>
      <c r="R441" s="778"/>
      <c r="S441" s="785" t="str">
        <f t="shared" si="363"/>
        <v/>
      </c>
      <c r="T441" s="548" t="str">
        <f t="shared" si="361"/>
        <v>Sheet Metal Takeoff</v>
      </c>
      <c r="U441" s="83">
        <f t="shared" si="364"/>
        <v>0</v>
      </c>
      <c r="V441" s="83">
        <f t="shared" si="365"/>
        <v>0</v>
      </c>
      <c r="W441" s="83">
        <f t="shared" si="366"/>
        <v>0</v>
      </c>
      <c r="X441" s="781">
        <f t="shared" si="367"/>
        <v>0</v>
      </c>
      <c r="Y441" s="781">
        <f t="shared" si="368"/>
        <v>0</v>
      </c>
      <c r="Z441" s="781">
        <f t="shared" si="369"/>
        <v>0</v>
      </c>
      <c r="AA441" s="83">
        <f t="shared" si="362"/>
        <v>0</v>
      </c>
      <c r="AB441" s="83">
        <f t="shared" si="370"/>
        <v>0</v>
      </c>
      <c r="AC441" s="83">
        <f t="shared" si="371"/>
        <v>0</v>
      </c>
      <c r="AD441" s="83">
        <f t="shared" si="372"/>
        <v>0</v>
      </c>
      <c r="AE441" s="83">
        <f t="shared" si="373"/>
        <v>0</v>
      </c>
      <c r="AF441" s="83">
        <f t="shared" si="374"/>
        <v>0</v>
      </c>
      <c r="AG441" s="83">
        <f t="shared" si="375"/>
        <v>0</v>
      </c>
      <c r="AH441" s="83">
        <f t="shared" si="376"/>
        <v>0</v>
      </c>
      <c r="AI441" s="83">
        <f t="shared" si="377"/>
        <v>0</v>
      </c>
      <c r="AJ441" s="718">
        <f t="shared" si="378"/>
        <v>0</v>
      </c>
      <c r="AL441">
        <f t="shared" si="379"/>
        <v>0</v>
      </c>
      <c r="AM441">
        <f t="shared" si="380"/>
        <v>0</v>
      </c>
    </row>
    <row r="442" spans="1:39" ht="15.75" x14ac:dyDescent="0.25">
      <c r="A442" s="561"/>
      <c r="B442" s="561"/>
      <c r="C442" s="561"/>
      <c r="D442" s="672"/>
      <c r="E442" s="209"/>
      <c r="F442" s="209"/>
      <c r="G442" s="209"/>
      <c r="H442" s="176">
        <f t="shared" si="358"/>
        <v>0</v>
      </c>
      <c r="I442" s="209"/>
      <c r="J442" s="209"/>
      <c r="K442" s="176">
        <f t="shared" si="359"/>
        <v>0</v>
      </c>
      <c r="L442" s="209"/>
      <c r="M442" s="177">
        <f t="shared" si="360"/>
        <v>0</v>
      </c>
      <c r="N442" s="1012"/>
      <c r="O442" s="1012"/>
      <c r="P442" s="485"/>
      <c r="Q442" s="778"/>
      <c r="R442" s="778"/>
      <c r="S442" s="785" t="str">
        <f t="shared" si="363"/>
        <v/>
      </c>
      <c r="T442" s="548" t="str">
        <f t="shared" si="361"/>
        <v>Sheet Metal Takeoff</v>
      </c>
      <c r="U442" s="83">
        <f t="shared" si="364"/>
        <v>0</v>
      </c>
      <c r="V442" s="83">
        <f t="shared" si="365"/>
        <v>0</v>
      </c>
      <c r="W442" s="83">
        <f t="shared" si="366"/>
        <v>0</v>
      </c>
      <c r="X442" s="781">
        <f t="shared" si="367"/>
        <v>0</v>
      </c>
      <c r="Y442" s="781">
        <f t="shared" si="368"/>
        <v>0</v>
      </c>
      <c r="Z442" s="781">
        <f t="shared" si="369"/>
        <v>0</v>
      </c>
      <c r="AA442" s="83">
        <f t="shared" si="362"/>
        <v>0</v>
      </c>
      <c r="AB442" s="83">
        <f t="shared" si="370"/>
        <v>0</v>
      </c>
      <c r="AC442" s="83">
        <f t="shared" si="371"/>
        <v>0</v>
      </c>
      <c r="AD442" s="83">
        <f t="shared" si="372"/>
        <v>0</v>
      </c>
      <c r="AE442" s="83">
        <f t="shared" si="373"/>
        <v>0</v>
      </c>
      <c r="AF442" s="83">
        <f t="shared" si="374"/>
        <v>0</v>
      </c>
      <c r="AG442" s="83">
        <f t="shared" si="375"/>
        <v>0</v>
      </c>
      <c r="AH442" s="83">
        <f t="shared" si="376"/>
        <v>0</v>
      </c>
      <c r="AI442" s="83">
        <f t="shared" si="377"/>
        <v>0</v>
      </c>
      <c r="AJ442" s="718">
        <f t="shared" si="378"/>
        <v>0</v>
      </c>
      <c r="AL442">
        <f t="shared" si="379"/>
        <v>0</v>
      </c>
      <c r="AM442">
        <f t="shared" si="380"/>
        <v>0</v>
      </c>
    </row>
    <row r="443" spans="1:39" ht="15.75" x14ac:dyDescent="0.25">
      <c r="A443" s="561"/>
      <c r="B443" s="561"/>
      <c r="C443" s="561"/>
      <c r="D443" s="672"/>
      <c r="E443" s="209"/>
      <c r="F443" s="209"/>
      <c r="G443" s="209"/>
      <c r="H443" s="176">
        <f t="shared" si="358"/>
        <v>0</v>
      </c>
      <c r="I443" s="209"/>
      <c r="J443" s="209"/>
      <c r="K443" s="176">
        <f t="shared" si="359"/>
        <v>0</v>
      </c>
      <c r="L443" s="209"/>
      <c r="M443" s="177">
        <f t="shared" si="360"/>
        <v>0</v>
      </c>
      <c r="N443" s="1012"/>
      <c r="O443" s="1012"/>
      <c r="P443" s="485"/>
      <c r="Q443" s="778"/>
      <c r="R443" s="778"/>
      <c r="S443" s="785" t="str">
        <f t="shared" si="363"/>
        <v/>
      </c>
      <c r="T443" s="548" t="str">
        <f t="shared" si="361"/>
        <v>Sheet Metal Takeoff</v>
      </c>
      <c r="U443" s="83">
        <f t="shared" si="364"/>
        <v>0</v>
      </c>
      <c r="V443" s="83">
        <f t="shared" si="365"/>
        <v>0</v>
      </c>
      <c r="W443" s="83">
        <f t="shared" si="366"/>
        <v>0</v>
      </c>
      <c r="X443" s="781">
        <f t="shared" si="367"/>
        <v>0</v>
      </c>
      <c r="Y443" s="781">
        <f t="shared" si="368"/>
        <v>0</v>
      </c>
      <c r="Z443" s="781">
        <f t="shared" si="369"/>
        <v>0</v>
      </c>
      <c r="AA443" s="83">
        <f t="shared" si="362"/>
        <v>0</v>
      </c>
      <c r="AB443" s="83">
        <f t="shared" si="370"/>
        <v>0</v>
      </c>
      <c r="AC443" s="83">
        <f t="shared" si="371"/>
        <v>0</v>
      </c>
      <c r="AD443" s="83">
        <f t="shared" si="372"/>
        <v>0</v>
      </c>
      <c r="AE443" s="83">
        <f t="shared" si="373"/>
        <v>0</v>
      </c>
      <c r="AF443" s="83">
        <f t="shared" si="374"/>
        <v>0</v>
      </c>
      <c r="AG443" s="83">
        <f t="shared" si="375"/>
        <v>0</v>
      </c>
      <c r="AH443" s="83">
        <f t="shared" si="376"/>
        <v>0</v>
      </c>
      <c r="AI443" s="83">
        <f t="shared" si="377"/>
        <v>0</v>
      </c>
      <c r="AJ443" s="718">
        <f t="shared" si="378"/>
        <v>0</v>
      </c>
      <c r="AL443">
        <f t="shared" si="379"/>
        <v>0</v>
      </c>
      <c r="AM443">
        <f t="shared" si="380"/>
        <v>0</v>
      </c>
    </row>
    <row r="444" spans="1:39" ht="15.75" x14ac:dyDescent="0.25">
      <c r="A444" s="561"/>
      <c r="B444" s="561"/>
      <c r="C444" s="561"/>
      <c r="D444" s="672"/>
      <c r="E444" s="209"/>
      <c r="F444" s="209"/>
      <c r="G444" s="209"/>
      <c r="H444" s="176">
        <f t="shared" si="358"/>
        <v>0</v>
      </c>
      <c r="I444" s="209"/>
      <c r="J444" s="209"/>
      <c r="K444" s="176">
        <f t="shared" si="359"/>
        <v>0</v>
      </c>
      <c r="L444" s="209"/>
      <c r="M444" s="177">
        <f t="shared" si="360"/>
        <v>0</v>
      </c>
      <c r="N444" s="1012"/>
      <c r="O444" s="1012"/>
      <c r="P444" s="485"/>
      <c r="Q444" s="778"/>
      <c r="R444" s="778"/>
      <c r="S444" s="785" t="str">
        <f t="shared" si="363"/>
        <v/>
      </c>
      <c r="T444" s="548" t="str">
        <f t="shared" si="361"/>
        <v>Sheet Metal Takeoff</v>
      </c>
      <c r="U444" s="83">
        <f t="shared" si="364"/>
        <v>0</v>
      </c>
      <c r="V444" s="83">
        <f t="shared" si="365"/>
        <v>0</v>
      </c>
      <c r="W444" s="83">
        <f t="shared" si="366"/>
        <v>0</v>
      </c>
      <c r="X444" s="781">
        <f t="shared" si="367"/>
        <v>0</v>
      </c>
      <c r="Y444" s="781">
        <f t="shared" si="368"/>
        <v>0</v>
      </c>
      <c r="Z444" s="781">
        <f t="shared" si="369"/>
        <v>0</v>
      </c>
      <c r="AA444" s="83">
        <f t="shared" si="362"/>
        <v>0</v>
      </c>
      <c r="AB444" s="83">
        <f t="shared" si="370"/>
        <v>0</v>
      </c>
      <c r="AC444" s="83">
        <f t="shared" si="371"/>
        <v>0</v>
      </c>
      <c r="AD444" s="83">
        <f t="shared" si="372"/>
        <v>0</v>
      </c>
      <c r="AE444" s="83">
        <f t="shared" si="373"/>
        <v>0</v>
      </c>
      <c r="AF444" s="83">
        <f t="shared" si="374"/>
        <v>0</v>
      </c>
      <c r="AG444" s="83">
        <f t="shared" si="375"/>
        <v>0</v>
      </c>
      <c r="AH444" s="83">
        <f t="shared" si="376"/>
        <v>0</v>
      </c>
      <c r="AI444" s="83">
        <f t="shared" si="377"/>
        <v>0</v>
      </c>
      <c r="AJ444" s="718">
        <f t="shared" si="378"/>
        <v>0</v>
      </c>
      <c r="AL444">
        <f t="shared" si="379"/>
        <v>0</v>
      </c>
      <c r="AM444">
        <f t="shared" si="380"/>
        <v>0</v>
      </c>
    </row>
    <row r="445" spans="1:39" ht="15.75" x14ac:dyDescent="0.25">
      <c r="A445" s="561"/>
      <c r="B445" s="561"/>
      <c r="C445" s="561"/>
      <c r="D445" s="672"/>
      <c r="E445" s="209"/>
      <c r="F445" s="209"/>
      <c r="G445" s="209"/>
      <c r="H445" s="176">
        <f t="shared" si="358"/>
        <v>0</v>
      </c>
      <c r="I445" s="209"/>
      <c r="J445" s="209"/>
      <c r="K445" s="176">
        <f t="shared" si="359"/>
        <v>0</v>
      </c>
      <c r="L445" s="209"/>
      <c r="M445" s="177">
        <f t="shared" si="360"/>
        <v>0</v>
      </c>
      <c r="N445" s="1012"/>
      <c r="O445" s="1012"/>
      <c r="P445" s="485"/>
      <c r="Q445" s="778"/>
      <c r="R445" s="778"/>
      <c r="S445" s="785" t="str">
        <f t="shared" si="363"/>
        <v/>
      </c>
      <c r="T445" s="548" t="str">
        <f t="shared" si="361"/>
        <v>Sheet Metal Takeoff</v>
      </c>
      <c r="U445" s="83">
        <f t="shared" si="364"/>
        <v>0</v>
      </c>
      <c r="V445" s="83">
        <f t="shared" si="365"/>
        <v>0</v>
      </c>
      <c r="W445" s="83">
        <f t="shared" si="366"/>
        <v>0</v>
      </c>
      <c r="X445" s="781">
        <f t="shared" si="367"/>
        <v>0</v>
      </c>
      <c r="Y445" s="781">
        <f t="shared" si="368"/>
        <v>0</v>
      </c>
      <c r="Z445" s="781">
        <f t="shared" si="369"/>
        <v>0</v>
      </c>
      <c r="AA445" s="83">
        <f t="shared" si="362"/>
        <v>0</v>
      </c>
      <c r="AB445" s="83">
        <f t="shared" si="370"/>
        <v>0</v>
      </c>
      <c r="AC445" s="83">
        <f t="shared" si="371"/>
        <v>0</v>
      </c>
      <c r="AD445" s="83">
        <f t="shared" si="372"/>
        <v>0</v>
      </c>
      <c r="AE445" s="83">
        <f t="shared" si="373"/>
        <v>0</v>
      </c>
      <c r="AF445" s="83">
        <f t="shared" si="374"/>
        <v>0</v>
      </c>
      <c r="AG445" s="83">
        <f t="shared" si="375"/>
        <v>0</v>
      </c>
      <c r="AH445" s="83">
        <f t="shared" si="376"/>
        <v>0</v>
      </c>
      <c r="AI445" s="83">
        <f t="shared" si="377"/>
        <v>0</v>
      </c>
      <c r="AJ445" s="718">
        <f t="shared" si="378"/>
        <v>0</v>
      </c>
      <c r="AL445">
        <f t="shared" si="379"/>
        <v>0</v>
      </c>
      <c r="AM445">
        <f t="shared" si="380"/>
        <v>0</v>
      </c>
    </row>
    <row r="446" spans="1:39" ht="15.75" x14ac:dyDescent="0.25">
      <c r="A446" s="561"/>
      <c r="B446" s="561"/>
      <c r="C446" s="561"/>
      <c r="D446" s="672"/>
      <c r="E446" s="209"/>
      <c r="F446" s="209"/>
      <c r="G446" s="209"/>
      <c r="H446" s="176">
        <f t="shared" si="358"/>
        <v>0</v>
      </c>
      <c r="I446" s="209"/>
      <c r="J446" s="209"/>
      <c r="K446" s="176">
        <f t="shared" si="359"/>
        <v>0</v>
      </c>
      <c r="L446" s="209"/>
      <c r="M446" s="177">
        <f t="shared" si="360"/>
        <v>0</v>
      </c>
      <c r="N446" s="1012"/>
      <c r="O446" s="1012"/>
      <c r="P446" s="485"/>
      <c r="Q446" s="778"/>
      <c r="R446" s="778"/>
      <c r="S446" s="785" t="str">
        <f t="shared" si="363"/>
        <v/>
      </c>
      <c r="T446" s="548" t="str">
        <f t="shared" si="361"/>
        <v>Sheet Metal Takeoff</v>
      </c>
      <c r="U446" s="83">
        <f t="shared" si="364"/>
        <v>0</v>
      </c>
      <c r="V446" s="83">
        <f t="shared" si="365"/>
        <v>0</v>
      </c>
      <c r="W446" s="83">
        <f t="shared" si="366"/>
        <v>0</v>
      </c>
      <c r="X446" s="781">
        <f t="shared" si="367"/>
        <v>0</v>
      </c>
      <c r="Y446" s="781">
        <f t="shared" si="368"/>
        <v>0</v>
      </c>
      <c r="Z446" s="781">
        <f t="shared" si="369"/>
        <v>0</v>
      </c>
      <c r="AA446" s="83">
        <f t="shared" si="362"/>
        <v>0</v>
      </c>
      <c r="AB446" s="83">
        <f t="shared" si="370"/>
        <v>0</v>
      </c>
      <c r="AC446" s="83">
        <f t="shared" si="371"/>
        <v>0</v>
      </c>
      <c r="AD446" s="83">
        <f t="shared" si="372"/>
        <v>0</v>
      </c>
      <c r="AE446" s="83">
        <f t="shared" si="373"/>
        <v>0</v>
      </c>
      <c r="AF446" s="83">
        <f t="shared" si="374"/>
        <v>0</v>
      </c>
      <c r="AG446" s="83">
        <f t="shared" si="375"/>
        <v>0</v>
      </c>
      <c r="AH446" s="83">
        <f t="shared" si="376"/>
        <v>0</v>
      </c>
      <c r="AI446" s="83">
        <f t="shared" si="377"/>
        <v>0</v>
      </c>
      <c r="AJ446" s="718">
        <f t="shared" si="378"/>
        <v>0</v>
      </c>
      <c r="AL446">
        <f t="shared" si="379"/>
        <v>0</v>
      </c>
      <c r="AM446">
        <f t="shared" si="380"/>
        <v>0</v>
      </c>
    </row>
    <row r="447" spans="1:39" ht="15.75" hidden="1" customHeight="1" x14ac:dyDescent="0.25">
      <c r="A447" s="561"/>
      <c r="B447" s="561"/>
      <c r="C447" s="561"/>
      <c r="D447" s="672"/>
      <c r="E447" s="209"/>
      <c r="F447" s="209"/>
      <c r="G447" s="209"/>
      <c r="H447" s="176">
        <f t="shared" si="358"/>
        <v>0</v>
      </c>
      <c r="I447" s="209"/>
      <c r="J447" s="209"/>
      <c r="K447" s="176">
        <f t="shared" si="359"/>
        <v>0</v>
      </c>
      <c r="L447" s="209"/>
      <c r="M447" s="177">
        <f t="shared" si="360"/>
        <v>0</v>
      </c>
      <c r="N447" s="1012"/>
      <c r="O447" s="1012"/>
      <c r="P447" s="485"/>
      <c r="Q447" s="778"/>
      <c r="R447" s="778"/>
      <c r="S447" s="785" t="str">
        <f t="shared" si="363"/>
        <v/>
      </c>
      <c r="T447" s="548" t="str">
        <f t="shared" si="361"/>
        <v>Sheet Metal Takeoff</v>
      </c>
      <c r="U447" s="83">
        <f>ROUND(IF($T447="Plumb Takeoff",$H447*U$3,IF($T447="Pipe Takeoff",$H447*U$4,$H447*U$2)),2)</f>
        <v>0</v>
      </c>
      <c r="V447" s="83">
        <f t="shared" si="365"/>
        <v>0</v>
      </c>
      <c r="W447" s="83">
        <f t="shared" si="366"/>
        <v>0</v>
      </c>
      <c r="X447" s="781">
        <f t="shared" si="367"/>
        <v>0</v>
      </c>
      <c r="Y447" s="781">
        <f t="shared" si="368"/>
        <v>0</v>
      </c>
      <c r="Z447" s="781">
        <f t="shared" si="369"/>
        <v>0</v>
      </c>
      <c r="AA447" s="83">
        <f t="shared" si="362"/>
        <v>0</v>
      </c>
      <c r="AB447" s="83">
        <f t="shared" si="370"/>
        <v>0</v>
      </c>
      <c r="AC447" s="83">
        <f t="shared" si="371"/>
        <v>0</v>
      </c>
      <c r="AD447" s="83">
        <f t="shared" si="372"/>
        <v>0</v>
      </c>
      <c r="AE447" s="83">
        <f t="shared" si="373"/>
        <v>0</v>
      </c>
      <c r="AF447" s="83">
        <f t="shared" si="374"/>
        <v>0</v>
      </c>
      <c r="AG447" s="83">
        <f t="shared" si="375"/>
        <v>0</v>
      </c>
      <c r="AH447" s="83">
        <f t="shared" si="376"/>
        <v>0</v>
      </c>
      <c r="AI447" s="83">
        <f t="shared" si="377"/>
        <v>0</v>
      </c>
      <c r="AJ447" s="718">
        <f t="shared" si="378"/>
        <v>0</v>
      </c>
      <c r="AL447">
        <f t="shared" si="379"/>
        <v>0</v>
      </c>
      <c r="AM447">
        <f t="shared" si="380"/>
        <v>0</v>
      </c>
    </row>
    <row r="448" spans="1:39" ht="15.75" x14ac:dyDescent="0.25">
      <c r="A448" s="551"/>
      <c r="B448" s="551"/>
      <c r="C448" s="551"/>
      <c r="D448" s="673"/>
      <c r="E448" s="552"/>
      <c r="F448" s="553"/>
      <c r="G448" s="553"/>
      <c r="H448" s="181">
        <f>SUM(H422:H447)</f>
        <v>0</v>
      </c>
      <c r="I448" s="182"/>
      <c r="J448" s="182"/>
      <c r="K448" s="181">
        <f>SUM(K422:K447)</f>
        <v>0</v>
      </c>
      <c r="L448" s="182"/>
      <c r="M448" s="177">
        <f>SUM(M422:M447)</f>
        <v>0</v>
      </c>
      <c r="O448" s="486"/>
      <c r="AJ448" s="718"/>
    </row>
    <row r="449" spans="1:39" ht="15.75" thickBot="1" x14ac:dyDescent="0.3">
      <c r="AJ449" s="718"/>
    </row>
    <row r="450" spans="1:39" ht="16.5" thickBot="1" x14ac:dyDescent="0.3">
      <c r="E450" s="678" t="s">
        <v>1122</v>
      </c>
      <c r="F450" s="1017" t="s">
        <v>1630</v>
      </c>
      <c r="G450" s="1018"/>
      <c r="H450" s="344"/>
      <c r="I450" s="1019" t="s">
        <v>1628</v>
      </c>
      <c r="J450" s="1020"/>
      <c r="K450" s="679" t="b">
        <v>0</v>
      </c>
      <c r="AJ450" s="718"/>
    </row>
    <row r="451" spans="1:39" ht="38.25" thickBot="1" x14ac:dyDescent="0.35">
      <c r="A451" s="477" t="s">
        <v>1063</v>
      </c>
      <c r="B451" s="477" t="s">
        <v>348</v>
      </c>
      <c r="C451" s="477" t="s">
        <v>349</v>
      </c>
      <c r="D451" s="666" t="s">
        <v>0</v>
      </c>
      <c r="E451" s="477" t="s">
        <v>1</v>
      </c>
      <c r="F451" s="480" t="s">
        <v>2</v>
      </c>
      <c r="G451" s="480" t="s">
        <v>1123</v>
      </c>
      <c r="H451" s="480" t="s">
        <v>3</v>
      </c>
      <c r="I451" s="483" t="s">
        <v>4</v>
      </c>
      <c r="J451" s="480" t="s">
        <v>1124</v>
      </c>
      <c r="K451" s="680" t="s">
        <v>5</v>
      </c>
      <c r="L451" s="480" t="s">
        <v>6</v>
      </c>
      <c r="M451" s="484" t="s">
        <v>7</v>
      </c>
      <c r="N451" s="1013" t="s">
        <v>1079</v>
      </c>
      <c r="O451" s="1014"/>
      <c r="P451" s="1009" t="s">
        <v>1629</v>
      </c>
      <c r="Q451" s="1009" t="s">
        <v>1147</v>
      </c>
      <c r="R451" s="1009" t="s">
        <v>1792</v>
      </c>
      <c r="T451" s="2"/>
      <c r="AJ451" s="718"/>
    </row>
    <row r="452" spans="1:39" ht="16.5" thickBot="1" x14ac:dyDescent="0.3">
      <c r="A452" s="183"/>
      <c r="B452" s="183"/>
      <c r="C452" s="183"/>
      <c r="D452" s="671"/>
      <c r="E452" s="183"/>
      <c r="F452" s="183"/>
      <c r="G452" s="183"/>
      <c r="H452" s="183"/>
      <c r="I452" s="183"/>
      <c r="J452" s="183"/>
      <c r="K452" s="183"/>
      <c r="L452" s="183"/>
      <c r="M452" s="183"/>
      <c r="N452" s="1015"/>
      <c r="O452" s="1016"/>
      <c r="P452" s="1010" t="s">
        <v>1362</v>
      </c>
      <c r="Q452" s="1010"/>
      <c r="R452" s="1010"/>
      <c r="T452" s="1"/>
      <c r="AJ452" s="718"/>
    </row>
    <row r="453" spans="1:39" ht="15.75" x14ac:dyDescent="0.25">
      <c r="A453" s="561"/>
      <c r="B453" s="561"/>
      <c r="C453" s="561"/>
      <c r="D453" s="672"/>
      <c r="E453" s="209"/>
      <c r="F453" s="209"/>
      <c r="G453" s="209"/>
      <c r="H453" s="176">
        <f t="shared" ref="H453:H478" si="381">IF(SM_ExludeGroup14=TRUE,0,IF(G453="",E453*F453*IF(AND(S453="LOP",R453="SWING"),1+CrewRate_PlumbFitter_SwingLOP,1)*IF(AND(S453="LOP",R453="GRAVE"),1+CrewRate_PlumbFitter_GraveLOP,1)*IF(AND(S453="LOP",R453="SPECIAL"),1+CrewRate_PlumbFitter_SwingLOP,1),E453*F453*G453*IF(AND(S453="LOP",R453="SWING"),1+CrewRate_PlumbFitter_SwingLOP,1)*IF(AND(S453="LOP",R453="GRAVE"),1+CrewRate_PlumbFitter_GraveLOP,1)*IF(AND(S453="LOP",R453="SPECIAL"),1+CrewRate_PlumbFitter_SwingLOP,1)))</f>
        <v>0</v>
      </c>
      <c r="I453" s="209"/>
      <c r="J453" s="209"/>
      <c r="K453" s="176">
        <f t="shared" ref="K453:K478" si="382">IF(SM_ExludeGroup14=TRUE,0,IF(J453="",E453*I453,E453*I453*J453))</f>
        <v>0</v>
      </c>
      <c r="L453" s="209"/>
      <c r="M453" s="177">
        <f t="shared" ref="M453:M478" si="383">IF(SM_ExludeGroup14=TRUE,0,E453*L453)</f>
        <v>0</v>
      </c>
      <c r="N453" s="1012"/>
      <c r="O453" s="1012"/>
      <c r="P453" s="485"/>
      <c r="Q453" s="778"/>
      <c r="R453" s="778"/>
      <c r="S453" s="785" t="str">
        <f>IF(T453="Sheet Metal Takeoff","",IF(R453="","","LOP"))</f>
        <v/>
      </c>
      <c r="T453" s="548" t="str">
        <f t="shared" ref="T453:T478" si="384">IF($F$450="","Sheet Metal Takeoff",$F$450)</f>
        <v>Sheet Metal Takeoff</v>
      </c>
      <c r="U453" s="83">
        <f>ROUND(IF($T453="Plumb Takeoff",$H453*U$3,IF($T453="Pipe Takeoff",$H453*U$4,$H453*U$2)),2)</f>
        <v>0</v>
      </c>
      <c r="V453" s="83">
        <f>ROUND(IF($T453="Plumb Takeoff",IF($Q453="OT",$H453*V$3,0),IF($T453="Pipe Takeoff",IF($Q453="OT",$H453*V$4,0),IF($Q453="OT",$H453*V$2,0))),2)</f>
        <v>0</v>
      </c>
      <c r="W453" s="83">
        <f>ROUND(IF($T453="Plumb Takeoff",IF($Q453="DBLT",$H453*W$3,0),IF($T453="Pipe Takeoff",IF($Q453="DBLT",$H453*W$4,0),IF($Q453="DBLT",$H453*W$2,0))),2)</f>
        <v>0</v>
      </c>
      <c r="X453" s="781">
        <f>ROUND(SUM(IF($T453="Plumb Takeoff",IF($R453="SWING",ROUND(SUM($H453)*X$3,2))),IF($T453="Pipe Takeoff",IF($R453="SWING",ROUND(SUM($H453)*X$4,2))),IF($T453="Sheet Metal Takeoff",IF($R453="SWING",ROUND(SUM($H453)*X$2,2)))),2)</f>
        <v>0</v>
      </c>
      <c r="Y453" s="781">
        <f>ROUND(SUM(IF($T453="Plumb Takeoff",IF($R453="GRAVE",ROUND(SUM($H453)*Y$3,2))),IF($T453="Pipe Takeoff",IF($R453="GRAVE",ROUND(SUM($H453)*Y$4,2))),IF($T453="Sheet Metal Takeoff",IF($R453="GRAVE",ROUND(SUM($H453)*Y$2,2)))),2)</f>
        <v>0</v>
      </c>
      <c r="Z453" s="781">
        <f>ROUND(SUM(IF($T453="Plumb Takeoff",IF($R453="SPECIAL",ROUND(SUM($H453)*Z$3,2))),IF($T453="Pipe Takeoff",IF($R453="SPECIAL",ROUND(SUM($H453)*Z$4,2))),IF($T453="Sheet Metal Takeoff",IF($R453="SPECIAL",ROUND(SUM($H453)*Z$2,2)))),2)</f>
        <v>0</v>
      </c>
      <c r="AA453" s="83">
        <f t="shared" ref="AA453:AA478" si="385">ROUND($K453*AA$2,2)</f>
        <v>0</v>
      </c>
      <c r="AB453" s="83">
        <f>ROUND(IF($Q453="OT",$K453*AB$2,0),2)</f>
        <v>0</v>
      </c>
      <c r="AC453" s="83">
        <f>ROUND(IF($Q453="DBLT",$K453*AC$2,0),2)</f>
        <v>0</v>
      </c>
      <c r="AD453" s="83">
        <f>ROUND(IF($R453="SWING",$K453*AD$2,0),2)</f>
        <v>0</v>
      </c>
      <c r="AE453" s="83">
        <f>ROUND(IF($R453="GRAVE",$K453*AE$2,0),2)</f>
        <v>0</v>
      </c>
      <c r="AF453" s="83">
        <f>ROUND(IF($R453="SPECIAL",$K453*AF$2,0),2)</f>
        <v>0</v>
      </c>
      <c r="AG453" s="83">
        <f>SUM(U453:Z453)</f>
        <v>0</v>
      </c>
      <c r="AH453" s="83">
        <f>SUM(AA453:AF453)</f>
        <v>0</v>
      </c>
      <c r="AI453" s="83">
        <f>SUM(U453:AF453)</f>
        <v>0</v>
      </c>
      <c r="AJ453" s="718">
        <f>SUM(M453,AI453)</f>
        <v>0</v>
      </c>
      <c r="AL453">
        <f>SUM(V453:Z453)</f>
        <v>0</v>
      </c>
      <c r="AM453">
        <f>SUM(AB453:AF453)</f>
        <v>0</v>
      </c>
    </row>
    <row r="454" spans="1:39" ht="15.75" x14ac:dyDescent="0.25">
      <c r="A454" s="561"/>
      <c r="B454" s="561"/>
      <c r="C454" s="561"/>
      <c r="D454" s="672"/>
      <c r="E454" s="209"/>
      <c r="F454" s="209"/>
      <c r="G454" s="209"/>
      <c r="H454" s="176">
        <f t="shared" si="381"/>
        <v>0</v>
      </c>
      <c r="I454" s="209"/>
      <c r="J454" s="209"/>
      <c r="K454" s="176">
        <f t="shared" si="382"/>
        <v>0</v>
      </c>
      <c r="L454" s="209"/>
      <c r="M454" s="177">
        <f t="shared" si="383"/>
        <v>0</v>
      </c>
      <c r="N454" s="1012"/>
      <c r="O454" s="1012"/>
      <c r="P454" s="485"/>
      <c r="Q454" s="778"/>
      <c r="R454" s="778"/>
      <c r="S454" s="785" t="str">
        <f t="shared" ref="S454:S478" si="386">IF(T454="Sheet Metal Takeoff","",IF(R454="","","LOP"))</f>
        <v/>
      </c>
      <c r="T454" s="548" t="str">
        <f t="shared" si="384"/>
        <v>Sheet Metal Takeoff</v>
      </c>
      <c r="U454" s="83">
        <f t="shared" ref="U454:U477" si="387">ROUND(IF($T454="Plumb Takeoff",$H454*U$3,IF($T454="Pipe Takeoff",$H454*U$4,$H454*U$2)),2)</f>
        <v>0</v>
      </c>
      <c r="V454" s="83">
        <f t="shared" ref="V454:V478" si="388">ROUND(IF($T454="Plumb Takeoff",IF($Q454="OT",$H454*V$3,0),IF($T454="Pipe Takeoff",IF($Q454="OT",$H454*V$4,0),IF($Q454="OT",$H454*V$2,0))),2)</f>
        <v>0</v>
      </c>
      <c r="W454" s="83">
        <f t="shared" ref="W454:W478" si="389">ROUND(IF($T454="Plumb Takeoff",IF($Q454="DBLT",$H454*W$3,0),IF($T454="Pipe Takeoff",IF($Q454="DBLT",$H454*W$4,0),IF($Q454="DBLT",$H454*W$2,0))),2)</f>
        <v>0</v>
      </c>
      <c r="X454" s="781">
        <f t="shared" ref="X454:X478" si="390">ROUND(SUM(IF($T454="Plumb Takeoff",IF($R454="SWING",ROUND(SUM($H454)*X$3,2))),IF($T454="Pipe Takeoff",IF($R454="SWING",ROUND(SUM($H454)*X$4,2))),IF($T454="Sheet Metal Takeoff",IF($R454="SWING",ROUND(SUM($H454)*X$2,2)))),2)</f>
        <v>0</v>
      </c>
      <c r="Y454" s="781">
        <f t="shared" ref="Y454:Y478" si="391">ROUND(SUM(IF($T454="Plumb Takeoff",IF($R454="GRAVE",ROUND(SUM($H454)*Y$3,2))),IF($T454="Pipe Takeoff",IF($R454="GRAVE",ROUND(SUM($H454)*Y$4,2))),IF($T454="Sheet Metal Takeoff",IF($R454="GRAVE",ROUND(SUM($H454)*Y$2,2)))),2)</f>
        <v>0</v>
      </c>
      <c r="Z454" s="781">
        <f t="shared" ref="Z454:Z478" si="392">ROUND(SUM(IF($T454="Plumb Takeoff",IF($R454="SPECIAL",ROUND(SUM($H454)*Z$3,2))),IF($T454="Pipe Takeoff",IF($R454="SPECIAL",ROUND(SUM($H454)*Z$4,2))),IF($T454="Sheet Metal Takeoff",IF($R454="SPECIAL",ROUND(SUM($H454)*Z$2,2)))),2)</f>
        <v>0</v>
      </c>
      <c r="AA454" s="83">
        <f t="shared" si="385"/>
        <v>0</v>
      </c>
      <c r="AB454" s="83">
        <f t="shared" ref="AB454:AB478" si="393">ROUND(IF($Q454="OT",$K454*AB$2,0),2)</f>
        <v>0</v>
      </c>
      <c r="AC454" s="83">
        <f t="shared" ref="AC454:AC478" si="394">ROUND(IF($Q454="DBLT",$K454*AC$2,0),2)</f>
        <v>0</v>
      </c>
      <c r="AD454" s="83">
        <f t="shared" ref="AD454:AD478" si="395">ROUND(IF($R454="SWING",$K454*AD$2,0),2)</f>
        <v>0</v>
      </c>
      <c r="AE454" s="83">
        <f t="shared" ref="AE454:AE478" si="396">ROUND(IF($R454="GRAVE",$K454*AE$2,0),2)</f>
        <v>0</v>
      </c>
      <c r="AF454" s="83">
        <f t="shared" ref="AF454:AF478" si="397">ROUND(IF($R454="SPECIAL",$K454*AF$2,0),2)</f>
        <v>0</v>
      </c>
      <c r="AG454" s="83">
        <f t="shared" ref="AG454:AG478" si="398">SUM(U454:Z454)</f>
        <v>0</v>
      </c>
      <c r="AH454" s="83">
        <f t="shared" ref="AH454:AH478" si="399">SUM(AA454:AF454)</f>
        <v>0</v>
      </c>
      <c r="AI454" s="83">
        <f t="shared" ref="AI454:AI478" si="400">SUM(U454:AF454)</f>
        <v>0</v>
      </c>
      <c r="AJ454" s="718">
        <f t="shared" ref="AJ454:AJ478" si="401">SUM(M454,AI454)</f>
        <v>0</v>
      </c>
      <c r="AL454">
        <f t="shared" ref="AL454:AL478" si="402">SUM(V454:Z454)</f>
        <v>0</v>
      </c>
      <c r="AM454">
        <f t="shared" ref="AM454:AM478" si="403">SUM(AB454:AF454)</f>
        <v>0</v>
      </c>
    </row>
    <row r="455" spans="1:39" ht="15.75" x14ac:dyDescent="0.25">
      <c r="A455" s="561"/>
      <c r="B455" s="561"/>
      <c r="C455" s="561"/>
      <c r="D455" s="672"/>
      <c r="E455" s="209"/>
      <c r="F455" s="209"/>
      <c r="G455" s="209"/>
      <c r="H455" s="176">
        <f t="shared" si="381"/>
        <v>0</v>
      </c>
      <c r="I455" s="209"/>
      <c r="J455" s="209"/>
      <c r="K455" s="176">
        <f t="shared" si="382"/>
        <v>0</v>
      </c>
      <c r="L455" s="209"/>
      <c r="M455" s="177">
        <f t="shared" si="383"/>
        <v>0</v>
      </c>
      <c r="N455" s="1012"/>
      <c r="O455" s="1012"/>
      <c r="P455" s="485"/>
      <c r="Q455" s="778"/>
      <c r="R455" s="778"/>
      <c r="S455" s="785" t="str">
        <f t="shared" si="386"/>
        <v/>
      </c>
      <c r="T455" s="548" t="str">
        <f t="shared" si="384"/>
        <v>Sheet Metal Takeoff</v>
      </c>
      <c r="U455" s="83">
        <f t="shared" si="387"/>
        <v>0</v>
      </c>
      <c r="V455" s="83">
        <f t="shared" si="388"/>
        <v>0</v>
      </c>
      <c r="W455" s="83">
        <f t="shared" si="389"/>
        <v>0</v>
      </c>
      <c r="X455" s="781">
        <f t="shared" si="390"/>
        <v>0</v>
      </c>
      <c r="Y455" s="781">
        <f t="shared" si="391"/>
        <v>0</v>
      </c>
      <c r="Z455" s="781">
        <f t="shared" si="392"/>
        <v>0</v>
      </c>
      <c r="AA455" s="83">
        <f t="shared" si="385"/>
        <v>0</v>
      </c>
      <c r="AB455" s="83">
        <f t="shared" si="393"/>
        <v>0</v>
      </c>
      <c r="AC455" s="83">
        <f t="shared" si="394"/>
        <v>0</v>
      </c>
      <c r="AD455" s="83">
        <f t="shared" si="395"/>
        <v>0</v>
      </c>
      <c r="AE455" s="83">
        <f t="shared" si="396"/>
        <v>0</v>
      </c>
      <c r="AF455" s="83">
        <f t="shared" si="397"/>
        <v>0</v>
      </c>
      <c r="AG455" s="83">
        <f t="shared" si="398"/>
        <v>0</v>
      </c>
      <c r="AH455" s="83">
        <f t="shared" si="399"/>
        <v>0</v>
      </c>
      <c r="AI455" s="83">
        <f t="shared" si="400"/>
        <v>0</v>
      </c>
      <c r="AJ455" s="718">
        <f t="shared" si="401"/>
        <v>0</v>
      </c>
      <c r="AL455">
        <f t="shared" si="402"/>
        <v>0</v>
      </c>
      <c r="AM455">
        <f t="shared" si="403"/>
        <v>0</v>
      </c>
    </row>
    <row r="456" spans="1:39" ht="15.75" x14ac:dyDescent="0.25">
      <c r="A456" s="561"/>
      <c r="B456" s="561"/>
      <c r="C456" s="561"/>
      <c r="D456" s="672"/>
      <c r="E456" s="209"/>
      <c r="F456" s="209"/>
      <c r="G456" s="209"/>
      <c r="H456" s="176">
        <f t="shared" si="381"/>
        <v>0</v>
      </c>
      <c r="I456" s="209"/>
      <c r="J456" s="209"/>
      <c r="K456" s="176">
        <f t="shared" si="382"/>
        <v>0</v>
      </c>
      <c r="L456" s="209"/>
      <c r="M456" s="177">
        <f t="shared" si="383"/>
        <v>0</v>
      </c>
      <c r="N456" s="1012"/>
      <c r="O456" s="1012"/>
      <c r="P456" s="485"/>
      <c r="Q456" s="778"/>
      <c r="R456" s="778"/>
      <c r="S456" s="785" t="str">
        <f t="shared" si="386"/>
        <v/>
      </c>
      <c r="T456" s="548" t="str">
        <f t="shared" si="384"/>
        <v>Sheet Metal Takeoff</v>
      </c>
      <c r="U456" s="83">
        <f t="shared" si="387"/>
        <v>0</v>
      </c>
      <c r="V456" s="83">
        <f t="shared" si="388"/>
        <v>0</v>
      </c>
      <c r="W456" s="83">
        <f t="shared" si="389"/>
        <v>0</v>
      </c>
      <c r="X456" s="781">
        <f t="shared" si="390"/>
        <v>0</v>
      </c>
      <c r="Y456" s="781">
        <f t="shared" si="391"/>
        <v>0</v>
      </c>
      <c r="Z456" s="781">
        <f t="shared" si="392"/>
        <v>0</v>
      </c>
      <c r="AA456" s="83">
        <f t="shared" si="385"/>
        <v>0</v>
      </c>
      <c r="AB456" s="83">
        <f t="shared" si="393"/>
        <v>0</v>
      </c>
      <c r="AC456" s="83">
        <f t="shared" si="394"/>
        <v>0</v>
      </c>
      <c r="AD456" s="83">
        <f t="shared" si="395"/>
        <v>0</v>
      </c>
      <c r="AE456" s="83">
        <f t="shared" si="396"/>
        <v>0</v>
      </c>
      <c r="AF456" s="83">
        <f t="shared" si="397"/>
        <v>0</v>
      </c>
      <c r="AG456" s="83">
        <f t="shared" si="398"/>
        <v>0</v>
      </c>
      <c r="AH456" s="83">
        <f t="shared" si="399"/>
        <v>0</v>
      </c>
      <c r="AI456" s="83">
        <f t="shared" si="400"/>
        <v>0</v>
      </c>
      <c r="AJ456" s="718">
        <f t="shared" si="401"/>
        <v>0</v>
      </c>
      <c r="AL456">
        <f t="shared" si="402"/>
        <v>0</v>
      </c>
      <c r="AM456">
        <f t="shared" si="403"/>
        <v>0</v>
      </c>
    </row>
    <row r="457" spans="1:39" ht="15.75" x14ac:dyDescent="0.25">
      <c r="A457" s="561"/>
      <c r="B457" s="561"/>
      <c r="C457" s="561"/>
      <c r="D457" s="672"/>
      <c r="E457" s="209"/>
      <c r="F457" s="209"/>
      <c r="G457" s="209"/>
      <c r="H457" s="176">
        <f t="shared" si="381"/>
        <v>0</v>
      </c>
      <c r="I457" s="209"/>
      <c r="J457" s="209"/>
      <c r="K457" s="176">
        <f t="shared" si="382"/>
        <v>0</v>
      </c>
      <c r="L457" s="209"/>
      <c r="M457" s="177">
        <f t="shared" si="383"/>
        <v>0</v>
      </c>
      <c r="N457" s="1012"/>
      <c r="O457" s="1012"/>
      <c r="P457" s="485"/>
      <c r="Q457" s="778"/>
      <c r="R457" s="778"/>
      <c r="S457" s="785" t="str">
        <f t="shared" si="386"/>
        <v/>
      </c>
      <c r="T457" s="548" t="str">
        <f t="shared" si="384"/>
        <v>Sheet Metal Takeoff</v>
      </c>
      <c r="U457" s="83">
        <f t="shared" si="387"/>
        <v>0</v>
      </c>
      <c r="V457" s="83">
        <f t="shared" si="388"/>
        <v>0</v>
      </c>
      <c r="W457" s="83">
        <f t="shared" si="389"/>
        <v>0</v>
      </c>
      <c r="X457" s="781">
        <f t="shared" si="390"/>
        <v>0</v>
      </c>
      <c r="Y457" s="781">
        <f t="shared" si="391"/>
        <v>0</v>
      </c>
      <c r="Z457" s="781">
        <f t="shared" si="392"/>
        <v>0</v>
      </c>
      <c r="AA457" s="83">
        <f t="shared" si="385"/>
        <v>0</v>
      </c>
      <c r="AB457" s="83">
        <f t="shared" si="393"/>
        <v>0</v>
      </c>
      <c r="AC457" s="83">
        <f t="shared" si="394"/>
        <v>0</v>
      </c>
      <c r="AD457" s="83">
        <f t="shared" si="395"/>
        <v>0</v>
      </c>
      <c r="AE457" s="83">
        <f t="shared" si="396"/>
        <v>0</v>
      </c>
      <c r="AF457" s="83">
        <f t="shared" si="397"/>
        <v>0</v>
      </c>
      <c r="AG457" s="83">
        <f t="shared" si="398"/>
        <v>0</v>
      </c>
      <c r="AH457" s="83">
        <f t="shared" si="399"/>
        <v>0</v>
      </c>
      <c r="AI457" s="83">
        <f t="shared" si="400"/>
        <v>0</v>
      </c>
      <c r="AJ457" s="718">
        <f t="shared" si="401"/>
        <v>0</v>
      </c>
      <c r="AL457">
        <f t="shared" si="402"/>
        <v>0</v>
      </c>
      <c r="AM457">
        <f t="shared" si="403"/>
        <v>0</v>
      </c>
    </row>
    <row r="458" spans="1:39" ht="15.75" x14ac:dyDescent="0.25">
      <c r="A458" s="561"/>
      <c r="B458" s="561"/>
      <c r="C458" s="561"/>
      <c r="D458" s="672"/>
      <c r="E458" s="209"/>
      <c r="F458" s="209"/>
      <c r="G458" s="209"/>
      <c r="H458" s="176">
        <f t="shared" si="381"/>
        <v>0</v>
      </c>
      <c r="I458" s="209"/>
      <c r="J458" s="209"/>
      <c r="K458" s="176">
        <f t="shared" si="382"/>
        <v>0</v>
      </c>
      <c r="L458" s="209"/>
      <c r="M458" s="177">
        <f t="shared" si="383"/>
        <v>0</v>
      </c>
      <c r="N458" s="1012"/>
      <c r="O458" s="1012"/>
      <c r="P458" s="485"/>
      <c r="Q458" s="778"/>
      <c r="R458" s="778"/>
      <c r="S458" s="785" t="str">
        <f t="shared" si="386"/>
        <v/>
      </c>
      <c r="T458" s="548" t="str">
        <f t="shared" si="384"/>
        <v>Sheet Metal Takeoff</v>
      </c>
      <c r="U458" s="83">
        <f t="shared" si="387"/>
        <v>0</v>
      </c>
      <c r="V458" s="83">
        <f t="shared" si="388"/>
        <v>0</v>
      </c>
      <c r="W458" s="83">
        <f t="shared" si="389"/>
        <v>0</v>
      </c>
      <c r="X458" s="781">
        <f t="shared" si="390"/>
        <v>0</v>
      </c>
      <c r="Y458" s="781">
        <f t="shared" si="391"/>
        <v>0</v>
      </c>
      <c r="Z458" s="781">
        <f t="shared" si="392"/>
        <v>0</v>
      </c>
      <c r="AA458" s="83">
        <f t="shared" si="385"/>
        <v>0</v>
      </c>
      <c r="AB458" s="83">
        <f t="shared" si="393"/>
        <v>0</v>
      </c>
      <c r="AC458" s="83">
        <f t="shared" si="394"/>
        <v>0</v>
      </c>
      <c r="AD458" s="83">
        <f t="shared" si="395"/>
        <v>0</v>
      </c>
      <c r="AE458" s="83">
        <f t="shared" si="396"/>
        <v>0</v>
      </c>
      <c r="AF458" s="83">
        <f t="shared" si="397"/>
        <v>0</v>
      </c>
      <c r="AG458" s="83">
        <f t="shared" si="398"/>
        <v>0</v>
      </c>
      <c r="AH458" s="83">
        <f t="shared" si="399"/>
        <v>0</v>
      </c>
      <c r="AI458" s="83">
        <f t="shared" si="400"/>
        <v>0</v>
      </c>
      <c r="AJ458" s="718">
        <f t="shared" si="401"/>
        <v>0</v>
      </c>
      <c r="AL458">
        <f t="shared" si="402"/>
        <v>0</v>
      </c>
      <c r="AM458">
        <f t="shared" si="403"/>
        <v>0</v>
      </c>
    </row>
    <row r="459" spans="1:39" ht="15.75" x14ac:dyDescent="0.25">
      <c r="A459" s="561"/>
      <c r="B459" s="561"/>
      <c r="C459" s="561"/>
      <c r="D459" s="672"/>
      <c r="E459" s="209"/>
      <c r="F459" s="209"/>
      <c r="G459" s="209"/>
      <c r="H459" s="176">
        <f t="shared" si="381"/>
        <v>0</v>
      </c>
      <c r="I459" s="209"/>
      <c r="J459" s="209"/>
      <c r="K459" s="176">
        <f t="shared" si="382"/>
        <v>0</v>
      </c>
      <c r="L459" s="209"/>
      <c r="M459" s="177">
        <f t="shared" si="383"/>
        <v>0</v>
      </c>
      <c r="N459" s="1012"/>
      <c r="O459" s="1012"/>
      <c r="P459" s="485"/>
      <c r="Q459" s="778"/>
      <c r="R459" s="778"/>
      <c r="S459" s="785" t="str">
        <f t="shared" si="386"/>
        <v/>
      </c>
      <c r="T459" s="548" t="str">
        <f t="shared" si="384"/>
        <v>Sheet Metal Takeoff</v>
      </c>
      <c r="U459" s="83">
        <f t="shared" si="387"/>
        <v>0</v>
      </c>
      <c r="V459" s="83">
        <f t="shared" si="388"/>
        <v>0</v>
      </c>
      <c r="W459" s="83">
        <f t="shared" si="389"/>
        <v>0</v>
      </c>
      <c r="X459" s="781">
        <f t="shared" si="390"/>
        <v>0</v>
      </c>
      <c r="Y459" s="781">
        <f t="shared" si="391"/>
        <v>0</v>
      </c>
      <c r="Z459" s="781">
        <f t="shared" si="392"/>
        <v>0</v>
      </c>
      <c r="AA459" s="83">
        <f t="shared" si="385"/>
        <v>0</v>
      </c>
      <c r="AB459" s="83">
        <f t="shared" si="393"/>
        <v>0</v>
      </c>
      <c r="AC459" s="83">
        <f t="shared" si="394"/>
        <v>0</v>
      </c>
      <c r="AD459" s="83">
        <f t="shared" si="395"/>
        <v>0</v>
      </c>
      <c r="AE459" s="83">
        <f t="shared" si="396"/>
        <v>0</v>
      </c>
      <c r="AF459" s="83">
        <f t="shared" si="397"/>
        <v>0</v>
      </c>
      <c r="AG459" s="83">
        <f t="shared" si="398"/>
        <v>0</v>
      </c>
      <c r="AH459" s="83">
        <f t="shared" si="399"/>
        <v>0</v>
      </c>
      <c r="AI459" s="83">
        <f t="shared" si="400"/>
        <v>0</v>
      </c>
      <c r="AJ459" s="718">
        <f t="shared" si="401"/>
        <v>0</v>
      </c>
      <c r="AL459">
        <f t="shared" si="402"/>
        <v>0</v>
      </c>
      <c r="AM459">
        <f t="shared" si="403"/>
        <v>0</v>
      </c>
    </row>
    <row r="460" spans="1:39" ht="15.75" x14ac:dyDescent="0.25">
      <c r="A460" s="561"/>
      <c r="B460" s="561"/>
      <c r="C460" s="561"/>
      <c r="D460" s="672"/>
      <c r="E460" s="209"/>
      <c r="F460" s="209"/>
      <c r="G460" s="209"/>
      <c r="H460" s="176">
        <f t="shared" si="381"/>
        <v>0</v>
      </c>
      <c r="I460" s="209"/>
      <c r="J460" s="209"/>
      <c r="K460" s="176">
        <f t="shared" si="382"/>
        <v>0</v>
      </c>
      <c r="L460" s="209"/>
      <c r="M460" s="177">
        <f t="shared" si="383"/>
        <v>0</v>
      </c>
      <c r="N460" s="1012"/>
      <c r="O460" s="1012"/>
      <c r="P460" s="485"/>
      <c r="Q460" s="778"/>
      <c r="R460" s="778"/>
      <c r="S460" s="785" t="str">
        <f t="shared" si="386"/>
        <v/>
      </c>
      <c r="T460" s="548" t="str">
        <f t="shared" si="384"/>
        <v>Sheet Metal Takeoff</v>
      </c>
      <c r="U460" s="83">
        <f t="shared" si="387"/>
        <v>0</v>
      </c>
      <c r="V460" s="83">
        <f t="shared" si="388"/>
        <v>0</v>
      </c>
      <c r="W460" s="83">
        <f t="shared" si="389"/>
        <v>0</v>
      </c>
      <c r="X460" s="781">
        <f t="shared" si="390"/>
        <v>0</v>
      </c>
      <c r="Y460" s="781">
        <f t="shared" si="391"/>
        <v>0</v>
      </c>
      <c r="Z460" s="781">
        <f t="shared" si="392"/>
        <v>0</v>
      </c>
      <c r="AA460" s="83">
        <f t="shared" si="385"/>
        <v>0</v>
      </c>
      <c r="AB460" s="83">
        <f t="shared" si="393"/>
        <v>0</v>
      </c>
      <c r="AC460" s="83">
        <f t="shared" si="394"/>
        <v>0</v>
      </c>
      <c r="AD460" s="83">
        <f t="shared" si="395"/>
        <v>0</v>
      </c>
      <c r="AE460" s="83">
        <f t="shared" si="396"/>
        <v>0</v>
      </c>
      <c r="AF460" s="83">
        <f t="shared" si="397"/>
        <v>0</v>
      </c>
      <c r="AG460" s="83">
        <f t="shared" si="398"/>
        <v>0</v>
      </c>
      <c r="AH460" s="83">
        <f t="shared" si="399"/>
        <v>0</v>
      </c>
      <c r="AI460" s="83">
        <f t="shared" si="400"/>
        <v>0</v>
      </c>
      <c r="AJ460" s="718">
        <f t="shared" si="401"/>
        <v>0</v>
      </c>
      <c r="AL460">
        <f t="shared" si="402"/>
        <v>0</v>
      </c>
      <c r="AM460">
        <f t="shared" si="403"/>
        <v>0</v>
      </c>
    </row>
    <row r="461" spans="1:39" ht="15.75" x14ac:dyDescent="0.25">
      <c r="A461" s="561"/>
      <c r="B461" s="561"/>
      <c r="C461" s="561"/>
      <c r="D461" s="672"/>
      <c r="E461" s="209"/>
      <c r="F461" s="209"/>
      <c r="G461" s="209"/>
      <c r="H461" s="176">
        <f t="shared" si="381"/>
        <v>0</v>
      </c>
      <c r="I461" s="209"/>
      <c r="J461" s="209"/>
      <c r="K461" s="176">
        <f t="shared" si="382"/>
        <v>0</v>
      </c>
      <c r="L461" s="209"/>
      <c r="M461" s="177">
        <f t="shared" si="383"/>
        <v>0</v>
      </c>
      <c r="N461" s="1012"/>
      <c r="O461" s="1012"/>
      <c r="P461" s="485"/>
      <c r="Q461" s="778"/>
      <c r="R461" s="778"/>
      <c r="S461" s="785" t="str">
        <f t="shared" si="386"/>
        <v/>
      </c>
      <c r="T461" s="548" t="str">
        <f t="shared" si="384"/>
        <v>Sheet Metal Takeoff</v>
      </c>
      <c r="U461" s="83">
        <f t="shared" si="387"/>
        <v>0</v>
      </c>
      <c r="V461" s="83">
        <f t="shared" si="388"/>
        <v>0</v>
      </c>
      <c r="W461" s="83">
        <f t="shared" si="389"/>
        <v>0</v>
      </c>
      <c r="X461" s="781">
        <f t="shared" si="390"/>
        <v>0</v>
      </c>
      <c r="Y461" s="781">
        <f t="shared" si="391"/>
        <v>0</v>
      </c>
      <c r="Z461" s="781">
        <f t="shared" si="392"/>
        <v>0</v>
      </c>
      <c r="AA461" s="83">
        <f t="shared" si="385"/>
        <v>0</v>
      </c>
      <c r="AB461" s="83">
        <f t="shared" si="393"/>
        <v>0</v>
      </c>
      <c r="AC461" s="83">
        <f t="shared" si="394"/>
        <v>0</v>
      </c>
      <c r="AD461" s="83">
        <f t="shared" si="395"/>
        <v>0</v>
      </c>
      <c r="AE461" s="83">
        <f t="shared" si="396"/>
        <v>0</v>
      </c>
      <c r="AF461" s="83">
        <f t="shared" si="397"/>
        <v>0</v>
      </c>
      <c r="AG461" s="83">
        <f t="shared" si="398"/>
        <v>0</v>
      </c>
      <c r="AH461" s="83">
        <f t="shared" si="399"/>
        <v>0</v>
      </c>
      <c r="AI461" s="83">
        <f t="shared" si="400"/>
        <v>0</v>
      </c>
      <c r="AJ461" s="718">
        <f t="shared" si="401"/>
        <v>0</v>
      </c>
      <c r="AL461">
        <f t="shared" si="402"/>
        <v>0</v>
      </c>
      <c r="AM461">
        <f t="shared" si="403"/>
        <v>0</v>
      </c>
    </row>
    <row r="462" spans="1:39" ht="15.75" x14ac:dyDescent="0.25">
      <c r="A462" s="561"/>
      <c r="B462" s="561"/>
      <c r="C462" s="561"/>
      <c r="D462" s="672"/>
      <c r="E462" s="209"/>
      <c r="F462" s="209"/>
      <c r="G462" s="209"/>
      <c r="H462" s="176">
        <f t="shared" si="381"/>
        <v>0</v>
      </c>
      <c r="I462" s="209"/>
      <c r="J462" s="209"/>
      <c r="K462" s="176">
        <f t="shared" si="382"/>
        <v>0</v>
      </c>
      <c r="L462" s="209"/>
      <c r="M462" s="177">
        <f t="shared" si="383"/>
        <v>0</v>
      </c>
      <c r="N462" s="1012"/>
      <c r="O462" s="1012"/>
      <c r="P462" s="485"/>
      <c r="Q462" s="778"/>
      <c r="R462" s="778"/>
      <c r="S462" s="785" t="str">
        <f t="shared" si="386"/>
        <v/>
      </c>
      <c r="T462" s="548" t="str">
        <f t="shared" si="384"/>
        <v>Sheet Metal Takeoff</v>
      </c>
      <c r="U462" s="83">
        <f t="shared" si="387"/>
        <v>0</v>
      </c>
      <c r="V462" s="83">
        <f t="shared" si="388"/>
        <v>0</v>
      </c>
      <c r="W462" s="83">
        <f t="shared" si="389"/>
        <v>0</v>
      </c>
      <c r="X462" s="781">
        <f t="shared" si="390"/>
        <v>0</v>
      </c>
      <c r="Y462" s="781">
        <f t="shared" si="391"/>
        <v>0</v>
      </c>
      <c r="Z462" s="781">
        <f t="shared" si="392"/>
        <v>0</v>
      </c>
      <c r="AA462" s="83">
        <f t="shared" si="385"/>
        <v>0</v>
      </c>
      <c r="AB462" s="83">
        <f t="shared" si="393"/>
        <v>0</v>
      </c>
      <c r="AC462" s="83">
        <f t="shared" si="394"/>
        <v>0</v>
      </c>
      <c r="AD462" s="83">
        <f t="shared" si="395"/>
        <v>0</v>
      </c>
      <c r="AE462" s="83">
        <f t="shared" si="396"/>
        <v>0</v>
      </c>
      <c r="AF462" s="83">
        <f t="shared" si="397"/>
        <v>0</v>
      </c>
      <c r="AG462" s="83">
        <f t="shared" si="398"/>
        <v>0</v>
      </c>
      <c r="AH462" s="83">
        <f t="shared" si="399"/>
        <v>0</v>
      </c>
      <c r="AI462" s="83">
        <f t="shared" si="400"/>
        <v>0</v>
      </c>
      <c r="AJ462" s="718">
        <f t="shared" si="401"/>
        <v>0</v>
      </c>
      <c r="AL462">
        <f t="shared" si="402"/>
        <v>0</v>
      </c>
      <c r="AM462">
        <f t="shared" si="403"/>
        <v>0</v>
      </c>
    </row>
    <row r="463" spans="1:39" ht="15.75" x14ac:dyDescent="0.25">
      <c r="A463" s="561"/>
      <c r="B463" s="561"/>
      <c r="C463" s="561"/>
      <c r="D463" s="672"/>
      <c r="E463" s="209"/>
      <c r="F463" s="209"/>
      <c r="G463" s="209"/>
      <c r="H463" s="176">
        <f t="shared" si="381"/>
        <v>0</v>
      </c>
      <c r="I463" s="209"/>
      <c r="J463" s="209"/>
      <c r="K463" s="176">
        <f t="shared" si="382"/>
        <v>0</v>
      </c>
      <c r="L463" s="209"/>
      <c r="M463" s="177">
        <f t="shared" si="383"/>
        <v>0</v>
      </c>
      <c r="N463" s="1012"/>
      <c r="O463" s="1012"/>
      <c r="P463" s="485"/>
      <c r="Q463" s="778"/>
      <c r="R463" s="778"/>
      <c r="S463" s="785" t="str">
        <f t="shared" si="386"/>
        <v/>
      </c>
      <c r="T463" s="548" t="str">
        <f t="shared" si="384"/>
        <v>Sheet Metal Takeoff</v>
      </c>
      <c r="U463" s="83">
        <f t="shared" si="387"/>
        <v>0</v>
      </c>
      <c r="V463" s="83">
        <f t="shared" si="388"/>
        <v>0</v>
      </c>
      <c r="W463" s="83">
        <f t="shared" si="389"/>
        <v>0</v>
      </c>
      <c r="X463" s="781">
        <f t="shared" si="390"/>
        <v>0</v>
      </c>
      <c r="Y463" s="781">
        <f t="shared" si="391"/>
        <v>0</v>
      </c>
      <c r="Z463" s="781">
        <f t="shared" si="392"/>
        <v>0</v>
      </c>
      <c r="AA463" s="83">
        <f t="shared" si="385"/>
        <v>0</v>
      </c>
      <c r="AB463" s="83">
        <f t="shared" si="393"/>
        <v>0</v>
      </c>
      <c r="AC463" s="83">
        <f t="shared" si="394"/>
        <v>0</v>
      </c>
      <c r="AD463" s="83">
        <f t="shared" si="395"/>
        <v>0</v>
      </c>
      <c r="AE463" s="83">
        <f t="shared" si="396"/>
        <v>0</v>
      </c>
      <c r="AF463" s="83">
        <f t="shared" si="397"/>
        <v>0</v>
      </c>
      <c r="AG463" s="83">
        <f t="shared" si="398"/>
        <v>0</v>
      </c>
      <c r="AH463" s="83">
        <f t="shared" si="399"/>
        <v>0</v>
      </c>
      <c r="AI463" s="83">
        <f t="shared" si="400"/>
        <v>0</v>
      </c>
      <c r="AJ463" s="718">
        <f t="shared" si="401"/>
        <v>0</v>
      </c>
      <c r="AL463">
        <f t="shared" si="402"/>
        <v>0</v>
      </c>
      <c r="AM463">
        <f t="shared" si="403"/>
        <v>0</v>
      </c>
    </row>
    <row r="464" spans="1:39" ht="15.75" x14ac:dyDescent="0.25">
      <c r="A464" s="561"/>
      <c r="B464" s="561"/>
      <c r="C464" s="561"/>
      <c r="D464" s="672"/>
      <c r="E464" s="209"/>
      <c r="F464" s="209"/>
      <c r="G464" s="209"/>
      <c r="H464" s="176">
        <f t="shared" si="381"/>
        <v>0</v>
      </c>
      <c r="I464" s="209"/>
      <c r="J464" s="209"/>
      <c r="K464" s="176">
        <f t="shared" si="382"/>
        <v>0</v>
      </c>
      <c r="L464" s="209"/>
      <c r="M464" s="177">
        <f t="shared" si="383"/>
        <v>0</v>
      </c>
      <c r="N464" s="1012"/>
      <c r="O464" s="1012"/>
      <c r="P464" s="485"/>
      <c r="Q464" s="778"/>
      <c r="R464" s="778"/>
      <c r="S464" s="785" t="str">
        <f t="shared" si="386"/>
        <v/>
      </c>
      <c r="T464" s="548" t="str">
        <f t="shared" si="384"/>
        <v>Sheet Metal Takeoff</v>
      </c>
      <c r="U464" s="83">
        <f t="shared" si="387"/>
        <v>0</v>
      </c>
      <c r="V464" s="83">
        <f t="shared" si="388"/>
        <v>0</v>
      </c>
      <c r="W464" s="83">
        <f t="shared" si="389"/>
        <v>0</v>
      </c>
      <c r="X464" s="781">
        <f t="shared" si="390"/>
        <v>0</v>
      </c>
      <c r="Y464" s="781">
        <f t="shared" si="391"/>
        <v>0</v>
      </c>
      <c r="Z464" s="781">
        <f t="shared" si="392"/>
        <v>0</v>
      </c>
      <c r="AA464" s="83">
        <f t="shared" si="385"/>
        <v>0</v>
      </c>
      <c r="AB464" s="83">
        <f t="shared" si="393"/>
        <v>0</v>
      </c>
      <c r="AC464" s="83">
        <f t="shared" si="394"/>
        <v>0</v>
      </c>
      <c r="AD464" s="83">
        <f t="shared" si="395"/>
        <v>0</v>
      </c>
      <c r="AE464" s="83">
        <f t="shared" si="396"/>
        <v>0</v>
      </c>
      <c r="AF464" s="83">
        <f t="shared" si="397"/>
        <v>0</v>
      </c>
      <c r="AG464" s="83">
        <f t="shared" si="398"/>
        <v>0</v>
      </c>
      <c r="AH464" s="83">
        <f t="shared" si="399"/>
        <v>0</v>
      </c>
      <c r="AI464" s="83">
        <f t="shared" si="400"/>
        <v>0</v>
      </c>
      <c r="AJ464" s="718">
        <f t="shared" si="401"/>
        <v>0</v>
      </c>
      <c r="AL464">
        <f t="shared" si="402"/>
        <v>0</v>
      </c>
      <c r="AM464">
        <f t="shared" si="403"/>
        <v>0</v>
      </c>
    </row>
    <row r="465" spans="1:39" ht="15.75" x14ac:dyDescent="0.25">
      <c r="A465" s="561"/>
      <c r="B465" s="561"/>
      <c r="C465" s="561"/>
      <c r="D465" s="672"/>
      <c r="E465" s="209"/>
      <c r="F465" s="209"/>
      <c r="G465" s="209"/>
      <c r="H465" s="176">
        <f t="shared" si="381"/>
        <v>0</v>
      </c>
      <c r="I465" s="209"/>
      <c r="J465" s="209"/>
      <c r="K465" s="176">
        <f t="shared" si="382"/>
        <v>0</v>
      </c>
      <c r="L465" s="209"/>
      <c r="M465" s="177">
        <f t="shared" si="383"/>
        <v>0</v>
      </c>
      <c r="N465" s="1012"/>
      <c r="O465" s="1012"/>
      <c r="P465" s="485"/>
      <c r="Q465" s="778"/>
      <c r="R465" s="778"/>
      <c r="S465" s="785" t="str">
        <f t="shared" si="386"/>
        <v/>
      </c>
      <c r="T465" s="548" t="str">
        <f t="shared" si="384"/>
        <v>Sheet Metal Takeoff</v>
      </c>
      <c r="U465" s="83">
        <f t="shared" si="387"/>
        <v>0</v>
      </c>
      <c r="V465" s="83">
        <f t="shared" si="388"/>
        <v>0</v>
      </c>
      <c r="W465" s="83">
        <f t="shared" si="389"/>
        <v>0</v>
      </c>
      <c r="X465" s="781">
        <f t="shared" si="390"/>
        <v>0</v>
      </c>
      <c r="Y465" s="781">
        <f t="shared" si="391"/>
        <v>0</v>
      </c>
      <c r="Z465" s="781">
        <f t="shared" si="392"/>
        <v>0</v>
      </c>
      <c r="AA465" s="83">
        <f t="shared" si="385"/>
        <v>0</v>
      </c>
      <c r="AB465" s="83">
        <f t="shared" si="393"/>
        <v>0</v>
      </c>
      <c r="AC465" s="83">
        <f t="shared" si="394"/>
        <v>0</v>
      </c>
      <c r="AD465" s="83">
        <f t="shared" si="395"/>
        <v>0</v>
      </c>
      <c r="AE465" s="83">
        <f t="shared" si="396"/>
        <v>0</v>
      </c>
      <c r="AF465" s="83">
        <f t="shared" si="397"/>
        <v>0</v>
      </c>
      <c r="AG465" s="83">
        <f t="shared" si="398"/>
        <v>0</v>
      </c>
      <c r="AH465" s="83">
        <f t="shared" si="399"/>
        <v>0</v>
      </c>
      <c r="AI465" s="83">
        <f t="shared" si="400"/>
        <v>0</v>
      </c>
      <c r="AJ465" s="718">
        <f t="shared" si="401"/>
        <v>0</v>
      </c>
      <c r="AL465">
        <f t="shared" si="402"/>
        <v>0</v>
      </c>
      <c r="AM465">
        <f t="shared" si="403"/>
        <v>0</v>
      </c>
    </row>
    <row r="466" spans="1:39" ht="15.75" x14ac:dyDescent="0.25">
      <c r="A466" s="561"/>
      <c r="B466" s="561"/>
      <c r="C466" s="561"/>
      <c r="D466" s="672"/>
      <c r="E466" s="209"/>
      <c r="F466" s="209"/>
      <c r="G466" s="209"/>
      <c r="H466" s="176">
        <f t="shared" si="381"/>
        <v>0</v>
      </c>
      <c r="I466" s="209"/>
      <c r="J466" s="209"/>
      <c r="K466" s="176">
        <f t="shared" si="382"/>
        <v>0</v>
      </c>
      <c r="L466" s="209"/>
      <c r="M466" s="177">
        <f t="shared" si="383"/>
        <v>0</v>
      </c>
      <c r="N466" s="1012"/>
      <c r="O466" s="1012"/>
      <c r="P466" s="485"/>
      <c r="Q466" s="778"/>
      <c r="R466" s="778"/>
      <c r="S466" s="785" t="str">
        <f t="shared" si="386"/>
        <v/>
      </c>
      <c r="T466" s="548" t="str">
        <f t="shared" si="384"/>
        <v>Sheet Metal Takeoff</v>
      </c>
      <c r="U466" s="83">
        <f t="shared" si="387"/>
        <v>0</v>
      </c>
      <c r="V466" s="83">
        <f t="shared" si="388"/>
        <v>0</v>
      </c>
      <c r="W466" s="83">
        <f t="shared" si="389"/>
        <v>0</v>
      </c>
      <c r="X466" s="781">
        <f t="shared" si="390"/>
        <v>0</v>
      </c>
      <c r="Y466" s="781">
        <f t="shared" si="391"/>
        <v>0</v>
      </c>
      <c r="Z466" s="781">
        <f t="shared" si="392"/>
        <v>0</v>
      </c>
      <c r="AA466" s="83">
        <f t="shared" si="385"/>
        <v>0</v>
      </c>
      <c r="AB466" s="83">
        <f t="shared" si="393"/>
        <v>0</v>
      </c>
      <c r="AC466" s="83">
        <f t="shared" si="394"/>
        <v>0</v>
      </c>
      <c r="AD466" s="83">
        <f t="shared" si="395"/>
        <v>0</v>
      </c>
      <c r="AE466" s="83">
        <f t="shared" si="396"/>
        <v>0</v>
      </c>
      <c r="AF466" s="83">
        <f t="shared" si="397"/>
        <v>0</v>
      </c>
      <c r="AG466" s="83">
        <f t="shared" si="398"/>
        <v>0</v>
      </c>
      <c r="AH466" s="83">
        <f t="shared" si="399"/>
        <v>0</v>
      </c>
      <c r="AI466" s="83">
        <f t="shared" si="400"/>
        <v>0</v>
      </c>
      <c r="AJ466" s="718">
        <f t="shared" si="401"/>
        <v>0</v>
      </c>
      <c r="AL466">
        <f t="shared" si="402"/>
        <v>0</v>
      </c>
      <c r="AM466">
        <f t="shared" si="403"/>
        <v>0</v>
      </c>
    </row>
    <row r="467" spans="1:39" ht="15.75" x14ac:dyDescent="0.25">
      <c r="A467" s="561"/>
      <c r="B467" s="561"/>
      <c r="C467" s="561"/>
      <c r="D467" s="672"/>
      <c r="E467" s="209"/>
      <c r="F467" s="209"/>
      <c r="G467" s="209"/>
      <c r="H467" s="176">
        <f t="shared" si="381"/>
        <v>0</v>
      </c>
      <c r="I467" s="209"/>
      <c r="J467" s="209"/>
      <c r="K467" s="176">
        <f t="shared" si="382"/>
        <v>0</v>
      </c>
      <c r="L467" s="209"/>
      <c r="M467" s="177">
        <f t="shared" si="383"/>
        <v>0</v>
      </c>
      <c r="N467" s="1012"/>
      <c r="O467" s="1012"/>
      <c r="P467" s="485"/>
      <c r="Q467" s="778"/>
      <c r="R467" s="778"/>
      <c r="S467" s="785" t="str">
        <f t="shared" si="386"/>
        <v/>
      </c>
      <c r="T467" s="548" t="str">
        <f t="shared" si="384"/>
        <v>Sheet Metal Takeoff</v>
      </c>
      <c r="U467" s="83">
        <f t="shared" si="387"/>
        <v>0</v>
      </c>
      <c r="V467" s="83">
        <f t="shared" si="388"/>
        <v>0</v>
      </c>
      <c r="W467" s="83">
        <f t="shared" si="389"/>
        <v>0</v>
      </c>
      <c r="X467" s="781">
        <f t="shared" si="390"/>
        <v>0</v>
      </c>
      <c r="Y467" s="781">
        <f t="shared" si="391"/>
        <v>0</v>
      </c>
      <c r="Z467" s="781">
        <f t="shared" si="392"/>
        <v>0</v>
      </c>
      <c r="AA467" s="83">
        <f t="shared" si="385"/>
        <v>0</v>
      </c>
      <c r="AB467" s="83">
        <f t="shared" si="393"/>
        <v>0</v>
      </c>
      <c r="AC467" s="83">
        <f t="shared" si="394"/>
        <v>0</v>
      </c>
      <c r="AD467" s="83">
        <f t="shared" si="395"/>
        <v>0</v>
      </c>
      <c r="AE467" s="83">
        <f t="shared" si="396"/>
        <v>0</v>
      </c>
      <c r="AF467" s="83">
        <f t="shared" si="397"/>
        <v>0</v>
      </c>
      <c r="AG467" s="83">
        <f t="shared" si="398"/>
        <v>0</v>
      </c>
      <c r="AH467" s="83">
        <f t="shared" si="399"/>
        <v>0</v>
      </c>
      <c r="AI467" s="83">
        <f t="shared" si="400"/>
        <v>0</v>
      </c>
      <c r="AJ467" s="718">
        <f t="shared" si="401"/>
        <v>0</v>
      </c>
      <c r="AL467">
        <f t="shared" si="402"/>
        <v>0</v>
      </c>
      <c r="AM467">
        <f t="shared" si="403"/>
        <v>0</v>
      </c>
    </row>
    <row r="468" spans="1:39" ht="15.75" x14ac:dyDescent="0.25">
      <c r="A468" s="561"/>
      <c r="B468" s="561"/>
      <c r="C468" s="561"/>
      <c r="D468" s="672"/>
      <c r="E468" s="209"/>
      <c r="F468" s="209"/>
      <c r="G468" s="209"/>
      <c r="H468" s="176">
        <f t="shared" si="381"/>
        <v>0</v>
      </c>
      <c r="I468" s="209"/>
      <c r="J468" s="209"/>
      <c r="K468" s="176">
        <f t="shared" si="382"/>
        <v>0</v>
      </c>
      <c r="L468" s="209"/>
      <c r="M468" s="177">
        <f t="shared" si="383"/>
        <v>0</v>
      </c>
      <c r="N468" s="1012"/>
      <c r="O468" s="1012"/>
      <c r="P468" s="485"/>
      <c r="Q468" s="778"/>
      <c r="R468" s="778"/>
      <c r="S468" s="785" t="str">
        <f t="shared" si="386"/>
        <v/>
      </c>
      <c r="T468" s="548" t="str">
        <f t="shared" si="384"/>
        <v>Sheet Metal Takeoff</v>
      </c>
      <c r="U468" s="83">
        <f t="shared" si="387"/>
        <v>0</v>
      </c>
      <c r="V468" s="83">
        <f t="shared" si="388"/>
        <v>0</v>
      </c>
      <c r="W468" s="83">
        <f t="shared" si="389"/>
        <v>0</v>
      </c>
      <c r="X468" s="781">
        <f t="shared" si="390"/>
        <v>0</v>
      </c>
      <c r="Y468" s="781">
        <f t="shared" si="391"/>
        <v>0</v>
      </c>
      <c r="Z468" s="781">
        <f t="shared" si="392"/>
        <v>0</v>
      </c>
      <c r="AA468" s="83">
        <f t="shared" si="385"/>
        <v>0</v>
      </c>
      <c r="AB468" s="83">
        <f t="shared" si="393"/>
        <v>0</v>
      </c>
      <c r="AC468" s="83">
        <f t="shared" si="394"/>
        <v>0</v>
      </c>
      <c r="AD468" s="83">
        <f t="shared" si="395"/>
        <v>0</v>
      </c>
      <c r="AE468" s="83">
        <f t="shared" si="396"/>
        <v>0</v>
      </c>
      <c r="AF468" s="83">
        <f t="shared" si="397"/>
        <v>0</v>
      </c>
      <c r="AG468" s="83">
        <f t="shared" si="398"/>
        <v>0</v>
      </c>
      <c r="AH468" s="83">
        <f t="shared" si="399"/>
        <v>0</v>
      </c>
      <c r="AI468" s="83">
        <f t="shared" si="400"/>
        <v>0</v>
      </c>
      <c r="AJ468" s="718">
        <f t="shared" si="401"/>
        <v>0</v>
      </c>
      <c r="AL468">
        <f t="shared" si="402"/>
        <v>0</v>
      </c>
      <c r="AM468">
        <f t="shared" si="403"/>
        <v>0</v>
      </c>
    </row>
    <row r="469" spans="1:39" ht="15.75" x14ac:dyDescent="0.25">
      <c r="A469" s="561"/>
      <c r="B469" s="561"/>
      <c r="C469" s="561"/>
      <c r="D469" s="672"/>
      <c r="E469" s="209"/>
      <c r="F469" s="209"/>
      <c r="G469" s="209"/>
      <c r="H469" s="176">
        <f t="shared" si="381"/>
        <v>0</v>
      </c>
      <c r="I469" s="209"/>
      <c r="J469" s="209"/>
      <c r="K469" s="176">
        <f t="shared" si="382"/>
        <v>0</v>
      </c>
      <c r="L469" s="209"/>
      <c r="M469" s="177">
        <f t="shared" si="383"/>
        <v>0</v>
      </c>
      <c r="N469" s="1012"/>
      <c r="O469" s="1012"/>
      <c r="P469" s="485"/>
      <c r="Q469" s="778"/>
      <c r="R469" s="778"/>
      <c r="S469" s="785" t="str">
        <f t="shared" si="386"/>
        <v/>
      </c>
      <c r="T469" s="548" t="str">
        <f t="shared" si="384"/>
        <v>Sheet Metal Takeoff</v>
      </c>
      <c r="U469" s="83">
        <f t="shared" si="387"/>
        <v>0</v>
      </c>
      <c r="V469" s="83">
        <f t="shared" si="388"/>
        <v>0</v>
      </c>
      <c r="W469" s="83">
        <f t="shared" si="389"/>
        <v>0</v>
      </c>
      <c r="X469" s="781">
        <f t="shared" si="390"/>
        <v>0</v>
      </c>
      <c r="Y469" s="781">
        <f t="shared" si="391"/>
        <v>0</v>
      </c>
      <c r="Z469" s="781">
        <f t="shared" si="392"/>
        <v>0</v>
      </c>
      <c r="AA469" s="83">
        <f t="shared" si="385"/>
        <v>0</v>
      </c>
      <c r="AB469" s="83">
        <f t="shared" si="393"/>
        <v>0</v>
      </c>
      <c r="AC469" s="83">
        <f t="shared" si="394"/>
        <v>0</v>
      </c>
      <c r="AD469" s="83">
        <f t="shared" si="395"/>
        <v>0</v>
      </c>
      <c r="AE469" s="83">
        <f t="shared" si="396"/>
        <v>0</v>
      </c>
      <c r="AF469" s="83">
        <f t="shared" si="397"/>
        <v>0</v>
      </c>
      <c r="AG469" s="83">
        <f t="shared" si="398"/>
        <v>0</v>
      </c>
      <c r="AH469" s="83">
        <f t="shared" si="399"/>
        <v>0</v>
      </c>
      <c r="AI469" s="83">
        <f t="shared" si="400"/>
        <v>0</v>
      </c>
      <c r="AJ469" s="718">
        <f t="shared" si="401"/>
        <v>0</v>
      </c>
      <c r="AL469">
        <f t="shared" si="402"/>
        <v>0</v>
      </c>
      <c r="AM469">
        <f t="shared" si="403"/>
        <v>0</v>
      </c>
    </row>
    <row r="470" spans="1:39" ht="15.75" x14ac:dyDescent="0.25">
      <c r="A470" s="561"/>
      <c r="B470" s="561"/>
      <c r="C470" s="561"/>
      <c r="D470" s="672"/>
      <c r="E470" s="209"/>
      <c r="F470" s="209"/>
      <c r="G470" s="209"/>
      <c r="H470" s="176">
        <f t="shared" si="381"/>
        <v>0</v>
      </c>
      <c r="I470" s="209"/>
      <c r="J470" s="209"/>
      <c r="K470" s="176">
        <f t="shared" si="382"/>
        <v>0</v>
      </c>
      <c r="L470" s="209"/>
      <c r="M470" s="177">
        <f t="shared" si="383"/>
        <v>0</v>
      </c>
      <c r="N470" s="1012"/>
      <c r="O470" s="1012"/>
      <c r="P470" s="485"/>
      <c r="Q470" s="778"/>
      <c r="R470" s="778"/>
      <c r="S470" s="785" t="str">
        <f t="shared" si="386"/>
        <v/>
      </c>
      <c r="T470" s="548" t="str">
        <f t="shared" si="384"/>
        <v>Sheet Metal Takeoff</v>
      </c>
      <c r="U470" s="83">
        <f t="shared" si="387"/>
        <v>0</v>
      </c>
      <c r="V470" s="83">
        <f t="shared" si="388"/>
        <v>0</v>
      </c>
      <c r="W470" s="83">
        <f t="shared" si="389"/>
        <v>0</v>
      </c>
      <c r="X470" s="781">
        <f t="shared" si="390"/>
        <v>0</v>
      </c>
      <c r="Y470" s="781">
        <f t="shared" si="391"/>
        <v>0</v>
      </c>
      <c r="Z470" s="781">
        <f t="shared" si="392"/>
        <v>0</v>
      </c>
      <c r="AA470" s="83">
        <f t="shared" si="385"/>
        <v>0</v>
      </c>
      <c r="AB470" s="83">
        <f t="shared" si="393"/>
        <v>0</v>
      </c>
      <c r="AC470" s="83">
        <f t="shared" si="394"/>
        <v>0</v>
      </c>
      <c r="AD470" s="83">
        <f t="shared" si="395"/>
        <v>0</v>
      </c>
      <c r="AE470" s="83">
        <f t="shared" si="396"/>
        <v>0</v>
      </c>
      <c r="AF470" s="83">
        <f t="shared" si="397"/>
        <v>0</v>
      </c>
      <c r="AG470" s="83">
        <f t="shared" si="398"/>
        <v>0</v>
      </c>
      <c r="AH470" s="83">
        <f t="shared" si="399"/>
        <v>0</v>
      </c>
      <c r="AI470" s="83">
        <f t="shared" si="400"/>
        <v>0</v>
      </c>
      <c r="AJ470" s="718">
        <f t="shared" si="401"/>
        <v>0</v>
      </c>
      <c r="AL470">
        <f t="shared" si="402"/>
        <v>0</v>
      </c>
      <c r="AM470">
        <f t="shared" si="403"/>
        <v>0</v>
      </c>
    </row>
    <row r="471" spans="1:39" ht="15.75" x14ac:dyDescent="0.25">
      <c r="A471" s="561"/>
      <c r="B471" s="561"/>
      <c r="C471" s="561"/>
      <c r="D471" s="672"/>
      <c r="E471" s="209"/>
      <c r="F471" s="209"/>
      <c r="G471" s="209"/>
      <c r="H471" s="176">
        <f t="shared" si="381"/>
        <v>0</v>
      </c>
      <c r="I471" s="209"/>
      <c r="J471" s="209"/>
      <c r="K471" s="176">
        <f t="shared" si="382"/>
        <v>0</v>
      </c>
      <c r="L471" s="209"/>
      <c r="M471" s="177">
        <f t="shared" si="383"/>
        <v>0</v>
      </c>
      <c r="N471" s="1012"/>
      <c r="O471" s="1012"/>
      <c r="P471" s="485"/>
      <c r="Q471" s="778"/>
      <c r="R471" s="778"/>
      <c r="S471" s="785" t="str">
        <f t="shared" si="386"/>
        <v/>
      </c>
      <c r="T471" s="548" t="str">
        <f t="shared" si="384"/>
        <v>Sheet Metal Takeoff</v>
      </c>
      <c r="U471" s="83">
        <f t="shared" si="387"/>
        <v>0</v>
      </c>
      <c r="V471" s="83">
        <f t="shared" si="388"/>
        <v>0</v>
      </c>
      <c r="W471" s="83">
        <f t="shared" si="389"/>
        <v>0</v>
      </c>
      <c r="X471" s="781">
        <f t="shared" si="390"/>
        <v>0</v>
      </c>
      <c r="Y471" s="781">
        <f t="shared" si="391"/>
        <v>0</v>
      </c>
      <c r="Z471" s="781">
        <f t="shared" si="392"/>
        <v>0</v>
      </c>
      <c r="AA471" s="83">
        <f t="shared" si="385"/>
        <v>0</v>
      </c>
      <c r="AB471" s="83">
        <f t="shared" si="393"/>
        <v>0</v>
      </c>
      <c r="AC471" s="83">
        <f t="shared" si="394"/>
        <v>0</v>
      </c>
      <c r="AD471" s="83">
        <f t="shared" si="395"/>
        <v>0</v>
      </c>
      <c r="AE471" s="83">
        <f t="shared" si="396"/>
        <v>0</v>
      </c>
      <c r="AF471" s="83">
        <f t="shared" si="397"/>
        <v>0</v>
      </c>
      <c r="AG471" s="83">
        <f t="shared" si="398"/>
        <v>0</v>
      </c>
      <c r="AH471" s="83">
        <f t="shared" si="399"/>
        <v>0</v>
      </c>
      <c r="AI471" s="83">
        <f t="shared" si="400"/>
        <v>0</v>
      </c>
      <c r="AJ471" s="718">
        <f t="shared" si="401"/>
        <v>0</v>
      </c>
      <c r="AL471">
        <f t="shared" si="402"/>
        <v>0</v>
      </c>
      <c r="AM471">
        <f t="shared" si="403"/>
        <v>0</v>
      </c>
    </row>
    <row r="472" spans="1:39" ht="15.75" x14ac:dyDescent="0.25">
      <c r="A472" s="561"/>
      <c r="B472" s="561"/>
      <c r="C472" s="561"/>
      <c r="D472" s="672"/>
      <c r="E472" s="209"/>
      <c r="F472" s="209"/>
      <c r="G472" s="209"/>
      <c r="H472" s="176">
        <f t="shared" si="381"/>
        <v>0</v>
      </c>
      <c r="I472" s="209"/>
      <c r="J472" s="209"/>
      <c r="K472" s="176">
        <f t="shared" si="382"/>
        <v>0</v>
      </c>
      <c r="L472" s="209"/>
      <c r="M472" s="177">
        <f t="shared" si="383"/>
        <v>0</v>
      </c>
      <c r="N472" s="1012"/>
      <c r="O472" s="1012"/>
      <c r="P472" s="485"/>
      <c r="Q472" s="778"/>
      <c r="R472" s="778"/>
      <c r="S472" s="785" t="str">
        <f t="shared" si="386"/>
        <v/>
      </c>
      <c r="T472" s="548" t="str">
        <f t="shared" si="384"/>
        <v>Sheet Metal Takeoff</v>
      </c>
      <c r="U472" s="83">
        <f t="shared" si="387"/>
        <v>0</v>
      </c>
      <c r="V472" s="83">
        <f t="shared" si="388"/>
        <v>0</v>
      </c>
      <c r="W472" s="83">
        <f t="shared" si="389"/>
        <v>0</v>
      </c>
      <c r="X472" s="781">
        <f t="shared" si="390"/>
        <v>0</v>
      </c>
      <c r="Y472" s="781">
        <f t="shared" si="391"/>
        <v>0</v>
      </c>
      <c r="Z472" s="781">
        <f t="shared" si="392"/>
        <v>0</v>
      </c>
      <c r="AA472" s="83">
        <f t="shared" si="385"/>
        <v>0</v>
      </c>
      <c r="AB472" s="83">
        <f t="shared" si="393"/>
        <v>0</v>
      </c>
      <c r="AC472" s="83">
        <f t="shared" si="394"/>
        <v>0</v>
      </c>
      <c r="AD472" s="83">
        <f t="shared" si="395"/>
        <v>0</v>
      </c>
      <c r="AE472" s="83">
        <f t="shared" si="396"/>
        <v>0</v>
      </c>
      <c r="AF472" s="83">
        <f t="shared" si="397"/>
        <v>0</v>
      </c>
      <c r="AG472" s="83">
        <f t="shared" si="398"/>
        <v>0</v>
      </c>
      <c r="AH472" s="83">
        <f t="shared" si="399"/>
        <v>0</v>
      </c>
      <c r="AI472" s="83">
        <f t="shared" si="400"/>
        <v>0</v>
      </c>
      <c r="AJ472" s="718">
        <f t="shared" si="401"/>
        <v>0</v>
      </c>
      <c r="AL472">
        <f t="shared" si="402"/>
        <v>0</v>
      </c>
      <c r="AM472">
        <f t="shared" si="403"/>
        <v>0</v>
      </c>
    </row>
    <row r="473" spans="1:39" ht="15.75" x14ac:dyDescent="0.25">
      <c r="A473" s="561"/>
      <c r="B473" s="561"/>
      <c r="C473" s="561"/>
      <c r="D473" s="672"/>
      <c r="E473" s="209"/>
      <c r="F473" s="209"/>
      <c r="G473" s="209"/>
      <c r="H473" s="176">
        <f t="shared" si="381"/>
        <v>0</v>
      </c>
      <c r="I473" s="209"/>
      <c r="J473" s="209"/>
      <c r="K473" s="176">
        <f t="shared" si="382"/>
        <v>0</v>
      </c>
      <c r="L473" s="209"/>
      <c r="M473" s="177">
        <f t="shared" si="383"/>
        <v>0</v>
      </c>
      <c r="N473" s="1012"/>
      <c r="O473" s="1012"/>
      <c r="P473" s="485"/>
      <c r="Q473" s="778"/>
      <c r="R473" s="778"/>
      <c r="S473" s="785" t="str">
        <f t="shared" si="386"/>
        <v/>
      </c>
      <c r="T473" s="548" t="str">
        <f t="shared" si="384"/>
        <v>Sheet Metal Takeoff</v>
      </c>
      <c r="U473" s="83">
        <f t="shared" si="387"/>
        <v>0</v>
      </c>
      <c r="V473" s="83">
        <f t="shared" si="388"/>
        <v>0</v>
      </c>
      <c r="W473" s="83">
        <f t="shared" si="389"/>
        <v>0</v>
      </c>
      <c r="X473" s="781">
        <f t="shared" si="390"/>
        <v>0</v>
      </c>
      <c r="Y473" s="781">
        <f t="shared" si="391"/>
        <v>0</v>
      </c>
      <c r="Z473" s="781">
        <f t="shared" si="392"/>
        <v>0</v>
      </c>
      <c r="AA473" s="83">
        <f t="shared" si="385"/>
        <v>0</v>
      </c>
      <c r="AB473" s="83">
        <f t="shared" si="393"/>
        <v>0</v>
      </c>
      <c r="AC473" s="83">
        <f t="shared" si="394"/>
        <v>0</v>
      </c>
      <c r="AD473" s="83">
        <f t="shared" si="395"/>
        <v>0</v>
      </c>
      <c r="AE473" s="83">
        <f t="shared" si="396"/>
        <v>0</v>
      </c>
      <c r="AF473" s="83">
        <f t="shared" si="397"/>
        <v>0</v>
      </c>
      <c r="AG473" s="83">
        <f t="shared" si="398"/>
        <v>0</v>
      </c>
      <c r="AH473" s="83">
        <f t="shared" si="399"/>
        <v>0</v>
      </c>
      <c r="AI473" s="83">
        <f t="shared" si="400"/>
        <v>0</v>
      </c>
      <c r="AJ473" s="718">
        <f t="shared" si="401"/>
        <v>0</v>
      </c>
      <c r="AL473">
        <f t="shared" si="402"/>
        <v>0</v>
      </c>
      <c r="AM473">
        <f t="shared" si="403"/>
        <v>0</v>
      </c>
    </row>
    <row r="474" spans="1:39" ht="15.75" x14ac:dyDescent="0.25">
      <c r="A474" s="561"/>
      <c r="B474" s="561"/>
      <c r="C474" s="561"/>
      <c r="D474" s="672"/>
      <c r="E474" s="209"/>
      <c r="F474" s="209"/>
      <c r="G474" s="209"/>
      <c r="H474" s="176">
        <f t="shared" si="381"/>
        <v>0</v>
      </c>
      <c r="I474" s="209"/>
      <c r="J474" s="209"/>
      <c r="K474" s="176">
        <f t="shared" si="382"/>
        <v>0</v>
      </c>
      <c r="L474" s="209"/>
      <c r="M474" s="177">
        <f t="shared" si="383"/>
        <v>0</v>
      </c>
      <c r="N474" s="1012"/>
      <c r="O474" s="1012"/>
      <c r="P474" s="485"/>
      <c r="Q474" s="778"/>
      <c r="R474" s="778"/>
      <c r="S474" s="785" t="str">
        <f t="shared" si="386"/>
        <v/>
      </c>
      <c r="T474" s="548" t="str">
        <f t="shared" si="384"/>
        <v>Sheet Metal Takeoff</v>
      </c>
      <c r="U474" s="83">
        <f t="shared" si="387"/>
        <v>0</v>
      </c>
      <c r="V474" s="83">
        <f t="shared" si="388"/>
        <v>0</v>
      </c>
      <c r="W474" s="83">
        <f t="shared" si="389"/>
        <v>0</v>
      </c>
      <c r="X474" s="781">
        <f t="shared" si="390"/>
        <v>0</v>
      </c>
      <c r="Y474" s="781">
        <f t="shared" si="391"/>
        <v>0</v>
      </c>
      <c r="Z474" s="781">
        <f t="shared" si="392"/>
        <v>0</v>
      </c>
      <c r="AA474" s="83">
        <f t="shared" si="385"/>
        <v>0</v>
      </c>
      <c r="AB474" s="83">
        <f t="shared" si="393"/>
        <v>0</v>
      </c>
      <c r="AC474" s="83">
        <f t="shared" si="394"/>
        <v>0</v>
      </c>
      <c r="AD474" s="83">
        <f t="shared" si="395"/>
        <v>0</v>
      </c>
      <c r="AE474" s="83">
        <f t="shared" si="396"/>
        <v>0</v>
      </c>
      <c r="AF474" s="83">
        <f t="shared" si="397"/>
        <v>0</v>
      </c>
      <c r="AG474" s="83">
        <f t="shared" si="398"/>
        <v>0</v>
      </c>
      <c r="AH474" s="83">
        <f t="shared" si="399"/>
        <v>0</v>
      </c>
      <c r="AI474" s="83">
        <f t="shared" si="400"/>
        <v>0</v>
      </c>
      <c r="AJ474" s="718">
        <f t="shared" si="401"/>
        <v>0</v>
      </c>
      <c r="AL474">
        <f t="shared" si="402"/>
        <v>0</v>
      </c>
      <c r="AM474">
        <f t="shared" si="403"/>
        <v>0</v>
      </c>
    </row>
    <row r="475" spans="1:39" ht="15.75" x14ac:dyDescent="0.25">
      <c r="A475" s="561"/>
      <c r="B475" s="561"/>
      <c r="C475" s="561"/>
      <c r="D475" s="672"/>
      <c r="E475" s="209"/>
      <c r="F475" s="209"/>
      <c r="G475" s="209"/>
      <c r="H475" s="176">
        <f t="shared" si="381"/>
        <v>0</v>
      </c>
      <c r="I475" s="209"/>
      <c r="J475" s="209"/>
      <c r="K475" s="176">
        <f t="shared" si="382"/>
        <v>0</v>
      </c>
      <c r="L475" s="209"/>
      <c r="M475" s="177">
        <f t="shared" si="383"/>
        <v>0</v>
      </c>
      <c r="N475" s="1012"/>
      <c r="O475" s="1012"/>
      <c r="P475" s="485"/>
      <c r="Q475" s="778"/>
      <c r="R475" s="778"/>
      <c r="S475" s="785" t="str">
        <f t="shared" si="386"/>
        <v/>
      </c>
      <c r="T475" s="548" t="str">
        <f t="shared" si="384"/>
        <v>Sheet Metal Takeoff</v>
      </c>
      <c r="U475" s="83">
        <f t="shared" si="387"/>
        <v>0</v>
      </c>
      <c r="V475" s="83">
        <f t="shared" si="388"/>
        <v>0</v>
      </c>
      <c r="W475" s="83">
        <f t="shared" si="389"/>
        <v>0</v>
      </c>
      <c r="X475" s="781">
        <f t="shared" si="390"/>
        <v>0</v>
      </c>
      <c r="Y475" s="781">
        <f t="shared" si="391"/>
        <v>0</v>
      </c>
      <c r="Z475" s="781">
        <f t="shared" si="392"/>
        <v>0</v>
      </c>
      <c r="AA475" s="83">
        <f t="shared" si="385"/>
        <v>0</v>
      </c>
      <c r="AB475" s="83">
        <f t="shared" si="393"/>
        <v>0</v>
      </c>
      <c r="AC475" s="83">
        <f t="shared" si="394"/>
        <v>0</v>
      </c>
      <c r="AD475" s="83">
        <f t="shared" si="395"/>
        <v>0</v>
      </c>
      <c r="AE475" s="83">
        <f t="shared" si="396"/>
        <v>0</v>
      </c>
      <c r="AF475" s="83">
        <f t="shared" si="397"/>
        <v>0</v>
      </c>
      <c r="AG475" s="83">
        <f t="shared" si="398"/>
        <v>0</v>
      </c>
      <c r="AH475" s="83">
        <f t="shared" si="399"/>
        <v>0</v>
      </c>
      <c r="AI475" s="83">
        <f t="shared" si="400"/>
        <v>0</v>
      </c>
      <c r="AJ475" s="718">
        <f t="shared" si="401"/>
        <v>0</v>
      </c>
      <c r="AL475">
        <f t="shared" si="402"/>
        <v>0</v>
      </c>
      <c r="AM475">
        <f t="shared" si="403"/>
        <v>0</v>
      </c>
    </row>
    <row r="476" spans="1:39" ht="15.75" x14ac:dyDescent="0.25">
      <c r="A476" s="561"/>
      <c r="B476" s="561"/>
      <c r="C476" s="561"/>
      <c r="D476" s="672"/>
      <c r="E476" s="209"/>
      <c r="F476" s="209"/>
      <c r="G476" s="209"/>
      <c r="H476" s="176">
        <f t="shared" si="381"/>
        <v>0</v>
      </c>
      <c r="I476" s="209"/>
      <c r="J476" s="209"/>
      <c r="K476" s="176">
        <f t="shared" si="382"/>
        <v>0</v>
      </c>
      <c r="L476" s="209"/>
      <c r="M476" s="177">
        <f t="shared" si="383"/>
        <v>0</v>
      </c>
      <c r="N476" s="1012"/>
      <c r="O476" s="1012"/>
      <c r="P476" s="485"/>
      <c r="Q476" s="778"/>
      <c r="R476" s="778"/>
      <c r="S476" s="785" t="str">
        <f t="shared" si="386"/>
        <v/>
      </c>
      <c r="T476" s="548" t="str">
        <f t="shared" si="384"/>
        <v>Sheet Metal Takeoff</v>
      </c>
      <c r="U476" s="83">
        <f t="shared" si="387"/>
        <v>0</v>
      </c>
      <c r="V476" s="83">
        <f t="shared" si="388"/>
        <v>0</v>
      </c>
      <c r="W476" s="83">
        <f t="shared" si="389"/>
        <v>0</v>
      </c>
      <c r="X476" s="781">
        <f t="shared" si="390"/>
        <v>0</v>
      </c>
      <c r="Y476" s="781">
        <f t="shared" si="391"/>
        <v>0</v>
      </c>
      <c r="Z476" s="781">
        <f t="shared" si="392"/>
        <v>0</v>
      </c>
      <c r="AA476" s="83">
        <f t="shared" si="385"/>
        <v>0</v>
      </c>
      <c r="AB476" s="83">
        <f t="shared" si="393"/>
        <v>0</v>
      </c>
      <c r="AC476" s="83">
        <f t="shared" si="394"/>
        <v>0</v>
      </c>
      <c r="AD476" s="83">
        <f t="shared" si="395"/>
        <v>0</v>
      </c>
      <c r="AE476" s="83">
        <f t="shared" si="396"/>
        <v>0</v>
      </c>
      <c r="AF476" s="83">
        <f t="shared" si="397"/>
        <v>0</v>
      </c>
      <c r="AG476" s="83">
        <f t="shared" si="398"/>
        <v>0</v>
      </c>
      <c r="AH476" s="83">
        <f t="shared" si="399"/>
        <v>0</v>
      </c>
      <c r="AI476" s="83">
        <f t="shared" si="400"/>
        <v>0</v>
      </c>
      <c r="AJ476" s="718">
        <f t="shared" si="401"/>
        <v>0</v>
      </c>
      <c r="AL476">
        <f t="shared" si="402"/>
        <v>0</v>
      </c>
      <c r="AM476">
        <f t="shared" si="403"/>
        <v>0</v>
      </c>
    </row>
    <row r="477" spans="1:39" ht="15.75" x14ac:dyDescent="0.25">
      <c r="A477" s="561"/>
      <c r="B477" s="561"/>
      <c r="C477" s="561"/>
      <c r="D477" s="672"/>
      <c r="E477" s="209"/>
      <c r="F477" s="209"/>
      <c r="G477" s="209"/>
      <c r="H477" s="176">
        <f t="shared" si="381"/>
        <v>0</v>
      </c>
      <c r="I477" s="209"/>
      <c r="J477" s="209"/>
      <c r="K477" s="176">
        <f t="shared" si="382"/>
        <v>0</v>
      </c>
      <c r="L477" s="209"/>
      <c r="M477" s="177">
        <f t="shared" si="383"/>
        <v>0</v>
      </c>
      <c r="N477" s="1012"/>
      <c r="O477" s="1012"/>
      <c r="P477" s="485"/>
      <c r="Q477" s="778"/>
      <c r="R477" s="778"/>
      <c r="S477" s="785" t="str">
        <f t="shared" si="386"/>
        <v/>
      </c>
      <c r="T477" s="548" t="str">
        <f t="shared" si="384"/>
        <v>Sheet Metal Takeoff</v>
      </c>
      <c r="U477" s="83">
        <f t="shared" si="387"/>
        <v>0</v>
      </c>
      <c r="V477" s="83">
        <f t="shared" si="388"/>
        <v>0</v>
      </c>
      <c r="W477" s="83">
        <f t="shared" si="389"/>
        <v>0</v>
      </c>
      <c r="X477" s="781">
        <f t="shared" si="390"/>
        <v>0</v>
      </c>
      <c r="Y477" s="781">
        <f t="shared" si="391"/>
        <v>0</v>
      </c>
      <c r="Z477" s="781">
        <f t="shared" si="392"/>
        <v>0</v>
      </c>
      <c r="AA477" s="83">
        <f t="shared" si="385"/>
        <v>0</v>
      </c>
      <c r="AB477" s="83">
        <f t="shared" si="393"/>
        <v>0</v>
      </c>
      <c r="AC477" s="83">
        <f t="shared" si="394"/>
        <v>0</v>
      </c>
      <c r="AD477" s="83">
        <f t="shared" si="395"/>
        <v>0</v>
      </c>
      <c r="AE477" s="83">
        <f t="shared" si="396"/>
        <v>0</v>
      </c>
      <c r="AF477" s="83">
        <f t="shared" si="397"/>
        <v>0</v>
      </c>
      <c r="AG477" s="83">
        <f t="shared" si="398"/>
        <v>0</v>
      </c>
      <c r="AH477" s="83">
        <f t="shared" si="399"/>
        <v>0</v>
      </c>
      <c r="AI477" s="83">
        <f t="shared" si="400"/>
        <v>0</v>
      </c>
      <c r="AJ477" s="718">
        <f t="shared" si="401"/>
        <v>0</v>
      </c>
      <c r="AL477">
        <f t="shared" si="402"/>
        <v>0</v>
      </c>
      <c r="AM477">
        <f t="shared" si="403"/>
        <v>0</v>
      </c>
    </row>
    <row r="478" spans="1:39" ht="15.75" hidden="1" customHeight="1" x14ac:dyDescent="0.25">
      <c r="A478" s="561"/>
      <c r="B478" s="561"/>
      <c r="C478" s="561"/>
      <c r="D478" s="672"/>
      <c r="E478" s="209"/>
      <c r="F478" s="209"/>
      <c r="G478" s="209"/>
      <c r="H478" s="176">
        <f t="shared" si="381"/>
        <v>0</v>
      </c>
      <c r="I478" s="209"/>
      <c r="J478" s="209"/>
      <c r="K478" s="176">
        <f t="shared" si="382"/>
        <v>0</v>
      </c>
      <c r="L478" s="209"/>
      <c r="M478" s="177">
        <f t="shared" si="383"/>
        <v>0</v>
      </c>
      <c r="N478" s="1012"/>
      <c r="O478" s="1012"/>
      <c r="P478" s="485"/>
      <c r="Q478" s="778"/>
      <c r="R478" s="778"/>
      <c r="S478" s="785" t="str">
        <f t="shared" si="386"/>
        <v/>
      </c>
      <c r="T478" s="548" t="str">
        <f t="shared" si="384"/>
        <v>Sheet Metal Takeoff</v>
      </c>
      <c r="U478" s="83">
        <f>ROUND(IF($T478="Plumb Takeoff",$H478*U$3,IF($T478="Pipe Takeoff",$H478*U$4,$H478*U$2)),2)</f>
        <v>0</v>
      </c>
      <c r="V478" s="83">
        <f t="shared" si="388"/>
        <v>0</v>
      </c>
      <c r="W478" s="83">
        <f t="shared" si="389"/>
        <v>0</v>
      </c>
      <c r="X478" s="781">
        <f t="shared" si="390"/>
        <v>0</v>
      </c>
      <c r="Y478" s="781">
        <f t="shared" si="391"/>
        <v>0</v>
      </c>
      <c r="Z478" s="781">
        <f t="shared" si="392"/>
        <v>0</v>
      </c>
      <c r="AA478" s="83">
        <f t="shared" si="385"/>
        <v>0</v>
      </c>
      <c r="AB478" s="83">
        <f t="shared" si="393"/>
        <v>0</v>
      </c>
      <c r="AC478" s="83">
        <f t="shared" si="394"/>
        <v>0</v>
      </c>
      <c r="AD478" s="83">
        <f t="shared" si="395"/>
        <v>0</v>
      </c>
      <c r="AE478" s="83">
        <f t="shared" si="396"/>
        <v>0</v>
      </c>
      <c r="AF478" s="83">
        <f t="shared" si="397"/>
        <v>0</v>
      </c>
      <c r="AG478" s="83">
        <f t="shared" si="398"/>
        <v>0</v>
      </c>
      <c r="AH478" s="83">
        <f t="shared" si="399"/>
        <v>0</v>
      </c>
      <c r="AI478" s="83">
        <f t="shared" si="400"/>
        <v>0</v>
      </c>
      <c r="AJ478" s="718">
        <f t="shared" si="401"/>
        <v>0</v>
      </c>
      <c r="AL478">
        <f t="shared" si="402"/>
        <v>0</v>
      </c>
      <c r="AM478">
        <f t="shared" si="403"/>
        <v>0</v>
      </c>
    </row>
    <row r="479" spans="1:39" ht="15.75" x14ac:dyDescent="0.25">
      <c r="A479" s="551"/>
      <c r="B479" s="551"/>
      <c r="C479" s="551"/>
      <c r="D479" s="673"/>
      <c r="E479" s="552"/>
      <c r="F479" s="553"/>
      <c r="G479" s="553"/>
      <c r="H479" s="181">
        <f>SUM(H453:H478)</f>
        <v>0</v>
      </c>
      <c r="I479" s="182"/>
      <c r="J479" s="182"/>
      <c r="K479" s="181">
        <f>SUM(K453:K478)</f>
        <v>0</v>
      </c>
      <c r="L479" s="182"/>
      <c r="M479" s="177">
        <f>SUM(M453:M478)</f>
        <v>0</v>
      </c>
      <c r="O479" s="486"/>
      <c r="AJ479" s="718"/>
    </row>
    <row r="480" spans="1:39" ht="15.75" thickBot="1" x14ac:dyDescent="0.3">
      <c r="AJ480" s="718"/>
    </row>
    <row r="481" spans="1:39" ht="16.5" thickBot="1" x14ac:dyDescent="0.3">
      <c r="E481" s="678" t="s">
        <v>1122</v>
      </c>
      <c r="F481" s="1017" t="s">
        <v>1630</v>
      </c>
      <c r="G481" s="1018"/>
      <c r="H481" s="344"/>
      <c r="I481" s="1019" t="s">
        <v>1628</v>
      </c>
      <c r="J481" s="1020"/>
      <c r="K481" s="679" t="b">
        <v>0</v>
      </c>
      <c r="AJ481" s="718"/>
    </row>
    <row r="482" spans="1:39" ht="38.25" thickBot="1" x14ac:dyDescent="0.35">
      <c r="A482" s="477" t="s">
        <v>1063</v>
      </c>
      <c r="B482" s="477" t="s">
        <v>348</v>
      </c>
      <c r="C482" s="477" t="s">
        <v>349</v>
      </c>
      <c r="D482" s="666" t="s">
        <v>0</v>
      </c>
      <c r="E482" s="477" t="s">
        <v>1</v>
      </c>
      <c r="F482" s="480" t="s">
        <v>2</v>
      </c>
      <c r="G482" s="480" t="s">
        <v>1123</v>
      </c>
      <c r="H482" s="480" t="s">
        <v>3</v>
      </c>
      <c r="I482" s="483" t="s">
        <v>4</v>
      </c>
      <c r="J482" s="480" t="s">
        <v>1124</v>
      </c>
      <c r="K482" s="680" t="s">
        <v>5</v>
      </c>
      <c r="L482" s="480" t="s">
        <v>6</v>
      </c>
      <c r="M482" s="484" t="s">
        <v>7</v>
      </c>
      <c r="N482" s="1013" t="s">
        <v>1079</v>
      </c>
      <c r="O482" s="1014"/>
      <c r="P482" s="1009" t="s">
        <v>1629</v>
      </c>
      <c r="Q482" s="1009" t="s">
        <v>1147</v>
      </c>
      <c r="R482" s="1009" t="s">
        <v>1792</v>
      </c>
      <c r="T482" s="2"/>
      <c r="AJ482" s="718"/>
    </row>
    <row r="483" spans="1:39" ht="16.5" thickBot="1" x14ac:dyDescent="0.3">
      <c r="A483" s="183"/>
      <c r="B483" s="183"/>
      <c r="C483" s="183"/>
      <c r="D483" s="671"/>
      <c r="E483" s="183"/>
      <c r="F483" s="183"/>
      <c r="G483" s="183"/>
      <c r="H483" s="183"/>
      <c r="I483" s="183"/>
      <c r="J483" s="183"/>
      <c r="K483" s="183"/>
      <c r="L483" s="183"/>
      <c r="M483" s="183"/>
      <c r="N483" s="1015"/>
      <c r="O483" s="1016"/>
      <c r="P483" s="1010" t="s">
        <v>1362</v>
      </c>
      <c r="Q483" s="1010"/>
      <c r="R483" s="1010"/>
      <c r="T483" s="1"/>
      <c r="AJ483" s="718"/>
    </row>
    <row r="484" spans="1:39" ht="15.75" x14ac:dyDescent="0.25">
      <c r="A484" s="561"/>
      <c r="B484" s="561"/>
      <c r="C484" s="561"/>
      <c r="D484" s="672"/>
      <c r="E484" s="209"/>
      <c r="F484" s="209"/>
      <c r="G484" s="209"/>
      <c r="H484" s="176">
        <f t="shared" ref="H484:H509" si="404">IF(SM_ExludeGroup15=TRUE,0,IF(G484="",E484*F484*IF(AND(S484="LOP",R484="SWING"),1+CrewRate_PlumbFitter_SwingLOP,1)*IF(AND(S484="LOP",R484="GRAVE"),1+CrewRate_PlumbFitter_GraveLOP,1)*IF(AND(S484="LOP",R484="SPECIAL"),1+CrewRate_PlumbFitter_SwingLOP,1),E484*F484*G484*IF(AND(S484="LOP",R484="SWING"),1+CrewRate_PlumbFitter_SwingLOP,1)*IF(AND(S484="LOP",R484="GRAVE"),1+CrewRate_PlumbFitter_GraveLOP,1)*IF(AND(S484="LOP",R484="SPECIAL"),1+CrewRate_PlumbFitter_SwingLOP,1)))</f>
        <v>0</v>
      </c>
      <c r="I484" s="209"/>
      <c r="J484" s="209"/>
      <c r="K484" s="176">
        <f t="shared" ref="K484:K509" si="405">IF(SM_ExludeGroup15=TRUE,0,IF(J484="",E484*I484,E484*I484*J484))</f>
        <v>0</v>
      </c>
      <c r="L484" s="209"/>
      <c r="M484" s="177">
        <f t="shared" ref="M484:M509" si="406">IF(SM_ExludeGroup15=TRUE,0,E484*L484)</f>
        <v>0</v>
      </c>
      <c r="N484" s="1012"/>
      <c r="O484" s="1012"/>
      <c r="P484" s="485"/>
      <c r="Q484" s="778"/>
      <c r="R484" s="778"/>
      <c r="S484" s="785" t="str">
        <f>IF(T484="Sheet Metal Takeoff","",IF(R484="","","LOP"))</f>
        <v/>
      </c>
      <c r="T484" s="548" t="str">
        <f t="shared" ref="T484:T509" si="407">IF($F$481="","Sheet Metal Takeoff",$F$481)</f>
        <v>Sheet Metal Takeoff</v>
      </c>
      <c r="U484" s="83">
        <f>ROUND(IF($T484="Plumb Takeoff",$H484*U$3,IF($T484="Pipe Takeoff",$H484*U$4,$H484*U$2)),2)</f>
        <v>0</v>
      </c>
      <c r="V484" s="83">
        <f>ROUND(IF($T484="Plumb Takeoff",IF($Q484="OT",$H484*V$3,0),IF($T484="Pipe Takeoff",IF($Q484="OT",$H484*V$4,0),IF($Q484="OT",$H484*V$2,0))),2)</f>
        <v>0</v>
      </c>
      <c r="W484" s="83">
        <f>ROUND(IF($T484="Plumb Takeoff",IF($Q484="DBLT",$H484*W$3,0),IF($T484="Pipe Takeoff",IF($Q484="DBLT",$H484*W$4,0),IF($Q484="DBLT",$H484*W$2,0))),2)</f>
        <v>0</v>
      </c>
      <c r="X484" s="781">
        <f>ROUND(SUM(IF($T484="Plumb Takeoff",IF($R484="SWING",ROUND(SUM($H484)*X$3,2))),IF($T484="Pipe Takeoff",IF($R484="SWING",ROUND(SUM($H484)*X$4,2))),IF($T484="Sheet Metal Takeoff",IF($R484="SWING",ROUND(SUM($H484)*X$2,2)))),2)</f>
        <v>0</v>
      </c>
      <c r="Y484" s="781">
        <f>ROUND(SUM(IF($T484="Plumb Takeoff",IF($R484="GRAVE",ROUND(SUM($H484)*Y$3,2))),IF($T484="Pipe Takeoff",IF($R484="GRAVE",ROUND(SUM($H484)*Y$4,2))),IF($T484="Sheet Metal Takeoff",IF($R484="GRAVE",ROUND(SUM($H484)*Y$2,2)))),2)</f>
        <v>0</v>
      </c>
      <c r="Z484" s="781">
        <f>ROUND(SUM(IF($T484="Plumb Takeoff",IF($R484="SPECIAL",ROUND(SUM($H484)*Z$3,2))),IF($T484="Pipe Takeoff",IF($R484="SPECIAL",ROUND(SUM($H484)*Z$4,2))),IF($T484="Sheet Metal Takeoff",IF($R484="SPECIAL",ROUND(SUM($H484)*Z$2,2)))),2)</f>
        <v>0</v>
      </c>
      <c r="AA484" s="83">
        <f t="shared" ref="AA484:AA509" si="408">ROUND($K484*AA$2,2)</f>
        <v>0</v>
      </c>
      <c r="AB484" s="83">
        <f>ROUND(IF($Q484="OT",$K484*AB$2,0),2)</f>
        <v>0</v>
      </c>
      <c r="AC484" s="83">
        <f>ROUND(IF($Q484="DBLT",$K484*AC$2,0),2)</f>
        <v>0</v>
      </c>
      <c r="AD484" s="83">
        <f>ROUND(IF($R484="SWING",$K484*AD$2,0),2)</f>
        <v>0</v>
      </c>
      <c r="AE484" s="83">
        <f>ROUND(IF($R484="GRAVE",$K484*AE$2,0),2)</f>
        <v>0</v>
      </c>
      <c r="AF484" s="83">
        <f>ROUND(IF($R484="SPECIAL",$K484*AF$2,0),2)</f>
        <v>0</v>
      </c>
      <c r="AG484" s="83">
        <f>SUM(U484:Z484)</f>
        <v>0</v>
      </c>
      <c r="AH484" s="83">
        <f>SUM(AA484:AF484)</f>
        <v>0</v>
      </c>
      <c r="AI484" s="83">
        <f>SUM(U484:AF484)</f>
        <v>0</v>
      </c>
      <c r="AJ484" s="718">
        <f>SUM(M484,AI484)</f>
        <v>0</v>
      </c>
      <c r="AL484">
        <f>SUM(V484:Z484)</f>
        <v>0</v>
      </c>
      <c r="AM484">
        <f>SUM(AB484:AF484)</f>
        <v>0</v>
      </c>
    </row>
    <row r="485" spans="1:39" ht="15.75" x14ac:dyDescent="0.25">
      <c r="A485" s="561"/>
      <c r="B485" s="561"/>
      <c r="C485" s="561"/>
      <c r="D485" s="672"/>
      <c r="E485" s="209"/>
      <c r="F485" s="209"/>
      <c r="G485" s="209"/>
      <c r="H485" s="176">
        <f t="shared" si="404"/>
        <v>0</v>
      </c>
      <c r="I485" s="209"/>
      <c r="J485" s="209"/>
      <c r="K485" s="176">
        <f t="shared" si="405"/>
        <v>0</v>
      </c>
      <c r="L485" s="209"/>
      <c r="M485" s="177">
        <f t="shared" si="406"/>
        <v>0</v>
      </c>
      <c r="N485" s="1012"/>
      <c r="O485" s="1012"/>
      <c r="P485" s="485"/>
      <c r="Q485" s="778"/>
      <c r="R485" s="778" t="s">
        <v>1793</v>
      </c>
      <c r="S485" s="785" t="str">
        <f t="shared" ref="S485:S509" si="409">IF(T485="Sheet Metal Takeoff","",IF(R485="","","LOP"))</f>
        <v/>
      </c>
      <c r="T485" s="548" t="str">
        <f t="shared" si="407"/>
        <v>Sheet Metal Takeoff</v>
      </c>
      <c r="U485" s="83">
        <f t="shared" ref="U485:U508" si="410">ROUND(IF($T485="Plumb Takeoff",$H485*U$3,IF($T485="Pipe Takeoff",$H485*U$4,$H485*U$2)),2)</f>
        <v>0</v>
      </c>
      <c r="V485" s="83">
        <f t="shared" ref="V485:V509" si="411">ROUND(IF($T485="Plumb Takeoff",IF($Q485="OT",$H485*V$3,0),IF($T485="Pipe Takeoff",IF($Q485="OT",$H485*V$4,0),IF($Q485="OT",$H485*V$2,0))),2)</f>
        <v>0</v>
      </c>
      <c r="W485" s="83">
        <f t="shared" ref="W485:W509" si="412">ROUND(IF($T485="Plumb Takeoff",IF($Q485="DBLT",$H485*W$3,0),IF($T485="Pipe Takeoff",IF($Q485="DBLT",$H485*W$4,0),IF($Q485="DBLT",$H485*W$2,0))),2)</f>
        <v>0</v>
      </c>
      <c r="X485" s="781">
        <f t="shared" ref="X485:X509" si="413">ROUND(SUM(IF($T485="Plumb Takeoff",IF($R485="SWING",ROUND(SUM($H485)*X$3,2))),IF($T485="Pipe Takeoff",IF($R485="SWING",ROUND(SUM($H485)*X$4,2))),IF($T485="Sheet Metal Takeoff",IF($R485="SWING",ROUND(SUM($H485)*X$2,2)))),2)</f>
        <v>0</v>
      </c>
      <c r="Y485" s="781">
        <f t="shared" ref="Y485:Y509" si="414">ROUND(SUM(IF($T485="Plumb Takeoff",IF($R485="GRAVE",ROUND(SUM($H485)*Y$3,2))),IF($T485="Pipe Takeoff",IF($R485="GRAVE",ROUND(SUM($H485)*Y$4,2))),IF($T485="Sheet Metal Takeoff",IF($R485="GRAVE",ROUND(SUM($H485)*Y$2,2)))),2)</f>
        <v>0</v>
      </c>
      <c r="Z485" s="781">
        <f t="shared" ref="Z485:Z509" si="415">ROUND(SUM(IF($T485="Plumb Takeoff",IF($R485="SPECIAL",ROUND(SUM($H485)*Z$3,2))),IF($T485="Pipe Takeoff",IF($R485="SPECIAL",ROUND(SUM($H485)*Z$4,2))),IF($T485="Sheet Metal Takeoff",IF($R485="SPECIAL",ROUND(SUM($H485)*Z$2,2)))),2)</f>
        <v>0</v>
      </c>
      <c r="AA485" s="83">
        <f t="shared" si="408"/>
        <v>0</v>
      </c>
      <c r="AB485" s="83">
        <f t="shared" ref="AB485:AB509" si="416">ROUND(IF($Q485="OT",$K485*AB$2,0),2)</f>
        <v>0</v>
      </c>
      <c r="AC485" s="83">
        <f t="shared" ref="AC485:AC509" si="417">ROUND(IF($Q485="DBLT",$K485*AC$2,0),2)</f>
        <v>0</v>
      </c>
      <c r="AD485" s="83">
        <f t="shared" ref="AD485:AD509" si="418">ROUND(IF($R485="SWING",$K485*AD$2,0),2)</f>
        <v>0</v>
      </c>
      <c r="AE485" s="83">
        <f t="shared" ref="AE485:AE509" si="419">ROUND(IF($R485="GRAVE",$K485*AE$2,0),2)</f>
        <v>0</v>
      </c>
      <c r="AF485" s="83">
        <f t="shared" ref="AF485:AF509" si="420">ROUND(IF($R485="SPECIAL",$K485*AF$2,0),2)</f>
        <v>0</v>
      </c>
      <c r="AG485" s="83">
        <f t="shared" ref="AG485:AG509" si="421">SUM(U485:Z485)</f>
        <v>0</v>
      </c>
      <c r="AH485" s="83">
        <f t="shared" ref="AH485:AH509" si="422">SUM(AA485:AF485)</f>
        <v>0</v>
      </c>
      <c r="AI485" s="83">
        <f t="shared" ref="AI485:AI509" si="423">SUM(U485:AF485)</f>
        <v>0</v>
      </c>
      <c r="AJ485" s="718">
        <f t="shared" ref="AJ485:AJ509" si="424">SUM(M485,AI485)</f>
        <v>0</v>
      </c>
      <c r="AL485">
        <f t="shared" ref="AL485:AL509" si="425">SUM(V485:Z485)</f>
        <v>0</v>
      </c>
      <c r="AM485">
        <f t="shared" ref="AM485:AM509" si="426">SUM(AB485:AF485)</f>
        <v>0</v>
      </c>
    </row>
    <row r="486" spans="1:39" ht="15.75" x14ac:dyDescent="0.25">
      <c r="A486" s="561"/>
      <c r="B486" s="561"/>
      <c r="C486" s="561"/>
      <c r="D486" s="672"/>
      <c r="E486" s="209"/>
      <c r="F486" s="209"/>
      <c r="G486" s="209"/>
      <c r="H486" s="176">
        <f t="shared" si="404"/>
        <v>0</v>
      </c>
      <c r="I486" s="209"/>
      <c r="J486" s="209"/>
      <c r="K486" s="176">
        <f t="shared" si="405"/>
        <v>0</v>
      </c>
      <c r="L486" s="209"/>
      <c r="M486" s="177">
        <f t="shared" si="406"/>
        <v>0</v>
      </c>
      <c r="N486" s="1012"/>
      <c r="O486" s="1012"/>
      <c r="P486" s="485"/>
      <c r="Q486" s="778"/>
      <c r="R486" s="778"/>
      <c r="S486" s="785" t="str">
        <f t="shared" si="409"/>
        <v/>
      </c>
      <c r="T486" s="548" t="str">
        <f t="shared" si="407"/>
        <v>Sheet Metal Takeoff</v>
      </c>
      <c r="U486" s="83">
        <f t="shared" si="410"/>
        <v>0</v>
      </c>
      <c r="V486" s="83">
        <f t="shared" si="411"/>
        <v>0</v>
      </c>
      <c r="W486" s="83">
        <f t="shared" si="412"/>
        <v>0</v>
      </c>
      <c r="X486" s="781">
        <f t="shared" si="413"/>
        <v>0</v>
      </c>
      <c r="Y486" s="781">
        <f t="shared" si="414"/>
        <v>0</v>
      </c>
      <c r="Z486" s="781">
        <f t="shared" si="415"/>
        <v>0</v>
      </c>
      <c r="AA486" s="83">
        <f t="shared" si="408"/>
        <v>0</v>
      </c>
      <c r="AB486" s="83">
        <f t="shared" si="416"/>
        <v>0</v>
      </c>
      <c r="AC486" s="83">
        <f t="shared" si="417"/>
        <v>0</v>
      </c>
      <c r="AD486" s="83">
        <f t="shared" si="418"/>
        <v>0</v>
      </c>
      <c r="AE486" s="83">
        <f t="shared" si="419"/>
        <v>0</v>
      </c>
      <c r="AF486" s="83">
        <f t="shared" si="420"/>
        <v>0</v>
      </c>
      <c r="AG486" s="83">
        <f t="shared" si="421"/>
        <v>0</v>
      </c>
      <c r="AH486" s="83">
        <f t="shared" si="422"/>
        <v>0</v>
      </c>
      <c r="AI486" s="83">
        <f t="shared" si="423"/>
        <v>0</v>
      </c>
      <c r="AJ486" s="718">
        <f t="shared" si="424"/>
        <v>0</v>
      </c>
      <c r="AL486">
        <f t="shared" si="425"/>
        <v>0</v>
      </c>
      <c r="AM486">
        <f t="shared" si="426"/>
        <v>0</v>
      </c>
    </row>
    <row r="487" spans="1:39" ht="15.75" x14ac:dyDescent="0.25">
      <c r="A487" s="561"/>
      <c r="B487" s="561"/>
      <c r="C487" s="561"/>
      <c r="D487" s="672"/>
      <c r="E487" s="209"/>
      <c r="F487" s="209"/>
      <c r="G487" s="209"/>
      <c r="H487" s="176">
        <f t="shared" si="404"/>
        <v>0</v>
      </c>
      <c r="I487" s="209"/>
      <c r="J487" s="209"/>
      <c r="K487" s="176">
        <f t="shared" si="405"/>
        <v>0</v>
      </c>
      <c r="L487" s="209"/>
      <c r="M487" s="177">
        <f t="shared" si="406"/>
        <v>0</v>
      </c>
      <c r="N487" s="1012"/>
      <c r="O487" s="1012"/>
      <c r="P487" s="485"/>
      <c r="Q487" s="778"/>
      <c r="R487" s="778"/>
      <c r="S487" s="785" t="str">
        <f t="shared" si="409"/>
        <v/>
      </c>
      <c r="T487" s="548" t="str">
        <f t="shared" si="407"/>
        <v>Sheet Metal Takeoff</v>
      </c>
      <c r="U487" s="83">
        <f t="shared" si="410"/>
        <v>0</v>
      </c>
      <c r="V487" s="83">
        <f t="shared" si="411"/>
        <v>0</v>
      </c>
      <c r="W487" s="83">
        <f t="shared" si="412"/>
        <v>0</v>
      </c>
      <c r="X487" s="781">
        <f t="shared" si="413"/>
        <v>0</v>
      </c>
      <c r="Y487" s="781">
        <f t="shared" si="414"/>
        <v>0</v>
      </c>
      <c r="Z487" s="781">
        <f t="shared" si="415"/>
        <v>0</v>
      </c>
      <c r="AA487" s="83">
        <f t="shared" si="408"/>
        <v>0</v>
      </c>
      <c r="AB487" s="83">
        <f t="shared" si="416"/>
        <v>0</v>
      </c>
      <c r="AC487" s="83">
        <f t="shared" si="417"/>
        <v>0</v>
      </c>
      <c r="AD487" s="83">
        <f t="shared" si="418"/>
        <v>0</v>
      </c>
      <c r="AE487" s="83">
        <f t="shared" si="419"/>
        <v>0</v>
      </c>
      <c r="AF487" s="83">
        <f t="shared" si="420"/>
        <v>0</v>
      </c>
      <c r="AG487" s="83">
        <f t="shared" si="421"/>
        <v>0</v>
      </c>
      <c r="AH487" s="83">
        <f t="shared" si="422"/>
        <v>0</v>
      </c>
      <c r="AI487" s="83">
        <f t="shared" si="423"/>
        <v>0</v>
      </c>
      <c r="AJ487" s="718">
        <f t="shared" si="424"/>
        <v>0</v>
      </c>
      <c r="AL487">
        <f t="shared" si="425"/>
        <v>0</v>
      </c>
      <c r="AM487">
        <f t="shared" si="426"/>
        <v>0</v>
      </c>
    </row>
    <row r="488" spans="1:39" ht="15.75" x14ac:dyDescent="0.25">
      <c r="A488" s="561"/>
      <c r="B488" s="561"/>
      <c r="C488" s="561"/>
      <c r="D488" s="672"/>
      <c r="E488" s="209"/>
      <c r="F488" s="209"/>
      <c r="G488" s="209"/>
      <c r="H488" s="176">
        <f t="shared" si="404"/>
        <v>0</v>
      </c>
      <c r="I488" s="209"/>
      <c r="J488" s="209"/>
      <c r="K488" s="176">
        <f t="shared" si="405"/>
        <v>0</v>
      </c>
      <c r="L488" s="209"/>
      <c r="M488" s="177">
        <f t="shared" si="406"/>
        <v>0</v>
      </c>
      <c r="N488" s="1012"/>
      <c r="O488" s="1012"/>
      <c r="P488" s="485"/>
      <c r="Q488" s="778"/>
      <c r="R488" s="778"/>
      <c r="S488" s="785" t="str">
        <f t="shared" si="409"/>
        <v/>
      </c>
      <c r="T488" s="548" t="str">
        <f t="shared" si="407"/>
        <v>Sheet Metal Takeoff</v>
      </c>
      <c r="U488" s="83">
        <f t="shared" si="410"/>
        <v>0</v>
      </c>
      <c r="V488" s="83">
        <f t="shared" si="411"/>
        <v>0</v>
      </c>
      <c r="W488" s="83">
        <f t="shared" si="412"/>
        <v>0</v>
      </c>
      <c r="X488" s="781">
        <f t="shared" si="413"/>
        <v>0</v>
      </c>
      <c r="Y488" s="781">
        <f t="shared" si="414"/>
        <v>0</v>
      </c>
      <c r="Z488" s="781">
        <f t="shared" si="415"/>
        <v>0</v>
      </c>
      <c r="AA488" s="83">
        <f t="shared" si="408"/>
        <v>0</v>
      </c>
      <c r="AB488" s="83">
        <f t="shared" si="416"/>
        <v>0</v>
      </c>
      <c r="AC488" s="83">
        <f t="shared" si="417"/>
        <v>0</v>
      </c>
      <c r="AD488" s="83">
        <f t="shared" si="418"/>
        <v>0</v>
      </c>
      <c r="AE488" s="83">
        <f t="shared" si="419"/>
        <v>0</v>
      </c>
      <c r="AF488" s="83">
        <f t="shared" si="420"/>
        <v>0</v>
      </c>
      <c r="AG488" s="83">
        <f t="shared" si="421"/>
        <v>0</v>
      </c>
      <c r="AH488" s="83">
        <f t="shared" si="422"/>
        <v>0</v>
      </c>
      <c r="AI488" s="83">
        <f t="shared" si="423"/>
        <v>0</v>
      </c>
      <c r="AJ488" s="718">
        <f t="shared" si="424"/>
        <v>0</v>
      </c>
      <c r="AL488">
        <f t="shared" si="425"/>
        <v>0</v>
      </c>
      <c r="AM488">
        <f t="shared" si="426"/>
        <v>0</v>
      </c>
    </row>
    <row r="489" spans="1:39" ht="15.75" x14ac:dyDescent="0.25">
      <c r="A489" s="561"/>
      <c r="B489" s="561"/>
      <c r="C489" s="561"/>
      <c r="D489" s="672"/>
      <c r="E489" s="209"/>
      <c r="F489" s="209"/>
      <c r="G489" s="209"/>
      <c r="H489" s="176">
        <f t="shared" si="404"/>
        <v>0</v>
      </c>
      <c r="I489" s="209"/>
      <c r="J489" s="209"/>
      <c r="K489" s="176">
        <f t="shared" si="405"/>
        <v>0</v>
      </c>
      <c r="L489" s="209"/>
      <c r="M489" s="177">
        <f t="shared" si="406"/>
        <v>0</v>
      </c>
      <c r="N489" s="1012"/>
      <c r="O489" s="1012"/>
      <c r="P489" s="485"/>
      <c r="Q489" s="778"/>
      <c r="R489" s="778"/>
      <c r="S489" s="785" t="str">
        <f t="shared" si="409"/>
        <v/>
      </c>
      <c r="T489" s="548" t="str">
        <f t="shared" si="407"/>
        <v>Sheet Metal Takeoff</v>
      </c>
      <c r="U489" s="83">
        <f t="shared" si="410"/>
        <v>0</v>
      </c>
      <c r="V489" s="83">
        <f t="shared" si="411"/>
        <v>0</v>
      </c>
      <c r="W489" s="83">
        <f t="shared" si="412"/>
        <v>0</v>
      </c>
      <c r="X489" s="781">
        <f t="shared" si="413"/>
        <v>0</v>
      </c>
      <c r="Y489" s="781">
        <f t="shared" si="414"/>
        <v>0</v>
      </c>
      <c r="Z489" s="781">
        <f t="shared" si="415"/>
        <v>0</v>
      </c>
      <c r="AA489" s="83">
        <f t="shared" si="408"/>
        <v>0</v>
      </c>
      <c r="AB489" s="83">
        <f t="shared" si="416"/>
        <v>0</v>
      </c>
      <c r="AC489" s="83">
        <f t="shared" si="417"/>
        <v>0</v>
      </c>
      <c r="AD489" s="83">
        <f t="shared" si="418"/>
        <v>0</v>
      </c>
      <c r="AE489" s="83">
        <f t="shared" si="419"/>
        <v>0</v>
      </c>
      <c r="AF489" s="83">
        <f t="shared" si="420"/>
        <v>0</v>
      </c>
      <c r="AG489" s="83">
        <f t="shared" si="421"/>
        <v>0</v>
      </c>
      <c r="AH489" s="83">
        <f t="shared" si="422"/>
        <v>0</v>
      </c>
      <c r="AI489" s="83">
        <f t="shared" si="423"/>
        <v>0</v>
      </c>
      <c r="AJ489" s="718">
        <f t="shared" si="424"/>
        <v>0</v>
      </c>
      <c r="AL489">
        <f t="shared" si="425"/>
        <v>0</v>
      </c>
      <c r="AM489">
        <f t="shared" si="426"/>
        <v>0</v>
      </c>
    </row>
    <row r="490" spans="1:39" ht="15.75" x14ac:dyDescent="0.25">
      <c r="A490" s="561"/>
      <c r="B490" s="561"/>
      <c r="C490" s="561"/>
      <c r="D490" s="672"/>
      <c r="E490" s="209"/>
      <c r="F490" s="209"/>
      <c r="G490" s="209"/>
      <c r="H490" s="176">
        <f t="shared" si="404"/>
        <v>0</v>
      </c>
      <c r="I490" s="209"/>
      <c r="J490" s="209"/>
      <c r="K490" s="176">
        <f t="shared" si="405"/>
        <v>0</v>
      </c>
      <c r="L490" s="209"/>
      <c r="M490" s="177">
        <f t="shared" si="406"/>
        <v>0</v>
      </c>
      <c r="N490" s="1012"/>
      <c r="O490" s="1012"/>
      <c r="P490" s="485"/>
      <c r="Q490" s="778"/>
      <c r="R490" s="778"/>
      <c r="S490" s="785" t="str">
        <f t="shared" si="409"/>
        <v/>
      </c>
      <c r="T490" s="548" t="str">
        <f t="shared" si="407"/>
        <v>Sheet Metal Takeoff</v>
      </c>
      <c r="U490" s="83">
        <f t="shared" si="410"/>
        <v>0</v>
      </c>
      <c r="V490" s="83">
        <f t="shared" si="411"/>
        <v>0</v>
      </c>
      <c r="W490" s="83">
        <f t="shared" si="412"/>
        <v>0</v>
      </c>
      <c r="X490" s="781">
        <f t="shared" si="413"/>
        <v>0</v>
      </c>
      <c r="Y490" s="781">
        <f t="shared" si="414"/>
        <v>0</v>
      </c>
      <c r="Z490" s="781">
        <f t="shared" si="415"/>
        <v>0</v>
      </c>
      <c r="AA490" s="83">
        <f t="shared" si="408"/>
        <v>0</v>
      </c>
      <c r="AB490" s="83">
        <f t="shared" si="416"/>
        <v>0</v>
      </c>
      <c r="AC490" s="83">
        <f t="shared" si="417"/>
        <v>0</v>
      </c>
      <c r="AD490" s="83">
        <f t="shared" si="418"/>
        <v>0</v>
      </c>
      <c r="AE490" s="83">
        <f t="shared" si="419"/>
        <v>0</v>
      </c>
      <c r="AF490" s="83">
        <f t="shared" si="420"/>
        <v>0</v>
      </c>
      <c r="AG490" s="83">
        <f t="shared" si="421"/>
        <v>0</v>
      </c>
      <c r="AH490" s="83">
        <f t="shared" si="422"/>
        <v>0</v>
      </c>
      <c r="AI490" s="83">
        <f t="shared" si="423"/>
        <v>0</v>
      </c>
      <c r="AJ490" s="718">
        <f t="shared" si="424"/>
        <v>0</v>
      </c>
      <c r="AL490">
        <f t="shared" si="425"/>
        <v>0</v>
      </c>
      <c r="AM490">
        <f t="shared" si="426"/>
        <v>0</v>
      </c>
    </row>
    <row r="491" spans="1:39" ht="15.75" x14ac:dyDescent="0.25">
      <c r="A491" s="561"/>
      <c r="B491" s="561"/>
      <c r="C491" s="561"/>
      <c r="D491" s="672"/>
      <c r="E491" s="209"/>
      <c r="F491" s="209"/>
      <c r="G491" s="209"/>
      <c r="H491" s="176">
        <f t="shared" si="404"/>
        <v>0</v>
      </c>
      <c r="I491" s="209"/>
      <c r="J491" s="209"/>
      <c r="K491" s="176">
        <f t="shared" si="405"/>
        <v>0</v>
      </c>
      <c r="L491" s="209"/>
      <c r="M491" s="177">
        <f t="shared" si="406"/>
        <v>0</v>
      </c>
      <c r="N491" s="1012"/>
      <c r="O491" s="1012"/>
      <c r="P491" s="485"/>
      <c r="Q491" s="778"/>
      <c r="R491" s="778"/>
      <c r="S491" s="785" t="str">
        <f t="shared" si="409"/>
        <v/>
      </c>
      <c r="T491" s="548" t="str">
        <f t="shared" si="407"/>
        <v>Sheet Metal Takeoff</v>
      </c>
      <c r="U491" s="83">
        <f t="shared" si="410"/>
        <v>0</v>
      </c>
      <c r="V491" s="83">
        <f t="shared" si="411"/>
        <v>0</v>
      </c>
      <c r="W491" s="83">
        <f t="shared" si="412"/>
        <v>0</v>
      </c>
      <c r="X491" s="781">
        <f t="shared" si="413"/>
        <v>0</v>
      </c>
      <c r="Y491" s="781">
        <f t="shared" si="414"/>
        <v>0</v>
      </c>
      <c r="Z491" s="781">
        <f t="shared" si="415"/>
        <v>0</v>
      </c>
      <c r="AA491" s="83">
        <f t="shared" si="408"/>
        <v>0</v>
      </c>
      <c r="AB491" s="83">
        <f t="shared" si="416"/>
        <v>0</v>
      </c>
      <c r="AC491" s="83">
        <f t="shared" si="417"/>
        <v>0</v>
      </c>
      <c r="AD491" s="83">
        <f t="shared" si="418"/>
        <v>0</v>
      </c>
      <c r="AE491" s="83">
        <f t="shared" si="419"/>
        <v>0</v>
      </c>
      <c r="AF491" s="83">
        <f t="shared" si="420"/>
        <v>0</v>
      </c>
      <c r="AG491" s="83">
        <f t="shared" si="421"/>
        <v>0</v>
      </c>
      <c r="AH491" s="83">
        <f t="shared" si="422"/>
        <v>0</v>
      </c>
      <c r="AI491" s="83">
        <f t="shared" si="423"/>
        <v>0</v>
      </c>
      <c r="AJ491" s="718">
        <f t="shared" si="424"/>
        <v>0</v>
      </c>
      <c r="AL491">
        <f t="shared" si="425"/>
        <v>0</v>
      </c>
      <c r="AM491">
        <f t="shared" si="426"/>
        <v>0</v>
      </c>
    </row>
    <row r="492" spans="1:39" ht="15.75" x14ac:dyDescent="0.25">
      <c r="A492" s="561"/>
      <c r="B492" s="561"/>
      <c r="C492" s="561"/>
      <c r="D492" s="672"/>
      <c r="E492" s="209"/>
      <c r="F492" s="209"/>
      <c r="G492" s="209"/>
      <c r="H492" s="176">
        <f t="shared" si="404"/>
        <v>0</v>
      </c>
      <c r="I492" s="209"/>
      <c r="J492" s="209"/>
      <c r="K492" s="176">
        <f t="shared" si="405"/>
        <v>0</v>
      </c>
      <c r="L492" s="209"/>
      <c r="M492" s="177">
        <f t="shared" si="406"/>
        <v>0</v>
      </c>
      <c r="N492" s="1012"/>
      <c r="O492" s="1012"/>
      <c r="P492" s="485"/>
      <c r="Q492" s="778"/>
      <c r="R492" s="778"/>
      <c r="S492" s="785" t="str">
        <f t="shared" si="409"/>
        <v/>
      </c>
      <c r="T492" s="548" t="str">
        <f t="shared" si="407"/>
        <v>Sheet Metal Takeoff</v>
      </c>
      <c r="U492" s="83">
        <f t="shared" si="410"/>
        <v>0</v>
      </c>
      <c r="V492" s="83">
        <f t="shared" si="411"/>
        <v>0</v>
      </c>
      <c r="W492" s="83">
        <f t="shared" si="412"/>
        <v>0</v>
      </c>
      <c r="X492" s="781">
        <f t="shared" si="413"/>
        <v>0</v>
      </c>
      <c r="Y492" s="781">
        <f t="shared" si="414"/>
        <v>0</v>
      </c>
      <c r="Z492" s="781">
        <f t="shared" si="415"/>
        <v>0</v>
      </c>
      <c r="AA492" s="83">
        <f t="shared" si="408"/>
        <v>0</v>
      </c>
      <c r="AB492" s="83">
        <f t="shared" si="416"/>
        <v>0</v>
      </c>
      <c r="AC492" s="83">
        <f t="shared" si="417"/>
        <v>0</v>
      </c>
      <c r="AD492" s="83">
        <f t="shared" si="418"/>
        <v>0</v>
      </c>
      <c r="AE492" s="83">
        <f t="shared" si="419"/>
        <v>0</v>
      </c>
      <c r="AF492" s="83">
        <f t="shared" si="420"/>
        <v>0</v>
      </c>
      <c r="AG492" s="83">
        <f t="shared" si="421"/>
        <v>0</v>
      </c>
      <c r="AH492" s="83">
        <f t="shared" si="422"/>
        <v>0</v>
      </c>
      <c r="AI492" s="83">
        <f t="shared" si="423"/>
        <v>0</v>
      </c>
      <c r="AJ492" s="718">
        <f t="shared" si="424"/>
        <v>0</v>
      </c>
      <c r="AL492">
        <f t="shared" si="425"/>
        <v>0</v>
      </c>
      <c r="AM492">
        <f t="shared" si="426"/>
        <v>0</v>
      </c>
    </row>
    <row r="493" spans="1:39" ht="15.75" x14ac:dyDescent="0.25">
      <c r="A493" s="561"/>
      <c r="B493" s="561"/>
      <c r="C493" s="561"/>
      <c r="D493" s="672"/>
      <c r="E493" s="209"/>
      <c r="F493" s="209"/>
      <c r="G493" s="209"/>
      <c r="H493" s="176">
        <f t="shared" si="404"/>
        <v>0</v>
      </c>
      <c r="I493" s="209"/>
      <c r="J493" s="209"/>
      <c r="K493" s="176">
        <f t="shared" si="405"/>
        <v>0</v>
      </c>
      <c r="L493" s="209"/>
      <c r="M493" s="177">
        <f t="shared" si="406"/>
        <v>0</v>
      </c>
      <c r="N493" s="1012"/>
      <c r="O493" s="1012"/>
      <c r="P493" s="485"/>
      <c r="Q493" s="778"/>
      <c r="R493" s="778"/>
      <c r="S493" s="785" t="str">
        <f t="shared" si="409"/>
        <v/>
      </c>
      <c r="T493" s="548" t="str">
        <f t="shared" si="407"/>
        <v>Sheet Metal Takeoff</v>
      </c>
      <c r="U493" s="83">
        <f t="shared" si="410"/>
        <v>0</v>
      </c>
      <c r="V493" s="83">
        <f t="shared" si="411"/>
        <v>0</v>
      </c>
      <c r="W493" s="83">
        <f t="shared" si="412"/>
        <v>0</v>
      </c>
      <c r="X493" s="781">
        <f t="shared" si="413"/>
        <v>0</v>
      </c>
      <c r="Y493" s="781">
        <f t="shared" si="414"/>
        <v>0</v>
      </c>
      <c r="Z493" s="781">
        <f t="shared" si="415"/>
        <v>0</v>
      </c>
      <c r="AA493" s="83">
        <f t="shared" si="408"/>
        <v>0</v>
      </c>
      <c r="AB493" s="83">
        <f t="shared" si="416"/>
        <v>0</v>
      </c>
      <c r="AC493" s="83">
        <f t="shared" si="417"/>
        <v>0</v>
      </c>
      <c r="AD493" s="83">
        <f t="shared" si="418"/>
        <v>0</v>
      </c>
      <c r="AE493" s="83">
        <f t="shared" si="419"/>
        <v>0</v>
      </c>
      <c r="AF493" s="83">
        <f t="shared" si="420"/>
        <v>0</v>
      </c>
      <c r="AG493" s="83">
        <f t="shared" si="421"/>
        <v>0</v>
      </c>
      <c r="AH493" s="83">
        <f t="shared" si="422"/>
        <v>0</v>
      </c>
      <c r="AI493" s="83">
        <f t="shared" si="423"/>
        <v>0</v>
      </c>
      <c r="AJ493" s="718">
        <f t="shared" si="424"/>
        <v>0</v>
      </c>
      <c r="AL493">
        <f t="shared" si="425"/>
        <v>0</v>
      </c>
      <c r="AM493">
        <f t="shared" si="426"/>
        <v>0</v>
      </c>
    </row>
    <row r="494" spans="1:39" ht="15.75" x14ac:dyDescent="0.25">
      <c r="A494" s="561"/>
      <c r="B494" s="561"/>
      <c r="C494" s="561"/>
      <c r="D494" s="672"/>
      <c r="E494" s="209"/>
      <c r="F494" s="209"/>
      <c r="G494" s="209"/>
      <c r="H494" s="176">
        <f t="shared" si="404"/>
        <v>0</v>
      </c>
      <c r="I494" s="209"/>
      <c r="J494" s="209"/>
      <c r="K494" s="176">
        <f t="shared" si="405"/>
        <v>0</v>
      </c>
      <c r="L494" s="209"/>
      <c r="M494" s="177">
        <f t="shared" si="406"/>
        <v>0</v>
      </c>
      <c r="N494" s="1012"/>
      <c r="O494" s="1012"/>
      <c r="P494" s="485"/>
      <c r="Q494" s="778"/>
      <c r="R494" s="778"/>
      <c r="S494" s="785" t="str">
        <f t="shared" si="409"/>
        <v/>
      </c>
      <c r="T494" s="548" t="str">
        <f t="shared" si="407"/>
        <v>Sheet Metal Takeoff</v>
      </c>
      <c r="U494" s="83">
        <f t="shared" si="410"/>
        <v>0</v>
      </c>
      <c r="V494" s="83">
        <f t="shared" si="411"/>
        <v>0</v>
      </c>
      <c r="W494" s="83">
        <f t="shared" si="412"/>
        <v>0</v>
      </c>
      <c r="X494" s="781">
        <f t="shared" si="413"/>
        <v>0</v>
      </c>
      <c r="Y494" s="781">
        <f t="shared" si="414"/>
        <v>0</v>
      </c>
      <c r="Z494" s="781">
        <f t="shared" si="415"/>
        <v>0</v>
      </c>
      <c r="AA494" s="83">
        <f t="shared" si="408"/>
        <v>0</v>
      </c>
      <c r="AB494" s="83">
        <f t="shared" si="416"/>
        <v>0</v>
      </c>
      <c r="AC494" s="83">
        <f t="shared" si="417"/>
        <v>0</v>
      </c>
      <c r="AD494" s="83">
        <f t="shared" si="418"/>
        <v>0</v>
      </c>
      <c r="AE494" s="83">
        <f t="shared" si="419"/>
        <v>0</v>
      </c>
      <c r="AF494" s="83">
        <f t="shared" si="420"/>
        <v>0</v>
      </c>
      <c r="AG494" s="83">
        <f t="shared" si="421"/>
        <v>0</v>
      </c>
      <c r="AH494" s="83">
        <f t="shared" si="422"/>
        <v>0</v>
      </c>
      <c r="AI494" s="83">
        <f t="shared" si="423"/>
        <v>0</v>
      </c>
      <c r="AJ494" s="718">
        <f t="shared" si="424"/>
        <v>0</v>
      </c>
      <c r="AL494">
        <f t="shared" si="425"/>
        <v>0</v>
      </c>
      <c r="AM494">
        <f t="shared" si="426"/>
        <v>0</v>
      </c>
    </row>
    <row r="495" spans="1:39" ht="15.75" x14ac:dyDescent="0.25">
      <c r="A495" s="561"/>
      <c r="B495" s="561"/>
      <c r="C495" s="561"/>
      <c r="D495" s="672"/>
      <c r="E495" s="209"/>
      <c r="F495" s="209"/>
      <c r="G495" s="209"/>
      <c r="H495" s="176">
        <f t="shared" si="404"/>
        <v>0</v>
      </c>
      <c r="I495" s="209"/>
      <c r="J495" s="209"/>
      <c r="K495" s="176">
        <f t="shared" si="405"/>
        <v>0</v>
      </c>
      <c r="L495" s="209"/>
      <c r="M495" s="177">
        <f t="shared" si="406"/>
        <v>0</v>
      </c>
      <c r="N495" s="1012"/>
      <c r="O495" s="1012"/>
      <c r="P495" s="485"/>
      <c r="Q495" s="778"/>
      <c r="R495" s="778"/>
      <c r="S495" s="785" t="str">
        <f t="shared" si="409"/>
        <v/>
      </c>
      <c r="T495" s="548" t="str">
        <f t="shared" si="407"/>
        <v>Sheet Metal Takeoff</v>
      </c>
      <c r="U495" s="83">
        <f t="shared" si="410"/>
        <v>0</v>
      </c>
      <c r="V495" s="83">
        <f t="shared" si="411"/>
        <v>0</v>
      </c>
      <c r="W495" s="83">
        <f t="shared" si="412"/>
        <v>0</v>
      </c>
      <c r="X495" s="781">
        <f t="shared" si="413"/>
        <v>0</v>
      </c>
      <c r="Y495" s="781">
        <f t="shared" si="414"/>
        <v>0</v>
      </c>
      <c r="Z495" s="781">
        <f t="shared" si="415"/>
        <v>0</v>
      </c>
      <c r="AA495" s="83">
        <f t="shared" si="408"/>
        <v>0</v>
      </c>
      <c r="AB495" s="83">
        <f t="shared" si="416"/>
        <v>0</v>
      </c>
      <c r="AC495" s="83">
        <f t="shared" si="417"/>
        <v>0</v>
      </c>
      <c r="AD495" s="83">
        <f t="shared" si="418"/>
        <v>0</v>
      </c>
      <c r="AE495" s="83">
        <f t="shared" si="419"/>
        <v>0</v>
      </c>
      <c r="AF495" s="83">
        <f t="shared" si="420"/>
        <v>0</v>
      </c>
      <c r="AG495" s="83">
        <f t="shared" si="421"/>
        <v>0</v>
      </c>
      <c r="AH495" s="83">
        <f t="shared" si="422"/>
        <v>0</v>
      </c>
      <c r="AI495" s="83">
        <f t="shared" si="423"/>
        <v>0</v>
      </c>
      <c r="AJ495" s="718">
        <f t="shared" si="424"/>
        <v>0</v>
      </c>
      <c r="AL495">
        <f t="shared" si="425"/>
        <v>0</v>
      </c>
      <c r="AM495">
        <f t="shared" si="426"/>
        <v>0</v>
      </c>
    </row>
    <row r="496" spans="1:39" ht="15.75" x14ac:dyDescent="0.25">
      <c r="A496" s="561"/>
      <c r="B496" s="561"/>
      <c r="C496" s="561"/>
      <c r="D496" s="672"/>
      <c r="E496" s="209"/>
      <c r="F496" s="209"/>
      <c r="G496" s="209"/>
      <c r="H496" s="176">
        <f t="shared" si="404"/>
        <v>0</v>
      </c>
      <c r="I496" s="209"/>
      <c r="J496" s="209"/>
      <c r="K496" s="176">
        <f t="shared" si="405"/>
        <v>0</v>
      </c>
      <c r="L496" s="209"/>
      <c r="M496" s="177">
        <f t="shared" si="406"/>
        <v>0</v>
      </c>
      <c r="N496" s="1012"/>
      <c r="O496" s="1012"/>
      <c r="P496" s="485"/>
      <c r="Q496" s="778"/>
      <c r="R496" s="778"/>
      <c r="S496" s="785" t="str">
        <f t="shared" si="409"/>
        <v/>
      </c>
      <c r="T496" s="548" t="str">
        <f t="shared" si="407"/>
        <v>Sheet Metal Takeoff</v>
      </c>
      <c r="U496" s="83">
        <f t="shared" si="410"/>
        <v>0</v>
      </c>
      <c r="V496" s="83">
        <f t="shared" si="411"/>
        <v>0</v>
      </c>
      <c r="W496" s="83">
        <f t="shared" si="412"/>
        <v>0</v>
      </c>
      <c r="X496" s="781">
        <f t="shared" si="413"/>
        <v>0</v>
      </c>
      <c r="Y496" s="781">
        <f t="shared" si="414"/>
        <v>0</v>
      </c>
      <c r="Z496" s="781">
        <f t="shared" si="415"/>
        <v>0</v>
      </c>
      <c r="AA496" s="83">
        <f t="shared" si="408"/>
        <v>0</v>
      </c>
      <c r="AB496" s="83">
        <f t="shared" si="416"/>
        <v>0</v>
      </c>
      <c r="AC496" s="83">
        <f t="shared" si="417"/>
        <v>0</v>
      </c>
      <c r="AD496" s="83">
        <f t="shared" si="418"/>
        <v>0</v>
      </c>
      <c r="AE496" s="83">
        <f t="shared" si="419"/>
        <v>0</v>
      </c>
      <c r="AF496" s="83">
        <f t="shared" si="420"/>
        <v>0</v>
      </c>
      <c r="AG496" s="83">
        <f t="shared" si="421"/>
        <v>0</v>
      </c>
      <c r="AH496" s="83">
        <f t="shared" si="422"/>
        <v>0</v>
      </c>
      <c r="AI496" s="83">
        <f t="shared" si="423"/>
        <v>0</v>
      </c>
      <c r="AJ496" s="718">
        <f t="shared" si="424"/>
        <v>0</v>
      </c>
      <c r="AL496">
        <f t="shared" si="425"/>
        <v>0</v>
      </c>
      <c r="AM496">
        <f t="shared" si="426"/>
        <v>0</v>
      </c>
    </row>
    <row r="497" spans="1:39" ht="15.75" x14ac:dyDescent="0.25">
      <c r="A497" s="561"/>
      <c r="B497" s="561"/>
      <c r="C497" s="561"/>
      <c r="D497" s="672"/>
      <c r="E497" s="209"/>
      <c r="F497" s="209"/>
      <c r="G497" s="209"/>
      <c r="H497" s="176">
        <f t="shared" si="404"/>
        <v>0</v>
      </c>
      <c r="I497" s="209"/>
      <c r="J497" s="209"/>
      <c r="K497" s="176">
        <f t="shared" si="405"/>
        <v>0</v>
      </c>
      <c r="L497" s="209"/>
      <c r="M497" s="177">
        <f t="shared" si="406"/>
        <v>0</v>
      </c>
      <c r="N497" s="1012"/>
      <c r="O497" s="1012"/>
      <c r="P497" s="485"/>
      <c r="Q497" s="778"/>
      <c r="R497" s="778"/>
      <c r="S497" s="785" t="str">
        <f t="shared" si="409"/>
        <v/>
      </c>
      <c r="T497" s="548" t="str">
        <f t="shared" si="407"/>
        <v>Sheet Metal Takeoff</v>
      </c>
      <c r="U497" s="83">
        <f t="shared" si="410"/>
        <v>0</v>
      </c>
      <c r="V497" s="83">
        <f t="shared" si="411"/>
        <v>0</v>
      </c>
      <c r="W497" s="83">
        <f t="shared" si="412"/>
        <v>0</v>
      </c>
      <c r="X497" s="781">
        <f t="shared" si="413"/>
        <v>0</v>
      </c>
      <c r="Y497" s="781">
        <f t="shared" si="414"/>
        <v>0</v>
      </c>
      <c r="Z497" s="781">
        <f t="shared" si="415"/>
        <v>0</v>
      </c>
      <c r="AA497" s="83">
        <f t="shared" si="408"/>
        <v>0</v>
      </c>
      <c r="AB497" s="83">
        <f t="shared" si="416"/>
        <v>0</v>
      </c>
      <c r="AC497" s="83">
        <f t="shared" si="417"/>
        <v>0</v>
      </c>
      <c r="AD497" s="83">
        <f t="shared" si="418"/>
        <v>0</v>
      </c>
      <c r="AE497" s="83">
        <f t="shared" si="419"/>
        <v>0</v>
      </c>
      <c r="AF497" s="83">
        <f t="shared" si="420"/>
        <v>0</v>
      </c>
      <c r="AG497" s="83">
        <f t="shared" si="421"/>
        <v>0</v>
      </c>
      <c r="AH497" s="83">
        <f t="shared" si="422"/>
        <v>0</v>
      </c>
      <c r="AI497" s="83">
        <f t="shared" si="423"/>
        <v>0</v>
      </c>
      <c r="AJ497" s="718">
        <f t="shared" si="424"/>
        <v>0</v>
      </c>
      <c r="AL497">
        <f t="shared" si="425"/>
        <v>0</v>
      </c>
      <c r="AM497">
        <f t="shared" si="426"/>
        <v>0</v>
      </c>
    </row>
    <row r="498" spans="1:39" ht="15.75" x14ac:dyDescent="0.25">
      <c r="A498" s="561"/>
      <c r="B498" s="561"/>
      <c r="C498" s="561"/>
      <c r="D498" s="672"/>
      <c r="E498" s="209"/>
      <c r="F498" s="209"/>
      <c r="G498" s="209"/>
      <c r="H498" s="176">
        <f t="shared" si="404"/>
        <v>0</v>
      </c>
      <c r="I498" s="209"/>
      <c r="J498" s="209"/>
      <c r="K498" s="176">
        <f t="shared" si="405"/>
        <v>0</v>
      </c>
      <c r="L498" s="209"/>
      <c r="M498" s="177">
        <f t="shared" si="406"/>
        <v>0</v>
      </c>
      <c r="N498" s="1012"/>
      <c r="O498" s="1012"/>
      <c r="P498" s="485"/>
      <c r="Q498" s="778"/>
      <c r="R498" s="778"/>
      <c r="S498" s="785" t="str">
        <f t="shared" si="409"/>
        <v/>
      </c>
      <c r="T498" s="548" t="str">
        <f t="shared" si="407"/>
        <v>Sheet Metal Takeoff</v>
      </c>
      <c r="U498" s="83">
        <f t="shared" si="410"/>
        <v>0</v>
      </c>
      <c r="V498" s="83">
        <f t="shared" si="411"/>
        <v>0</v>
      </c>
      <c r="W498" s="83">
        <f t="shared" si="412"/>
        <v>0</v>
      </c>
      <c r="X498" s="781">
        <f t="shared" si="413"/>
        <v>0</v>
      </c>
      <c r="Y498" s="781">
        <f t="shared" si="414"/>
        <v>0</v>
      </c>
      <c r="Z498" s="781">
        <f t="shared" si="415"/>
        <v>0</v>
      </c>
      <c r="AA498" s="83">
        <f t="shared" si="408"/>
        <v>0</v>
      </c>
      <c r="AB498" s="83">
        <f t="shared" si="416"/>
        <v>0</v>
      </c>
      <c r="AC498" s="83">
        <f t="shared" si="417"/>
        <v>0</v>
      </c>
      <c r="AD498" s="83">
        <f t="shared" si="418"/>
        <v>0</v>
      </c>
      <c r="AE498" s="83">
        <f t="shared" si="419"/>
        <v>0</v>
      </c>
      <c r="AF498" s="83">
        <f t="shared" si="420"/>
        <v>0</v>
      </c>
      <c r="AG498" s="83">
        <f t="shared" si="421"/>
        <v>0</v>
      </c>
      <c r="AH498" s="83">
        <f t="shared" si="422"/>
        <v>0</v>
      </c>
      <c r="AI498" s="83">
        <f t="shared" si="423"/>
        <v>0</v>
      </c>
      <c r="AJ498" s="718">
        <f t="shared" si="424"/>
        <v>0</v>
      </c>
      <c r="AL498">
        <f t="shared" si="425"/>
        <v>0</v>
      </c>
      <c r="AM498">
        <f t="shared" si="426"/>
        <v>0</v>
      </c>
    </row>
    <row r="499" spans="1:39" ht="15.75" x14ac:dyDescent="0.25">
      <c r="A499" s="561"/>
      <c r="B499" s="561"/>
      <c r="C499" s="561"/>
      <c r="D499" s="672"/>
      <c r="E499" s="209"/>
      <c r="F499" s="209"/>
      <c r="G499" s="209"/>
      <c r="H499" s="176">
        <f t="shared" si="404"/>
        <v>0</v>
      </c>
      <c r="I499" s="209"/>
      <c r="J499" s="209"/>
      <c r="K499" s="176">
        <f t="shared" si="405"/>
        <v>0</v>
      </c>
      <c r="L499" s="209"/>
      <c r="M499" s="177">
        <f t="shared" si="406"/>
        <v>0</v>
      </c>
      <c r="N499" s="1012"/>
      <c r="O499" s="1012"/>
      <c r="P499" s="485"/>
      <c r="Q499" s="778"/>
      <c r="R499" s="778"/>
      <c r="S499" s="785" t="str">
        <f t="shared" si="409"/>
        <v/>
      </c>
      <c r="T499" s="548" t="str">
        <f t="shared" si="407"/>
        <v>Sheet Metal Takeoff</v>
      </c>
      <c r="U499" s="83">
        <f t="shared" si="410"/>
        <v>0</v>
      </c>
      <c r="V499" s="83">
        <f t="shared" si="411"/>
        <v>0</v>
      </c>
      <c r="W499" s="83">
        <f t="shared" si="412"/>
        <v>0</v>
      </c>
      <c r="X499" s="781">
        <f t="shared" si="413"/>
        <v>0</v>
      </c>
      <c r="Y499" s="781">
        <f t="shared" si="414"/>
        <v>0</v>
      </c>
      <c r="Z499" s="781">
        <f t="shared" si="415"/>
        <v>0</v>
      </c>
      <c r="AA499" s="83">
        <f t="shared" si="408"/>
        <v>0</v>
      </c>
      <c r="AB499" s="83">
        <f t="shared" si="416"/>
        <v>0</v>
      </c>
      <c r="AC499" s="83">
        <f t="shared" si="417"/>
        <v>0</v>
      </c>
      <c r="AD499" s="83">
        <f t="shared" si="418"/>
        <v>0</v>
      </c>
      <c r="AE499" s="83">
        <f t="shared" si="419"/>
        <v>0</v>
      </c>
      <c r="AF499" s="83">
        <f t="shared" si="420"/>
        <v>0</v>
      </c>
      <c r="AG499" s="83">
        <f t="shared" si="421"/>
        <v>0</v>
      </c>
      <c r="AH499" s="83">
        <f t="shared" si="422"/>
        <v>0</v>
      </c>
      <c r="AI499" s="83">
        <f t="shared" si="423"/>
        <v>0</v>
      </c>
      <c r="AJ499" s="718">
        <f t="shared" si="424"/>
        <v>0</v>
      </c>
      <c r="AL499">
        <f t="shared" si="425"/>
        <v>0</v>
      </c>
      <c r="AM499">
        <f t="shared" si="426"/>
        <v>0</v>
      </c>
    </row>
    <row r="500" spans="1:39" ht="15.75" x14ac:dyDescent="0.25">
      <c r="A500" s="561"/>
      <c r="B500" s="561"/>
      <c r="C500" s="561"/>
      <c r="D500" s="672"/>
      <c r="E500" s="209"/>
      <c r="F500" s="209"/>
      <c r="G500" s="209"/>
      <c r="H500" s="176">
        <f t="shared" si="404"/>
        <v>0</v>
      </c>
      <c r="I500" s="209"/>
      <c r="J500" s="209"/>
      <c r="K500" s="176">
        <f t="shared" si="405"/>
        <v>0</v>
      </c>
      <c r="L500" s="209"/>
      <c r="M500" s="177">
        <f t="shared" si="406"/>
        <v>0</v>
      </c>
      <c r="N500" s="1012"/>
      <c r="O500" s="1012"/>
      <c r="P500" s="485"/>
      <c r="Q500" s="778"/>
      <c r="R500" s="778"/>
      <c r="S500" s="785" t="str">
        <f t="shared" si="409"/>
        <v/>
      </c>
      <c r="T500" s="548" t="str">
        <f t="shared" si="407"/>
        <v>Sheet Metal Takeoff</v>
      </c>
      <c r="U500" s="83">
        <f t="shared" si="410"/>
        <v>0</v>
      </c>
      <c r="V500" s="83">
        <f t="shared" si="411"/>
        <v>0</v>
      </c>
      <c r="W500" s="83">
        <f t="shared" si="412"/>
        <v>0</v>
      </c>
      <c r="X500" s="781">
        <f t="shared" si="413"/>
        <v>0</v>
      </c>
      <c r="Y500" s="781">
        <f t="shared" si="414"/>
        <v>0</v>
      </c>
      <c r="Z500" s="781">
        <f t="shared" si="415"/>
        <v>0</v>
      </c>
      <c r="AA500" s="83">
        <f t="shared" si="408"/>
        <v>0</v>
      </c>
      <c r="AB500" s="83">
        <f t="shared" si="416"/>
        <v>0</v>
      </c>
      <c r="AC500" s="83">
        <f t="shared" si="417"/>
        <v>0</v>
      </c>
      <c r="AD500" s="83">
        <f t="shared" si="418"/>
        <v>0</v>
      </c>
      <c r="AE500" s="83">
        <f t="shared" si="419"/>
        <v>0</v>
      </c>
      <c r="AF500" s="83">
        <f t="shared" si="420"/>
        <v>0</v>
      </c>
      <c r="AG500" s="83">
        <f t="shared" si="421"/>
        <v>0</v>
      </c>
      <c r="AH500" s="83">
        <f t="shared" si="422"/>
        <v>0</v>
      </c>
      <c r="AI500" s="83">
        <f t="shared" si="423"/>
        <v>0</v>
      </c>
      <c r="AJ500" s="718">
        <f t="shared" si="424"/>
        <v>0</v>
      </c>
      <c r="AL500">
        <f t="shared" si="425"/>
        <v>0</v>
      </c>
      <c r="AM500">
        <f t="shared" si="426"/>
        <v>0</v>
      </c>
    </row>
    <row r="501" spans="1:39" ht="15.75" x14ac:dyDescent="0.25">
      <c r="A501" s="561"/>
      <c r="B501" s="561"/>
      <c r="C501" s="561"/>
      <c r="D501" s="672"/>
      <c r="E501" s="209"/>
      <c r="F501" s="209"/>
      <c r="G501" s="209"/>
      <c r="H501" s="176">
        <f t="shared" si="404"/>
        <v>0</v>
      </c>
      <c r="I501" s="209"/>
      <c r="J501" s="209"/>
      <c r="K501" s="176">
        <f t="shared" si="405"/>
        <v>0</v>
      </c>
      <c r="L501" s="209"/>
      <c r="M501" s="177">
        <f t="shared" si="406"/>
        <v>0</v>
      </c>
      <c r="N501" s="1012"/>
      <c r="O501" s="1012"/>
      <c r="P501" s="485"/>
      <c r="Q501" s="778"/>
      <c r="R501" s="778"/>
      <c r="S501" s="785" t="str">
        <f t="shared" si="409"/>
        <v/>
      </c>
      <c r="T501" s="548" t="str">
        <f t="shared" si="407"/>
        <v>Sheet Metal Takeoff</v>
      </c>
      <c r="U501" s="83">
        <f t="shared" si="410"/>
        <v>0</v>
      </c>
      <c r="V501" s="83">
        <f t="shared" si="411"/>
        <v>0</v>
      </c>
      <c r="W501" s="83">
        <f t="shared" si="412"/>
        <v>0</v>
      </c>
      <c r="X501" s="781">
        <f t="shared" si="413"/>
        <v>0</v>
      </c>
      <c r="Y501" s="781">
        <f t="shared" si="414"/>
        <v>0</v>
      </c>
      <c r="Z501" s="781">
        <f t="shared" si="415"/>
        <v>0</v>
      </c>
      <c r="AA501" s="83">
        <f t="shared" si="408"/>
        <v>0</v>
      </c>
      <c r="AB501" s="83">
        <f t="shared" si="416"/>
        <v>0</v>
      </c>
      <c r="AC501" s="83">
        <f t="shared" si="417"/>
        <v>0</v>
      </c>
      <c r="AD501" s="83">
        <f t="shared" si="418"/>
        <v>0</v>
      </c>
      <c r="AE501" s="83">
        <f t="shared" si="419"/>
        <v>0</v>
      </c>
      <c r="AF501" s="83">
        <f t="shared" si="420"/>
        <v>0</v>
      </c>
      <c r="AG501" s="83">
        <f t="shared" si="421"/>
        <v>0</v>
      </c>
      <c r="AH501" s="83">
        <f t="shared" si="422"/>
        <v>0</v>
      </c>
      <c r="AI501" s="83">
        <f t="shared" si="423"/>
        <v>0</v>
      </c>
      <c r="AJ501" s="718">
        <f t="shared" si="424"/>
        <v>0</v>
      </c>
      <c r="AL501">
        <f t="shared" si="425"/>
        <v>0</v>
      </c>
      <c r="AM501">
        <f t="shared" si="426"/>
        <v>0</v>
      </c>
    </row>
    <row r="502" spans="1:39" ht="15.75" x14ac:dyDescent="0.25">
      <c r="A502" s="561"/>
      <c r="B502" s="561"/>
      <c r="C502" s="561"/>
      <c r="D502" s="672"/>
      <c r="E502" s="209"/>
      <c r="F502" s="209"/>
      <c r="G502" s="209"/>
      <c r="H502" s="176">
        <f t="shared" si="404"/>
        <v>0</v>
      </c>
      <c r="I502" s="209"/>
      <c r="J502" s="209"/>
      <c r="K502" s="176">
        <f t="shared" si="405"/>
        <v>0</v>
      </c>
      <c r="L502" s="209"/>
      <c r="M502" s="177">
        <f t="shared" si="406"/>
        <v>0</v>
      </c>
      <c r="N502" s="1012"/>
      <c r="O502" s="1012"/>
      <c r="P502" s="485"/>
      <c r="Q502" s="778"/>
      <c r="R502" s="778"/>
      <c r="S502" s="785" t="str">
        <f t="shared" si="409"/>
        <v/>
      </c>
      <c r="T502" s="548" t="str">
        <f t="shared" si="407"/>
        <v>Sheet Metal Takeoff</v>
      </c>
      <c r="U502" s="83">
        <f t="shared" si="410"/>
        <v>0</v>
      </c>
      <c r="V502" s="83">
        <f t="shared" si="411"/>
        <v>0</v>
      </c>
      <c r="W502" s="83">
        <f t="shared" si="412"/>
        <v>0</v>
      </c>
      <c r="X502" s="781">
        <f t="shared" si="413"/>
        <v>0</v>
      </c>
      <c r="Y502" s="781">
        <f t="shared" si="414"/>
        <v>0</v>
      </c>
      <c r="Z502" s="781">
        <f t="shared" si="415"/>
        <v>0</v>
      </c>
      <c r="AA502" s="83">
        <f t="shared" si="408"/>
        <v>0</v>
      </c>
      <c r="AB502" s="83">
        <f t="shared" si="416"/>
        <v>0</v>
      </c>
      <c r="AC502" s="83">
        <f t="shared" si="417"/>
        <v>0</v>
      </c>
      <c r="AD502" s="83">
        <f t="shared" si="418"/>
        <v>0</v>
      </c>
      <c r="AE502" s="83">
        <f t="shared" si="419"/>
        <v>0</v>
      </c>
      <c r="AF502" s="83">
        <f t="shared" si="420"/>
        <v>0</v>
      </c>
      <c r="AG502" s="83">
        <f t="shared" si="421"/>
        <v>0</v>
      </c>
      <c r="AH502" s="83">
        <f t="shared" si="422"/>
        <v>0</v>
      </c>
      <c r="AI502" s="83">
        <f t="shared" si="423"/>
        <v>0</v>
      </c>
      <c r="AJ502" s="718">
        <f t="shared" si="424"/>
        <v>0</v>
      </c>
      <c r="AL502">
        <f t="shared" si="425"/>
        <v>0</v>
      </c>
      <c r="AM502">
        <f t="shared" si="426"/>
        <v>0</v>
      </c>
    </row>
    <row r="503" spans="1:39" ht="15.75" x14ac:dyDescent="0.25">
      <c r="A503" s="561"/>
      <c r="B503" s="561"/>
      <c r="C503" s="561"/>
      <c r="D503" s="672"/>
      <c r="E503" s="209"/>
      <c r="F503" s="209"/>
      <c r="G503" s="209"/>
      <c r="H503" s="176">
        <f t="shared" si="404"/>
        <v>0</v>
      </c>
      <c r="I503" s="209"/>
      <c r="J503" s="209"/>
      <c r="K503" s="176">
        <f t="shared" si="405"/>
        <v>0</v>
      </c>
      <c r="L503" s="209"/>
      <c r="M503" s="177">
        <f t="shared" si="406"/>
        <v>0</v>
      </c>
      <c r="N503" s="1012"/>
      <c r="O503" s="1012"/>
      <c r="P503" s="485"/>
      <c r="Q503" s="778"/>
      <c r="R503" s="778"/>
      <c r="S503" s="785" t="str">
        <f t="shared" si="409"/>
        <v/>
      </c>
      <c r="T503" s="548" t="str">
        <f t="shared" si="407"/>
        <v>Sheet Metal Takeoff</v>
      </c>
      <c r="U503" s="83">
        <f t="shared" si="410"/>
        <v>0</v>
      </c>
      <c r="V503" s="83">
        <f t="shared" si="411"/>
        <v>0</v>
      </c>
      <c r="W503" s="83">
        <f t="shared" si="412"/>
        <v>0</v>
      </c>
      <c r="X503" s="781">
        <f t="shared" si="413"/>
        <v>0</v>
      </c>
      <c r="Y503" s="781">
        <f t="shared" si="414"/>
        <v>0</v>
      </c>
      <c r="Z503" s="781">
        <f t="shared" si="415"/>
        <v>0</v>
      </c>
      <c r="AA503" s="83">
        <f t="shared" si="408"/>
        <v>0</v>
      </c>
      <c r="AB503" s="83">
        <f t="shared" si="416"/>
        <v>0</v>
      </c>
      <c r="AC503" s="83">
        <f t="shared" si="417"/>
        <v>0</v>
      </c>
      <c r="AD503" s="83">
        <f t="shared" si="418"/>
        <v>0</v>
      </c>
      <c r="AE503" s="83">
        <f t="shared" si="419"/>
        <v>0</v>
      </c>
      <c r="AF503" s="83">
        <f t="shared" si="420"/>
        <v>0</v>
      </c>
      <c r="AG503" s="83">
        <f t="shared" si="421"/>
        <v>0</v>
      </c>
      <c r="AH503" s="83">
        <f t="shared" si="422"/>
        <v>0</v>
      </c>
      <c r="AI503" s="83">
        <f t="shared" si="423"/>
        <v>0</v>
      </c>
      <c r="AJ503" s="718">
        <f t="shared" si="424"/>
        <v>0</v>
      </c>
      <c r="AL503">
        <f t="shared" si="425"/>
        <v>0</v>
      </c>
      <c r="AM503">
        <f t="shared" si="426"/>
        <v>0</v>
      </c>
    </row>
    <row r="504" spans="1:39" ht="15.75" x14ac:dyDescent="0.25">
      <c r="A504" s="561"/>
      <c r="B504" s="561"/>
      <c r="C504" s="561"/>
      <c r="D504" s="672"/>
      <c r="E504" s="209"/>
      <c r="F504" s="209"/>
      <c r="G504" s="209"/>
      <c r="H504" s="176">
        <f t="shared" si="404"/>
        <v>0</v>
      </c>
      <c r="I504" s="209"/>
      <c r="J504" s="209"/>
      <c r="K504" s="176">
        <f t="shared" si="405"/>
        <v>0</v>
      </c>
      <c r="L504" s="209"/>
      <c r="M504" s="177">
        <f t="shared" si="406"/>
        <v>0</v>
      </c>
      <c r="N504" s="1012"/>
      <c r="O504" s="1012"/>
      <c r="P504" s="485"/>
      <c r="Q504" s="778"/>
      <c r="R504" s="778"/>
      <c r="S504" s="785" t="str">
        <f t="shared" si="409"/>
        <v/>
      </c>
      <c r="T504" s="548" t="str">
        <f t="shared" si="407"/>
        <v>Sheet Metal Takeoff</v>
      </c>
      <c r="U504" s="83">
        <f t="shared" si="410"/>
        <v>0</v>
      </c>
      <c r="V504" s="83">
        <f t="shared" si="411"/>
        <v>0</v>
      </c>
      <c r="W504" s="83">
        <f t="shared" si="412"/>
        <v>0</v>
      </c>
      <c r="X504" s="781">
        <f t="shared" si="413"/>
        <v>0</v>
      </c>
      <c r="Y504" s="781">
        <f t="shared" si="414"/>
        <v>0</v>
      </c>
      <c r="Z504" s="781">
        <f t="shared" si="415"/>
        <v>0</v>
      </c>
      <c r="AA504" s="83">
        <f t="shared" si="408"/>
        <v>0</v>
      </c>
      <c r="AB504" s="83">
        <f t="shared" si="416"/>
        <v>0</v>
      </c>
      <c r="AC504" s="83">
        <f t="shared" si="417"/>
        <v>0</v>
      </c>
      <c r="AD504" s="83">
        <f t="shared" si="418"/>
        <v>0</v>
      </c>
      <c r="AE504" s="83">
        <f t="shared" si="419"/>
        <v>0</v>
      </c>
      <c r="AF504" s="83">
        <f t="shared" si="420"/>
        <v>0</v>
      </c>
      <c r="AG504" s="83">
        <f t="shared" si="421"/>
        <v>0</v>
      </c>
      <c r="AH504" s="83">
        <f t="shared" si="422"/>
        <v>0</v>
      </c>
      <c r="AI504" s="83">
        <f t="shared" si="423"/>
        <v>0</v>
      </c>
      <c r="AJ504" s="718">
        <f t="shared" si="424"/>
        <v>0</v>
      </c>
      <c r="AL504">
        <f t="shared" si="425"/>
        <v>0</v>
      </c>
      <c r="AM504">
        <f t="shared" si="426"/>
        <v>0</v>
      </c>
    </row>
    <row r="505" spans="1:39" ht="15.75" x14ac:dyDescent="0.25">
      <c r="A505" s="561"/>
      <c r="B505" s="561"/>
      <c r="C505" s="561"/>
      <c r="D505" s="672"/>
      <c r="E505" s="209"/>
      <c r="F505" s="209"/>
      <c r="G505" s="209"/>
      <c r="H505" s="176">
        <f t="shared" si="404"/>
        <v>0</v>
      </c>
      <c r="I505" s="209"/>
      <c r="J505" s="209"/>
      <c r="K505" s="176">
        <f t="shared" si="405"/>
        <v>0</v>
      </c>
      <c r="L505" s="209"/>
      <c r="M505" s="177">
        <f t="shared" si="406"/>
        <v>0</v>
      </c>
      <c r="N505" s="1012"/>
      <c r="O505" s="1012"/>
      <c r="P505" s="485"/>
      <c r="Q505" s="778"/>
      <c r="R505" s="778"/>
      <c r="S505" s="785" t="str">
        <f t="shared" si="409"/>
        <v/>
      </c>
      <c r="T505" s="548" t="str">
        <f t="shared" si="407"/>
        <v>Sheet Metal Takeoff</v>
      </c>
      <c r="U505" s="83">
        <f t="shared" si="410"/>
        <v>0</v>
      </c>
      <c r="V505" s="83">
        <f t="shared" si="411"/>
        <v>0</v>
      </c>
      <c r="W505" s="83">
        <f t="shared" si="412"/>
        <v>0</v>
      </c>
      <c r="X505" s="781">
        <f t="shared" si="413"/>
        <v>0</v>
      </c>
      <c r="Y505" s="781">
        <f t="shared" si="414"/>
        <v>0</v>
      </c>
      <c r="Z505" s="781">
        <f t="shared" si="415"/>
        <v>0</v>
      </c>
      <c r="AA505" s="83">
        <f t="shared" si="408"/>
        <v>0</v>
      </c>
      <c r="AB505" s="83">
        <f t="shared" si="416"/>
        <v>0</v>
      </c>
      <c r="AC505" s="83">
        <f t="shared" si="417"/>
        <v>0</v>
      </c>
      <c r="AD505" s="83">
        <f t="shared" si="418"/>
        <v>0</v>
      </c>
      <c r="AE505" s="83">
        <f t="shared" si="419"/>
        <v>0</v>
      </c>
      <c r="AF505" s="83">
        <f t="shared" si="420"/>
        <v>0</v>
      </c>
      <c r="AG505" s="83">
        <f t="shared" si="421"/>
        <v>0</v>
      </c>
      <c r="AH505" s="83">
        <f t="shared" si="422"/>
        <v>0</v>
      </c>
      <c r="AI505" s="83">
        <f t="shared" si="423"/>
        <v>0</v>
      </c>
      <c r="AJ505" s="718">
        <f t="shared" si="424"/>
        <v>0</v>
      </c>
      <c r="AL505">
        <f t="shared" si="425"/>
        <v>0</v>
      </c>
      <c r="AM505">
        <f t="shared" si="426"/>
        <v>0</v>
      </c>
    </row>
    <row r="506" spans="1:39" ht="15.75" x14ac:dyDescent="0.25">
      <c r="A506" s="561"/>
      <c r="B506" s="561"/>
      <c r="C506" s="561"/>
      <c r="D506" s="672"/>
      <c r="E506" s="209"/>
      <c r="F506" s="209"/>
      <c r="G506" s="209"/>
      <c r="H506" s="176">
        <f t="shared" si="404"/>
        <v>0</v>
      </c>
      <c r="I506" s="209"/>
      <c r="J506" s="209"/>
      <c r="K506" s="176">
        <f t="shared" si="405"/>
        <v>0</v>
      </c>
      <c r="L506" s="209"/>
      <c r="M506" s="177">
        <f t="shared" si="406"/>
        <v>0</v>
      </c>
      <c r="N506" s="1012"/>
      <c r="O506" s="1012"/>
      <c r="P506" s="485"/>
      <c r="Q506" s="778"/>
      <c r="R506" s="778"/>
      <c r="S506" s="785" t="str">
        <f t="shared" si="409"/>
        <v/>
      </c>
      <c r="T506" s="548" t="str">
        <f t="shared" si="407"/>
        <v>Sheet Metal Takeoff</v>
      </c>
      <c r="U506" s="83">
        <f t="shared" si="410"/>
        <v>0</v>
      </c>
      <c r="V506" s="83">
        <f t="shared" si="411"/>
        <v>0</v>
      </c>
      <c r="W506" s="83">
        <f t="shared" si="412"/>
        <v>0</v>
      </c>
      <c r="X506" s="781">
        <f t="shared" si="413"/>
        <v>0</v>
      </c>
      <c r="Y506" s="781">
        <f t="shared" si="414"/>
        <v>0</v>
      </c>
      <c r="Z506" s="781">
        <f t="shared" si="415"/>
        <v>0</v>
      </c>
      <c r="AA506" s="83">
        <f t="shared" si="408"/>
        <v>0</v>
      </c>
      <c r="AB506" s="83">
        <f t="shared" si="416"/>
        <v>0</v>
      </c>
      <c r="AC506" s="83">
        <f t="shared" si="417"/>
        <v>0</v>
      </c>
      <c r="AD506" s="83">
        <f t="shared" si="418"/>
        <v>0</v>
      </c>
      <c r="AE506" s="83">
        <f t="shared" si="419"/>
        <v>0</v>
      </c>
      <c r="AF506" s="83">
        <f t="shared" si="420"/>
        <v>0</v>
      </c>
      <c r="AG506" s="83">
        <f t="shared" si="421"/>
        <v>0</v>
      </c>
      <c r="AH506" s="83">
        <f t="shared" si="422"/>
        <v>0</v>
      </c>
      <c r="AI506" s="83">
        <f t="shared" si="423"/>
        <v>0</v>
      </c>
      <c r="AJ506" s="718">
        <f t="shared" si="424"/>
        <v>0</v>
      </c>
      <c r="AL506">
        <f t="shared" si="425"/>
        <v>0</v>
      </c>
      <c r="AM506">
        <f t="shared" si="426"/>
        <v>0</v>
      </c>
    </row>
    <row r="507" spans="1:39" ht="15.75" x14ac:dyDescent="0.25">
      <c r="A507" s="561"/>
      <c r="B507" s="561"/>
      <c r="C507" s="561"/>
      <c r="D507" s="672"/>
      <c r="E507" s="209"/>
      <c r="F507" s="209"/>
      <c r="G507" s="209"/>
      <c r="H507" s="176">
        <f t="shared" si="404"/>
        <v>0</v>
      </c>
      <c r="I507" s="209"/>
      <c r="J507" s="209"/>
      <c r="K507" s="176">
        <f t="shared" si="405"/>
        <v>0</v>
      </c>
      <c r="L507" s="209"/>
      <c r="M507" s="177">
        <f t="shared" si="406"/>
        <v>0</v>
      </c>
      <c r="N507" s="1012"/>
      <c r="O507" s="1012"/>
      <c r="P507" s="485"/>
      <c r="Q507" s="778"/>
      <c r="R507" s="778"/>
      <c r="S507" s="785" t="str">
        <f t="shared" si="409"/>
        <v/>
      </c>
      <c r="T507" s="548" t="str">
        <f t="shared" si="407"/>
        <v>Sheet Metal Takeoff</v>
      </c>
      <c r="U507" s="83">
        <f t="shared" si="410"/>
        <v>0</v>
      </c>
      <c r="V507" s="83">
        <f t="shared" si="411"/>
        <v>0</v>
      </c>
      <c r="W507" s="83">
        <f t="shared" si="412"/>
        <v>0</v>
      </c>
      <c r="X507" s="781">
        <f t="shared" si="413"/>
        <v>0</v>
      </c>
      <c r="Y507" s="781">
        <f t="shared" si="414"/>
        <v>0</v>
      </c>
      <c r="Z507" s="781">
        <f t="shared" si="415"/>
        <v>0</v>
      </c>
      <c r="AA507" s="83">
        <f t="shared" si="408"/>
        <v>0</v>
      </c>
      <c r="AB507" s="83">
        <f t="shared" si="416"/>
        <v>0</v>
      </c>
      <c r="AC507" s="83">
        <f t="shared" si="417"/>
        <v>0</v>
      </c>
      <c r="AD507" s="83">
        <f t="shared" si="418"/>
        <v>0</v>
      </c>
      <c r="AE507" s="83">
        <f t="shared" si="419"/>
        <v>0</v>
      </c>
      <c r="AF507" s="83">
        <f t="shared" si="420"/>
        <v>0</v>
      </c>
      <c r="AG507" s="83">
        <f t="shared" si="421"/>
        <v>0</v>
      </c>
      <c r="AH507" s="83">
        <f t="shared" si="422"/>
        <v>0</v>
      </c>
      <c r="AI507" s="83">
        <f t="shared" si="423"/>
        <v>0</v>
      </c>
      <c r="AJ507" s="718">
        <f t="shared" si="424"/>
        <v>0</v>
      </c>
      <c r="AL507">
        <f t="shared" si="425"/>
        <v>0</v>
      </c>
      <c r="AM507">
        <f t="shared" si="426"/>
        <v>0</v>
      </c>
    </row>
    <row r="508" spans="1:39" ht="15.75" x14ac:dyDescent="0.25">
      <c r="A508" s="561"/>
      <c r="B508" s="561"/>
      <c r="C508" s="561"/>
      <c r="D508" s="672"/>
      <c r="E508" s="209"/>
      <c r="F508" s="209"/>
      <c r="G508" s="209"/>
      <c r="H508" s="176">
        <f t="shared" si="404"/>
        <v>0</v>
      </c>
      <c r="I508" s="209"/>
      <c r="J508" s="209"/>
      <c r="K508" s="176">
        <f t="shared" si="405"/>
        <v>0</v>
      </c>
      <c r="L508" s="209"/>
      <c r="M508" s="177">
        <f t="shared" si="406"/>
        <v>0</v>
      </c>
      <c r="N508" s="1012"/>
      <c r="O508" s="1012"/>
      <c r="P508" s="485"/>
      <c r="Q508" s="778"/>
      <c r="R508" s="778"/>
      <c r="S508" s="785" t="str">
        <f t="shared" si="409"/>
        <v/>
      </c>
      <c r="T508" s="548" t="str">
        <f t="shared" si="407"/>
        <v>Sheet Metal Takeoff</v>
      </c>
      <c r="U508" s="83">
        <f t="shared" si="410"/>
        <v>0</v>
      </c>
      <c r="V508" s="83">
        <f t="shared" si="411"/>
        <v>0</v>
      </c>
      <c r="W508" s="83">
        <f t="shared" si="412"/>
        <v>0</v>
      </c>
      <c r="X508" s="781">
        <f t="shared" si="413"/>
        <v>0</v>
      </c>
      <c r="Y508" s="781">
        <f t="shared" si="414"/>
        <v>0</v>
      </c>
      <c r="Z508" s="781">
        <f t="shared" si="415"/>
        <v>0</v>
      </c>
      <c r="AA508" s="83">
        <f t="shared" si="408"/>
        <v>0</v>
      </c>
      <c r="AB508" s="83">
        <f t="shared" si="416"/>
        <v>0</v>
      </c>
      <c r="AC508" s="83">
        <f t="shared" si="417"/>
        <v>0</v>
      </c>
      <c r="AD508" s="83">
        <f t="shared" si="418"/>
        <v>0</v>
      </c>
      <c r="AE508" s="83">
        <f t="shared" si="419"/>
        <v>0</v>
      </c>
      <c r="AF508" s="83">
        <f t="shared" si="420"/>
        <v>0</v>
      </c>
      <c r="AG508" s="83">
        <f t="shared" si="421"/>
        <v>0</v>
      </c>
      <c r="AH508" s="83">
        <f t="shared" si="422"/>
        <v>0</v>
      </c>
      <c r="AI508" s="83">
        <f t="shared" si="423"/>
        <v>0</v>
      </c>
      <c r="AJ508" s="718">
        <f t="shared" si="424"/>
        <v>0</v>
      </c>
      <c r="AL508">
        <f t="shared" si="425"/>
        <v>0</v>
      </c>
      <c r="AM508">
        <f t="shared" si="426"/>
        <v>0</v>
      </c>
    </row>
    <row r="509" spans="1:39" ht="15.75" hidden="1" customHeight="1" x14ac:dyDescent="0.25">
      <c r="A509" s="561"/>
      <c r="B509" s="561"/>
      <c r="C509" s="561"/>
      <c r="D509" s="672"/>
      <c r="E509" s="209"/>
      <c r="F509" s="209"/>
      <c r="G509" s="209"/>
      <c r="H509" s="176">
        <f t="shared" si="404"/>
        <v>0</v>
      </c>
      <c r="I509" s="209"/>
      <c r="J509" s="209"/>
      <c r="K509" s="176">
        <f t="shared" si="405"/>
        <v>0</v>
      </c>
      <c r="L509" s="209"/>
      <c r="M509" s="177">
        <f t="shared" si="406"/>
        <v>0</v>
      </c>
      <c r="N509" s="1012"/>
      <c r="O509" s="1012"/>
      <c r="P509" s="485"/>
      <c r="Q509" s="778"/>
      <c r="R509" s="778"/>
      <c r="S509" s="785" t="str">
        <f t="shared" si="409"/>
        <v/>
      </c>
      <c r="T509" s="548" t="str">
        <f t="shared" si="407"/>
        <v>Sheet Metal Takeoff</v>
      </c>
      <c r="U509" s="83">
        <f>ROUND(IF($T509="Plumb Takeoff",$H509*U$3,IF($T509="Pipe Takeoff",$H509*U$4,$H509*U$2)),2)</f>
        <v>0</v>
      </c>
      <c r="V509" s="83">
        <f t="shared" si="411"/>
        <v>0</v>
      </c>
      <c r="W509" s="83">
        <f t="shared" si="412"/>
        <v>0</v>
      </c>
      <c r="X509" s="781">
        <f t="shared" si="413"/>
        <v>0</v>
      </c>
      <c r="Y509" s="781">
        <f t="shared" si="414"/>
        <v>0</v>
      </c>
      <c r="Z509" s="781">
        <f t="shared" si="415"/>
        <v>0</v>
      </c>
      <c r="AA509" s="83">
        <f t="shared" si="408"/>
        <v>0</v>
      </c>
      <c r="AB509" s="83">
        <f t="shared" si="416"/>
        <v>0</v>
      </c>
      <c r="AC509" s="83">
        <f t="shared" si="417"/>
        <v>0</v>
      </c>
      <c r="AD509" s="83">
        <f t="shared" si="418"/>
        <v>0</v>
      </c>
      <c r="AE509" s="83">
        <f t="shared" si="419"/>
        <v>0</v>
      </c>
      <c r="AF509" s="83">
        <f t="shared" si="420"/>
        <v>0</v>
      </c>
      <c r="AG509" s="83">
        <f t="shared" si="421"/>
        <v>0</v>
      </c>
      <c r="AH509" s="83">
        <f t="shared" si="422"/>
        <v>0</v>
      </c>
      <c r="AI509" s="83">
        <f t="shared" si="423"/>
        <v>0</v>
      </c>
      <c r="AJ509" s="718">
        <f t="shared" si="424"/>
        <v>0</v>
      </c>
      <c r="AL509">
        <f t="shared" si="425"/>
        <v>0</v>
      </c>
      <c r="AM509">
        <f t="shared" si="426"/>
        <v>0</v>
      </c>
    </row>
    <row r="510" spans="1:39" ht="15.75" x14ac:dyDescent="0.25">
      <c r="A510" s="551"/>
      <c r="B510" s="551"/>
      <c r="C510" s="551"/>
      <c r="D510" s="673"/>
      <c r="E510" s="552"/>
      <c r="F510" s="553"/>
      <c r="G510" s="553"/>
      <c r="H510" s="181">
        <f>SUM(H484:H509)</f>
        <v>0</v>
      </c>
      <c r="I510" s="182"/>
      <c r="J510" s="182"/>
      <c r="K510" s="181">
        <f>SUM(K484:K509)</f>
        <v>0</v>
      </c>
      <c r="L510" s="182"/>
      <c r="M510" s="177">
        <f>SUM(M484:M509)</f>
        <v>0</v>
      </c>
      <c r="O510" s="486"/>
      <c r="AJ510" s="718"/>
    </row>
    <row r="511" spans="1:39" ht="15.75" thickBot="1" x14ac:dyDescent="0.3">
      <c r="AJ511" s="718"/>
    </row>
    <row r="512" spans="1:39" ht="16.5" thickBot="1" x14ac:dyDescent="0.3">
      <c r="E512" s="678" t="s">
        <v>1122</v>
      </c>
      <c r="F512" s="1017" t="s">
        <v>1630</v>
      </c>
      <c r="G512" s="1018"/>
      <c r="H512" s="344"/>
      <c r="I512" s="1019" t="s">
        <v>1628</v>
      </c>
      <c r="J512" s="1020"/>
      <c r="K512" s="679" t="b">
        <v>0</v>
      </c>
      <c r="AJ512" s="718"/>
    </row>
    <row r="513" spans="1:39" ht="38.25" thickBot="1" x14ac:dyDescent="0.35">
      <c r="A513" s="477" t="s">
        <v>1063</v>
      </c>
      <c r="B513" s="477" t="s">
        <v>348</v>
      </c>
      <c r="C513" s="477" t="s">
        <v>349</v>
      </c>
      <c r="D513" s="666" t="s">
        <v>0</v>
      </c>
      <c r="E513" s="477" t="s">
        <v>1</v>
      </c>
      <c r="F513" s="480" t="s">
        <v>2</v>
      </c>
      <c r="G513" s="480" t="s">
        <v>1123</v>
      </c>
      <c r="H513" s="480" t="s">
        <v>3</v>
      </c>
      <c r="I513" s="483" t="s">
        <v>4</v>
      </c>
      <c r="J513" s="480" t="s">
        <v>1124</v>
      </c>
      <c r="K513" s="680" t="s">
        <v>5</v>
      </c>
      <c r="L513" s="480" t="s">
        <v>6</v>
      </c>
      <c r="M513" s="484" t="s">
        <v>7</v>
      </c>
      <c r="N513" s="1013" t="s">
        <v>1079</v>
      </c>
      <c r="O513" s="1014"/>
      <c r="P513" s="1009" t="s">
        <v>1629</v>
      </c>
      <c r="Q513" s="1009" t="s">
        <v>1147</v>
      </c>
      <c r="R513" s="1009" t="s">
        <v>1792</v>
      </c>
      <c r="T513" s="2"/>
      <c r="AJ513" s="718"/>
    </row>
    <row r="514" spans="1:39" ht="16.5" thickBot="1" x14ac:dyDescent="0.3">
      <c r="A514" s="183"/>
      <c r="B514" s="183"/>
      <c r="C514" s="183"/>
      <c r="D514" s="671"/>
      <c r="E514" s="183"/>
      <c r="F514" s="183"/>
      <c r="G514" s="183"/>
      <c r="H514" s="183"/>
      <c r="I514" s="183"/>
      <c r="J514" s="183"/>
      <c r="K514" s="183"/>
      <c r="L514" s="183"/>
      <c r="M514" s="183"/>
      <c r="N514" s="1015"/>
      <c r="O514" s="1016"/>
      <c r="P514" s="1010" t="s">
        <v>1362</v>
      </c>
      <c r="Q514" s="1010"/>
      <c r="R514" s="1010"/>
      <c r="T514" s="1"/>
      <c r="AJ514" s="718"/>
    </row>
    <row r="515" spans="1:39" ht="15.75" x14ac:dyDescent="0.25">
      <c r="A515" s="561"/>
      <c r="B515" s="561"/>
      <c r="C515" s="561"/>
      <c r="D515" s="672"/>
      <c r="E515" s="209"/>
      <c r="F515" s="209"/>
      <c r="G515" s="209"/>
      <c r="H515" s="176">
        <f t="shared" ref="H515:H540" si="427">IF(SM_ExludeGroup16=TRUE,0,IF(G515="",E515*F515*IF(AND(S515="LOP",R515="SWING"),1+CrewRate_PlumbFitter_SwingLOP,1)*IF(AND(S515="LOP",R515="GRAVE"),1+CrewRate_PlumbFitter_GraveLOP,1)*IF(AND(S515="LOP",R515="SPECIAL"),1+CrewRate_PlumbFitter_SwingLOP,1),E515*F515*G515*IF(AND(S515="LOP",R515="SWING"),1+CrewRate_PlumbFitter_SwingLOP,1)*IF(AND(S515="LOP",R515="GRAVE"),1+CrewRate_PlumbFitter_GraveLOP,1)*IF(AND(S515="LOP",R515="SPECIAL"),1+CrewRate_PlumbFitter_SwingLOP,1)))</f>
        <v>0</v>
      </c>
      <c r="I515" s="209"/>
      <c r="J515" s="209"/>
      <c r="K515" s="176">
        <f t="shared" ref="K515:K540" si="428">IF(SM_ExludeGroup16=TRUE,0,IF(J515="",E515*I515,E515*I515*J515))</f>
        <v>0</v>
      </c>
      <c r="L515" s="209"/>
      <c r="M515" s="177">
        <f t="shared" ref="M515:M540" si="429">IF(SM_ExludeGroup16=TRUE,0,E515*L515)</f>
        <v>0</v>
      </c>
      <c r="N515" s="1012"/>
      <c r="O515" s="1012"/>
      <c r="P515" s="485"/>
      <c r="Q515" s="778"/>
      <c r="R515" s="778"/>
      <c r="S515" s="785" t="str">
        <f>IF(T515="Sheet Metal Takeoff","",IF(R515="","","LOP"))</f>
        <v/>
      </c>
      <c r="T515" s="548" t="str">
        <f t="shared" ref="T515:T540" si="430">IF($F$512="","Sheet Metal Takeoff",$F$512)</f>
        <v>Sheet Metal Takeoff</v>
      </c>
      <c r="U515" s="83">
        <f>ROUND(IF($T515="Plumb Takeoff",$H515*U$3,IF($T515="Pipe Takeoff",$H515*U$4,$H515*U$2)),2)</f>
        <v>0</v>
      </c>
      <c r="V515" s="83">
        <f>ROUND(IF($T515="Plumb Takeoff",IF($Q515="OT",$H515*V$3,0),IF($T515="Pipe Takeoff",IF($Q515="OT",$H515*V$4,0),IF($Q515="OT",$H515*V$2,0))),2)</f>
        <v>0</v>
      </c>
      <c r="W515" s="83">
        <f>ROUND(IF($T515="Plumb Takeoff",IF($Q515="DBLT",$H515*W$3,0),IF($T515="Pipe Takeoff",IF($Q515="DBLT",$H515*W$4,0),IF($Q515="DBLT",$H515*W$2,0))),2)</f>
        <v>0</v>
      </c>
      <c r="X515" s="781">
        <f>ROUND(SUM(IF($T515="Plumb Takeoff",IF($R515="SWING",ROUND(SUM($H515)*X$3,2))),IF($T515="Pipe Takeoff",IF($R515="SWING",ROUND(SUM($H515)*X$4,2))),IF($T515="Sheet Metal Takeoff",IF($R515="SWING",ROUND(SUM($H515)*X$2,2)))),2)</f>
        <v>0</v>
      </c>
      <c r="Y515" s="781">
        <f>ROUND(SUM(IF($T515="Plumb Takeoff",IF($R515="GRAVE",ROUND(SUM($H515)*Y$3,2))),IF($T515="Pipe Takeoff",IF($R515="GRAVE",ROUND(SUM($H515)*Y$4,2))),IF($T515="Sheet Metal Takeoff",IF($R515="GRAVE",ROUND(SUM($H515)*Y$2,2)))),2)</f>
        <v>0</v>
      </c>
      <c r="Z515" s="781">
        <f>ROUND(SUM(IF($T515="Plumb Takeoff",IF($R515="SPECIAL",ROUND(SUM($H515)*Z$3,2))),IF($T515="Pipe Takeoff",IF($R515="SPECIAL",ROUND(SUM($H515)*Z$4,2))),IF($T515="Sheet Metal Takeoff",IF($R515="SPECIAL",ROUND(SUM($H515)*Z$2,2)))),2)</f>
        <v>0</v>
      </c>
      <c r="AA515" s="83">
        <f t="shared" ref="AA515:AA540" si="431">ROUND($K515*AA$2,2)</f>
        <v>0</v>
      </c>
      <c r="AB515" s="83">
        <f>ROUND(IF($Q515="OT",$K515*AB$2,0),2)</f>
        <v>0</v>
      </c>
      <c r="AC515" s="83">
        <f>ROUND(IF($Q515="DBLT",$K515*AC$2,0),2)</f>
        <v>0</v>
      </c>
      <c r="AD515" s="83">
        <f>ROUND(IF($R515="SWING",$K515*AD$2,0),2)</f>
        <v>0</v>
      </c>
      <c r="AE515" s="83">
        <f>ROUND(IF($R515="GRAVE",$K515*AE$2,0),2)</f>
        <v>0</v>
      </c>
      <c r="AF515" s="83">
        <f>ROUND(IF($R515="SPECIAL",$K515*AF$2,0),2)</f>
        <v>0</v>
      </c>
      <c r="AG515" s="83">
        <f>SUM(U515:Z515)</f>
        <v>0</v>
      </c>
      <c r="AH515" s="83">
        <f>SUM(AA515:AF515)</f>
        <v>0</v>
      </c>
      <c r="AI515" s="83">
        <f>SUM(U515:AF515)</f>
        <v>0</v>
      </c>
      <c r="AJ515" s="718">
        <f>SUM(M515,AI515)</f>
        <v>0</v>
      </c>
      <c r="AL515">
        <f>SUM(V515:Z515)</f>
        <v>0</v>
      </c>
      <c r="AM515">
        <f>SUM(AB515:AF515)</f>
        <v>0</v>
      </c>
    </row>
    <row r="516" spans="1:39" ht="15.75" x14ac:dyDescent="0.25">
      <c r="A516" s="561"/>
      <c r="B516" s="561"/>
      <c r="C516" s="561"/>
      <c r="D516" s="672"/>
      <c r="E516" s="209"/>
      <c r="F516" s="209"/>
      <c r="G516" s="209"/>
      <c r="H516" s="176">
        <f t="shared" si="427"/>
        <v>0</v>
      </c>
      <c r="I516" s="209"/>
      <c r="J516" s="209"/>
      <c r="K516" s="176">
        <f t="shared" si="428"/>
        <v>0</v>
      </c>
      <c r="L516" s="209"/>
      <c r="M516" s="177">
        <f t="shared" si="429"/>
        <v>0</v>
      </c>
      <c r="N516" s="1012"/>
      <c r="O516" s="1012"/>
      <c r="P516" s="485"/>
      <c r="Q516" s="778"/>
      <c r="R516" s="778"/>
      <c r="S516" s="785" t="str">
        <f t="shared" ref="S516:S540" si="432">IF(T516="Sheet Metal Takeoff","",IF(R516="","","LOP"))</f>
        <v/>
      </c>
      <c r="T516" s="548" t="str">
        <f t="shared" si="430"/>
        <v>Sheet Metal Takeoff</v>
      </c>
      <c r="U516" s="83">
        <f t="shared" ref="U516:U539" si="433">ROUND(IF($T516="Plumb Takeoff",$H516*U$3,IF($T516="Pipe Takeoff",$H516*U$4,$H516*U$2)),2)</f>
        <v>0</v>
      </c>
      <c r="V516" s="83">
        <f t="shared" ref="V516:V540" si="434">ROUND(IF($T516="Plumb Takeoff",IF($Q516="OT",$H516*V$3,0),IF($T516="Pipe Takeoff",IF($Q516="OT",$H516*V$4,0),IF($Q516="OT",$H516*V$2,0))),2)</f>
        <v>0</v>
      </c>
      <c r="W516" s="83">
        <f t="shared" ref="W516:W540" si="435">ROUND(IF($T516="Plumb Takeoff",IF($Q516="DBLT",$H516*W$3,0),IF($T516="Pipe Takeoff",IF($Q516="DBLT",$H516*W$4,0),IF($Q516="DBLT",$H516*W$2,0))),2)</f>
        <v>0</v>
      </c>
      <c r="X516" s="781">
        <f t="shared" ref="X516:X540" si="436">ROUND(SUM(IF($T516="Plumb Takeoff",IF($R516="SWING",ROUND(SUM($H516)*X$3,2))),IF($T516="Pipe Takeoff",IF($R516="SWING",ROUND(SUM($H516)*X$4,2))),IF($T516="Sheet Metal Takeoff",IF($R516="SWING",ROUND(SUM($H516)*X$2,2)))),2)</f>
        <v>0</v>
      </c>
      <c r="Y516" s="781">
        <f t="shared" ref="Y516:Y540" si="437">ROUND(SUM(IF($T516="Plumb Takeoff",IF($R516="GRAVE",ROUND(SUM($H516)*Y$3,2))),IF($T516="Pipe Takeoff",IF($R516="GRAVE",ROUND(SUM($H516)*Y$4,2))),IF($T516="Sheet Metal Takeoff",IF($R516="GRAVE",ROUND(SUM($H516)*Y$2,2)))),2)</f>
        <v>0</v>
      </c>
      <c r="Z516" s="781">
        <f t="shared" ref="Z516:Z540" si="438">ROUND(SUM(IF($T516="Plumb Takeoff",IF($R516="SPECIAL",ROUND(SUM($H516)*Z$3,2))),IF($T516="Pipe Takeoff",IF($R516="SPECIAL",ROUND(SUM($H516)*Z$4,2))),IF($T516="Sheet Metal Takeoff",IF($R516="SPECIAL",ROUND(SUM($H516)*Z$2,2)))),2)</f>
        <v>0</v>
      </c>
      <c r="AA516" s="83">
        <f t="shared" si="431"/>
        <v>0</v>
      </c>
      <c r="AB516" s="83">
        <f t="shared" ref="AB516:AB540" si="439">ROUND(IF($Q516="OT",$K516*AB$2,0),2)</f>
        <v>0</v>
      </c>
      <c r="AC516" s="83">
        <f t="shared" ref="AC516:AC540" si="440">ROUND(IF($Q516="DBLT",$K516*AC$2,0),2)</f>
        <v>0</v>
      </c>
      <c r="AD516" s="83">
        <f t="shared" ref="AD516:AD540" si="441">ROUND(IF($R516="SWING",$K516*AD$2,0),2)</f>
        <v>0</v>
      </c>
      <c r="AE516" s="83">
        <f t="shared" ref="AE516:AE540" si="442">ROUND(IF($R516="GRAVE",$K516*AE$2,0),2)</f>
        <v>0</v>
      </c>
      <c r="AF516" s="83">
        <f t="shared" ref="AF516:AF540" si="443">ROUND(IF($R516="SPECIAL",$K516*AF$2,0),2)</f>
        <v>0</v>
      </c>
      <c r="AG516" s="83">
        <f t="shared" ref="AG516:AG540" si="444">SUM(U516:Z516)</f>
        <v>0</v>
      </c>
      <c r="AH516" s="83">
        <f t="shared" ref="AH516:AH540" si="445">SUM(AA516:AF516)</f>
        <v>0</v>
      </c>
      <c r="AI516" s="83">
        <f t="shared" ref="AI516:AI540" si="446">SUM(U516:AF516)</f>
        <v>0</v>
      </c>
      <c r="AJ516" s="718">
        <f t="shared" ref="AJ516:AJ540" si="447">SUM(M516,AI516)</f>
        <v>0</v>
      </c>
      <c r="AL516">
        <f t="shared" ref="AL516:AL540" si="448">SUM(V516:Z516)</f>
        <v>0</v>
      </c>
      <c r="AM516">
        <f t="shared" ref="AM516:AM540" si="449">SUM(AB516:AF516)</f>
        <v>0</v>
      </c>
    </row>
    <row r="517" spans="1:39" ht="15.75" x14ac:dyDescent="0.25">
      <c r="A517" s="561"/>
      <c r="B517" s="561"/>
      <c r="C517" s="561"/>
      <c r="D517" s="672"/>
      <c r="E517" s="209"/>
      <c r="F517" s="209"/>
      <c r="G517" s="209"/>
      <c r="H517" s="176">
        <f t="shared" si="427"/>
        <v>0</v>
      </c>
      <c r="I517" s="209"/>
      <c r="J517" s="209"/>
      <c r="K517" s="176">
        <f t="shared" si="428"/>
        <v>0</v>
      </c>
      <c r="L517" s="209"/>
      <c r="M517" s="177">
        <f t="shared" si="429"/>
        <v>0</v>
      </c>
      <c r="N517" s="1012"/>
      <c r="O517" s="1012"/>
      <c r="P517" s="485"/>
      <c r="Q517" s="778"/>
      <c r="R517" s="778"/>
      <c r="S517" s="785" t="str">
        <f t="shared" si="432"/>
        <v/>
      </c>
      <c r="T517" s="548" t="str">
        <f t="shared" si="430"/>
        <v>Sheet Metal Takeoff</v>
      </c>
      <c r="U517" s="83">
        <f t="shared" si="433"/>
        <v>0</v>
      </c>
      <c r="V517" s="83">
        <f t="shared" si="434"/>
        <v>0</v>
      </c>
      <c r="W517" s="83">
        <f t="shared" si="435"/>
        <v>0</v>
      </c>
      <c r="X517" s="781">
        <f t="shared" si="436"/>
        <v>0</v>
      </c>
      <c r="Y517" s="781">
        <f t="shared" si="437"/>
        <v>0</v>
      </c>
      <c r="Z517" s="781">
        <f t="shared" si="438"/>
        <v>0</v>
      </c>
      <c r="AA517" s="83">
        <f t="shared" si="431"/>
        <v>0</v>
      </c>
      <c r="AB517" s="83">
        <f t="shared" si="439"/>
        <v>0</v>
      </c>
      <c r="AC517" s="83">
        <f t="shared" si="440"/>
        <v>0</v>
      </c>
      <c r="AD517" s="83">
        <f t="shared" si="441"/>
        <v>0</v>
      </c>
      <c r="AE517" s="83">
        <f t="shared" si="442"/>
        <v>0</v>
      </c>
      <c r="AF517" s="83">
        <f t="shared" si="443"/>
        <v>0</v>
      </c>
      <c r="AG517" s="83">
        <f t="shared" si="444"/>
        <v>0</v>
      </c>
      <c r="AH517" s="83">
        <f t="shared" si="445"/>
        <v>0</v>
      </c>
      <c r="AI517" s="83">
        <f t="shared" si="446"/>
        <v>0</v>
      </c>
      <c r="AJ517" s="718">
        <f t="shared" si="447"/>
        <v>0</v>
      </c>
      <c r="AL517">
        <f t="shared" si="448"/>
        <v>0</v>
      </c>
      <c r="AM517">
        <f t="shared" si="449"/>
        <v>0</v>
      </c>
    </row>
    <row r="518" spans="1:39" ht="15.75" x14ac:dyDescent="0.25">
      <c r="A518" s="561"/>
      <c r="B518" s="561"/>
      <c r="C518" s="561"/>
      <c r="D518" s="672"/>
      <c r="E518" s="209"/>
      <c r="F518" s="209"/>
      <c r="G518" s="209"/>
      <c r="H518" s="176">
        <f t="shared" si="427"/>
        <v>0</v>
      </c>
      <c r="I518" s="209"/>
      <c r="J518" s="209"/>
      <c r="K518" s="176">
        <f t="shared" si="428"/>
        <v>0</v>
      </c>
      <c r="L518" s="209"/>
      <c r="M518" s="177">
        <f t="shared" si="429"/>
        <v>0</v>
      </c>
      <c r="N518" s="1012"/>
      <c r="O518" s="1012"/>
      <c r="P518" s="485"/>
      <c r="Q518" s="778"/>
      <c r="R518" s="778"/>
      <c r="S518" s="785" t="str">
        <f t="shared" si="432"/>
        <v/>
      </c>
      <c r="T518" s="548" t="str">
        <f t="shared" si="430"/>
        <v>Sheet Metal Takeoff</v>
      </c>
      <c r="U518" s="83">
        <f t="shared" si="433"/>
        <v>0</v>
      </c>
      <c r="V518" s="83">
        <f t="shared" si="434"/>
        <v>0</v>
      </c>
      <c r="W518" s="83">
        <f t="shared" si="435"/>
        <v>0</v>
      </c>
      <c r="X518" s="781">
        <f t="shared" si="436"/>
        <v>0</v>
      </c>
      <c r="Y518" s="781">
        <f t="shared" si="437"/>
        <v>0</v>
      </c>
      <c r="Z518" s="781">
        <f t="shared" si="438"/>
        <v>0</v>
      </c>
      <c r="AA518" s="83">
        <f t="shared" si="431"/>
        <v>0</v>
      </c>
      <c r="AB518" s="83">
        <f t="shared" si="439"/>
        <v>0</v>
      </c>
      <c r="AC518" s="83">
        <f t="shared" si="440"/>
        <v>0</v>
      </c>
      <c r="AD518" s="83">
        <f t="shared" si="441"/>
        <v>0</v>
      </c>
      <c r="AE518" s="83">
        <f t="shared" si="442"/>
        <v>0</v>
      </c>
      <c r="AF518" s="83">
        <f t="shared" si="443"/>
        <v>0</v>
      </c>
      <c r="AG518" s="83">
        <f t="shared" si="444"/>
        <v>0</v>
      </c>
      <c r="AH518" s="83">
        <f t="shared" si="445"/>
        <v>0</v>
      </c>
      <c r="AI518" s="83">
        <f t="shared" si="446"/>
        <v>0</v>
      </c>
      <c r="AJ518" s="718">
        <f t="shared" si="447"/>
        <v>0</v>
      </c>
      <c r="AL518">
        <f t="shared" si="448"/>
        <v>0</v>
      </c>
      <c r="AM518">
        <f t="shared" si="449"/>
        <v>0</v>
      </c>
    </row>
    <row r="519" spans="1:39" ht="15.75" x14ac:dyDescent="0.25">
      <c r="A519" s="561"/>
      <c r="B519" s="561"/>
      <c r="C519" s="561"/>
      <c r="D519" s="672"/>
      <c r="E519" s="209"/>
      <c r="F519" s="209"/>
      <c r="G519" s="209"/>
      <c r="H519" s="176">
        <f t="shared" si="427"/>
        <v>0</v>
      </c>
      <c r="I519" s="209"/>
      <c r="J519" s="209"/>
      <c r="K519" s="176">
        <f t="shared" si="428"/>
        <v>0</v>
      </c>
      <c r="L519" s="209"/>
      <c r="M519" s="177">
        <f t="shared" si="429"/>
        <v>0</v>
      </c>
      <c r="N519" s="1012"/>
      <c r="O519" s="1012"/>
      <c r="P519" s="485"/>
      <c r="Q519" s="778"/>
      <c r="R519" s="778"/>
      <c r="S519" s="785" t="str">
        <f t="shared" si="432"/>
        <v/>
      </c>
      <c r="T519" s="548" t="str">
        <f t="shared" si="430"/>
        <v>Sheet Metal Takeoff</v>
      </c>
      <c r="U519" s="83">
        <f t="shared" si="433"/>
        <v>0</v>
      </c>
      <c r="V519" s="83">
        <f t="shared" si="434"/>
        <v>0</v>
      </c>
      <c r="W519" s="83">
        <f t="shared" si="435"/>
        <v>0</v>
      </c>
      <c r="X519" s="781">
        <f t="shared" si="436"/>
        <v>0</v>
      </c>
      <c r="Y519" s="781">
        <f t="shared" si="437"/>
        <v>0</v>
      </c>
      <c r="Z519" s="781">
        <f t="shared" si="438"/>
        <v>0</v>
      </c>
      <c r="AA519" s="83">
        <f t="shared" si="431"/>
        <v>0</v>
      </c>
      <c r="AB519" s="83">
        <f t="shared" si="439"/>
        <v>0</v>
      </c>
      <c r="AC519" s="83">
        <f t="shared" si="440"/>
        <v>0</v>
      </c>
      <c r="AD519" s="83">
        <f t="shared" si="441"/>
        <v>0</v>
      </c>
      <c r="AE519" s="83">
        <f t="shared" si="442"/>
        <v>0</v>
      </c>
      <c r="AF519" s="83">
        <f t="shared" si="443"/>
        <v>0</v>
      </c>
      <c r="AG519" s="83">
        <f t="shared" si="444"/>
        <v>0</v>
      </c>
      <c r="AH519" s="83">
        <f t="shared" si="445"/>
        <v>0</v>
      </c>
      <c r="AI519" s="83">
        <f t="shared" si="446"/>
        <v>0</v>
      </c>
      <c r="AJ519" s="718">
        <f t="shared" si="447"/>
        <v>0</v>
      </c>
      <c r="AL519">
        <f t="shared" si="448"/>
        <v>0</v>
      </c>
      <c r="AM519">
        <f t="shared" si="449"/>
        <v>0</v>
      </c>
    </row>
    <row r="520" spans="1:39" ht="15.75" x14ac:dyDescent="0.25">
      <c r="A520" s="561"/>
      <c r="B520" s="561"/>
      <c r="C520" s="561"/>
      <c r="D520" s="672"/>
      <c r="E520" s="209"/>
      <c r="F520" s="209"/>
      <c r="G520" s="209"/>
      <c r="H520" s="176">
        <f t="shared" si="427"/>
        <v>0</v>
      </c>
      <c r="I520" s="209"/>
      <c r="J520" s="209"/>
      <c r="K520" s="176">
        <f t="shared" si="428"/>
        <v>0</v>
      </c>
      <c r="L520" s="209"/>
      <c r="M520" s="177">
        <f t="shared" si="429"/>
        <v>0</v>
      </c>
      <c r="N520" s="1012"/>
      <c r="O520" s="1012"/>
      <c r="P520" s="485"/>
      <c r="Q520" s="778"/>
      <c r="R520" s="778"/>
      <c r="S520" s="785" t="str">
        <f t="shared" si="432"/>
        <v/>
      </c>
      <c r="T520" s="548" t="str">
        <f t="shared" si="430"/>
        <v>Sheet Metal Takeoff</v>
      </c>
      <c r="U520" s="83">
        <f t="shared" si="433"/>
        <v>0</v>
      </c>
      <c r="V520" s="83">
        <f t="shared" si="434"/>
        <v>0</v>
      </c>
      <c r="W520" s="83">
        <f t="shared" si="435"/>
        <v>0</v>
      </c>
      <c r="X520" s="781">
        <f t="shared" si="436"/>
        <v>0</v>
      </c>
      <c r="Y520" s="781">
        <f t="shared" si="437"/>
        <v>0</v>
      </c>
      <c r="Z520" s="781">
        <f t="shared" si="438"/>
        <v>0</v>
      </c>
      <c r="AA520" s="83">
        <f t="shared" si="431"/>
        <v>0</v>
      </c>
      <c r="AB520" s="83">
        <f t="shared" si="439"/>
        <v>0</v>
      </c>
      <c r="AC520" s="83">
        <f t="shared" si="440"/>
        <v>0</v>
      </c>
      <c r="AD520" s="83">
        <f t="shared" si="441"/>
        <v>0</v>
      </c>
      <c r="AE520" s="83">
        <f t="shared" si="442"/>
        <v>0</v>
      </c>
      <c r="AF520" s="83">
        <f t="shared" si="443"/>
        <v>0</v>
      </c>
      <c r="AG520" s="83">
        <f t="shared" si="444"/>
        <v>0</v>
      </c>
      <c r="AH520" s="83">
        <f t="shared" si="445"/>
        <v>0</v>
      </c>
      <c r="AI520" s="83">
        <f t="shared" si="446"/>
        <v>0</v>
      </c>
      <c r="AJ520" s="718">
        <f t="shared" si="447"/>
        <v>0</v>
      </c>
      <c r="AL520">
        <f t="shared" si="448"/>
        <v>0</v>
      </c>
      <c r="AM520">
        <f t="shared" si="449"/>
        <v>0</v>
      </c>
    </row>
    <row r="521" spans="1:39" ht="15.75" x14ac:dyDescent="0.25">
      <c r="A521" s="561"/>
      <c r="B521" s="561"/>
      <c r="C521" s="561"/>
      <c r="D521" s="672"/>
      <c r="E521" s="209"/>
      <c r="F521" s="209"/>
      <c r="G521" s="209"/>
      <c r="H521" s="176">
        <f t="shared" si="427"/>
        <v>0</v>
      </c>
      <c r="I521" s="209"/>
      <c r="J521" s="209"/>
      <c r="K521" s="176">
        <f t="shared" si="428"/>
        <v>0</v>
      </c>
      <c r="L521" s="209"/>
      <c r="M521" s="177">
        <f t="shared" si="429"/>
        <v>0</v>
      </c>
      <c r="N521" s="1012"/>
      <c r="O521" s="1012"/>
      <c r="P521" s="485"/>
      <c r="Q521" s="778"/>
      <c r="R521" s="778"/>
      <c r="S521" s="785" t="str">
        <f t="shared" si="432"/>
        <v/>
      </c>
      <c r="T521" s="548" t="str">
        <f t="shared" si="430"/>
        <v>Sheet Metal Takeoff</v>
      </c>
      <c r="U521" s="83">
        <f t="shared" si="433"/>
        <v>0</v>
      </c>
      <c r="V521" s="83">
        <f t="shared" si="434"/>
        <v>0</v>
      </c>
      <c r="W521" s="83">
        <f t="shared" si="435"/>
        <v>0</v>
      </c>
      <c r="X521" s="781">
        <f t="shared" si="436"/>
        <v>0</v>
      </c>
      <c r="Y521" s="781">
        <f t="shared" si="437"/>
        <v>0</v>
      </c>
      <c r="Z521" s="781">
        <f t="shared" si="438"/>
        <v>0</v>
      </c>
      <c r="AA521" s="83">
        <f t="shared" si="431"/>
        <v>0</v>
      </c>
      <c r="AB521" s="83">
        <f t="shared" si="439"/>
        <v>0</v>
      </c>
      <c r="AC521" s="83">
        <f t="shared" si="440"/>
        <v>0</v>
      </c>
      <c r="AD521" s="83">
        <f t="shared" si="441"/>
        <v>0</v>
      </c>
      <c r="AE521" s="83">
        <f t="shared" si="442"/>
        <v>0</v>
      </c>
      <c r="AF521" s="83">
        <f t="shared" si="443"/>
        <v>0</v>
      </c>
      <c r="AG521" s="83">
        <f t="shared" si="444"/>
        <v>0</v>
      </c>
      <c r="AH521" s="83">
        <f t="shared" si="445"/>
        <v>0</v>
      </c>
      <c r="AI521" s="83">
        <f t="shared" si="446"/>
        <v>0</v>
      </c>
      <c r="AJ521" s="718">
        <f t="shared" si="447"/>
        <v>0</v>
      </c>
      <c r="AL521">
        <f t="shared" si="448"/>
        <v>0</v>
      </c>
      <c r="AM521">
        <f t="shared" si="449"/>
        <v>0</v>
      </c>
    </row>
    <row r="522" spans="1:39" ht="15.75" x14ac:dyDescent="0.25">
      <c r="A522" s="561"/>
      <c r="B522" s="561"/>
      <c r="C522" s="561"/>
      <c r="D522" s="672"/>
      <c r="E522" s="209"/>
      <c r="F522" s="209"/>
      <c r="G522" s="209"/>
      <c r="H522" s="176">
        <f t="shared" si="427"/>
        <v>0</v>
      </c>
      <c r="I522" s="209"/>
      <c r="J522" s="209"/>
      <c r="K522" s="176">
        <f t="shared" si="428"/>
        <v>0</v>
      </c>
      <c r="L522" s="209"/>
      <c r="M522" s="177">
        <f t="shared" si="429"/>
        <v>0</v>
      </c>
      <c r="N522" s="1012"/>
      <c r="O522" s="1012"/>
      <c r="P522" s="485"/>
      <c r="Q522" s="778"/>
      <c r="R522" s="778"/>
      <c r="S522" s="785" t="str">
        <f t="shared" si="432"/>
        <v/>
      </c>
      <c r="T522" s="548" t="str">
        <f t="shared" si="430"/>
        <v>Sheet Metal Takeoff</v>
      </c>
      <c r="U522" s="83">
        <f t="shared" si="433"/>
        <v>0</v>
      </c>
      <c r="V522" s="83">
        <f t="shared" si="434"/>
        <v>0</v>
      </c>
      <c r="W522" s="83">
        <f t="shared" si="435"/>
        <v>0</v>
      </c>
      <c r="X522" s="781">
        <f t="shared" si="436"/>
        <v>0</v>
      </c>
      <c r="Y522" s="781">
        <f t="shared" si="437"/>
        <v>0</v>
      </c>
      <c r="Z522" s="781">
        <f t="shared" si="438"/>
        <v>0</v>
      </c>
      <c r="AA522" s="83">
        <f t="shared" si="431"/>
        <v>0</v>
      </c>
      <c r="AB522" s="83">
        <f t="shared" si="439"/>
        <v>0</v>
      </c>
      <c r="AC522" s="83">
        <f t="shared" si="440"/>
        <v>0</v>
      </c>
      <c r="AD522" s="83">
        <f t="shared" si="441"/>
        <v>0</v>
      </c>
      <c r="AE522" s="83">
        <f t="shared" si="442"/>
        <v>0</v>
      </c>
      <c r="AF522" s="83">
        <f t="shared" si="443"/>
        <v>0</v>
      </c>
      <c r="AG522" s="83">
        <f t="shared" si="444"/>
        <v>0</v>
      </c>
      <c r="AH522" s="83">
        <f t="shared" si="445"/>
        <v>0</v>
      </c>
      <c r="AI522" s="83">
        <f t="shared" si="446"/>
        <v>0</v>
      </c>
      <c r="AJ522" s="718">
        <f t="shared" si="447"/>
        <v>0</v>
      </c>
      <c r="AL522">
        <f t="shared" si="448"/>
        <v>0</v>
      </c>
      <c r="AM522">
        <f t="shared" si="449"/>
        <v>0</v>
      </c>
    </row>
    <row r="523" spans="1:39" ht="15.75" x14ac:dyDescent="0.25">
      <c r="A523" s="561"/>
      <c r="B523" s="561"/>
      <c r="C523" s="561"/>
      <c r="D523" s="672"/>
      <c r="E523" s="209"/>
      <c r="F523" s="209"/>
      <c r="G523" s="209"/>
      <c r="H523" s="176">
        <f t="shared" si="427"/>
        <v>0</v>
      </c>
      <c r="I523" s="209"/>
      <c r="J523" s="209"/>
      <c r="K523" s="176">
        <f t="shared" si="428"/>
        <v>0</v>
      </c>
      <c r="L523" s="209"/>
      <c r="M523" s="177">
        <f t="shared" si="429"/>
        <v>0</v>
      </c>
      <c r="N523" s="1012"/>
      <c r="O523" s="1012"/>
      <c r="P523" s="485"/>
      <c r="Q523" s="778"/>
      <c r="R523" s="778"/>
      <c r="S523" s="785" t="str">
        <f t="shared" si="432"/>
        <v/>
      </c>
      <c r="T523" s="548" t="str">
        <f t="shared" si="430"/>
        <v>Sheet Metal Takeoff</v>
      </c>
      <c r="U523" s="83">
        <f t="shared" si="433"/>
        <v>0</v>
      </c>
      <c r="V523" s="83">
        <f t="shared" si="434"/>
        <v>0</v>
      </c>
      <c r="W523" s="83">
        <f t="shared" si="435"/>
        <v>0</v>
      </c>
      <c r="X523" s="781">
        <f t="shared" si="436"/>
        <v>0</v>
      </c>
      <c r="Y523" s="781">
        <f t="shared" si="437"/>
        <v>0</v>
      </c>
      <c r="Z523" s="781">
        <f t="shared" si="438"/>
        <v>0</v>
      </c>
      <c r="AA523" s="83">
        <f t="shared" si="431"/>
        <v>0</v>
      </c>
      <c r="AB523" s="83">
        <f t="shared" si="439"/>
        <v>0</v>
      </c>
      <c r="AC523" s="83">
        <f t="shared" si="440"/>
        <v>0</v>
      </c>
      <c r="AD523" s="83">
        <f t="shared" si="441"/>
        <v>0</v>
      </c>
      <c r="AE523" s="83">
        <f t="shared" si="442"/>
        <v>0</v>
      </c>
      <c r="AF523" s="83">
        <f t="shared" si="443"/>
        <v>0</v>
      </c>
      <c r="AG523" s="83">
        <f t="shared" si="444"/>
        <v>0</v>
      </c>
      <c r="AH523" s="83">
        <f t="shared" si="445"/>
        <v>0</v>
      </c>
      <c r="AI523" s="83">
        <f t="shared" si="446"/>
        <v>0</v>
      </c>
      <c r="AJ523" s="718">
        <f t="shared" si="447"/>
        <v>0</v>
      </c>
      <c r="AL523">
        <f t="shared" si="448"/>
        <v>0</v>
      </c>
      <c r="AM523">
        <f t="shared" si="449"/>
        <v>0</v>
      </c>
    </row>
    <row r="524" spans="1:39" ht="15.75" x14ac:dyDescent="0.25">
      <c r="A524" s="561"/>
      <c r="B524" s="561"/>
      <c r="C524" s="561"/>
      <c r="D524" s="672"/>
      <c r="E524" s="209"/>
      <c r="F524" s="209"/>
      <c r="G524" s="209"/>
      <c r="H524" s="176">
        <f t="shared" si="427"/>
        <v>0</v>
      </c>
      <c r="I524" s="209"/>
      <c r="J524" s="209"/>
      <c r="K524" s="176">
        <f t="shared" si="428"/>
        <v>0</v>
      </c>
      <c r="L524" s="209"/>
      <c r="M524" s="177">
        <f t="shared" si="429"/>
        <v>0</v>
      </c>
      <c r="N524" s="1012"/>
      <c r="O524" s="1012"/>
      <c r="P524" s="485"/>
      <c r="Q524" s="778"/>
      <c r="R524" s="778"/>
      <c r="S524" s="785" t="str">
        <f t="shared" si="432"/>
        <v/>
      </c>
      <c r="T524" s="548" t="str">
        <f t="shared" si="430"/>
        <v>Sheet Metal Takeoff</v>
      </c>
      <c r="U524" s="83">
        <f t="shared" si="433"/>
        <v>0</v>
      </c>
      <c r="V524" s="83">
        <f t="shared" si="434"/>
        <v>0</v>
      </c>
      <c r="W524" s="83">
        <f t="shared" si="435"/>
        <v>0</v>
      </c>
      <c r="X524" s="781">
        <f t="shared" si="436"/>
        <v>0</v>
      </c>
      <c r="Y524" s="781">
        <f t="shared" si="437"/>
        <v>0</v>
      </c>
      <c r="Z524" s="781">
        <f t="shared" si="438"/>
        <v>0</v>
      </c>
      <c r="AA524" s="83">
        <f t="shared" si="431"/>
        <v>0</v>
      </c>
      <c r="AB524" s="83">
        <f t="shared" si="439"/>
        <v>0</v>
      </c>
      <c r="AC524" s="83">
        <f t="shared" si="440"/>
        <v>0</v>
      </c>
      <c r="AD524" s="83">
        <f t="shared" si="441"/>
        <v>0</v>
      </c>
      <c r="AE524" s="83">
        <f t="shared" si="442"/>
        <v>0</v>
      </c>
      <c r="AF524" s="83">
        <f t="shared" si="443"/>
        <v>0</v>
      </c>
      <c r="AG524" s="83">
        <f t="shared" si="444"/>
        <v>0</v>
      </c>
      <c r="AH524" s="83">
        <f t="shared" si="445"/>
        <v>0</v>
      </c>
      <c r="AI524" s="83">
        <f t="shared" si="446"/>
        <v>0</v>
      </c>
      <c r="AJ524" s="718">
        <f t="shared" si="447"/>
        <v>0</v>
      </c>
      <c r="AL524">
        <f t="shared" si="448"/>
        <v>0</v>
      </c>
      <c r="AM524">
        <f t="shared" si="449"/>
        <v>0</v>
      </c>
    </row>
    <row r="525" spans="1:39" ht="15.75" x14ac:dyDescent="0.25">
      <c r="A525" s="561"/>
      <c r="B525" s="561"/>
      <c r="C525" s="561"/>
      <c r="D525" s="672"/>
      <c r="E525" s="209"/>
      <c r="F525" s="209"/>
      <c r="G525" s="209"/>
      <c r="H525" s="176">
        <f t="shared" si="427"/>
        <v>0</v>
      </c>
      <c r="I525" s="209"/>
      <c r="J525" s="209"/>
      <c r="K525" s="176">
        <f t="shared" si="428"/>
        <v>0</v>
      </c>
      <c r="L525" s="209"/>
      <c r="M525" s="177">
        <f t="shared" si="429"/>
        <v>0</v>
      </c>
      <c r="N525" s="1012"/>
      <c r="O525" s="1012"/>
      <c r="P525" s="485"/>
      <c r="Q525" s="778"/>
      <c r="R525" s="778"/>
      <c r="S525" s="785" t="str">
        <f t="shared" si="432"/>
        <v/>
      </c>
      <c r="T525" s="548" t="str">
        <f t="shared" si="430"/>
        <v>Sheet Metal Takeoff</v>
      </c>
      <c r="U525" s="83">
        <f t="shared" si="433"/>
        <v>0</v>
      </c>
      <c r="V525" s="83">
        <f t="shared" si="434"/>
        <v>0</v>
      </c>
      <c r="W525" s="83">
        <f t="shared" si="435"/>
        <v>0</v>
      </c>
      <c r="X525" s="781">
        <f t="shared" si="436"/>
        <v>0</v>
      </c>
      <c r="Y525" s="781">
        <f t="shared" si="437"/>
        <v>0</v>
      </c>
      <c r="Z525" s="781">
        <f t="shared" si="438"/>
        <v>0</v>
      </c>
      <c r="AA525" s="83">
        <f t="shared" si="431"/>
        <v>0</v>
      </c>
      <c r="AB525" s="83">
        <f t="shared" si="439"/>
        <v>0</v>
      </c>
      <c r="AC525" s="83">
        <f t="shared" si="440"/>
        <v>0</v>
      </c>
      <c r="AD525" s="83">
        <f t="shared" si="441"/>
        <v>0</v>
      </c>
      <c r="AE525" s="83">
        <f t="shared" si="442"/>
        <v>0</v>
      </c>
      <c r="AF525" s="83">
        <f t="shared" si="443"/>
        <v>0</v>
      </c>
      <c r="AG525" s="83">
        <f t="shared" si="444"/>
        <v>0</v>
      </c>
      <c r="AH525" s="83">
        <f t="shared" si="445"/>
        <v>0</v>
      </c>
      <c r="AI525" s="83">
        <f t="shared" si="446"/>
        <v>0</v>
      </c>
      <c r="AJ525" s="718">
        <f t="shared" si="447"/>
        <v>0</v>
      </c>
      <c r="AL525">
        <f t="shared" si="448"/>
        <v>0</v>
      </c>
      <c r="AM525">
        <f t="shared" si="449"/>
        <v>0</v>
      </c>
    </row>
    <row r="526" spans="1:39" ht="15.75" x14ac:dyDescent="0.25">
      <c r="A526" s="561"/>
      <c r="B526" s="561"/>
      <c r="C526" s="561"/>
      <c r="D526" s="672"/>
      <c r="E526" s="209"/>
      <c r="F526" s="209"/>
      <c r="G526" s="209"/>
      <c r="H526" s="176">
        <f t="shared" si="427"/>
        <v>0</v>
      </c>
      <c r="I526" s="209"/>
      <c r="J526" s="209"/>
      <c r="K526" s="176">
        <f t="shared" si="428"/>
        <v>0</v>
      </c>
      <c r="L526" s="209"/>
      <c r="M526" s="177">
        <f t="shared" si="429"/>
        <v>0</v>
      </c>
      <c r="N526" s="1012"/>
      <c r="O526" s="1012"/>
      <c r="P526" s="485"/>
      <c r="Q526" s="778"/>
      <c r="R526" s="778"/>
      <c r="S526" s="785" t="str">
        <f t="shared" si="432"/>
        <v/>
      </c>
      <c r="T526" s="548" t="str">
        <f t="shared" si="430"/>
        <v>Sheet Metal Takeoff</v>
      </c>
      <c r="U526" s="83">
        <f t="shared" si="433"/>
        <v>0</v>
      </c>
      <c r="V526" s="83">
        <f t="shared" si="434"/>
        <v>0</v>
      </c>
      <c r="W526" s="83">
        <f t="shared" si="435"/>
        <v>0</v>
      </c>
      <c r="X526" s="781">
        <f t="shared" si="436"/>
        <v>0</v>
      </c>
      <c r="Y526" s="781">
        <f t="shared" si="437"/>
        <v>0</v>
      </c>
      <c r="Z526" s="781">
        <f t="shared" si="438"/>
        <v>0</v>
      </c>
      <c r="AA526" s="83">
        <f t="shared" si="431"/>
        <v>0</v>
      </c>
      <c r="AB526" s="83">
        <f t="shared" si="439"/>
        <v>0</v>
      </c>
      <c r="AC526" s="83">
        <f t="shared" si="440"/>
        <v>0</v>
      </c>
      <c r="AD526" s="83">
        <f t="shared" si="441"/>
        <v>0</v>
      </c>
      <c r="AE526" s="83">
        <f t="shared" si="442"/>
        <v>0</v>
      </c>
      <c r="AF526" s="83">
        <f t="shared" si="443"/>
        <v>0</v>
      </c>
      <c r="AG526" s="83">
        <f t="shared" si="444"/>
        <v>0</v>
      </c>
      <c r="AH526" s="83">
        <f t="shared" si="445"/>
        <v>0</v>
      </c>
      <c r="AI526" s="83">
        <f t="shared" si="446"/>
        <v>0</v>
      </c>
      <c r="AJ526" s="718">
        <f t="shared" si="447"/>
        <v>0</v>
      </c>
      <c r="AL526">
        <f t="shared" si="448"/>
        <v>0</v>
      </c>
      <c r="AM526">
        <f t="shared" si="449"/>
        <v>0</v>
      </c>
    </row>
    <row r="527" spans="1:39" ht="15.75" x14ac:dyDescent="0.25">
      <c r="A527" s="561"/>
      <c r="B527" s="561"/>
      <c r="C527" s="561"/>
      <c r="D527" s="672"/>
      <c r="E527" s="209"/>
      <c r="F527" s="209"/>
      <c r="G527" s="209"/>
      <c r="H527" s="176">
        <f t="shared" si="427"/>
        <v>0</v>
      </c>
      <c r="I527" s="209"/>
      <c r="J527" s="209"/>
      <c r="K527" s="176">
        <f t="shared" si="428"/>
        <v>0</v>
      </c>
      <c r="L527" s="209"/>
      <c r="M527" s="177">
        <f t="shared" si="429"/>
        <v>0</v>
      </c>
      <c r="N527" s="1012"/>
      <c r="O527" s="1012"/>
      <c r="P527" s="485"/>
      <c r="Q527" s="778"/>
      <c r="R527" s="778"/>
      <c r="S527" s="785" t="str">
        <f t="shared" si="432"/>
        <v/>
      </c>
      <c r="T527" s="548" t="str">
        <f t="shared" si="430"/>
        <v>Sheet Metal Takeoff</v>
      </c>
      <c r="U527" s="83">
        <f t="shared" si="433"/>
        <v>0</v>
      </c>
      <c r="V527" s="83">
        <f t="shared" si="434"/>
        <v>0</v>
      </c>
      <c r="W527" s="83">
        <f t="shared" si="435"/>
        <v>0</v>
      </c>
      <c r="X527" s="781">
        <f t="shared" si="436"/>
        <v>0</v>
      </c>
      <c r="Y527" s="781">
        <f t="shared" si="437"/>
        <v>0</v>
      </c>
      <c r="Z527" s="781">
        <f t="shared" si="438"/>
        <v>0</v>
      </c>
      <c r="AA527" s="83">
        <f t="shared" si="431"/>
        <v>0</v>
      </c>
      <c r="AB527" s="83">
        <f t="shared" si="439"/>
        <v>0</v>
      </c>
      <c r="AC527" s="83">
        <f t="shared" si="440"/>
        <v>0</v>
      </c>
      <c r="AD527" s="83">
        <f t="shared" si="441"/>
        <v>0</v>
      </c>
      <c r="AE527" s="83">
        <f t="shared" si="442"/>
        <v>0</v>
      </c>
      <c r="AF527" s="83">
        <f t="shared" si="443"/>
        <v>0</v>
      </c>
      <c r="AG527" s="83">
        <f t="shared" si="444"/>
        <v>0</v>
      </c>
      <c r="AH527" s="83">
        <f t="shared" si="445"/>
        <v>0</v>
      </c>
      <c r="AI527" s="83">
        <f t="shared" si="446"/>
        <v>0</v>
      </c>
      <c r="AJ527" s="718">
        <f t="shared" si="447"/>
        <v>0</v>
      </c>
      <c r="AL527">
        <f t="shared" si="448"/>
        <v>0</v>
      </c>
      <c r="AM527">
        <f t="shared" si="449"/>
        <v>0</v>
      </c>
    </row>
    <row r="528" spans="1:39" ht="15.75" x14ac:dyDescent="0.25">
      <c r="A528" s="561"/>
      <c r="B528" s="561"/>
      <c r="C528" s="561"/>
      <c r="D528" s="672"/>
      <c r="E528" s="209"/>
      <c r="F528" s="209"/>
      <c r="G528" s="209"/>
      <c r="H528" s="176">
        <f t="shared" si="427"/>
        <v>0</v>
      </c>
      <c r="I528" s="209"/>
      <c r="J528" s="209"/>
      <c r="K528" s="176">
        <f t="shared" si="428"/>
        <v>0</v>
      </c>
      <c r="L528" s="209"/>
      <c r="M528" s="177">
        <f t="shared" si="429"/>
        <v>0</v>
      </c>
      <c r="N528" s="1012"/>
      <c r="O528" s="1012"/>
      <c r="P528" s="485"/>
      <c r="Q528" s="778"/>
      <c r="R528" s="778"/>
      <c r="S528" s="785" t="str">
        <f t="shared" si="432"/>
        <v/>
      </c>
      <c r="T528" s="548" t="str">
        <f t="shared" si="430"/>
        <v>Sheet Metal Takeoff</v>
      </c>
      <c r="U528" s="83">
        <f t="shared" si="433"/>
        <v>0</v>
      </c>
      <c r="V528" s="83">
        <f t="shared" si="434"/>
        <v>0</v>
      </c>
      <c r="W528" s="83">
        <f t="shared" si="435"/>
        <v>0</v>
      </c>
      <c r="X528" s="781">
        <f t="shared" si="436"/>
        <v>0</v>
      </c>
      <c r="Y528" s="781">
        <f t="shared" si="437"/>
        <v>0</v>
      </c>
      <c r="Z528" s="781">
        <f t="shared" si="438"/>
        <v>0</v>
      </c>
      <c r="AA528" s="83">
        <f t="shared" si="431"/>
        <v>0</v>
      </c>
      <c r="AB528" s="83">
        <f t="shared" si="439"/>
        <v>0</v>
      </c>
      <c r="AC528" s="83">
        <f t="shared" si="440"/>
        <v>0</v>
      </c>
      <c r="AD528" s="83">
        <f t="shared" si="441"/>
        <v>0</v>
      </c>
      <c r="AE528" s="83">
        <f t="shared" si="442"/>
        <v>0</v>
      </c>
      <c r="AF528" s="83">
        <f t="shared" si="443"/>
        <v>0</v>
      </c>
      <c r="AG528" s="83">
        <f t="shared" si="444"/>
        <v>0</v>
      </c>
      <c r="AH528" s="83">
        <f t="shared" si="445"/>
        <v>0</v>
      </c>
      <c r="AI528" s="83">
        <f t="shared" si="446"/>
        <v>0</v>
      </c>
      <c r="AJ528" s="718">
        <f t="shared" si="447"/>
        <v>0</v>
      </c>
      <c r="AL528">
        <f t="shared" si="448"/>
        <v>0</v>
      </c>
      <c r="AM528">
        <f t="shared" si="449"/>
        <v>0</v>
      </c>
    </row>
    <row r="529" spans="1:39" ht="15.75" x14ac:dyDescent="0.25">
      <c r="A529" s="561"/>
      <c r="B529" s="561"/>
      <c r="C529" s="561"/>
      <c r="D529" s="672"/>
      <c r="E529" s="209"/>
      <c r="F529" s="209"/>
      <c r="G529" s="209"/>
      <c r="H529" s="176">
        <f t="shared" si="427"/>
        <v>0</v>
      </c>
      <c r="I529" s="209"/>
      <c r="J529" s="209"/>
      <c r="K529" s="176">
        <f t="shared" si="428"/>
        <v>0</v>
      </c>
      <c r="L529" s="209"/>
      <c r="M529" s="177">
        <f t="shared" si="429"/>
        <v>0</v>
      </c>
      <c r="N529" s="1012"/>
      <c r="O529" s="1012"/>
      <c r="P529" s="485"/>
      <c r="Q529" s="778"/>
      <c r="R529" s="778"/>
      <c r="S529" s="785" t="str">
        <f t="shared" si="432"/>
        <v/>
      </c>
      <c r="T529" s="548" t="str">
        <f t="shared" si="430"/>
        <v>Sheet Metal Takeoff</v>
      </c>
      <c r="U529" s="83">
        <f t="shared" si="433"/>
        <v>0</v>
      </c>
      <c r="V529" s="83">
        <f t="shared" si="434"/>
        <v>0</v>
      </c>
      <c r="W529" s="83">
        <f t="shared" si="435"/>
        <v>0</v>
      </c>
      <c r="X529" s="781">
        <f t="shared" si="436"/>
        <v>0</v>
      </c>
      <c r="Y529" s="781">
        <f t="shared" si="437"/>
        <v>0</v>
      </c>
      <c r="Z529" s="781">
        <f t="shared" si="438"/>
        <v>0</v>
      </c>
      <c r="AA529" s="83">
        <f t="shared" si="431"/>
        <v>0</v>
      </c>
      <c r="AB529" s="83">
        <f t="shared" si="439"/>
        <v>0</v>
      </c>
      <c r="AC529" s="83">
        <f t="shared" si="440"/>
        <v>0</v>
      </c>
      <c r="AD529" s="83">
        <f t="shared" si="441"/>
        <v>0</v>
      </c>
      <c r="AE529" s="83">
        <f t="shared" si="442"/>
        <v>0</v>
      </c>
      <c r="AF529" s="83">
        <f t="shared" si="443"/>
        <v>0</v>
      </c>
      <c r="AG529" s="83">
        <f t="shared" si="444"/>
        <v>0</v>
      </c>
      <c r="AH529" s="83">
        <f t="shared" si="445"/>
        <v>0</v>
      </c>
      <c r="AI529" s="83">
        <f t="shared" si="446"/>
        <v>0</v>
      </c>
      <c r="AJ529" s="718">
        <f t="shared" si="447"/>
        <v>0</v>
      </c>
      <c r="AL529">
        <f t="shared" si="448"/>
        <v>0</v>
      </c>
      <c r="AM529">
        <f t="shared" si="449"/>
        <v>0</v>
      </c>
    </row>
    <row r="530" spans="1:39" ht="15.75" x14ac:dyDescent="0.25">
      <c r="A530" s="561"/>
      <c r="B530" s="561"/>
      <c r="C530" s="561"/>
      <c r="D530" s="672"/>
      <c r="E530" s="209"/>
      <c r="F530" s="209"/>
      <c r="G530" s="209"/>
      <c r="H530" s="176">
        <f t="shared" si="427"/>
        <v>0</v>
      </c>
      <c r="I530" s="209"/>
      <c r="J530" s="209"/>
      <c r="K530" s="176">
        <f t="shared" si="428"/>
        <v>0</v>
      </c>
      <c r="L530" s="209"/>
      <c r="M530" s="177">
        <f t="shared" si="429"/>
        <v>0</v>
      </c>
      <c r="N530" s="1012"/>
      <c r="O530" s="1012"/>
      <c r="P530" s="485"/>
      <c r="Q530" s="778"/>
      <c r="R530" s="778"/>
      <c r="S530" s="785" t="str">
        <f t="shared" si="432"/>
        <v/>
      </c>
      <c r="T530" s="548" t="str">
        <f t="shared" si="430"/>
        <v>Sheet Metal Takeoff</v>
      </c>
      <c r="U530" s="83">
        <f t="shared" si="433"/>
        <v>0</v>
      </c>
      <c r="V530" s="83">
        <f t="shared" si="434"/>
        <v>0</v>
      </c>
      <c r="W530" s="83">
        <f t="shared" si="435"/>
        <v>0</v>
      </c>
      <c r="X530" s="781">
        <f t="shared" si="436"/>
        <v>0</v>
      </c>
      <c r="Y530" s="781">
        <f t="shared" si="437"/>
        <v>0</v>
      </c>
      <c r="Z530" s="781">
        <f t="shared" si="438"/>
        <v>0</v>
      </c>
      <c r="AA530" s="83">
        <f t="shared" si="431"/>
        <v>0</v>
      </c>
      <c r="AB530" s="83">
        <f t="shared" si="439"/>
        <v>0</v>
      </c>
      <c r="AC530" s="83">
        <f t="shared" si="440"/>
        <v>0</v>
      </c>
      <c r="AD530" s="83">
        <f t="shared" si="441"/>
        <v>0</v>
      </c>
      <c r="AE530" s="83">
        <f t="shared" si="442"/>
        <v>0</v>
      </c>
      <c r="AF530" s="83">
        <f t="shared" si="443"/>
        <v>0</v>
      </c>
      <c r="AG530" s="83">
        <f t="shared" si="444"/>
        <v>0</v>
      </c>
      <c r="AH530" s="83">
        <f t="shared" si="445"/>
        <v>0</v>
      </c>
      <c r="AI530" s="83">
        <f t="shared" si="446"/>
        <v>0</v>
      </c>
      <c r="AJ530" s="718">
        <f t="shared" si="447"/>
        <v>0</v>
      </c>
      <c r="AL530">
        <f t="shared" si="448"/>
        <v>0</v>
      </c>
      <c r="AM530">
        <f t="shared" si="449"/>
        <v>0</v>
      </c>
    </row>
    <row r="531" spans="1:39" ht="15.75" x14ac:dyDescent="0.25">
      <c r="A531" s="561"/>
      <c r="B531" s="561"/>
      <c r="C531" s="561"/>
      <c r="D531" s="672"/>
      <c r="E531" s="209"/>
      <c r="F531" s="209"/>
      <c r="G531" s="209"/>
      <c r="H531" s="176">
        <f t="shared" si="427"/>
        <v>0</v>
      </c>
      <c r="I531" s="209"/>
      <c r="J531" s="209"/>
      <c r="K531" s="176">
        <f t="shared" si="428"/>
        <v>0</v>
      </c>
      <c r="L531" s="209"/>
      <c r="M531" s="177">
        <f t="shared" si="429"/>
        <v>0</v>
      </c>
      <c r="N531" s="1012"/>
      <c r="O531" s="1012"/>
      <c r="P531" s="485"/>
      <c r="Q531" s="778"/>
      <c r="R531" s="778"/>
      <c r="S531" s="785" t="str">
        <f t="shared" si="432"/>
        <v/>
      </c>
      <c r="T531" s="548" t="str">
        <f t="shared" si="430"/>
        <v>Sheet Metal Takeoff</v>
      </c>
      <c r="U531" s="83">
        <f t="shared" si="433"/>
        <v>0</v>
      </c>
      <c r="V531" s="83">
        <f t="shared" si="434"/>
        <v>0</v>
      </c>
      <c r="W531" s="83">
        <f t="shared" si="435"/>
        <v>0</v>
      </c>
      <c r="X531" s="781">
        <f t="shared" si="436"/>
        <v>0</v>
      </c>
      <c r="Y531" s="781">
        <f t="shared" si="437"/>
        <v>0</v>
      </c>
      <c r="Z531" s="781">
        <f t="shared" si="438"/>
        <v>0</v>
      </c>
      <c r="AA531" s="83">
        <f t="shared" si="431"/>
        <v>0</v>
      </c>
      <c r="AB531" s="83">
        <f t="shared" si="439"/>
        <v>0</v>
      </c>
      <c r="AC531" s="83">
        <f t="shared" si="440"/>
        <v>0</v>
      </c>
      <c r="AD531" s="83">
        <f t="shared" si="441"/>
        <v>0</v>
      </c>
      <c r="AE531" s="83">
        <f t="shared" si="442"/>
        <v>0</v>
      </c>
      <c r="AF531" s="83">
        <f t="shared" si="443"/>
        <v>0</v>
      </c>
      <c r="AG531" s="83">
        <f t="shared" si="444"/>
        <v>0</v>
      </c>
      <c r="AH531" s="83">
        <f t="shared" si="445"/>
        <v>0</v>
      </c>
      <c r="AI531" s="83">
        <f t="shared" si="446"/>
        <v>0</v>
      </c>
      <c r="AJ531" s="718">
        <f t="shared" si="447"/>
        <v>0</v>
      </c>
      <c r="AL531">
        <f t="shared" si="448"/>
        <v>0</v>
      </c>
      <c r="AM531">
        <f t="shared" si="449"/>
        <v>0</v>
      </c>
    </row>
    <row r="532" spans="1:39" ht="15.75" x14ac:dyDescent="0.25">
      <c r="A532" s="561"/>
      <c r="B532" s="561"/>
      <c r="C532" s="561"/>
      <c r="D532" s="672"/>
      <c r="E532" s="209"/>
      <c r="F532" s="209"/>
      <c r="G532" s="209"/>
      <c r="H532" s="176">
        <f t="shared" si="427"/>
        <v>0</v>
      </c>
      <c r="I532" s="209"/>
      <c r="J532" s="209"/>
      <c r="K532" s="176">
        <f t="shared" si="428"/>
        <v>0</v>
      </c>
      <c r="L532" s="209"/>
      <c r="M532" s="177">
        <f t="shared" si="429"/>
        <v>0</v>
      </c>
      <c r="N532" s="1012"/>
      <c r="O532" s="1012"/>
      <c r="P532" s="485"/>
      <c r="Q532" s="778"/>
      <c r="R532" s="778"/>
      <c r="S532" s="785" t="str">
        <f t="shared" si="432"/>
        <v/>
      </c>
      <c r="T532" s="548" t="str">
        <f t="shared" si="430"/>
        <v>Sheet Metal Takeoff</v>
      </c>
      <c r="U532" s="83">
        <f t="shared" si="433"/>
        <v>0</v>
      </c>
      <c r="V532" s="83">
        <f t="shared" si="434"/>
        <v>0</v>
      </c>
      <c r="W532" s="83">
        <f t="shared" si="435"/>
        <v>0</v>
      </c>
      <c r="X532" s="781">
        <f t="shared" si="436"/>
        <v>0</v>
      </c>
      <c r="Y532" s="781">
        <f t="shared" si="437"/>
        <v>0</v>
      </c>
      <c r="Z532" s="781">
        <f t="shared" si="438"/>
        <v>0</v>
      </c>
      <c r="AA532" s="83">
        <f t="shared" si="431"/>
        <v>0</v>
      </c>
      <c r="AB532" s="83">
        <f t="shared" si="439"/>
        <v>0</v>
      </c>
      <c r="AC532" s="83">
        <f t="shared" si="440"/>
        <v>0</v>
      </c>
      <c r="AD532" s="83">
        <f t="shared" si="441"/>
        <v>0</v>
      </c>
      <c r="AE532" s="83">
        <f t="shared" si="442"/>
        <v>0</v>
      </c>
      <c r="AF532" s="83">
        <f t="shared" si="443"/>
        <v>0</v>
      </c>
      <c r="AG532" s="83">
        <f t="shared" si="444"/>
        <v>0</v>
      </c>
      <c r="AH532" s="83">
        <f t="shared" si="445"/>
        <v>0</v>
      </c>
      <c r="AI532" s="83">
        <f t="shared" si="446"/>
        <v>0</v>
      </c>
      <c r="AJ532" s="718">
        <f t="shared" si="447"/>
        <v>0</v>
      </c>
      <c r="AL532">
        <f t="shared" si="448"/>
        <v>0</v>
      </c>
      <c r="AM532">
        <f t="shared" si="449"/>
        <v>0</v>
      </c>
    </row>
    <row r="533" spans="1:39" ht="15.75" x14ac:dyDescent="0.25">
      <c r="A533" s="561"/>
      <c r="B533" s="561"/>
      <c r="C533" s="561"/>
      <c r="D533" s="672"/>
      <c r="E533" s="209"/>
      <c r="F533" s="209"/>
      <c r="G533" s="209"/>
      <c r="H533" s="176">
        <f t="shared" si="427"/>
        <v>0</v>
      </c>
      <c r="I533" s="209"/>
      <c r="J533" s="209"/>
      <c r="K533" s="176">
        <f t="shared" si="428"/>
        <v>0</v>
      </c>
      <c r="L533" s="209"/>
      <c r="M533" s="177">
        <f t="shared" si="429"/>
        <v>0</v>
      </c>
      <c r="N533" s="1012"/>
      <c r="O533" s="1012"/>
      <c r="P533" s="485"/>
      <c r="Q533" s="778"/>
      <c r="R533" s="778"/>
      <c r="S533" s="785" t="str">
        <f t="shared" si="432"/>
        <v/>
      </c>
      <c r="T533" s="548" t="str">
        <f t="shared" si="430"/>
        <v>Sheet Metal Takeoff</v>
      </c>
      <c r="U533" s="83">
        <f t="shared" si="433"/>
        <v>0</v>
      </c>
      <c r="V533" s="83">
        <f t="shared" si="434"/>
        <v>0</v>
      </c>
      <c r="W533" s="83">
        <f t="shared" si="435"/>
        <v>0</v>
      </c>
      <c r="X533" s="781">
        <f t="shared" si="436"/>
        <v>0</v>
      </c>
      <c r="Y533" s="781">
        <f t="shared" si="437"/>
        <v>0</v>
      </c>
      <c r="Z533" s="781">
        <f t="shared" si="438"/>
        <v>0</v>
      </c>
      <c r="AA533" s="83">
        <f t="shared" si="431"/>
        <v>0</v>
      </c>
      <c r="AB533" s="83">
        <f t="shared" si="439"/>
        <v>0</v>
      </c>
      <c r="AC533" s="83">
        <f t="shared" si="440"/>
        <v>0</v>
      </c>
      <c r="AD533" s="83">
        <f t="shared" si="441"/>
        <v>0</v>
      </c>
      <c r="AE533" s="83">
        <f t="shared" si="442"/>
        <v>0</v>
      </c>
      <c r="AF533" s="83">
        <f t="shared" si="443"/>
        <v>0</v>
      </c>
      <c r="AG533" s="83">
        <f t="shared" si="444"/>
        <v>0</v>
      </c>
      <c r="AH533" s="83">
        <f t="shared" si="445"/>
        <v>0</v>
      </c>
      <c r="AI533" s="83">
        <f t="shared" si="446"/>
        <v>0</v>
      </c>
      <c r="AJ533" s="718">
        <f t="shared" si="447"/>
        <v>0</v>
      </c>
      <c r="AL533">
        <f t="shared" si="448"/>
        <v>0</v>
      </c>
      <c r="AM533">
        <f t="shared" si="449"/>
        <v>0</v>
      </c>
    </row>
    <row r="534" spans="1:39" ht="15.75" x14ac:dyDescent="0.25">
      <c r="A534" s="561"/>
      <c r="B534" s="561"/>
      <c r="C534" s="561"/>
      <c r="D534" s="672"/>
      <c r="E534" s="209"/>
      <c r="F534" s="209"/>
      <c r="G534" s="209"/>
      <c r="H534" s="176">
        <f t="shared" si="427"/>
        <v>0</v>
      </c>
      <c r="I534" s="209"/>
      <c r="J534" s="209"/>
      <c r="K534" s="176">
        <f t="shared" si="428"/>
        <v>0</v>
      </c>
      <c r="L534" s="209"/>
      <c r="M534" s="177">
        <f t="shared" si="429"/>
        <v>0</v>
      </c>
      <c r="N534" s="1012"/>
      <c r="O534" s="1012"/>
      <c r="P534" s="485"/>
      <c r="Q534" s="778"/>
      <c r="R534" s="778"/>
      <c r="S534" s="785" t="str">
        <f t="shared" si="432"/>
        <v/>
      </c>
      <c r="T534" s="548" t="str">
        <f t="shared" si="430"/>
        <v>Sheet Metal Takeoff</v>
      </c>
      <c r="U534" s="83">
        <f t="shared" si="433"/>
        <v>0</v>
      </c>
      <c r="V534" s="83">
        <f t="shared" si="434"/>
        <v>0</v>
      </c>
      <c r="W534" s="83">
        <f t="shared" si="435"/>
        <v>0</v>
      </c>
      <c r="X534" s="781">
        <f t="shared" si="436"/>
        <v>0</v>
      </c>
      <c r="Y534" s="781">
        <f t="shared" si="437"/>
        <v>0</v>
      </c>
      <c r="Z534" s="781">
        <f t="shared" si="438"/>
        <v>0</v>
      </c>
      <c r="AA534" s="83">
        <f t="shared" si="431"/>
        <v>0</v>
      </c>
      <c r="AB534" s="83">
        <f t="shared" si="439"/>
        <v>0</v>
      </c>
      <c r="AC534" s="83">
        <f t="shared" si="440"/>
        <v>0</v>
      </c>
      <c r="AD534" s="83">
        <f t="shared" si="441"/>
        <v>0</v>
      </c>
      <c r="AE534" s="83">
        <f t="shared" si="442"/>
        <v>0</v>
      </c>
      <c r="AF534" s="83">
        <f t="shared" si="443"/>
        <v>0</v>
      </c>
      <c r="AG534" s="83">
        <f t="shared" si="444"/>
        <v>0</v>
      </c>
      <c r="AH534" s="83">
        <f t="shared" si="445"/>
        <v>0</v>
      </c>
      <c r="AI534" s="83">
        <f t="shared" si="446"/>
        <v>0</v>
      </c>
      <c r="AJ534" s="718">
        <f t="shared" si="447"/>
        <v>0</v>
      </c>
      <c r="AL534">
        <f t="shared" si="448"/>
        <v>0</v>
      </c>
      <c r="AM534">
        <f t="shared" si="449"/>
        <v>0</v>
      </c>
    </row>
    <row r="535" spans="1:39" ht="15.75" x14ac:dyDescent="0.25">
      <c r="A535" s="561"/>
      <c r="B535" s="561"/>
      <c r="C535" s="561"/>
      <c r="D535" s="672"/>
      <c r="E535" s="209"/>
      <c r="F535" s="209"/>
      <c r="G535" s="209"/>
      <c r="H535" s="176">
        <f t="shared" si="427"/>
        <v>0</v>
      </c>
      <c r="I535" s="209"/>
      <c r="J535" s="209"/>
      <c r="K535" s="176">
        <f t="shared" si="428"/>
        <v>0</v>
      </c>
      <c r="L535" s="209"/>
      <c r="M535" s="177">
        <f t="shared" si="429"/>
        <v>0</v>
      </c>
      <c r="N535" s="1012"/>
      <c r="O535" s="1012"/>
      <c r="P535" s="485"/>
      <c r="Q535" s="778"/>
      <c r="R535" s="778"/>
      <c r="S535" s="785" t="str">
        <f t="shared" si="432"/>
        <v/>
      </c>
      <c r="T535" s="548" t="str">
        <f t="shared" si="430"/>
        <v>Sheet Metal Takeoff</v>
      </c>
      <c r="U535" s="83">
        <f t="shared" si="433"/>
        <v>0</v>
      </c>
      <c r="V535" s="83">
        <f t="shared" si="434"/>
        <v>0</v>
      </c>
      <c r="W535" s="83">
        <f t="shared" si="435"/>
        <v>0</v>
      </c>
      <c r="X535" s="781">
        <f t="shared" si="436"/>
        <v>0</v>
      </c>
      <c r="Y535" s="781">
        <f t="shared" si="437"/>
        <v>0</v>
      </c>
      <c r="Z535" s="781">
        <f t="shared" si="438"/>
        <v>0</v>
      </c>
      <c r="AA535" s="83">
        <f t="shared" si="431"/>
        <v>0</v>
      </c>
      <c r="AB535" s="83">
        <f t="shared" si="439"/>
        <v>0</v>
      </c>
      <c r="AC535" s="83">
        <f t="shared" si="440"/>
        <v>0</v>
      </c>
      <c r="AD535" s="83">
        <f t="shared" si="441"/>
        <v>0</v>
      </c>
      <c r="AE535" s="83">
        <f t="shared" si="442"/>
        <v>0</v>
      </c>
      <c r="AF535" s="83">
        <f t="shared" si="443"/>
        <v>0</v>
      </c>
      <c r="AG535" s="83">
        <f t="shared" si="444"/>
        <v>0</v>
      </c>
      <c r="AH535" s="83">
        <f t="shared" si="445"/>
        <v>0</v>
      </c>
      <c r="AI535" s="83">
        <f t="shared" si="446"/>
        <v>0</v>
      </c>
      <c r="AJ535" s="718">
        <f t="shared" si="447"/>
        <v>0</v>
      </c>
      <c r="AL535">
        <f t="shared" si="448"/>
        <v>0</v>
      </c>
      <c r="AM535">
        <f t="shared" si="449"/>
        <v>0</v>
      </c>
    </row>
    <row r="536" spans="1:39" ht="15.75" x14ac:dyDescent="0.25">
      <c r="A536" s="561"/>
      <c r="B536" s="561"/>
      <c r="C536" s="561"/>
      <c r="D536" s="672"/>
      <c r="E536" s="209"/>
      <c r="F536" s="209"/>
      <c r="G536" s="209"/>
      <c r="H536" s="176">
        <f t="shared" si="427"/>
        <v>0</v>
      </c>
      <c r="I536" s="209"/>
      <c r="J536" s="209"/>
      <c r="K536" s="176">
        <f t="shared" si="428"/>
        <v>0</v>
      </c>
      <c r="L536" s="209"/>
      <c r="M536" s="177">
        <f t="shared" si="429"/>
        <v>0</v>
      </c>
      <c r="N536" s="1012"/>
      <c r="O536" s="1012"/>
      <c r="P536" s="485"/>
      <c r="Q536" s="778"/>
      <c r="R536" s="778"/>
      <c r="S536" s="785" t="str">
        <f t="shared" si="432"/>
        <v/>
      </c>
      <c r="T536" s="548" t="str">
        <f t="shared" si="430"/>
        <v>Sheet Metal Takeoff</v>
      </c>
      <c r="U536" s="83">
        <f t="shared" si="433"/>
        <v>0</v>
      </c>
      <c r="V536" s="83">
        <f t="shared" si="434"/>
        <v>0</v>
      </c>
      <c r="W536" s="83">
        <f t="shared" si="435"/>
        <v>0</v>
      </c>
      <c r="X536" s="781">
        <f t="shared" si="436"/>
        <v>0</v>
      </c>
      <c r="Y536" s="781">
        <f t="shared" si="437"/>
        <v>0</v>
      </c>
      <c r="Z536" s="781">
        <f t="shared" si="438"/>
        <v>0</v>
      </c>
      <c r="AA536" s="83">
        <f t="shared" si="431"/>
        <v>0</v>
      </c>
      <c r="AB536" s="83">
        <f t="shared" si="439"/>
        <v>0</v>
      </c>
      <c r="AC536" s="83">
        <f t="shared" si="440"/>
        <v>0</v>
      </c>
      <c r="AD536" s="83">
        <f t="shared" si="441"/>
        <v>0</v>
      </c>
      <c r="AE536" s="83">
        <f t="shared" si="442"/>
        <v>0</v>
      </c>
      <c r="AF536" s="83">
        <f t="shared" si="443"/>
        <v>0</v>
      </c>
      <c r="AG536" s="83">
        <f t="shared" si="444"/>
        <v>0</v>
      </c>
      <c r="AH536" s="83">
        <f t="shared" si="445"/>
        <v>0</v>
      </c>
      <c r="AI536" s="83">
        <f t="shared" si="446"/>
        <v>0</v>
      </c>
      <c r="AJ536" s="718">
        <f t="shared" si="447"/>
        <v>0</v>
      </c>
      <c r="AL536">
        <f t="shared" si="448"/>
        <v>0</v>
      </c>
      <c r="AM536">
        <f t="shared" si="449"/>
        <v>0</v>
      </c>
    </row>
    <row r="537" spans="1:39" ht="15.75" x14ac:dyDescent="0.25">
      <c r="A537" s="561"/>
      <c r="B537" s="561"/>
      <c r="C537" s="561"/>
      <c r="D537" s="672"/>
      <c r="E537" s="209"/>
      <c r="F537" s="209"/>
      <c r="G537" s="209"/>
      <c r="H537" s="176">
        <f t="shared" si="427"/>
        <v>0</v>
      </c>
      <c r="I537" s="209"/>
      <c r="J537" s="209"/>
      <c r="K537" s="176">
        <f t="shared" si="428"/>
        <v>0</v>
      </c>
      <c r="L537" s="209"/>
      <c r="M537" s="177">
        <f t="shared" si="429"/>
        <v>0</v>
      </c>
      <c r="N537" s="1012"/>
      <c r="O537" s="1012"/>
      <c r="P537" s="485"/>
      <c r="Q537" s="778"/>
      <c r="R537" s="778"/>
      <c r="S537" s="785" t="str">
        <f t="shared" si="432"/>
        <v/>
      </c>
      <c r="T537" s="548" t="str">
        <f t="shared" si="430"/>
        <v>Sheet Metal Takeoff</v>
      </c>
      <c r="U537" s="83">
        <f t="shared" si="433"/>
        <v>0</v>
      </c>
      <c r="V537" s="83">
        <f t="shared" si="434"/>
        <v>0</v>
      </c>
      <c r="W537" s="83">
        <f t="shared" si="435"/>
        <v>0</v>
      </c>
      <c r="X537" s="781">
        <f t="shared" si="436"/>
        <v>0</v>
      </c>
      <c r="Y537" s="781">
        <f t="shared" si="437"/>
        <v>0</v>
      </c>
      <c r="Z537" s="781">
        <f t="shared" si="438"/>
        <v>0</v>
      </c>
      <c r="AA537" s="83">
        <f t="shared" si="431"/>
        <v>0</v>
      </c>
      <c r="AB537" s="83">
        <f t="shared" si="439"/>
        <v>0</v>
      </c>
      <c r="AC537" s="83">
        <f t="shared" si="440"/>
        <v>0</v>
      </c>
      <c r="AD537" s="83">
        <f t="shared" si="441"/>
        <v>0</v>
      </c>
      <c r="AE537" s="83">
        <f t="shared" si="442"/>
        <v>0</v>
      </c>
      <c r="AF537" s="83">
        <f t="shared" si="443"/>
        <v>0</v>
      </c>
      <c r="AG537" s="83">
        <f t="shared" si="444"/>
        <v>0</v>
      </c>
      <c r="AH537" s="83">
        <f t="shared" si="445"/>
        <v>0</v>
      </c>
      <c r="AI537" s="83">
        <f t="shared" si="446"/>
        <v>0</v>
      </c>
      <c r="AJ537" s="718">
        <f t="shared" si="447"/>
        <v>0</v>
      </c>
      <c r="AL537">
        <f t="shared" si="448"/>
        <v>0</v>
      </c>
      <c r="AM537">
        <f t="shared" si="449"/>
        <v>0</v>
      </c>
    </row>
    <row r="538" spans="1:39" ht="15.75" x14ac:dyDescent="0.25">
      <c r="A538" s="561"/>
      <c r="B538" s="561"/>
      <c r="C538" s="561"/>
      <c r="D538" s="672"/>
      <c r="E538" s="209"/>
      <c r="F538" s="209"/>
      <c r="G538" s="209"/>
      <c r="H538" s="176">
        <f t="shared" si="427"/>
        <v>0</v>
      </c>
      <c r="I538" s="209"/>
      <c r="J538" s="209"/>
      <c r="K538" s="176">
        <f t="shared" si="428"/>
        <v>0</v>
      </c>
      <c r="L538" s="209"/>
      <c r="M538" s="177">
        <f t="shared" si="429"/>
        <v>0</v>
      </c>
      <c r="N538" s="1012"/>
      <c r="O538" s="1012"/>
      <c r="P538" s="485"/>
      <c r="Q538" s="778"/>
      <c r="R538" s="778"/>
      <c r="S538" s="785" t="str">
        <f t="shared" si="432"/>
        <v/>
      </c>
      <c r="T538" s="548" t="str">
        <f t="shared" si="430"/>
        <v>Sheet Metal Takeoff</v>
      </c>
      <c r="U538" s="83">
        <f t="shared" si="433"/>
        <v>0</v>
      </c>
      <c r="V538" s="83">
        <f t="shared" si="434"/>
        <v>0</v>
      </c>
      <c r="W538" s="83">
        <f t="shared" si="435"/>
        <v>0</v>
      </c>
      <c r="X538" s="781">
        <f t="shared" si="436"/>
        <v>0</v>
      </c>
      <c r="Y538" s="781">
        <f t="shared" si="437"/>
        <v>0</v>
      </c>
      <c r="Z538" s="781">
        <f t="shared" si="438"/>
        <v>0</v>
      </c>
      <c r="AA538" s="83">
        <f t="shared" si="431"/>
        <v>0</v>
      </c>
      <c r="AB538" s="83">
        <f t="shared" si="439"/>
        <v>0</v>
      </c>
      <c r="AC538" s="83">
        <f t="shared" si="440"/>
        <v>0</v>
      </c>
      <c r="AD538" s="83">
        <f t="shared" si="441"/>
        <v>0</v>
      </c>
      <c r="AE538" s="83">
        <f t="shared" si="442"/>
        <v>0</v>
      </c>
      <c r="AF538" s="83">
        <f t="shared" si="443"/>
        <v>0</v>
      </c>
      <c r="AG538" s="83">
        <f t="shared" si="444"/>
        <v>0</v>
      </c>
      <c r="AH538" s="83">
        <f t="shared" si="445"/>
        <v>0</v>
      </c>
      <c r="AI538" s="83">
        <f t="shared" si="446"/>
        <v>0</v>
      </c>
      <c r="AJ538" s="718">
        <f t="shared" si="447"/>
        <v>0</v>
      </c>
      <c r="AL538">
        <f t="shared" si="448"/>
        <v>0</v>
      </c>
      <c r="AM538">
        <f t="shared" si="449"/>
        <v>0</v>
      </c>
    </row>
    <row r="539" spans="1:39" ht="15.75" x14ac:dyDescent="0.25">
      <c r="A539" s="561"/>
      <c r="B539" s="561"/>
      <c r="C539" s="561"/>
      <c r="D539" s="672"/>
      <c r="E539" s="209"/>
      <c r="F539" s="209"/>
      <c r="G539" s="209"/>
      <c r="H539" s="176">
        <f t="shared" si="427"/>
        <v>0</v>
      </c>
      <c r="I539" s="209"/>
      <c r="J539" s="209"/>
      <c r="K539" s="176">
        <f t="shared" si="428"/>
        <v>0</v>
      </c>
      <c r="L539" s="209"/>
      <c r="M539" s="177">
        <f t="shared" si="429"/>
        <v>0</v>
      </c>
      <c r="N539" s="1012"/>
      <c r="O539" s="1012"/>
      <c r="P539" s="485"/>
      <c r="Q539" s="778"/>
      <c r="R539" s="778"/>
      <c r="S539" s="785" t="str">
        <f t="shared" si="432"/>
        <v/>
      </c>
      <c r="T539" s="548" t="str">
        <f t="shared" si="430"/>
        <v>Sheet Metal Takeoff</v>
      </c>
      <c r="U539" s="83">
        <f t="shared" si="433"/>
        <v>0</v>
      </c>
      <c r="V539" s="83">
        <f t="shared" si="434"/>
        <v>0</v>
      </c>
      <c r="W539" s="83">
        <f t="shared" si="435"/>
        <v>0</v>
      </c>
      <c r="X539" s="781">
        <f t="shared" si="436"/>
        <v>0</v>
      </c>
      <c r="Y539" s="781">
        <f t="shared" si="437"/>
        <v>0</v>
      </c>
      <c r="Z539" s="781">
        <f t="shared" si="438"/>
        <v>0</v>
      </c>
      <c r="AA539" s="83">
        <f t="shared" si="431"/>
        <v>0</v>
      </c>
      <c r="AB539" s="83">
        <f t="shared" si="439"/>
        <v>0</v>
      </c>
      <c r="AC539" s="83">
        <f t="shared" si="440"/>
        <v>0</v>
      </c>
      <c r="AD539" s="83">
        <f t="shared" si="441"/>
        <v>0</v>
      </c>
      <c r="AE539" s="83">
        <f t="shared" si="442"/>
        <v>0</v>
      </c>
      <c r="AF539" s="83">
        <f t="shared" si="443"/>
        <v>0</v>
      </c>
      <c r="AG539" s="83">
        <f t="shared" si="444"/>
        <v>0</v>
      </c>
      <c r="AH539" s="83">
        <f t="shared" si="445"/>
        <v>0</v>
      </c>
      <c r="AI539" s="83">
        <f t="shared" si="446"/>
        <v>0</v>
      </c>
      <c r="AJ539" s="718">
        <f t="shared" si="447"/>
        <v>0</v>
      </c>
      <c r="AL539">
        <f t="shared" si="448"/>
        <v>0</v>
      </c>
      <c r="AM539">
        <f t="shared" si="449"/>
        <v>0</v>
      </c>
    </row>
    <row r="540" spans="1:39" ht="15.75" hidden="1" customHeight="1" x14ac:dyDescent="0.25">
      <c r="A540" s="561"/>
      <c r="B540" s="561"/>
      <c r="C540" s="561"/>
      <c r="D540" s="672"/>
      <c r="E540" s="209"/>
      <c r="F540" s="209"/>
      <c r="G540" s="209"/>
      <c r="H540" s="176">
        <f t="shared" si="427"/>
        <v>0</v>
      </c>
      <c r="I540" s="209"/>
      <c r="J540" s="209"/>
      <c r="K540" s="176">
        <f t="shared" si="428"/>
        <v>0</v>
      </c>
      <c r="L540" s="209"/>
      <c r="M540" s="177">
        <f t="shared" si="429"/>
        <v>0</v>
      </c>
      <c r="N540" s="1012"/>
      <c r="O540" s="1012"/>
      <c r="P540" s="485"/>
      <c r="Q540" s="778"/>
      <c r="R540" s="778"/>
      <c r="S540" s="785" t="str">
        <f t="shared" si="432"/>
        <v/>
      </c>
      <c r="T540" s="548" t="str">
        <f t="shared" si="430"/>
        <v>Sheet Metal Takeoff</v>
      </c>
      <c r="U540" s="83">
        <f>ROUND(IF($T540="Plumb Takeoff",$H540*U$3,IF($T540="Pipe Takeoff",$H540*U$4,$H540*U$2)),2)</f>
        <v>0</v>
      </c>
      <c r="V540" s="83">
        <f t="shared" si="434"/>
        <v>0</v>
      </c>
      <c r="W540" s="83">
        <f t="shared" si="435"/>
        <v>0</v>
      </c>
      <c r="X540" s="781">
        <f t="shared" si="436"/>
        <v>0</v>
      </c>
      <c r="Y540" s="781">
        <f t="shared" si="437"/>
        <v>0</v>
      </c>
      <c r="Z540" s="781">
        <f t="shared" si="438"/>
        <v>0</v>
      </c>
      <c r="AA540" s="83">
        <f t="shared" si="431"/>
        <v>0</v>
      </c>
      <c r="AB540" s="83">
        <f t="shared" si="439"/>
        <v>0</v>
      </c>
      <c r="AC540" s="83">
        <f t="shared" si="440"/>
        <v>0</v>
      </c>
      <c r="AD540" s="83">
        <f t="shared" si="441"/>
        <v>0</v>
      </c>
      <c r="AE540" s="83">
        <f t="shared" si="442"/>
        <v>0</v>
      </c>
      <c r="AF540" s="83">
        <f t="shared" si="443"/>
        <v>0</v>
      </c>
      <c r="AG540" s="83">
        <f t="shared" si="444"/>
        <v>0</v>
      </c>
      <c r="AH540" s="83">
        <f t="shared" si="445"/>
        <v>0</v>
      </c>
      <c r="AI540" s="83">
        <f t="shared" si="446"/>
        <v>0</v>
      </c>
      <c r="AJ540" s="718">
        <f t="shared" si="447"/>
        <v>0</v>
      </c>
      <c r="AL540">
        <f t="shared" si="448"/>
        <v>0</v>
      </c>
      <c r="AM540">
        <f t="shared" si="449"/>
        <v>0</v>
      </c>
    </row>
    <row r="541" spans="1:39" ht="15.75" x14ac:dyDescent="0.25">
      <c r="A541" s="551"/>
      <c r="B541" s="551"/>
      <c r="C541" s="551"/>
      <c r="D541" s="673"/>
      <c r="E541" s="552"/>
      <c r="F541" s="553"/>
      <c r="G541" s="553"/>
      <c r="H541" s="181">
        <f>SUM(H515:H540)</f>
        <v>0</v>
      </c>
      <c r="I541" s="182"/>
      <c r="J541" s="182"/>
      <c r="K541" s="181">
        <f>SUM(K515:K540)</f>
        <v>0</v>
      </c>
      <c r="L541" s="182"/>
      <c r="M541" s="177">
        <f>SUM(M515:M540)</f>
        <v>0</v>
      </c>
      <c r="O541" s="486"/>
      <c r="AJ541" s="718"/>
    </row>
    <row r="542" spans="1:39" ht="15.75" thickBot="1" x14ac:dyDescent="0.3">
      <c r="AJ542" s="718"/>
    </row>
    <row r="543" spans="1:39" ht="16.5" thickBot="1" x14ac:dyDescent="0.3">
      <c r="E543" s="678" t="s">
        <v>1122</v>
      </c>
      <c r="F543" s="1017" t="s">
        <v>1630</v>
      </c>
      <c r="G543" s="1018"/>
      <c r="H543" s="344"/>
      <c r="I543" s="1019" t="s">
        <v>1628</v>
      </c>
      <c r="J543" s="1020"/>
      <c r="K543" s="679" t="b">
        <v>0</v>
      </c>
      <c r="AJ543" s="718"/>
    </row>
    <row r="544" spans="1:39" ht="38.25" thickBot="1" x14ac:dyDescent="0.35">
      <c r="A544" s="477" t="s">
        <v>1063</v>
      </c>
      <c r="B544" s="477" t="s">
        <v>348</v>
      </c>
      <c r="C544" s="477" t="s">
        <v>349</v>
      </c>
      <c r="D544" s="666" t="s">
        <v>0</v>
      </c>
      <c r="E544" s="477" t="s">
        <v>1</v>
      </c>
      <c r="F544" s="480" t="s">
        <v>2</v>
      </c>
      <c r="G544" s="480" t="s">
        <v>1123</v>
      </c>
      <c r="H544" s="480" t="s">
        <v>3</v>
      </c>
      <c r="I544" s="483" t="s">
        <v>4</v>
      </c>
      <c r="J544" s="480" t="s">
        <v>1124</v>
      </c>
      <c r="K544" s="680" t="s">
        <v>5</v>
      </c>
      <c r="L544" s="480" t="s">
        <v>6</v>
      </c>
      <c r="M544" s="484" t="s">
        <v>7</v>
      </c>
      <c r="N544" s="1013" t="s">
        <v>1079</v>
      </c>
      <c r="O544" s="1014"/>
      <c r="P544" s="1009" t="s">
        <v>1629</v>
      </c>
      <c r="Q544" s="1009" t="s">
        <v>1147</v>
      </c>
      <c r="R544" s="1009" t="s">
        <v>1792</v>
      </c>
      <c r="T544" s="2"/>
      <c r="AJ544" s="718"/>
    </row>
    <row r="545" spans="1:39" ht="16.5" thickBot="1" x14ac:dyDescent="0.3">
      <c r="A545" s="183"/>
      <c r="B545" s="183"/>
      <c r="C545" s="183"/>
      <c r="D545" s="671"/>
      <c r="E545" s="183"/>
      <c r="F545" s="183"/>
      <c r="G545" s="183"/>
      <c r="H545" s="183"/>
      <c r="I545" s="183"/>
      <c r="J545" s="183"/>
      <c r="K545" s="183"/>
      <c r="L545" s="183"/>
      <c r="M545" s="183"/>
      <c r="N545" s="1015"/>
      <c r="O545" s="1016"/>
      <c r="P545" s="1010" t="s">
        <v>1362</v>
      </c>
      <c r="Q545" s="1010"/>
      <c r="R545" s="1010"/>
      <c r="T545" s="1"/>
      <c r="AJ545" s="718"/>
    </row>
    <row r="546" spans="1:39" ht="15.75" x14ac:dyDescent="0.25">
      <c r="A546" s="561"/>
      <c r="B546" s="561"/>
      <c r="C546" s="561"/>
      <c r="D546" s="672"/>
      <c r="E546" s="209"/>
      <c r="F546" s="209"/>
      <c r="G546" s="209"/>
      <c r="H546" s="176">
        <f t="shared" ref="H546:H571" si="450">IF(SM_ExludeGroup17=TRUE,0,IF(G546="",E546*F546*IF(AND(S546="LOP",R546="SWING"),1+CrewRate_PlumbFitter_SwingLOP,1)*IF(AND(S546="LOP",R546="GRAVE"),1+CrewRate_PlumbFitter_GraveLOP,1)*IF(AND(S546="LOP",R546="SPECIAL"),1+CrewRate_PlumbFitter_SwingLOP,1),E546*F546*G546*IF(AND(S546="LOP",R546="SWING"),1+CrewRate_PlumbFitter_SwingLOP,1)*IF(AND(S546="LOP",R546="GRAVE"),1+CrewRate_PlumbFitter_GraveLOP,1)*IF(AND(S546="LOP",R546="SPECIAL"),1+CrewRate_PlumbFitter_SwingLOP,1)))</f>
        <v>0</v>
      </c>
      <c r="I546" s="209"/>
      <c r="J546" s="209"/>
      <c r="K546" s="176">
        <f t="shared" ref="K546:K571" si="451">IF(SM_ExludeGroup17=TRUE,0,IF(J546="",E546*I546,E546*I546*J546))</f>
        <v>0</v>
      </c>
      <c r="L546" s="209"/>
      <c r="M546" s="177">
        <f t="shared" ref="M546:M571" si="452">IF(SM_ExludeGroup17=TRUE,0,E546*L546)</f>
        <v>0</v>
      </c>
      <c r="N546" s="1012"/>
      <c r="O546" s="1012"/>
      <c r="P546" s="485"/>
      <c r="Q546" s="778"/>
      <c r="R546" s="778"/>
      <c r="S546" s="785" t="str">
        <f>IF(T546="Sheet Metal Takeoff","",IF(R546="","","LOP"))</f>
        <v/>
      </c>
      <c r="T546" s="548" t="str">
        <f t="shared" ref="T546:T571" si="453">IF($F$543="","Sheet Metal Takeoff",$F$543)</f>
        <v>Sheet Metal Takeoff</v>
      </c>
      <c r="U546" s="83">
        <f>ROUND(IF($T546="Plumb Takeoff",$H546*U$3,IF($T546="Pipe Takeoff",$H546*U$4,$H546*U$2)),2)</f>
        <v>0</v>
      </c>
      <c r="V546" s="83">
        <f>ROUND(IF($T546="Plumb Takeoff",IF($Q546="OT",$H546*V$3,0),IF($T546="Pipe Takeoff",IF($Q546="OT",$H546*V$4,0),IF($Q546="OT",$H546*V$2,0))),2)</f>
        <v>0</v>
      </c>
      <c r="W546" s="83">
        <f>ROUND(IF($T546="Plumb Takeoff",IF($Q546="DBLT",$H546*W$3,0),IF($T546="Pipe Takeoff",IF($Q546="DBLT",$H546*W$4,0),IF($Q546="DBLT",$H546*W$2,0))),2)</f>
        <v>0</v>
      </c>
      <c r="X546" s="781">
        <f>ROUND(SUM(IF($T546="Plumb Takeoff",IF($R546="SWING",ROUND(SUM($H546)*X$3,2))),IF($T546="Pipe Takeoff",IF($R546="SWING",ROUND(SUM($H546)*X$4,2))),IF($T546="Sheet Metal Takeoff",IF($R546="SWING",ROUND(SUM($H546)*X$2,2)))),2)</f>
        <v>0</v>
      </c>
      <c r="Y546" s="781">
        <f>ROUND(SUM(IF($T546="Plumb Takeoff",IF($R546="GRAVE",ROUND(SUM($H546)*Y$3,2))),IF($T546="Pipe Takeoff",IF($R546="GRAVE",ROUND(SUM($H546)*Y$4,2))),IF($T546="Sheet Metal Takeoff",IF($R546="GRAVE",ROUND(SUM($H546)*Y$2,2)))),2)</f>
        <v>0</v>
      </c>
      <c r="Z546" s="781">
        <f>ROUND(SUM(IF($T546="Plumb Takeoff",IF($R546="SPECIAL",ROUND(SUM($H546)*Z$3,2))),IF($T546="Pipe Takeoff",IF($R546="SPECIAL",ROUND(SUM($H546)*Z$4,2))),IF($T546="Sheet Metal Takeoff",IF($R546="SPECIAL",ROUND(SUM($H546)*Z$2,2)))),2)</f>
        <v>0</v>
      </c>
      <c r="AA546" s="83">
        <f t="shared" ref="AA546:AA571" si="454">ROUND($K546*AA$2,2)</f>
        <v>0</v>
      </c>
      <c r="AB546" s="83">
        <f>ROUND(IF($Q546="OT",$K546*AB$2,0),2)</f>
        <v>0</v>
      </c>
      <c r="AC546" s="83">
        <f>ROUND(IF($Q546="DBLT",$K546*AC$2,0),2)</f>
        <v>0</v>
      </c>
      <c r="AD546" s="83">
        <f>ROUND(IF($R546="SWING",$K546*AD$2,0),2)</f>
        <v>0</v>
      </c>
      <c r="AE546" s="83">
        <f>ROUND(IF($R546="GRAVE",$K546*AE$2,0),2)</f>
        <v>0</v>
      </c>
      <c r="AF546" s="83">
        <f>ROUND(IF($R546="SPECIAL",$K546*AF$2,0),2)</f>
        <v>0</v>
      </c>
      <c r="AG546" s="83">
        <f>SUM(U546:Z546)</f>
        <v>0</v>
      </c>
      <c r="AH546" s="83">
        <f>SUM(AA546:AF546)</f>
        <v>0</v>
      </c>
      <c r="AI546" s="83">
        <f>SUM(U546:AF546)</f>
        <v>0</v>
      </c>
      <c r="AJ546" s="718">
        <f>SUM(M546,AI546)</f>
        <v>0</v>
      </c>
      <c r="AL546">
        <f>SUM(V546:Z546)</f>
        <v>0</v>
      </c>
      <c r="AM546">
        <f>SUM(AB546:AF546)</f>
        <v>0</v>
      </c>
    </row>
    <row r="547" spans="1:39" ht="15.75" x14ac:dyDescent="0.25">
      <c r="A547" s="561"/>
      <c r="B547" s="561"/>
      <c r="C547" s="561"/>
      <c r="D547" s="672"/>
      <c r="E547" s="209"/>
      <c r="F547" s="209"/>
      <c r="G547" s="209"/>
      <c r="H547" s="176">
        <f t="shared" si="450"/>
        <v>0</v>
      </c>
      <c r="I547" s="209"/>
      <c r="J547" s="209"/>
      <c r="K547" s="176">
        <f t="shared" si="451"/>
        <v>0</v>
      </c>
      <c r="L547" s="209"/>
      <c r="M547" s="177">
        <f t="shared" si="452"/>
        <v>0</v>
      </c>
      <c r="N547" s="1012"/>
      <c r="O547" s="1012"/>
      <c r="P547" s="485"/>
      <c r="Q547" s="778"/>
      <c r="R547" s="778"/>
      <c r="S547" s="785" t="str">
        <f t="shared" ref="S547:S571" si="455">IF(T547="Sheet Metal Takeoff","",IF(R547="","","LOP"))</f>
        <v/>
      </c>
      <c r="T547" s="548" t="str">
        <f t="shared" si="453"/>
        <v>Sheet Metal Takeoff</v>
      </c>
      <c r="U547" s="83">
        <f t="shared" ref="U547:U570" si="456">ROUND(IF($T547="Plumb Takeoff",$H547*U$3,IF($T547="Pipe Takeoff",$H547*U$4,$H547*U$2)),2)</f>
        <v>0</v>
      </c>
      <c r="V547" s="83">
        <f t="shared" ref="V547:V571" si="457">ROUND(IF($T547="Plumb Takeoff",IF($Q547="OT",$H547*V$3,0),IF($T547="Pipe Takeoff",IF($Q547="OT",$H547*V$4,0),IF($Q547="OT",$H547*V$2,0))),2)</f>
        <v>0</v>
      </c>
      <c r="W547" s="83">
        <f t="shared" ref="W547:W571" si="458">ROUND(IF($T547="Plumb Takeoff",IF($Q547="DBLT",$H547*W$3,0),IF($T547="Pipe Takeoff",IF($Q547="DBLT",$H547*W$4,0),IF($Q547="DBLT",$H547*W$2,0))),2)</f>
        <v>0</v>
      </c>
      <c r="X547" s="781">
        <f t="shared" ref="X547:X571" si="459">ROUND(SUM(IF($T547="Plumb Takeoff",IF($R547="SWING",ROUND(SUM($H547)*X$3,2))),IF($T547="Pipe Takeoff",IF($R547="SWING",ROUND(SUM($H547)*X$4,2))),IF($T547="Sheet Metal Takeoff",IF($R547="SWING",ROUND(SUM($H547)*X$2,2)))),2)</f>
        <v>0</v>
      </c>
      <c r="Y547" s="781">
        <f t="shared" ref="Y547:Y571" si="460">ROUND(SUM(IF($T547="Plumb Takeoff",IF($R547="GRAVE",ROUND(SUM($H547)*Y$3,2))),IF($T547="Pipe Takeoff",IF($R547="GRAVE",ROUND(SUM($H547)*Y$4,2))),IF($T547="Sheet Metal Takeoff",IF($R547="GRAVE",ROUND(SUM($H547)*Y$2,2)))),2)</f>
        <v>0</v>
      </c>
      <c r="Z547" s="781">
        <f t="shared" ref="Z547:Z571" si="461">ROUND(SUM(IF($T547="Plumb Takeoff",IF($R547="SPECIAL",ROUND(SUM($H547)*Z$3,2))),IF($T547="Pipe Takeoff",IF($R547="SPECIAL",ROUND(SUM($H547)*Z$4,2))),IF($T547="Sheet Metal Takeoff",IF($R547="SPECIAL",ROUND(SUM($H547)*Z$2,2)))),2)</f>
        <v>0</v>
      </c>
      <c r="AA547" s="83">
        <f t="shared" si="454"/>
        <v>0</v>
      </c>
      <c r="AB547" s="83">
        <f t="shared" ref="AB547:AB571" si="462">ROUND(IF($Q547="OT",$K547*AB$2,0),2)</f>
        <v>0</v>
      </c>
      <c r="AC547" s="83">
        <f t="shared" ref="AC547:AC571" si="463">ROUND(IF($Q547="DBLT",$K547*AC$2,0),2)</f>
        <v>0</v>
      </c>
      <c r="AD547" s="83">
        <f t="shared" ref="AD547:AD571" si="464">ROUND(IF($R547="SWING",$K547*AD$2,0),2)</f>
        <v>0</v>
      </c>
      <c r="AE547" s="83">
        <f t="shared" ref="AE547:AE571" si="465">ROUND(IF($R547="GRAVE",$K547*AE$2,0),2)</f>
        <v>0</v>
      </c>
      <c r="AF547" s="83">
        <f t="shared" ref="AF547:AF571" si="466">ROUND(IF($R547="SPECIAL",$K547*AF$2,0),2)</f>
        <v>0</v>
      </c>
      <c r="AG547" s="83">
        <f t="shared" ref="AG547:AG571" si="467">SUM(U547:Z547)</f>
        <v>0</v>
      </c>
      <c r="AH547" s="83">
        <f t="shared" ref="AH547:AH571" si="468">SUM(AA547:AF547)</f>
        <v>0</v>
      </c>
      <c r="AI547" s="83">
        <f t="shared" ref="AI547:AI571" si="469">SUM(U547:AF547)</f>
        <v>0</v>
      </c>
      <c r="AJ547" s="718">
        <f t="shared" ref="AJ547:AJ571" si="470">SUM(M547,AI547)</f>
        <v>0</v>
      </c>
      <c r="AL547">
        <f t="shared" ref="AL547:AL571" si="471">SUM(V547:Z547)</f>
        <v>0</v>
      </c>
      <c r="AM547">
        <f t="shared" ref="AM547:AM571" si="472">SUM(AB547:AF547)</f>
        <v>0</v>
      </c>
    </row>
    <row r="548" spans="1:39" ht="15.75" x14ac:dyDescent="0.25">
      <c r="A548" s="561"/>
      <c r="B548" s="561"/>
      <c r="C548" s="561"/>
      <c r="D548" s="672"/>
      <c r="E548" s="209"/>
      <c r="F548" s="209"/>
      <c r="G548" s="209"/>
      <c r="H548" s="176">
        <f t="shared" si="450"/>
        <v>0</v>
      </c>
      <c r="I548" s="209"/>
      <c r="J548" s="209"/>
      <c r="K548" s="176">
        <f t="shared" si="451"/>
        <v>0</v>
      </c>
      <c r="L548" s="209"/>
      <c r="M548" s="177">
        <f t="shared" si="452"/>
        <v>0</v>
      </c>
      <c r="N548" s="1012"/>
      <c r="O548" s="1012"/>
      <c r="P548" s="485"/>
      <c r="Q548" s="778"/>
      <c r="R548" s="778"/>
      <c r="S548" s="785" t="str">
        <f t="shared" si="455"/>
        <v/>
      </c>
      <c r="T548" s="548" t="str">
        <f t="shared" si="453"/>
        <v>Sheet Metal Takeoff</v>
      </c>
      <c r="U548" s="83">
        <f t="shared" si="456"/>
        <v>0</v>
      </c>
      <c r="V548" s="83">
        <f t="shared" si="457"/>
        <v>0</v>
      </c>
      <c r="W548" s="83">
        <f t="shared" si="458"/>
        <v>0</v>
      </c>
      <c r="X548" s="781">
        <f t="shared" si="459"/>
        <v>0</v>
      </c>
      <c r="Y548" s="781">
        <f t="shared" si="460"/>
        <v>0</v>
      </c>
      <c r="Z548" s="781">
        <f t="shared" si="461"/>
        <v>0</v>
      </c>
      <c r="AA548" s="83">
        <f t="shared" si="454"/>
        <v>0</v>
      </c>
      <c r="AB548" s="83">
        <f t="shared" si="462"/>
        <v>0</v>
      </c>
      <c r="AC548" s="83">
        <f t="shared" si="463"/>
        <v>0</v>
      </c>
      <c r="AD548" s="83">
        <f t="shared" si="464"/>
        <v>0</v>
      </c>
      <c r="AE548" s="83">
        <f t="shared" si="465"/>
        <v>0</v>
      </c>
      <c r="AF548" s="83">
        <f t="shared" si="466"/>
        <v>0</v>
      </c>
      <c r="AG548" s="83">
        <f t="shared" si="467"/>
        <v>0</v>
      </c>
      <c r="AH548" s="83">
        <f t="shared" si="468"/>
        <v>0</v>
      </c>
      <c r="AI548" s="83">
        <f t="shared" si="469"/>
        <v>0</v>
      </c>
      <c r="AJ548" s="718">
        <f t="shared" si="470"/>
        <v>0</v>
      </c>
      <c r="AL548">
        <f t="shared" si="471"/>
        <v>0</v>
      </c>
      <c r="AM548">
        <f t="shared" si="472"/>
        <v>0</v>
      </c>
    </row>
    <row r="549" spans="1:39" ht="15.75" x14ac:dyDescent="0.25">
      <c r="A549" s="561"/>
      <c r="B549" s="561"/>
      <c r="C549" s="561"/>
      <c r="D549" s="672"/>
      <c r="E549" s="209"/>
      <c r="F549" s="209"/>
      <c r="G549" s="209"/>
      <c r="H549" s="176">
        <f t="shared" si="450"/>
        <v>0</v>
      </c>
      <c r="I549" s="209"/>
      <c r="J549" s="209"/>
      <c r="K549" s="176">
        <f t="shared" si="451"/>
        <v>0</v>
      </c>
      <c r="L549" s="209"/>
      <c r="M549" s="177">
        <f t="shared" si="452"/>
        <v>0</v>
      </c>
      <c r="N549" s="1012"/>
      <c r="O549" s="1012"/>
      <c r="P549" s="485"/>
      <c r="Q549" s="778"/>
      <c r="R549" s="778"/>
      <c r="S549" s="785" t="str">
        <f t="shared" si="455"/>
        <v/>
      </c>
      <c r="T549" s="548" t="str">
        <f t="shared" si="453"/>
        <v>Sheet Metal Takeoff</v>
      </c>
      <c r="U549" s="83">
        <f t="shared" si="456"/>
        <v>0</v>
      </c>
      <c r="V549" s="83">
        <f t="shared" si="457"/>
        <v>0</v>
      </c>
      <c r="W549" s="83">
        <f t="shared" si="458"/>
        <v>0</v>
      </c>
      <c r="X549" s="781">
        <f t="shared" si="459"/>
        <v>0</v>
      </c>
      <c r="Y549" s="781">
        <f t="shared" si="460"/>
        <v>0</v>
      </c>
      <c r="Z549" s="781">
        <f t="shared" si="461"/>
        <v>0</v>
      </c>
      <c r="AA549" s="83">
        <f t="shared" si="454"/>
        <v>0</v>
      </c>
      <c r="AB549" s="83">
        <f t="shared" si="462"/>
        <v>0</v>
      </c>
      <c r="AC549" s="83">
        <f t="shared" si="463"/>
        <v>0</v>
      </c>
      <c r="AD549" s="83">
        <f t="shared" si="464"/>
        <v>0</v>
      </c>
      <c r="AE549" s="83">
        <f t="shared" si="465"/>
        <v>0</v>
      </c>
      <c r="AF549" s="83">
        <f t="shared" si="466"/>
        <v>0</v>
      </c>
      <c r="AG549" s="83">
        <f t="shared" si="467"/>
        <v>0</v>
      </c>
      <c r="AH549" s="83">
        <f t="shared" si="468"/>
        <v>0</v>
      </c>
      <c r="AI549" s="83">
        <f t="shared" si="469"/>
        <v>0</v>
      </c>
      <c r="AJ549" s="718">
        <f t="shared" si="470"/>
        <v>0</v>
      </c>
      <c r="AL549">
        <f t="shared" si="471"/>
        <v>0</v>
      </c>
      <c r="AM549">
        <f t="shared" si="472"/>
        <v>0</v>
      </c>
    </row>
    <row r="550" spans="1:39" ht="15.75" x14ac:dyDescent="0.25">
      <c r="A550" s="561"/>
      <c r="B550" s="561"/>
      <c r="C550" s="561"/>
      <c r="D550" s="672"/>
      <c r="E550" s="209"/>
      <c r="F550" s="209"/>
      <c r="G550" s="209"/>
      <c r="H550" s="176">
        <f t="shared" si="450"/>
        <v>0</v>
      </c>
      <c r="I550" s="209"/>
      <c r="J550" s="209"/>
      <c r="K550" s="176">
        <f t="shared" si="451"/>
        <v>0</v>
      </c>
      <c r="L550" s="209"/>
      <c r="M550" s="177">
        <f t="shared" si="452"/>
        <v>0</v>
      </c>
      <c r="N550" s="1012"/>
      <c r="O550" s="1012"/>
      <c r="P550" s="485"/>
      <c r="Q550" s="778"/>
      <c r="R550" s="778"/>
      <c r="S550" s="785" t="str">
        <f t="shared" si="455"/>
        <v/>
      </c>
      <c r="T550" s="548" t="str">
        <f t="shared" si="453"/>
        <v>Sheet Metal Takeoff</v>
      </c>
      <c r="U550" s="83">
        <f t="shared" si="456"/>
        <v>0</v>
      </c>
      <c r="V550" s="83">
        <f t="shared" si="457"/>
        <v>0</v>
      </c>
      <c r="W550" s="83">
        <f t="shared" si="458"/>
        <v>0</v>
      </c>
      <c r="X550" s="781">
        <f t="shared" si="459"/>
        <v>0</v>
      </c>
      <c r="Y550" s="781">
        <f t="shared" si="460"/>
        <v>0</v>
      </c>
      <c r="Z550" s="781">
        <f t="shared" si="461"/>
        <v>0</v>
      </c>
      <c r="AA550" s="83">
        <f t="shared" si="454"/>
        <v>0</v>
      </c>
      <c r="AB550" s="83">
        <f t="shared" si="462"/>
        <v>0</v>
      </c>
      <c r="AC550" s="83">
        <f t="shared" si="463"/>
        <v>0</v>
      </c>
      <c r="AD550" s="83">
        <f t="shared" si="464"/>
        <v>0</v>
      </c>
      <c r="AE550" s="83">
        <f t="shared" si="465"/>
        <v>0</v>
      </c>
      <c r="AF550" s="83">
        <f t="shared" si="466"/>
        <v>0</v>
      </c>
      <c r="AG550" s="83">
        <f t="shared" si="467"/>
        <v>0</v>
      </c>
      <c r="AH550" s="83">
        <f t="shared" si="468"/>
        <v>0</v>
      </c>
      <c r="AI550" s="83">
        <f t="shared" si="469"/>
        <v>0</v>
      </c>
      <c r="AJ550" s="718">
        <f t="shared" si="470"/>
        <v>0</v>
      </c>
      <c r="AL550">
        <f t="shared" si="471"/>
        <v>0</v>
      </c>
      <c r="AM550">
        <f t="shared" si="472"/>
        <v>0</v>
      </c>
    </row>
    <row r="551" spans="1:39" ht="15.75" x14ac:dyDescent="0.25">
      <c r="A551" s="561"/>
      <c r="B551" s="561"/>
      <c r="C551" s="561"/>
      <c r="D551" s="672"/>
      <c r="E551" s="209"/>
      <c r="F551" s="209"/>
      <c r="G551" s="209"/>
      <c r="H551" s="176">
        <f t="shared" si="450"/>
        <v>0</v>
      </c>
      <c r="I551" s="209"/>
      <c r="J551" s="209"/>
      <c r="K551" s="176">
        <f t="shared" si="451"/>
        <v>0</v>
      </c>
      <c r="L551" s="209"/>
      <c r="M551" s="177">
        <f t="shared" si="452"/>
        <v>0</v>
      </c>
      <c r="N551" s="1012"/>
      <c r="O551" s="1012"/>
      <c r="P551" s="485"/>
      <c r="Q551" s="778"/>
      <c r="R551" s="778"/>
      <c r="S551" s="785" t="str">
        <f t="shared" si="455"/>
        <v/>
      </c>
      <c r="T551" s="548" t="str">
        <f t="shared" si="453"/>
        <v>Sheet Metal Takeoff</v>
      </c>
      <c r="U551" s="83">
        <f t="shared" si="456"/>
        <v>0</v>
      </c>
      <c r="V551" s="83">
        <f t="shared" si="457"/>
        <v>0</v>
      </c>
      <c r="W551" s="83">
        <f t="shared" si="458"/>
        <v>0</v>
      </c>
      <c r="X551" s="781">
        <f t="shared" si="459"/>
        <v>0</v>
      </c>
      <c r="Y551" s="781">
        <f t="shared" si="460"/>
        <v>0</v>
      </c>
      <c r="Z551" s="781">
        <f t="shared" si="461"/>
        <v>0</v>
      </c>
      <c r="AA551" s="83">
        <f t="shared" si="454"/>
        <v>0</v>
      </c>
      <c r="AB551" s="83">
        <f t="shared" si="462"/>
        <v>0</v>
      </c>
      <c r="AC551" s="83">
        <f t="shared" si="463"/>
        <v>0</v>
      </c>
      <c r="AD551" s="83">
        <f t="shared" si="464"/>
        <v>0</v>
      </c>
      <c r="AE551" s="83">
        <f t="shared" si="465"/>
        <v>0</v>
      </c>
      <c r="AF551" s="83">
        <f t="shared" si="466"/>
        <v>0</v>
      </c>
      <c r="AG551" s="83">
        <f t="shared" si="467"/>
        <v>0</v>
      </c>
      <c r="AH551" s="83">
        <f t="shared" si="468"/>
        <v>0</v>
      </c>
      <c r="AI551" s="83">
        <f t="shared" si="469"/>
        <v>0</v>
      </c>
      <c r="AJ551" s="718">
        <f t="shared" si="470"/>
        <v>0</v>
      </c>
      <c r="AL551">
        <f t="shared" si="471"/>
        <v>0</v>
      </c>
      <c r="AM551">
        <f t="shared" si="472"/>
        <v>0</v>
      </c>
    </row>
    <row r="552" spans="1:39" ht="15.75" x14ac:dyDescent="0.25">
      <c r="A552" s="561"/>
      <c r="B552" s="561"/>
      <c r="C552" s="561"/>
      <c r="D552" s="672"/>
      <c r="E552" s="209"/>
      <c r="F552" s="209"/>
      <c r="G552" s="209"/>
      <c r="H552" s="176">
        <f t="shared" si="450"/>
        <v>0</v>
      </c>
      <c r="I552" s="209"/>
      <c r="J552" s="209"/>
      <c r="K552" s="176">
        <f t="shared" si="451"/>
        <v>0</v>
      </c>
      <c r="L552" s="209"/>
      <c r="M552" s="177">
        <f t="shared" si="452"/>
        <v>0</v>
      </c>
      <c r="N552" s="1012"/>
      <c r="O552" s="1012"/>
      <c r="P552" s="485"/>
      <c r="Q552" s="778"/>
      <c r="R552" s="778"/>
      <c r="S552" s="785" t="str">
        <f t="shared" si="455"/>
        <v/>
      </c>
      <c r="T552" s="548" t="str">
        <f t="shared" si="453"/>
        <v>Sheet Metal Takeoff</v>
      </c>
      <c r="U552" s="83">
        <f t="shared" si="456"/>
        <v>0</v>
      </c>
      <c r="V552" s="83">
        <f t="shared" si="457"/>
        <v>0</v>
      </c>
      <c r="W552" s="83">
        <f t="shared" si="458"/>
        <v>0</v>
      </c>
      <c r="X552" s="781">
        <f t="shared" si="459"/>
        <v>0</v>
      </c>
      <c r="Y552" s="781">
        <f t="shared" si="460"/>
        <v>0</v>
      </c>
      <c r="Z552" s="781">
        <f t="shared" si="461"/>
        <v>0</v>
      </c>
      <c r="AA552" s="83">
        <f t="shared" si="454"/>
        <v>0</v>
      </c>
      <c r="AB552" s="83">
        <f t="shared" si="462"/>
        <v>0</v>
      </c>
      <c r="AC552" s="83">
        <f t="shared" si="463"/>
        <v>0</v>
      </c>
      <c r="AD552" s="83">
        <f t="shared" si="464"/>
        <v>0</v>
      </c>
      <c r="AE552" s="83">
        <f t="shared" si="465"/>
        <v>0</v>
      </c>
      <c r="AF552" s="83">
        <f t="shared" si="466"/>
        <v>0</v>
      </c>
      <c r="AG552" s="83">
        <f t="shared" si="467"/>
        <v>0</v>
      </c>
      <c r="AH552" s="83">
        <f t="shared" si="468"/>
        <v>0</v>
      </c>
      <c r="AI552" s="83">
        <f t="shared" si="469"/>
        <v>0</v>
      </c>
      <c r="AJ552" s="718">
        <f t="shared" si="470"/>
        <v>0</v>
      </c>
      <c r="AL552">
        <f t="shared" si="471"/>
        <v>0</v>
      </c>
      <c r="AM552">
        <f t="shared" si="472"/>
        <v>0</v>
      </c>
    </row>
    <row r="553" spans="1:39" ht="15.75" x14ac:dyDescent="0.25">
      <c r="A553" s="561"/>
      <c r="B553" s="561"/>
      <c r="C553" s="561"/>
      <c r="D553" s="672"/>
      <c r="E553" s="209"/>
      <c r="F553" s="209"/>
      <c r="G553" s="209"/>
      <c r="H553" s="176">
        <f t="shared" si="450"/>
        <v>0</v>
      </c>
      <c r="I553" s="209"/>
      <c r="J553" s="209"/>
      <c r="K553" s="176">
        <f t="shared" si="451"/>
        <v>0</v>
      </c>
      <c r="L553" s="209"/>
      <c r="M553" s="177">
        <f t="shared" si="452"/>
        <v>0</v>
      </c>
      <c r="N553" s="1012"/>
      <c r="O553" s="1012"/>
      <c r="P553" s="485"/>
      <c r="Q553" s="778"/>
      <c r="R553" s="778"/>
      <c r="S553" s="785" t="str">
        <f t="shared" si="455"/>
        <v/>
      </c>
      <c r="T553" s="548" t="str">
        <f t="shared" si="453"/>
        <v>Sheet Metal Takeoff</v>
      </c>
      <c r="U553" s="83">
        <f t="shared" si="456"/>
        <v>0</v>
      </c>
      <c r="V553" s="83">
        <f t="shared" si="457"/>
        <v>0</v>
      </c>
      <c r="W553" s="83">
        <f t="shared" si="458"/>
        <v>0</v>
      </c>
      <c r="X553" s="781">
        <f t="shared" si="459"/>
        <v>0</v>
      </c>
      <c r="Y553" s="781">
        <f t="shared" si="460"/>
        <v>0</v>
      </c>
      <c r="Z553" s="781">
        <f t="shared" si="461"/>
        <v>0</v>
      </c>
      <c r="AA553" s="83">
        <f t="shared" si="454"/>
        <v>0</v>
      </c>
      <c r="AB553" s="83">
        <f t="shared" si="462"/>
        <v>0</v>
      </c>
      <c r="AC553" s="83">
        <f t="shared" si="463"/>
        <v>0</v>
      </c>
      <c r="AD553" s="83">
        <f t="shared" si="464"/>
        <v>0</v>
      </c>
      <c r="AE553" s="83">
        <f t="shared" si="465"/>
        <v>0</v>
      </c>
      <c r="AF553" s="83">
        <f t="shared" si="466"/>
        <v>0</v>
      </c>
      <c r="AG553" s="83">
        <f t="shared" si="467"/>
        <v>0</v>
      </c>
      <c r="AH553" s="83">
        <f t="shared" si="468"/>
        <v>0</v>
      </c>
      <c r="AI553" s="83">
        <f t="shared" si="469"/>
        <v>0</v>
      </c>
      <c r="AJ553" s="718">
        <f t="shared" si="470"/>
        <v>0</v>
      </c>
      <c r="AL553">
        <f t="shared" si="471"/>
        <v>0</v>
      </c>
      <c r="AM553">
        <f t="shared" si="472"/>
        <v>0</v>
      </c>
    </row>
    <row r="554" spans="1:39" ht="15.75" x14ac:dyDescent="0.25">
      <c r="A554" s="561"/>
      <c r="B554" s="561"/>
      <c r="C554" s="561"/>
      <c r="D554" s="672"/>
      <c r="E554" s="209"/>
      <c r="F554" s="209"/>
      <c r="G554" s="209"/>
      <c r="H554" s="176">
        <f t="shared" si="450"/>
        <v>0</v>
      </c>
      <c r="I554" s="209"/>
      <c r="J554" s="209"/>
      <c r="K554" s="176">
        <f t="shared" si="451"/>
        <v>0</v>
      </c>
      <c r="L554" s="209"/>
      <c r="M554" s="177">
        <f t="shared" si="452"/>
        <v>0</v>
      </c>
      <c r="N554" s="1012"/>
      <c r="O554" s="1012"/>
      <c r="P554" s="485"/>
      <c r="Q554" s="778"/>
      <c r="R554" s="778"/>
      <c r="S554" s="785" t="str">
        <f t="shared" si="455"/>
        <v/>
      </c>
      <c r="T554" s="548" t="str">
        <f t="shared" si="453"/>
        <v>Sheet Metal Takeoff</v>
      </c>
      <c r="U554" s="83">
        <f t="shared" si="456"/>
        <v>0</v>
      </c>
      <c r="V554" s="83">
        <f t="shared" si="457"/>
        <v>0</v>
      </c>
      <c r="W554" s="83">
        <f t="shared" si="458"/>
        <v>0</v>
      </c>
      <c r="X554" s="781">
        <f t="shared" si="459"/>
        <v>0</v>
      </c>
      <c r="Y554" s="781">
        <f t="shared" si="460"/>
        <v>0</v>
      </c>
      <c r="Z554" s="781">
        <f t="shared" si="461"/>
        <v>0</v>
      </c>
      <c r="AA554" s="83">
        <f t="shared" si="454"/>
        <v>0</v>
      </c>
      <c r="AB554" s="83">
        <f t="shared" si="462"/>
        <v>0</v>
      </c>
      <c r="AC554" s="83">
        <f t="shared" si="463"/>
        <v>0</v>
      </c>
      <c r="AD554" s="83">
        <f t="shared" si="464"/>
        <v>0</v>
      </c>
      <c r="AE554" s="83">
        <f t="shared" si="465"/>
        <v>0</v>
      </c>
      <c r="AF554" s="83">
        <f t="shared" si="466"/>
        <v>0</v>
      </c>
      <c r="AG554" s="83">
        <f t="shared" si="467"/>
        <v>0</v>
      </c>
      <c r="AH554" s="83">
        <f t="shared" si="468"/>
        <v>0</v>
      </c>
      <c r="AI554" s="83">
        <f t="shared" si="469"/>
        <v>0</v>
      </c>
      <c r="AJ554" s="718">
        <f t="shared" si="470"/>
        <v>0</v>
      </c>
      <c r="AL554">
        <f t="shared" si="471"/>
        <v>0</v>
      </c>
      <c r="AM554">
        <f t="shared" si="472"/>
        <v>0</v>
      </c>
    </row>
    <row r="555" spans="1:39" ht="15.75" x14ac:dyDescent="0.25">
      <c r="A555" s="561"/>
      <c r="B555" s="561"/>
      <c r="C555" s="561"/>
      <c r="D555" s="672"/>
      <c r="E555" s="209"/>
      <c r="F555" s="209"/>
      <c r="G555" s="209"/>
      <c r="H555" s="176">
        <f t="shared" si="450"/>
        <v>0</v>
      </c>
      <c r="I555" s="209"/>
      <c r="J555" s="209"/>
      <c r="K555" s="176">
        <f t="shared" si="451"/>
        <v>0</v>
      </c>
      <c r="L555" s="209"/>
      <c r="M555" s="177">
        <f t="shared" si="452"/>
        <v>0</v>
      </c>
      <c r="N555" s="1012"/>
      <c r="O555" s="1012"/>
      <c r="P555" s="485"/>
      <c r="Q555" s="778"/>
      <c r="R555" s="778"/>
      <c r="S555" s="785" t="str">
        <f t="shared" si="455"/>
        <v/>
      </c>
      <c r="T555" s="548" t="str">
        <f t="shared" si="453"/>
        <v>Sheet Metal Takeoff</v>
      </c>
      <c r="U555" s="83">
        <f t="shared" si="456"/>
        <v>0</v>
      </c>
      <c r="V555" s="83">
        <f t="shared" si="457"/>
        <v>0</v>
      </c>
      <c r="W555" s="83">
        <f t="shared" si="458"/>
        <v>0</v>
      </c>
      <c r="X555" s="781">
        <f t="shared" si="459"/>
        <v>0</v>
      </c>
      <c r="Y555" s="781">
        <f t="shared" si="460"/>
        <v>0</v>
      </c>
      <c r="Z555" s="781">
        <f t="shared" si="461"/>
        <v>0</v>
      </c>
      <c r="AA555" s="83">
        <f t="shared" si="454"/>
        <v>0</v>
      </c>
      <c r="AB555" s="83">
        <f t="shared" si="462"/>
        <v>0</v>
      </c>
      <c r="AC555" s="83">
        <f t="shared" si="463"/>
        <v>0</v>
      </c>
      <c r="AD555" s="83">
        <f t="shared" si="464"/>
        <v>0</v>
      </c>
      <c r="AE555" s="83">
        <f t="shared" si="465"/>
        <v>0</v>
      </c>
      <c r="AF555" s="83">
        <f t="shared" si="466"/>
        <v>0</v>
      </c>
      <c r="AG555" s="83">
        <f t="shared" si="467"/>
        <v>0</v>
      </c>
      <c r="AH555" s="83">
        <f t="shared" si="468"/>
        <v>0</v>
      </c>
      <c r="AI555" s="83">
        <f t="shared" si="469"/>
        <v>0</v>
      </c>
      <c r="AJ555" s="718">
        <f t="shared" si="470"/>
        <v>0</v>
      </c>
      <c r="AL555">
        <f t="shared" si="471"/>
        <v>0</v>
      </c>
      <c r="AM555">
        <f t="shared" si="472"/>
        <v>0</v>
      </c>
    </row>
    <row r="556" spans="1:39" ht="15.75" x14ac:dyDescent="0.25">
      <c r="A556" s="561"/>
      <c r="B556" s="561"/>
      <c r="C556" s="561"/>
      <c r="D556" s="672"/>
      <c r="E556" s="209"/>
      <c r="F556" s="209"/>
      <c r="G556" s="209"/>
      <c r="H556" s="176">
        <f t="shared" si="450"/>
        <v>0</v>
      </c>
      <c r="I556" s="209"/>
      <c r="J556" s="209"/>
      <c r="K556" s="176">
        <f t="shared" si="451"/>
        <v>0</v>
      </c>
      <c r="L556" s="209"/>
      <c r="M556" s="177">
        <f t="shared" si="452"/>
        <v>0</v>
      </c>
      <c r="N556" s="1012"/>
      <c r="O556" s="1012"/>
      <c r="P556" s="485"/>
      <c r="Q556" s="778"/>
      <c r="R556" s="778"/>
      <c r="S556" s="785" t="str">
        <f t="shared" si="455"/>
        <v/>
      </c>
      <c r="T556" s="548" t="str">
        <f t="shared" si="453"/>
        <v>Sheet Metal Takeoff</v>
      </c>
      <c r="U556" s="83">
        <f t="shared" si="456"/>
        <v>0</v>
      </c>
      <c r="V556" s="83">
        <f t="shared" si="457"/>
        <v>0</v>
      </c>
      <c r="W556" s="83">
        <f t="shared" si="458"/>
        <v>0</v>
      </c>
      <c r="X556" s="781">
        <f t="shared" si="459"/>
        <v>0</v>
      </c>
      <c r="Y556" s="781">
        <f t="shared" si="460"/>
        <v>0</v>
      </c>
      <c r="Z556" s="781">
        <f t="shared" si="461"/>
        <v>0</v>
      </c>
      <c r="AA556" s="83">
        <f t="shared" si="454"/>
        <v>0</v>
      </c>
      <c r="AB556" s="83">
        <f t="shared" si="462"/>
        <v>0</v>
      </c>
      <c r="AC556" s="83">
        <f t="shared" si="463"/>
        <v>0</v>
      </c>
      <c r="AD556" s="83">
        <f t="shared" si="464"/>
        <v>0</v>
      </c>
      <c r="AE556" s="83">
        <f t="shared" si="465"/>
        <v>0</v>
      </c>
      <c r="AF556" s="83">
        <f t="shared" si="466"/>
        <v>0</v>
      </c>
      <c r="AG556" s="83">
        <f t="shared" si="467"/>
        <v>0</v>
      </c>
      <c r="AH556" s="83">
        <f t="shared" si="468"/>
        <v>0</v>
      </c>
      <c r="AI556" s="83">
        <f t="shared" si="469"/>
        <v>0</v>
      </c>
      <c r="AJ556" s="718">
        <f t="shared" si="470"/>
        <v>0</v>
      </c>
      <c r="AL556">
        <f t="shared" si="471"/>
        <v>0</v>
      </c>
      <c r="AM556">
        <f t="shared" si="472"/>
        <v>0</v>
      </c>
    </row>
    <row r="557" spans="1:39" ht="15.75" x14ac:dyDescent="0.25">
      <c r="A557" s="561"/>
      <c r="B557" s="561"/>
      <c r="C557" s="561"/>
      <c r="D557" s="672"/>
      <c r="E557" s="209"/>
      <c r="F557" s="209"/>
      <c r="G557" s="209"/>
      <c r="H557" s="176">
        <f t="shared" si="450"/>
        <v>0</v>
      </c>
      <c r="I557" s="209"/>
      <c r="J557" s="209"/>
      <c r="K557" s="176">
        <f t="shared" si="451"/>
        <v>0</v>
      </c>
      <c r="L557" s="209"/>
      <c r="M557" s="177">
        <f t="shared" si="452"/>
        <v>0</v>
      </c>
      <c r="N557" s="1012"/>
      <c r="O557" s="1012"/>
      <c r="P557" s="485"/>
      <c r="Q557" s="778"/>
      <c r="R557" s="778"/>
      <c r="S557" s="785" t="str">
        <f t="shared" si="455"/>
        <v/>
      </c>
      <c r="T557" s="548" t="str">
        <f t="shared" si="453"/>
        <v>Sheet Metal Takeoff</v>
      </c>
      <c r="U557" s="83">
        <f t="shared" si="456"/>
        <v>0</v>
      </c>
      <c r="V557" s="83">
        <f t="shared" si="457"/>
        <v>0</v>
      </c>
      <c r="W557" s="83">
        <f t="shared" si="458"/>
        <v>0</v>
      </c>
      <c r="X557" s="781">
        <f t="shared" si="459"/>
        <v>0</v>
      </c>
      <c r="Y557" s="781">
        <f t="shared" si="460"/>
        <v>0</v>
      </c>
      <c r="Z557" s="781">
        <f t="shared" si="461"/>
        <v>0</v>
      </c>
      <c r="AA557" s="83">
        <f t="shared" si="454"/>
        <v>0</v>
      </c>
      <c r="AB557" s="83">
        <f t="shared" si="462"/>
        <v>0</v>
      </c>
      <c r="AC557" s="83">
        <f t="shared" si="463"/>
        <v>0</v>
      </c>
      <c r="AD557" s="83">
        <f t="shared" si="464"/>
        <v>0</v>
      </c>
      <c r="AE557" s="83">
        <f t="shared" si="465"/>
        <v>0</v>
      </c>
      <c r="AF557" s="83">
        <f t="shared" si="466"/>
        <v>0</v>
      </c>
      <c r="AG557" s="83">
        <f t="shared" si="467"/>
        <v>0</v>
      </c>
      <c r="AH557" s="83">
        <f t="shared" si="468"/>
        <v>0</v>
      </c>
      <c r="AI557" s="83">
        <f t="shared" si="469"/>
        <v>0</v>
      </c>
      <c r="AJ557" s="718">
        <f t="shared" si="470"/>
        <v>0</v>
      </c>
      <c r="AL557">
        <f t="shared" si="471"/>
        <v>0</v>
      </c>
      <c r="AM557">
        <f t="shared" si="472"/>
        <v>0</v>
      </c>
    </row>
    <row r="558" spans="1:39" ht="15.75" x14ac:dyDescent="0.25">
      <c r="A558" s="561"/>
      <c r="B558" s="561"/>
      <c r="C558" s="561"/>
      <c r="D558" s="672"/>
      <c r="E558" s="209"/>
      <c r="F558" s="209"/>
      <c r="G558" s="209"/>
      <c r="H558" s="176">
        <f t="shared" si="450"/>
        <v>0</v>
      </c>
      <c r="I558" s="209"/>
      <c r="J558" s="209"/>
      <c r="K558" s="176">
        <f t="shared" si="451"/>
        <v>0</v>
      </c>
      <c r="L558" s="209"/>
      <c r="M558" s="177">
        <f t="shared" si="452"/>
        <v>0</v>
      </c>
      <c r="N558" s="1012"/>
      <c r="O558" s="1012"/>
      <c r="P558" s="485"/>
      <c r="Q558" s="778"/>
      <c r="R558" s="778"/>
      <c r="S558" s="785" t="str">
        <f t="shared" si="455"/>
        <v/>
      </c>
      <c r="T558" s="548" t="str">
        <f t="shared" si="453"/>
        <v>Sheet Metal Takeoff</v>
      </c>
      <c r="U558" s="83">
        <f t="shared" si="456"/>
        <v>0</v>
      </c>
      <c r="V558" s="83">
        <f t="shared" si="457"/>
        <v>0</v>
      </c>
      <c r="W558" s="83">
        <f t="shared" si="458"/>
        <v>0</v>
      </c>
      <c r="X558" s="781">
        <f t="shared" si="459"/>
        <v>0</v>
      </c>
      <c r="Y558" s="781">
        <f t="shared" si="460"/>
        <v>0</v>
      </c>
      <c r="Z558" s="781">
        <f t="shared" si="461"/>
        <v>0</v>
      </c>
      <c r="AA558" s="83">
        <f t="shared" si="454"/>
        <v>0</v>
      </c>
      <c r="AB558" s="83">
        <f t="shared" si="462"/>
        <v>0</v>
      </c>
      <c r="AC558" s="83">
        <f t="shared" si="463"/>
        <v>0</v>
      </c>
      <c r="AD558" s="83">
        <f t="shared" si="464"/>
        <v>0</v>
      </c>
      <c r="AE558" s="83">
        <f t="shared" si="465"/>
        <v>0</v>
      </c>
      <c r="AF558" s="83">
        <f t="shared" si="466"/>
        <v>0</v>
      </c>
      <c r="AG558" s="83">
        <f t="shared" si="467"/>
        <v>0</v>
      </c>
      <c r="AH558" s="83">
        <f t="shared" si="468"/>
        <v>0</v>
      </c>
      <c r="AI558" s="83">
        <f t="shared" si="469"/>
        <v>0</v>
      </c>
      <c r="AJ558" s="718">
        <f t="shared" si="470"/>
        <v>0</v>
      </c>
      <c r="AL558">
        <f t="shared" si="471"/>
        <v>0</v>
      </c>
      <c r="AM558">
        <f t="shared" si="472"/>
        <v>0</v>
      </c>
    </row>
    <row r="559" spans="1:39" ht="15.75" x14ac:dyDescent="0.25">
      <c r="A559" s="561"/>
      <c r="B559" s="561"/>
      <c r="C559" s="561"/>
      <c r="D559" s="672"/>
      <c r="E559" s="209"/>
      <c r="F559" s="209"/>
      <c r="G559" s="209"/>
      <c r="H559" s="176">
        <f t="shared" si="450"/>
        <v>0</v>
      </c>
      <c r="I559" s="209"/>
      <c r="J559" s="209"/>
      <c r="K559" s="176">
        <f t="shared" si="451"/>
        <v>0</v>
      </c>
      <c r="L559" s="209"/>
      <c r="M559" s="177">
        <f t="shared" si="452"/>
        <v>0</v>
      </c>
      <c r="N559" s="1012"/>
      <c r="O559" s="1012"/>
      <c r="P559" s="485"/>
      <c r="Q559" s="778"/>
      <c r="R559" s="778"/>
      <c r="S559" s="785" t="str">
        <f t="shared" si="455"/>
        <v/>
      </c>
      <c r="T559" s="548" t="str">
        <f t="shared" si="453"/>
        <v>Sheet Metal Takeoff</v>
      </c>
      <c r="U559" s="83">
        <f t="shared" si="456"/>
        <v>0</v>
      </c>
      <c r="V559" s="83">
        <f t="shared" si="457"/>
        <v>0</v>
      </c>
      <c r="W559" s="83">
        <f t="shared" si="458"/>
        <v>0</v>
      </c>
      <c r="X559" s="781">
        <f t="shared" si="459"/>
        <v>0</v>
      </c>
      <c r="Y559" s="781">
        <f t="shared" si="460"/>
        <v>0</v>
      </c>
      <c r="Z559" s="781">
        <f t="shared" si="461"/>
        <v>0</v>
      </c>
      <c r="AA559" s="83">
        <f t="shared" si="454"/>
        <v>0</v>
      </c>
      <c r="AB559" s="83">
        <f t="shared" si="462"/>
        <v>0</v>
      </c>
      <c r="AC559" s="83">
        <f t="shared" si="463"/>
        <v>0</v>
      </c>
      <c r="AD559" s="83">
        <f t="shared" si="464"/>
        <v>0</v>
      </c>
      <c r="AE559" s="83">
        <f t="shared" si="465"/>
        <v>0</v>
      </c>
      <c r="AF559" s="83">
        <f t="shared" si="466"/>
        <v>0</v>
      </c>
      <c r="AG559" s="83">
        <f t="shared" si="467"/>
        <v>0</v>
      </c>
      <c r="AH559" s="83">
        <f t="shared" si="468"/>
        <v>0</v>
      </c>
      <c r="AI559" s="83">
        <f t="shared" si="469"/>
        <v>0</v>
      </c>
      <c r="AJ559" s="718">
        <f t="shared" si="470"/>
        <v>0</v>
      </c>
      <c r="AL559">
        <f t="shared" si="471"/>
        <v>0</v>
      </c>
      <c r="AM559">
        <f t="shared" si="472"/>
        <v>0</v>
      </c>
    </row>
    <row r="560" spans="1:39" ht="15.75" x14ac:dyDescent="0.25">
      <c r="A560" s="561"/>
      <c r="B560" s="561"/>
      <c r="C560" s="561"/>
      <c r="D560" s="672"/>
      <c r="E560" s="209"/>
      <c r="F560" s="209"/>
      <c r="G560" s="209"/>
      <c r="H560" s="176">
        <f t="shared" si="450"/>
        <v>0</v>
      </c>
      <c r="I560" s="209"/>
      <c r="J560" s="209"/>
      <c r="K560" s="176">
        <f t="shared" si="451"/>
        <v>0</v>
      </c>
      <c r="L560" s="209"/>
      <c r="M560" s="177">
        <f t="shared" si="452"/>
        <v>0</v>
      </c>
      <c r="N560" s="1012"/>
      <c r="O560" s="1012"/>
      <c r="P560" s="485"/>
      <c r="Q560" s="778"/>
      <c r="R560" s="778"/>
      <c r="S560" s="785" t="str">
        <f t="shared" si="455"/>
        <v/>
      </c>
      <c r="T560" s="548" t="str">
        <f t="shared" si="453"/>
        <v>Sheet Metal Takeoff</v>
      </c>
      <c r="U560" s="83">
        <f t="shared" si="456"/>
        <v>0</v>
      </c>
      <c r="V560" s="83">
        <f t="shared" si="457"/>
        <v>0</v>
      </c>
      <c r="W560" s="83">
        <f t="shared" si="458"/>
        <v>0</v>
      </c>
      <c r="X560" s="781">
        <f t="shared" si="459"/>
        <v>0</v>
      </c>
      <c r="Y560" s="781">
        <f t="shared" si="460"/>
        <v>0</v>
      </c>
      <c r="Z560" s="781">
        <f t="shared" si="461"/>
        <v>0</v>
      </c>
      <c r="AA560" s="83">
        <f t="shared" si="454"/>
        <v>0</v>
      </c>
      <c r="AB560" s="83">
        <f t="shared" si="462"/>
        <v>0</v>
      </c>
      <c r="AC560" s="83">
        <f t="shared" si="463"/>
        <v>0</v>
      </c>
      <c r="AD560" s="83">
        <f t="shared" si="464"/>
        <v>0</v>
      </c>
      <c r="AE560" s="83">
        <f t="shared" si="465"/>
        <v>0</v>
      </c>
      <c r="AF560" s="83">
        <f t="shared" si="466"/>
        <v>0</v>
      </c>
      <c r="AG560" s="83">
        <f t="shared" si="467"/>
        <v>0</v>
      </c>
      <c r="AH560" s="83">
        <f t="shared" si="468"/>
        <v>0</v>
      </c>
      <c r="AI560" s="83">
        <f t="shared" si="469"/>
        <v>0</v>
      </c>
      <c r="AJ560" s="718">
        <f t="shared" si="470"/>
        <v>0</v>
      </c>
      <c r="AL560">
        <f t="shared" si="471"/>
        <v>0</v>
      </c>
      <c r="AM560">
        <f t="shared" si="472"/>
        <v>0</v>
      </c>
    </row>
    <row r="561" spans="1:39" ht="15.75" x14ac:dyDescent="0.25">
      <c r="A561" s="561"/>
      <c r="B561" s="561"/>
      <c r="C561" s="561"/>
      <c r="D561" s="672"/>
      <c r="E561" s="209"/>
      <c r="F561" s="209"/>
      <c r="G561" s="209"/>
      <c r="H561" s="176">
        <f t="shared" si="450"/>
        <v>0</v>
      </c>
      <c r="I561" s="209"/>
      <c r="J561" s="209"/>
      <c r="K561" s="176">
        <f t="shared" si="451"/>
        <v>0</v>
      </c>
      <c r="L561" s="209"/>
      <c r="M561" s="177">
        <f t="shared" si="452"/>
        <v>0</v>
      </c>
      <c r="N561" s="1012"/>
      <c r="O561" s="1012"/>
      <c r="P561" s="485"/>
      <c r="Q561" s="778"/>
      <c r="R561" s="778"/>
      <c r="S561" s="785" t="str">
        <f t="shared" si="455"/>
        <v/>
      </c>
      <c r="T561" s="548" t="str">
        <f t="shared" si="453"/>
        <v>Sheet Metal Takeoff</v>
      </c>
      <c r="U561" s="83">
        <f t="shared" si="456"/>
        <v>0</v>
      </c>
      <c r="V561" s="83">
        <f t="shared" si="457"/>
        <v>0</v>
      </c>
      <c r="W561" s="83">
        <f t="shared" si="458"/>
        <v>0</v>
      </c>
      <c r="X561" s="781">
        <f t="shared" si="459"/>
        <v>0</v>
      </c>
      <c r="Y561" s="781">
        <f t="shared" si="460"/>
        <v>0</v>
      </c>
      <c r="Z561" s="781">
        <f t="shared" si="461"/>
        <v>0</v>
      </c>
      <c r="AA561" s="83">
        <f t="shared" si="454"/>
        <v>0</v>
      </c>
      <c r="AB561" s="83">
        <f t="shared" si="462"/>
        <v>0</v>
      </c>
      <c r="AC561" s="83">
        <f t="shared" si="463"/>
        <v>0</v>
      </c>
      <c r="AD561" s="83">
        <f t="shared" si="464"/>
        <v>0</v>
      </c>
      <c r="AE561" s="83">
        <f t="shared" si="465"/>
        <v>0</v>
      </c>
      <c r="AF561" s="83">
        <f t="shared" si="466"/>
        <v>0</v>
      </c>
      <c r="AG561" s="83">
        <f t="shared" si="467"/>
        <v>0</v>
      </c>
      <c r="AH561" s="83">
        <f t="shared" si="468"/>
        <v>0</v>
      </c>
      <c r="AI561" s="83">
        <f t="shared" si="469"/>
        <v>0</v>
      </c>
      <c r="AJ561" s="718">
        <f t="shared" si="470"/>
        <v>0</v>
      </c>
      <c r="AL561">
        <f t="shared" si="471"/>
        <v>0</v>
      </c>
      <c r="AM561">
        <f t="shared" si="472"/>
        <v>0</v>
      </c>
    </row>
    <row r="562" spans="1:39" ht="15.75" x14ac:dyDescent="0.25">
      <c r="A562" s="561"/>
      <c r="B562" s="561"/>
      <c r="C562" s="561"/>
      <c r="D562" s="672"/>
      <c r="E562" s="209"/>
      <c r="F562" s="209"/>
      <c r="G562" s="209"/>
      <c r="H562" s="176">
        <f t="shared" si="450"/>
        <v>0</v>
      </c>
      <c r="I562" s="209"/>
      <c r="J562" s="209"/>
      <c r="K562" s="176">
        <f t="shared" si="451"/>
        <v>0</v>
      </c>
      <c r="L562" s="209"/>
      <c r="M562" s="177">
        <f t="shared" si="452"/>
        <v>0</v>
      </c>
      <c r="N562" s="1012"/>
      <c r="O562" s="1012"/>
      <c r="P562" s="485"/>
      <c r="Q562" s="778"/>
      <c r="R562" s="778"/>
      <c r="S562" s="785" t="str">
        <f t="shared" si="455"/>
        <v/>
      </c>
      <c r="T562" s="548" t="str">
        <f t="shared" si="453"/>
        <v>Sheet Metal Takeoff</v>
      </c>
      <c r="U562" s="83">
        <f t="shared" si="456"/>
        <v>0</v>
      </c>
      <c r="V562" s="83">
        <f t="shared" si="457"/>
        <v>0</v>
      </c>
      <c r="W562" s="83">
        <f t="shared" si="458"/>
        <v>0</v>
      </c>
      <c r="X562" s="781">
        <f t="shared" si="459"/>
        <v>0</v>
      </c>
      <c r="Y562" s="781">
        <f t="shared" si="460"/>
        <v>0</v>
      </c>
      <c r="Z562" s="781">
        <f t="shared" si="461"/>
        <v>0</v>
      </c>
      <c r="AA562" s="83">
        <f t="shared" si="454"/>
        <v>0</v>
      </c>
      <c r="AB562" s="83">
        <f t="shared" si="462"/>
        <v>0</v>
      </c>
      <c r="AC562" s="83">
        <f t="shared" si="463"/>
        <v>0</v>
      </c>
      <c r="AD562" s="83">
        <f t="shared" si="464"/>
        <v>0</v>
      </c>
      <c r="AE562" s="83">
        <f t="shared" si="465"/>
        <v>0</v>
      </c>
      <c r="AF562" s="83">
        <f t="shared" si="466"/>
        <v>0</v>
      </c>
      <c r="AG562" s="83">
        <f t="shared" si="467"/>
        <v>0</v>
      </c>
      <c r="AH562" s="83">
        <f t="shared" si="468"/>
        <v>0</v>
      </c>
      <c r="AI562" s="83">
        <f t="shared" si="469"/>
        <v>0</v>
      </c>
      <c r="AJ562" s="718">
        <f t="shared" si="470"/>
        <v>0</v>
      </c>
      <c r="AL562">
        <f t="shared" si="471"/>
        <v>0</v>
      </c>
      <c r="AM562">
        <f t="shared" si="472"/>
        <v>0</v>
      </c>
    </row>
    <row r="563" spans="1:39" ht="15.75" x14ac:dyDescent="0.25">
      <c r="A563" s="561"/>
      <c r="B563" s="561"/>
      <c r="C563" s="561"/>
      <c r="D563" s="672"/>
      <c r="E563" s="209"/>
      <c r="F563" s="209"/>
      <c r="G563" s="209"/>
      <c r="H563" s="176">
        <f t="shared" si="450"/>
        <v>0</v>
      </c>
      <c r="I563" s="209"/>
      <c r="J563" s="209"/>
      <c r="K563" s="176">
        <f t="shared" si="451"/>
        <v>0</v>
      </c>
      <c r="L563" s="209"/>
      <c r="M563" s="177">
        <f t="shared" si="452"/>
        <v>0</v>
      </c>
      <c r="N563" s="1012"/>
      <c r="O563" s="1012"/>
      <c r="P563" s="485"/>
      <c r="Q563" s="778"/>
      <c r="R563" s="778"/>
      <c r="S563" s="785" t="str">
        <f t="shared" si="455"/>
        <v/>
      </c>
      <c r="T563" s="548" t="str">
        <f t="shared" si="453"/>
        <v>Sheet Metal Takeoff</v>
      </c>
      <c r="U563" s="83">
        <f t="shared" si="456"/>
        <v>0</v>
      </c>
      <c r="V563" s="83">
        <f t="shared" si="457"/>
        <v>0</v>
      </c>
      <c r="W563" s="83">
        <f t="shared" si="458"/>
        <v>0</v>
      </c>
      <c r="X563" s="781">
        <f t="shared" si="459"/>
        <v>0</v>
      </c>
      <c r="Y563" s="781">
        <f t="shared" si="460"/>
        <v>0</v>
      </c>
      <c r="Z563" s="781">
        <f t="shared" si="461"/>
        <v>0</v>
      </c>
      <c r="AA563" s="83">
        <f t="shared" si="454"/>
        <v>0</v>
      </c>
      <c r="AB563" s="83">
        <f t="shared" si="462"/>
        <v>0</v>
      </c>
      <c r="AC563" s="83">
        <f t="shared" si="463"/>
        <v>0</v>
      </c>
      <c r="AD563" s="83">
        <f t="shared" si="464"/>
        <v>0</v>
      </c>
      <c r="AE563" s="83">
        <f t="shared" si="465"/>
        <v>0</v>
      </c>
      <c r="AF563" s="83">
        <f t="shared" si="466"/>
        <v>0</v>
      </c>
      <c r="AG563" s="83">
        <f t="shared" si="467"/>
        <v>0</v>
      </c>
      <c r="AH563" s="83">
        <f t="shared" si="468"/>
        <v>0</v>
      </c>
      <c r="AI563" s="83">
        <f t="shared" si="469"/>
        <v>0</v>
      </c>
      <c r="AJ563" s="718">
        <f t="shared" si="470"/>
        <v>0</v>
      </c>
      <c r="AL563">
        <f t="shared" si="471"/>
        <v>0</v>
      </c>
      <c r="AM563">
        <f t="shared" si="472"/>
        <v>0</v>
      </c>
    </row>
    <row r="564" spans="1:39" ht="15.75" x14ac:dyDescent="0.25">
      <c r="A564" s="561"/>
      <c r="B564" s="561"/>
      <c r="C564" s="561"/>
      <c r="D564" s="672"/>
      <c r="E564" s="209"/>
      <c r="F564" s="209"/>
      <c r="G564" s="209"/>
      <c r="H564" s="176">
        <f t="shared" si="450"/>
        <v>0</v>
      </c>
      <c r="I564" s="209"/>
      <c r="J564" s="209"/>
      <c r="K564" s="176">
        <f t="shared" si="451"/>
        <v>0</v>
      </c>
      <c r="L564" s="209"/>
      <c r="M564" s="177">
        <f t="shared" si="452"/>
        <v>0</v>
      </c>
      <c r="N564" s="1012"/>
      <c r="O564" s="1012"/>
      <c r="P564" s="485"/>
      <c r="Q564" s="778"/>
      <c r="R564" s="778"/>
      <c r="S564" s="785" t="str">
        <f t="shared" si="455"/>
        <v/>
      </c>
      <c r="T564" s="548" t="str">
        <f t="shared" si="453"/>
        <v>Sheet Metal Takeoff</v>
      </c>
      <c r="U564" s="83">
        <f t="shared" si="456"/>
        <v>0</v>
      </c>
      <c r="V564" s="83">
        <f t="shared" si="457"/>
        <v>0</v>
      </c>
      <c r="W564" s="83">
        <f t="shared" si="458"/>
        <v>0</v>
      </c>
      <c r="X564" s="781">
        <f t="shared" si="459"/>
        <v>0</v>
      </c>
      <c r="Y564" s="781">
        <f t="shared" si="460"/>
        <v>0</v>
      </c>
      <c r="Z564" s="781">
        <f t="shared" si="461"/>
        <v>0</v>
      </c>
      <c r="AA564" s="83">
        <f t="shared" si="454"/>
        <v>0</v>
      </c>
      <c r="AB564" s="83">
        <f t="shared" si="462"/>
        <v>0</v>
      </c>
      <c r="AC564" s="83">
        <f t="shared" si="463"/>
        <v>0</v>
      </c>
      <c r="AD564" s="83">
        <f t="shared" si="464"/>
        <v>0</v>
      </c>
      <c r="AE564" s="83">
        <f t="shared" si="465"/>
        <v>0</v>
      </c>
      <c r="AF564" s="83">
        <f t="shared" si="466"/>
        <v>0</v>
      </c>
      <c r="AG564" s="83">
        <f t="shared" si="467"/>
        <v>0</v>
      </c>
      <c r="AH564" s="83">
        <f t="shared" si="468"/>
        <v>0</v>
      </c>
      <c r="AI564" s="83">
        <f t="shared" si="469"/>
        <v>0</v>
      </c>
      <c r="AJ564" s="718">
        <f t="shared" si="470"/>
        <v>0</v>
      </c>
      <c r="AL564">
        <f t="shared" si="471"/>
        <v>0</v>
      </c>
      <c r="AM564">
        <f t="shared" si="472"/>
        <v>0</v>
      </c>
    </row>
    <row r="565" spans="1:39" ht="15.75" x14ac:dyDescent="0.25">
      <c r="A565" s="561"/>
      <c r="B565" s="561"/>
      <c r="C565" s="561"/>
      <c r="D565" s="672"/>
      <c r="E565" s="209"/>
      <c r="F565" s="209"/>
      <c r="G565" s="209"/>
      <c r="H565" s="176">
        <f t="shared" si="450"/>
        <v>0</v>
      </c>
      <c r="I565" s="209"/>
      <c r="J565" s="209"/>
      <c r="K565" s="176">
        <f t="shared" si="451"/>
        <v>0</v>
      </c>
      <c r="L565" s="209"/>
      <c r="M565" s="177">
        <f t="shared" si="452"/>
        <v>0</v>
      </c>
      <c r="N565" s="1012"/>
      <c r="O565" s="1012"/>
      <c r="P565" s="485"/>
      <c r="Q565" s="778"/>
      <c r="R565" s="778"/>
      <c r="S565" s="785" t="str">
        <f t="shared" si="455"/>
        <v/>
      </c>
      <c r="T565" s="548" t="str">
        <f t="shared" si="453"/>
        <v>Sheet Metal Takeoff</v>
      </c>
      <c r="U565" s="83">
        <f t="shared" si="456"/>
        <v>0</v>
      </c>
      <c r="V565" s="83">
        <f t="shared" si="457"/>
        <v>0</v>
      </c>
      <c r="W565" s="83">
        <f t="shared" si="458"/>
        <v>0</v>
      </c>
      <c r="X565" s="781">
        <f t="shared" si="459"/>
        <v>0</v>
      </c>
      <c r="Y565" s="781">
        <f t="shared" si="460"/>
        <v>0</v>
      </c>
      <c r="Z565" s="781">
        <f t="shared" si="461"/>
        <v>0</v>
      </c>
      <c r="AA565" s="83">
        <f t="shared" si="454"/>
        <v>0</v>
      </c>
      <c r="AB565" s="83">
        <f t="shared" si="462"/>
        <v>0</v>
      </c>
      <c r="AC565" s="83">
        <f t="shared" si="463"/>
        <v>0</v>
      </c>
      <c r="AD565" s="83">
        <f t="shared" si="464"/>
        <v>0</v>
      </c>
      <c r="AE565" s="83">
        <f t="shared" si="465"/>
        <v>0</v>
      </c>
      <c r="AF565" s="83">
        <f t="shared" si="466"/>
        <v>0</v>
      </c>
      <c r="AG565" s="83">
        <f t="shared" si="467"/>
        <v>0</v>
      </c>
      <c r="AH565" s="83">
        <f t="shared" si="468"/>
        <v>0</v>
      </c>
      <c r="AI565" s="83">
        <f t="shared" si="469"/>
        <v>0</v>
      </c>
      <c r="AJ565" s="718">
        <f t="shared" si="470"/>
        <v>0</v>
      </c>
      <c r="AL565">
        <f t="shared" si="471"/>
        <v>0</v>
      </c>
      <c r="AM565">
        <f t="shared" si="472"/>
        <v>0</v>
      </c>
    </row>
    <row r="566" spans="1:39" ht="15.75" x14ac:dyDescent="0.25">
      <c r="A566" s="561"/>
      <c r="B566" s="561"/>
      <c r="C566" s="561"/>
      <c r="D566" s="672"/>
      <c r="E566" s="209"/>
      <c r="F566" s="209"/>
      <c r="G566" s="209"/>
      <c r="H566" s="176">
        <f t="shared" si="450"/>
        <v>0</v>
      </c>
      <c r="I566" s="209"/>
      <c r="J566" s="209"/>
      <c r="K566" s="176">
        <f t="shared" si="451"/>
        <v>0</v>
      </c>
      <c r="L566" s="209"/>
      <c r="M566" s="177">
        <f t="shared" si="452"/>
        <v>0</v>
      </c>
      <c r="N566" s="1012"/>
      <c r="O566" s="1012"/>
      <c r="P566" s="485"/>
      <c r="Q566" s="778"/>
      <c r="R566" s="778"/>
      <c r="S566" s="785" t="str">
        <f t="shared" si="455"/>
        <v/>
      </c>
      <c r="T566" s="548" t="str">
        <f t="shared" si="453"/>
        <v>Sheet Metal Takeoff</v>
      </c>
      <c r="U566" s="83">
        <f t="shared" si="456"/>
        <v>0</v>
      </c>
      <c r="V566" s="83">
        <f t="shared" si="457"/>
        <v>0</v>
      </c>
      <c r="W566" s="83">
        <f t="shared" si="458"/>
        <v>0</v>
      </c>
      <c r="X566" s="781">
        <f t="shared" si="459"/>
        <v>0</v>
      </c>
      <c r="Y566" s="781">
        <f t="shared" si="460"/>
        <v>0</v>
      </c>
      <c r="Z566" s="781">
        <f t="shared" si="461"/>
        <v>0</v>
      </c>
      <c r="AA566" s="83">
        <f t="shared" si="454"/>
        <v>0</v>
      </c>
      <c r="AB566" s="83">
        <f t="shared" si="462"/>
        <v>0</v>
      </c>
      <c r="AC566" s="83">
        <f t="shared" si="463"/>
        <v>0</v>
      </c>
      <c r="AD566" s="83">
        <f t="shared" si="464"/>
        <v>0</v>
      </c>
      <c r="AE566" s="83">
        <f t="shared" si="465"/>
        <v>0</v>
      </c>
      <c r="AF566" s="83">
        <f t="shared" si="466"/>
        <v>0</v>
      </c>
      <c r="AG566" s="83">
        <f t="shared" si="467"/>
        <v>0</v>
      </c>
      <c r="AH566" s="83">
        <f t="shared" si="468"/>
        <v>0</v>
      </c>
      <c r="AI566" s="83">
        <f t="shared" si="469"/>
        <v>0</v>
      </c>
      <c r="AJ566" s="718">
        <f t="shared" si="470"/>
        <v>0</v>
      </c>
      <c r="AL566">
        <f t="shared" si="471"/>
        <v>0</v>
      </c>
      <c r="AM566">
        <f t="shared" si="472"/>
        <v>0</v>
      </c>
    </row>
    <row r="567" spans="1:39" ht="15.75" x14ac:dyDescent="0.25">
      <c r="A567" s="561"/>
      <c r="B567" s="561"/>
      <c r="C567" s="561"/>
      <c r="D567" s="672"/>
      <c r="E567" s="209"/>
      <c r="F567" s="209"/>
      <c r="G567" s="209"/>
      <c r="H567" s="176">
        <f t="shared" si="450"/>
        <v>0</v>
      </c>
      <c r="I567" s="209"/>
      <c r="J567" s="209"/>
      <c r="K567" s="176">
        <f t="shared" si="451"/>
        <v>0</v>
      </c>
      <c r="L567" s="209"/>
      <c r="M567" s="177">
        <f t="shared" si="452"/>
        <v>0</v>
      </c>
      <c r="N567" s="1012"/>
      <c r="O567" s="1012"/>
      <c r="P567" s="485"/>
      <c r="Q567" s="778"/>
      <c r="R567" s="778"/>
      <c r="S567" s="785" t="str">
        <f t="shared" si="455"/>
        <v/>
      </c>
      <c r="T567" s="548" t="str">
        <f t="shared" si="453"/>
        <v>Sheet Metal Takeoff</v>
      </c>
      <c r="U567" s="83">
        <f t="shared" si="456"/>
        <v>0</v>
      </c>
      <c r="V567" s="83">
        <f t="shared" si="457"/>
        <v>0</v>
      </c>
      <c r="W567" s="83">
        <f t="shared" si="458"/>
        <v>0</v>
      </c>
      <c r="X567" s="781">
        <f t="shared" si="459"/>
        <v>0</v>
      </c>
      <c r="Y567" s="781">
        <f t="shared" si="460"/>
        <v>0</v>
      </c>
      <c r="Z567" s="781">
        <f t="shared" si="461"/>
        <v>0</v>
      </c>
      <c r="AA567" s="83">
        <f t="shared" si="454"/>
        <v>0</v>
      </c>
      <c r="AB567" s="83">
        <f t="shared" si="462"/>
        <v>0</v>
      </c>
      <c r="AC567" s="83">
        <f t="shared" si="463"/>
        <v>0</v>
      </c>
      <c r="AD567" s="83">
        <f t="shared" si="464"/>
        <v>0</v>
      </c>
      <c r="AE567" s="83">
        <f t="shared" si="465"/>
        <v>0</v>
      </c>
      <c r="AF567" s="83">
        <f t="shared" si="466"/>
        <v>0</v>
      </c>
      <c r="AG567" s="83">
        <f t="shared" si="467"/>
        <v>0</v>
      </c>
      <c r="AH567" s="83">
        <f t="shared" si="468"/>
        <v>0</v>
      </c>
      <c r="AI567" s="83">
        <f t="shared" si="469"/>
        <v>0</v>
      </c>
      <c r="AJ567" s="718">
        <f t="shared" si="470"/>
        <v>0</v>
      </c>
      <c r="AL567">
        <f t="shared" si="471"/>
        <v>0</v>
      </c>
      <c r="AM567">
        <f t="shared" si="472"/>
        <v>0</v>
      </c>
    </row>
    <row r="568" spans="1:39" ht="15.75" x14ac:dyDescent="0.25">
      <c r="A568" s="561"/>
      <c r="B568" s="561"/>
      <c r="C568" s="561"/>
      <c r="D568" s="672"/>
      <c r="E568" s="209"/>
      <c r="F568" s="209"/>
      <c r="G568" s="209"/>
      <c r="H568" s="176">
        <f t="shared" si="450"/>
        <v>0</v>
      </c>
      <c r="I568" s="209"/>
      <c r="J568" s="209"/>
      <c r="K568" s="176">
        <f t="shared" si="451"/>
        <v>0</v>
      </c>
      <c r="L568" s="209"/>
      <c r="M568" s="177">
        <f t="shared" si="452"/>
        <v>0</v>
      </c>
      <c r="N568" s="1012"/>
      <c r="O568" s="1012"/>
      <c r="P568" s="485"/>
      <c r="Q568" s="778"/>
      <c r="R568" s="778"/>
      <c r="S568" s="785" t="str">
        <f t="shared" si="455"/>
        <v/>
      </c>
      <c r="T568" s="548" t="str">
        <f t="shared" si="453"/>
        <v>Sheet Metal Takeoff</v>
      </c>
      <c r="U568" s="83">
        <f t="shared" si="456"/>
        <v>0</v>
      </c>
      <c r="V568" s="83">
        <f t="shared" si="457"/>
        <v>0</v>
      </c>
      <c r="W568" s="83">
        <f t="shared" si="458"/>
        <v>0</v>
      </c>
      <c r="X568" s="781">
        <f t="shared" si="459"/>
        <v>0</v>
      </c>
      <c r="Y568" s="781">
        <f t="shared" si="460"/>
        <v>0</v>
      </c>
      <c r="Z568" s="781">
        <f t="shared" si="461"/>
        <v>0</v>
      </c>
      <c r="AA568" s="83">
        <f t="shared" si="454"/>
        <v>0</v>
      </c>
      <c r="AB568" s="83">
        <f t="shared" si="462"/>
        <v>0</v>
      </c>
      <c r="AC568" s="83">
        <f t="shared" si="463"/>
        <v>0</v>
      </c>
      <c r="AD568" s="83">
        <f t="shared" si="464"/>
        <v>0</v>
      </c>
      <c r="AE568" s="83">
        <f t="shared" si="465"/>
        <v>0</v>
      </c>
      <c r="AF568" s="83">
        <f t="shared" si="466"/>
        <v>0</v>
      </c>
      <c r="AG568" s="83">
        <f t="shared" si="467"/>
        <v>0</v>
      </c>
      <c r="AH568" s="83">
        <f t="shared" si="468"/>
        <v>0</v>
      </c>
      <c r="AI568" s="83">
        <f t="shared" si="469"/>
        <v>0</v>
      </c>
      <c r="AJ568" s="718">
        <f t="shared" si="470"/>
        <v>0</v>
      </c>
      <c r="AL568">
        <f t="shared" si="471"/>
        <v>0</v>
      </c>
      <c r="AM568">
        <f t="shared" si="472"/>
        <v>0</v>
      </c>
    </row>
    <row r="569" spans="1:39" ht="15.75" x14ac:dyDescent="0.25">
      <c r="A569" s="561"/>
      <c r="B569" s="561"/>
      <c r="C569" s="561"/>
      <c r="D569" s="672"/>
      <c r="E569" s="209"/>
      <c r="F569" s="209"/>
      <c r="G569" s="209"/>
      <c r="H569" s="176">
        <f t="shared" si="450"/>
        <v>0</v>
      </c>
      <c r="I569" s="209"/>
      <c r="J569" s="209"/>
      <c r="K569" s="176">
        <f t="shared" si="451"/>
        <v>0</v>
      </c>
      <c r="L569" s="209"/>
      <c r="M569" s="177">
        <f t="shared" si="452"/>
        <v>0</v>
      </c>
      <c r="N569" s="1012"/>
      <c r="O569" s="1012"/>
      <c r="P569" s="485"/>
      <c r="Q569" s="778"/>
      <c r="R569" s="778"/>
      <c r="S569" s="785" t="str">
        <f t="shared" si="455"/>
        <v/>
      </c>
      <c r="T569" s="548" t="str">
        <f t="shared" si="453"/>
        <v>Sheet Metal Takeoff</v>
      </c>
      <c r="U569" s="83">
        <f t="shared" si="456"/>
        <v>0</v>
      </c>
      <c r="V569" s="83">
        <f t="shared" si="457"/>
        <v>0</v>
      </c>
      <c r="W569" s="83">
        <f t="shared" si="458"/>
        <v>0</v>
      </c>
      <c r="X569" s="781">
        <f t="shared" si="459"/>
        <v>0</v>
      </c>
      <c r="Y569" s="781">
        <f t="shared" si="460"/>
        <v>0</v>
      </c>
      <c r="Z569" s="781">
        <f t="shared" si="461"/>
        <v>0</v>
      </c>
      <c r="AA569" s="83">
        <f t="shared" si="454"/>
        <v>0</v>
      </c>
      <c r="AB569" s="83">
        <f t="shared" si="462"/>
        <v>0</v>
      </c>
      <c r="AC569" s="83">
        <f t="shared" si="463"/>
        <v>0</v>
      </c>
      <c r="AD569" s="83">
        <f t="shared" si="464"/>
        <v>0</v>
      </c>
      <c r="AE569" s="83">
        <f t="shared" si="465"/>
        <v>0</v>
      </c>
      <c r="AF569" s="83">
        <f t="shared" si="466"/>
        <v>0</v>
      </c>
      <c r="AG569" s="83">
        <f t="shared" si="467"/>
        <v>0</v>
      </c>
      <c r="AH569" s="83">
        <f t="shared" si="468"/>
        <v>0</v>
      </c>
      <c r="AI569" s="83">
        <f t="shared" si="469"/>
        <v>0</v>
      </c>
      <c r="AJ569" s="718">
        <f t="shared" si="470"/>
        <v>0</v>
      </c>
      <c r="AL569">
        <f t="shared" si="471"/>
        <v>0</v>
      </c>
      <c r="AM569">
        <f t="shared" si="472"/>
        <v>0</v>
      </c>
    </row>
    <row r="570" spans="1:39" ht="15.75" x14ac:dyDescent="0.25">
      <c r="A570" s="561"/>
      <c r="B570" s="561"/>
      <c r="C570" s="561"/>
      <c r="D570" s="672"/>
      <c r="E570" s="209"/>
      <c r="F570" s="209"/>
      <c r="G570" s="209"/>
      <c r="H570" s="176">
        <f t="shared" si="450"/>
        <v>0</v>
      </c>
      <c r="I570" s="209"/>
      <c r="J570" s="209"/>
      <c r="K570" s="176">
        <f t="shared" si="451"/>
        <v>0</v>
      </c>
      <c r="L570" s="209"/>
      <c r="M570" s="177">
        <f t="shared" si="452"/>
        <v>0</v>
      </c>
      <c r="N570" s="1012"/>
      <c r="O570" s="1012"/>
      <c r="P570" s="485"/>
      <c r="Q570" s="778"/>
      <c r="R570" s="778"/>
      <c r="S570" s="785" t="str">
        <f t="shared" si="455"/>
        <v/>
      </c>
      <c r="T570" s="548" t="str">
        <f t="shared" si="453"/>
        <v>Sheet Metal Takeoff</v>
      </c>
      <c r="U570" s="83">
        <f t="shared" si="456"/>
        <v>0</v>
      </c>
      <c r="V570" s="83">
        <f t="shared" si="457"/>
        <v>0</v>
      </c>
      <c r="W570" s="83">
        <f t="shared" si="458"/>
        <v>0</v>
      </c>
      <c r="X570" s="781">
        <f t="shared" si="459"/>
        <v>0</v>
      </c>
      <c r="Y570" s="781">
        <f t="shared" si="460"/>
        <v>0</v>
      </c>
      <c r="Z570" s="781">
        <f t="shared" si="461"/>
        <v>0</v>
      </c>
      <c r="AA570" s="83">
        <f t="shared" si="454"/>
        <v>0</v>
      </c>
      <c r="AB570" s="83">
        <f t="shared" si="462"/>
        <v>0</v>
      </c>
      <c r="AC570" s="83">
        <f t="shared" si="463"/>
        <v>0</v>
      </c>
      <c r="AD570" s="83">
        <f t="shared" si="464"/>
        <v>0</v>
      </c>
      <c r="AE570" s="83">
        <f t="shared" si="465"/>
        <v>0</v>
      </c>
      <c r="AF570" s="83">
        <f t="shared" si="466"/>
        <v>0</v>
      </c>
      <c r="AG570" s="83">
        <f t="shared" si="467"/>
        <v>0</v>
      </c>
      <c r="AH570" s="83">
        <f t="shared" si="468"/>
        <v>0</v>
      </c>
      <c r="AI570" s="83">
        <f t="shared" si="469"/>
        <v>0</v>
      </c>
      <c r="AJ570" s="718">
        <f t="shared" si="470"/>
        <v>0</v>
      </c>
      <c r="AL570">
        <f t="shared" si="471"/>
        <v>0</v>
      </c>
      <c r="AM570">
        <f t="shared" si="472"/>
        <v>0</v>
      </c>
    </row>
    <row r="571" spans="1:39" ht="15.75" hidden="1" customHeight="1" x14ac:dyDescent="0.25">
      <c r="A571" s="561"/>
      <c r="B571" s="561"/>
      <c r="C571" s="561"/>
      <c r="D571" s="672"/>
      <c r="E571" s="209"/>
      <c r="F571" s="209"/>
      <c r="G571" s="209"/>
      <c r="H571" s="176">
        <f t="shared" si="450"/>
        <v>0</v>
      </c>
      <c r="I571" s="209"/>
      <c r="J571" s="209"/>
      <c r="K571" s="176">
        <f t="shared" si="451"/>
        <v>0</v>
      </c>
      <c r="L571" s="209"/>
      <c r="M571" s="177">
        <f t="shared" si="452"/>
        <v>0</v>
      </c>
      <c r="N571" s="1012"/>
      <c r="O571" s="1012"/>
      <c r="P571" s="485"/>
      <c r="Q571" s="778"/>
      <c r="R571" s="778"/>
      <c r="S571" s="785" t="str">
        <f t="shared" si="455"/>
        <v/>
      </c>
      <c r="T571" s="548" t="str">
        <f t="shared" si="453"/>
        <v>Sheet Metal Takeoff</v>
      </c>
      <c r="U571" s="83">
        <f>ROUND(IF($T571="Plumb Takeoff",$H571*U$3,IF($T571="Pipe Takeoff",$H571*U$4,$H571*U$2)),2)</f>
        <v>0</v>
      </c>
      <c r="V571" s="83">
        <f t="shared" si="457"/>
        <v>0</v>
      </c>
      <c r="W571" s="83">
        <f t="shared" si="458"/>
        <v>0</v>
      </c>
      <c r="X571" s="781">
        <f t="shared" si="459"/>
        <v>0</v>
      </c>
      <c r="Y571" s="781">
        <f t="shared" si="460"/>
        <v>0</v>
      </c>
      <c r="Z571" s="781">
        <f t="shared" si="461"/>
        <v>0</v>
      </c>
      <c r="AA571" s="83">
        <f t="shared" si="454"/>
        <v>0</v>
      </c>
      <c r="AB571" s="83">
        <f t="shared" si="462"/>
        <v>0</v>
      </c>
      <c r="AC571" s="83">
        <f t="shared" si="463"/>
        <v>0</v>
      </c>
      <c r="AD571" s="83">
        <f t="shared" si="464"/>
        <v>0</v>
      </c>
      <c r="AE571" s="83">
        <f t="shared" si="465"/>
        <v>0</v>
      </c>
      <c r="AF571" s="83">
        <f t="shared" si="466"/>
        <v>0</v>
      </c>
      <c r="AG571" s="83">
        <f t="shared" si="467"/>
        <v>0</v>
      </c>
      <c r="AH571" s="83">
        <f t="shared" si="468"/>
        <v>0</v>
      </c>
      <c r="AI571" s="83">
        <f t="shared" si="469"/>
        <v>0</v>
      </c>
      <c r="AJ571" s="718">
        <f t="shared" si="470"/>
        <v>0</v>
      </c>
      <c r="AL571">
        <f t="shared" si="471"/>
        <v>0</v>
      </c>
      <c r="AM571">
        <f t="shared" si="472"/>
        <v>0</v>
      </c>
    </row>
    <row r="572" spans="1:39" ht="15.75" x14ac:dyDescent="0.25">
      <c r="A572" s="551"/>
      <c r="B572" s="551"/>
      <c r="C572" s="551"/>
      <c r="D572" s="673"/>
      <c r="E572" s="552"/>
      <c r="F572" s="553"/>
      <c r="G572" s="553"/>
      <c r="H572" s="181">
        <f>SUM(H546:H571)</f>
        <v>0</v>
      </c>
      <c r="I572" s="182"/>
      <c r="J572" s="182"/>
      <c r="K572" s="181">
        <f>SUM(K546:K571)</f>
        <v>0</v>
      </c>
      <c r="L572" s="182"/>
      <c r="M572" s="177">
        <f>SUM(M546:M571)</f>
        <v>0</v>
      </c>
      <c r="O572" s="486"/>
      <c r="AJ572" s="718"/>
    </row>
    <row r="573" spans="1:39" ht="15.75" thickBot="1" x14ac:dyDescent="0.3">
      <c r="AJ573" s="718"/>
    </row>
    <row r="574" spans="1:39" ht="16.5" thickBot="1" x14ac:dyDescent="0.3">
      <c r="E574" s="678" t="s">
        <v>1122</v>
      </c>
      <c r="F574" s="1017" t="s">
        <v>1630</v>
      </c>
      <c r="G574" s="1018"/>
      <c r="H574" s="344"/>
      <c r="I574" s="1019" t="s">
        <v>1628</v>
      </c>
      <c r="J574" s="1020"/>
      <c r="K574" s="679" t="b">
        <v>0</v>
      </c>
      <c r="AJ574" s="718"/>
    </row>
    <row r="575" spans="1:39" ht="38.25" thickBot="1" x14ac:dyDescent="0.35">
      <c r="A575" s="477" t="s">
        <v>1063</v>
      </c>
      <c r="B575" s="477" t="s">
        <v>348</v>
      </c>
      <c r="C575" s="477" t="s">
        <v>349</v>
      </c>
      <c r="D575" s="666" t="s">
        <v>0</v>
      </c>
      <c r="E575" s="477" t="s">
        <v>1</v>
      </c>
      <c r="F575" s="480" t="s">
        <v>2</v>
      </c>
      <c r="G575" s="480" t="s">
        <v>1123</v>
      </c>
      <c r="H575" s="480" t="s">
        <v>3</v>
      </c>
      <c r="I575" s="483" t="s">
        <v>4</v>
      </c>
      <c r="J575" s="480" t="s">
        <v>1124</v>
      </c>
      <c r="K575" s="680" t="s">
        <v>5</v>
      </c>
      <c r="L575" s="480" t="s">
        <v>6</v>
      </c>
      <c r="M575" s="484" t="s">
        <v>7</v>
      </c>
      <c r="N575" s="1013" t="s">
        <v>1079</v>
      </c>
      <c r="O575" s="1014"/>
      <c r="P575" s="1009" t="s">
        <v>1629</v>
      </c>
      <c r="Q575" s="1009" t="s">
        <v>1147</v>
      </c>
      <c r="R575" s="1009" t="s">
        <v>1792</v>
      </c>
      <c r="T575" s="2"/>
      <c r="AJ575" s="718"/>
    </row>
    <row r="576" spans="1:39" ht="16.5" thickBot="1" x14ac:dyDescent="0.3">
      <c r="A576" s="183"/>
      <c r="B576" s="183"/>
      <c r="C576" s="183"/>
      <c r="D576" s="671"/>
      <c r="E576" s="183"/>
      <c r="F576" s="183"/>
      <c r="G576" s="183"/>
      <c r="H576" s="183"/>
      <c r="I576" s="183"/>
      <c r="J576" s="183"/>
      <c r="K576" s="183"/>
      <c r="L576" s="183"/>
      <c r="M576" s="183"/>
      <c r="N576" s="1015"/>
      <c r="O576" s="1016"/>
      <c r="P576" s="1010" t="s">
        <v>1362</v>
      </c>
      <c r="Q576" s="1010"/>
      <c r="R576" s="1010"/>
      <c r="T576" s="1"/>
      <c r="AJ576" s="718"/>
    </row>
    <row r="577" spans="1:39" ht="15.75" x14ac:dyDescent="0.25">
      <c r="A577" s="561"/>
      <c r="B577" s="561"/>
      <c r="C577" s="561"/>
      <c r="D577" s="672"/>
      <c r="E577" s="209"/>
      <c r="F577" s="209"/>
      <c r="G577" s="209"/>
      <c r="H577" s="176">
        <f t="shared" ref="H577:H602" si="473">IF(SM_ExludeGroup18=TRUE,0,IF(G577="",E577*F577*IF(AND(S577="LOP",R577="SWING"),1+CrewRate_PlumbFitter_SwingLOP,1)*IF(AND(S577="LOP",R577="GRAVE"),1+CrewRate_PlumbFitter_GraveLOP,1)*IF(AND(S577="LOP",R577="SPECIAL"),1+CrewRate_PlumbFitter_SwingLOP,1),E577*F577*G577*IF(AND(S577="LOP",R577="SWING"),1+CrewRate_PlumbFitter_SwingLOP,1)*IF(AND(S577="LOP",R577="GRAVE"),1+CrewRate_PlumbFitter_GraveLOP,1)*IF(AND(S577="LOP",R577="SPECIAL"),1+CrewRate_PlumbFitter_SwingLOP,1)))</f>
        <v>0</v>
      </c>
      <c r="I577" s="209"/>
      <c r="J577" s="209"/>
      <c r="K577" s="176">
        <f t="shared" ref="K577:K602" si="474">IF(SM_ExludeGroup18=TRUE,0,IF(J577="",E577*I577,E577*I577*J577))</f>
        <v>0</v>
      </c>
      <c r="L577" s="209"/>
      <c r="M577" s="177">
        <f t="shared" ref="M577:M602" si="475">IF(SM_ExludeGroup18=TRUE,0,E577*L577)</f>
        <v>0</v>
      </c>
      <c r="N577" s="1012"/>
      <c r="O577" s="1012"/>
      <c r="P577" s="485"/>
      <c r="Q577" s="778"/>
      <c r="R577" s="778"/>
      <c r="S577" s="785" t="str">
        <f>IF(T577="Sheet Metal Takeoff","",IF(R577="","","LOP"))</f>
        <v/>
      </c>
      <c r="T577" s="548" t="str">
        <f t="shared" ref="T577:T602" si="476">IF($F$574="","Sheet Metal Takeoff",$F$574)</f>
        <v>Sheet Metal Takeoff</v>
      </c>
      <c r="U577" s="83">
        <f>ROUND(IF($T577="Plumb Takeoff",$H577*U$3,IF($T577="Pipe Takeoff",$H577*U$4,$H577*U$2)),2)</f>
        <v>0</v>
      </c>
      <c r="V577" s="83">
        <f>ROUND(IF($T577="Plumb Takeoff",IF($Q577="OT",$H577*V$3,0),IF($T577="Pipe Takeoff",IF($Q577="OT",$H577*V$4,0),IF($Q577="OT",$H577*V$2,0))),2)</f>
        <v>0</v>
      </c>
      <c r="W577" s="83">
        <f>ROUND(IF($T577="Plumb Takeoff",IF($Q577="DBLT",$H577*W$3,0),IF($T577="Pipe Takeoff",IF($Q577="DBLT",$H577*W$4,0),IF($Q577="DBLT",$H577*W$2,0))),2)</f>
        <v>0</v>
      </c>
      <c r="X577" s="781">
        <f>ROUND(SUM(IF($T577="Plumb Takeoff",IF($R577="SWING",ROUND(SUM($H577)*X$3,2))),IF($T577="Pipe Takeoff",IF($R577="SWING",ROUND(SUM($H577)*X$4,2))),IF($T577="Sheet Metal Takeoff",IF($R577="SWING",ROUND(SUM($H577)*X$2,2)))),2)</f>
        <v>0</v>
      </c>
      <c r="Y577" s="781">
        <f>ROUND(SUM(IF($T577="Plumb Takeoff",IF($R577="GRAVE",ROUND(SUM($H577)*Y$3,2))),IF($T577="Pipe Takeoff",IF($R577="GRAVE",ROUND(SUM($H577)*Y$4,2))),IF($T577="Sheet Metal Takeoff",IF($R577="GRAVE",ROUND(SUM($H577)*Y$2,2)))),2)</f>
        <v>0</v>
      </c>
      <c r="Z577" s="781">
        <f>ROUND(SUM(IF($T577="Plumb Takeoff",IF($R577="SPECIAL",ROUND(SUM($H577)*Z$3,2))),IF($T577="Pipe Takeoff",IF($R577="SPECIAL",ROUND(SUM($H577)*Z$4,2))),IF($T577="Sheet Metal Takeoff",IF($R577="SPECIAL",ROUND(SUM($H577)*Z$2,2)))),2)</f>
        <v>0</v>
      </c>
      <c r="AA577" s="83">
        <f t="shared" ref="AA577:AA602" si="477">ROUND($K577*AA$2,2)</f>
        <v>0</v>
      </c>
      <c r="AB577" s="83">
        <f>ROUND(IF($Q577="OT",$K577*AB$2,0),2)</f>
        <v>0</v>
      </c>
      <c r="AC577" s="83">
        <f>ROUND(IF($Q577="DBLT",$K577*AC$2,0),2)</f>
        <v>0</v>
      </c>
      <c r="AD577" s="83">
        <f>ROUND(IF($R577="SWING",$K577*AD$2,0),2)</f>
        <v>0</v>
      </c>
      <c r="AE577" s="83">
        <f>ROUND(IF($R577="GRAVE",$K577*AE$2,0),2)</f>
        <v>0</v>
      </c>
      <c r="AF577" s="83">
        <f>ROUND(IF($R577="SPECIAL",$K577*AF$2,0),2)</f>
        <v>0</v>
      </c>
      <c r="AG577" s="83">
        <f>SUM(U577:Z577)</f>
        <v>0</v>
      </c>
      <c r="AH577" s="83">
        <f>SUM(AA577:AF577)</f>
        <v>0</v>
      </c>
      <c r="AI577" s="83">
        <f>SUM(U577:AF577)</f>
        <v>0</v>
      </c>
      <c r="AJ577" s="718">
        <f>SUM(M577,AI577)</f>
        <v>0</v>
      </c>
      <c r="AL577">
        <f>SUM(V577:Z577)</f>
        <v>0</v>
      </c>
      <c r="AM577">
        <f>SUM(AB577:AF577)</f>
        <v>0</v>
      </c>
    </row>
    <row r="578" spans="1:39" ht="15.75" x14ac:dyDescent="0.25">
      <c r="A578" s="561"/>
      <c r="B578" s="561"/>
      <c r="C578" s="561"/>
      <c r="D578" s="672"/>
      <c r="E578" s="209"/>
      <c r="F578" s="209"/>
      <c r="G578" s="209"/>
      <c r="H578" s="176">
        <f t="shared" si="473"/>
        <v>0</v>
      </c>
      <c r="I578" s="209"/>
      <c r="J578" s="209"/>
      <c r="K578" s="176">
        <f t="shared" si="474"/>
        <v>0</v>
      </c>
      <c r="L578" s="209"/>
      <c r="M578" s="177">
        <f t="shared" si="475"/>
        <v>0</v>
      </c>
      <c r="N578" s="1012"/>
      <c r="O578" s="1012"/>
      <c r="P578" s="485"/>
      <c r="Q578" s="778"/>
      <c r="R578" s="778"/>
      <c r="S578" s="785" t="str">
        <f t="shared" ref="S578:S602" si="478">IF(T578="Sheet Metal Takeoff","",IF(R578="","","LOP"))</f>
        <v/>
      </c>
      <c r="T578" s="548" t="str">
        <f t="shared" si="476"/>
        <v>Sheet Metal Takeoff</v>
      </c>
      <c r="U578" s="83">
        <f t="shared" ref="U578:U601" si="479">ROUND(IF($T578="Plumb Takeoff",$H578*U$3,IF($T578="Pipe Takeoff",$H578*U$4,$H578*U$2)),2)</f>
        <v>0</v>
      </c>
      <c r="V578" s="83">
        <f t="shared" ref="V578:V602" si="480">ROUND(IF($T578="Plumb Takeoff",IF($Q578="OT",$H578*V$3,0),IF($T578="Pipe Takeoff",IF($Q578="OT",$H578*V$4,0),IF($Q578="OT",$H578*V$2,0))),2)</f>
        <v>0</v>
      </c>
      <c r="W578" s="83">
        <f t="shared" ref="W578:W602" si="481">ROUND(IF($T578="Plumb Takeoff",IF($Q578="DBLT",$H578*W$3,0),IF($T578="Pipe Takeoff",IF($Q578="DBLT",$H578*W$4,0),IF($Q578="DBLT",$H578*W$2,0))),2)</f>
        <v>0</v>
      </c>
      <c r="X578" s="781">
        <f t="shared" ref="X578:X602" si="482">ROUND(SUM(IF($T578="Plumb Takeoff",IF($R578="SWING",ROUND(SUM($H578)*X$3,2))),IF($T578="Pipe Takeoff",IF($R578="SWING",ROUND(SUM($H578)*X$4,2))),IF($T578="Sheet Metal Takeoff",IF($R578="SWING",ROUND(SUM($H578)*X$2,2)))),2)</f>
        <v>0</v>
      </c>
      <c r="Y578" s="781">
        <f t="shared" ref="Y578:Y602" si="483">ROUND(SUM(IF($T578="Plumb Takeoff",IF($R578="GRAVE",ROUND(SUM($H578)*Y$3,2))),IF($T578="Pipe Takeoff",IF($R578="GRAVE",ROUND(SUM($H578)*Y$4,2))),IF($T578="Sheet Metal Takeoff",IF($R578="GRAVE",ROUND(SUM($H578)*Y$2,2)))),2)</f>
        <v>0</v>
      </c>
      <c r="Z578" s="781">
        <f t="shared" ref="Z578:Z602" si="484">ROUND(SUM(IF($T578="Plumb Takeoff",IF($R578="SPECIAL",ROUND(SUM($H578)*Z$3,2))),IF($T578="Pipe Takeoff",IF($R578="SPECIAL",ROUND(SUM($H578)*Z$4,2))),IF($T578="Sheet Metal Takeoff",IF($R578="SPECIAL",ROUND(SUM($H578)*Z$2,2)))),2)</f>
        <v>0</v>
      </c>
      <c r="AA578" s="83">
        <f t="shared" si="477"/>
        <v>0</v>
      </c>
      <c r="AB578" s="83">
        <f t="shared" ref="AB578:AB602" si="485">ROUND(IF($Q578="OT",$K578*AB$2,0),2)</f>
        <v>0</v>
      </c>
      <c r="AC578" s="83">
        <f t="shared" ref="AC578:AC602" si="486">ROUND(IF($Q578="DBLT",$K578*AC$2,0),2)</f>
        <v>0</v>
      </c>
      <c r="AD578" s="83">
        <f t="shared" ref="AD578:AD602" si="487">ROUND(IF($R578="SWING",$K578*AD$2,0),2)</f>
        <v>0</v>
      </c>
      <c r="AE578" s="83">
        <f t="shared" ref="AE578:AE602" si="488">ROUND(IF($R578="GRAVE",$K578*AE$2,0),2)</f>
        <v>0</v>
      </c>
      <c r="AF578" s="83">
        <f t="shared" ref="AF578:AF602" si="489">ROUND(IF($R578="SPECIAL",$K578*AF$2,0),2)</f>
        <v>0</v>
      </c>
      <c r="AG578" s="83">
        <f t="shared" ref="AG578:AG602" si="490">SUM(U578:Z578)</f>
        <v>0</v>
      </c>
      <c r="AH578" s="83">
        <f t="shared" ref="AH578:AH602" si="491">SUM(AA578:AF578)</f>
        <v>0</v>
      </c>
      <c r="AI578" s="83">
        <f t="shared" ref="AI578:AI602" si="492">SUM(U578:AF578)</f>
        <v>0</v>
      </c>
      <c r="AJ578" s="718">
        <f t="shared" ref="AJ578:AJ602" si="493">SUM(M578,AI578)</f>
        <v>0</v>
      </c>
      <c r="AL578">
        <f t="shared" ref="AL578:AL602" si="494">SUM(V578:Z578)</f>
        <v>0</v>
      </c>
      <c r="AM578">
        <f t="shared" ref="AM578:AM602" si="495">SUM(AB578:AF578)</f>
        <v>0</v>
      </c>
    </row>
    <row r="579" spans="1:39" ht="15.75" x14ac:dyDescent="0.25">
      <c r="A579" s="561"/>
      <c r="B579" s="561"/>
      <c r="C579" s="561"/>
      <c r="D579" s="672"/>
      <c r="E579" s="209"/>
      <c r="F579" s="209"/>
      <c r="G579" s="209"/>
      <c r="H579" s="176">
        <f t="shared" si="473"/>
        <v>0</v>
      </c>
      <c r="I579" s="209"/>
      <c r="J579" s="209"/>
      <c r="K579" s="176">
        <f t="shared" si="474"/>
        <v>0</v>
      </c>
      <c r="L579" s="209"/>
      <c r="M579" s="177">
        <f t="shared" si="475"/>
        <v>0</v>
      </c>
      <c r="N579" s="1012"/>
      <c r="O579" s="1012"/>
      <c r="P579" s="485"/>
      <c r="Q579" s="778"/>
      <c r="R579" s="778"/>
      <c r="S579" s="785" t="str">
        <f t="shared" si="478"/>
        <v/>
      </c>
      <c r="T579" s="548" t="str">
        <f t="shared" si="476"/>
        <v>Sheet Metal Takeoff</v>
      </c>
      <c r="U579" s="83">
        <f t="shared" si="479"/>
        <v>0</v>
      </c>
      <c r="V579" s="83">
        <f t="shared" si="480"/>
        <v>0</v>
      </c>
      <c r="W579" s="83">
        <f t="shared" si="481"/>
        <v>0</v>
      </c>
      <c r="X579" s="781">
        <f t="shared" si="482"/>
        <v>0</v>
      </c>
      <c r="Y579" s="781">
        <f t="shared" si="483"/>
        <v>0</v>
      </c>
      <c r="Z579" s="781">
        <f t="shared" si="484"/>
        <v>0</v>
      </c>
      <c r="AA579" s="83">
        <f t="shared" si="477"/>
        <v>0</v>
      </c>
      <c r="AB579" s="83">
        <f t="shared" si="485"/>
        <v>0</v>
      </c>
      <c r="AC579" s="83">
        <f t="shared" si="486"/>
        <v>0</v>
      </c>
      <c r="AD579" s="83">
        <f t="shared" si="487"/>
        <v>0</v>
      </c>
      <c r="AE579" s="83">
        <f t="shared" si="488"/>
        <v>0</v>
      </c>
      <c r="AF579" s="83">
        <f t="shared" si="489"/>
        <v>0</v>
      </c>
      <c r="AG579" s="83">
        <f t="shared" si="490"/>
        <v>0</v>
      </c>
      <c r="AH579" s="83">
        <f t="shared" si="491"/>
        <v>0</v>
      </c>
      <c r="AI579" s="83">
        <f t="shared" si="492"/>
        <v>0</v>
      </c>
      <c r="AJ579" s="718">
        <f t="shared" si="493"/>
        <v>0</v>
      </c>
      <c r="AL579">
        <f t="shared" si="494"/>
        <v>0</v>
      </c>
      <c r="AM579">
        <f t="shared" si="495"/>
        <v>0</v>
      </c>
    </row>
    <row r="580" spans="1:39" ht="15.75" x14ac:dyDescent="0.25">
      <c r="A580" s="561"/>
      <c r="B580" s="561"/>
      <c r="C580" s="561"/>
      <c r="D580" s="672"/>
      <c r="E580" s="209"/>
      <c r="F580" s="209"/>
      <c r="G580" s="209"/>
      <c r="H580" s="176">
        <f t="shared" si="473"/>
        <v>0</v>
      </c>
      <c r="I580" s="209"/>
      <c r="J580" s="209"/>
      <c r="K580" s="176">
        <f t="shared" si="474"/>
        <v>0</v>
      </c>
      <c r="L580" s="209"/>
      <c r="M580" s="177">
        <f t="shared" si="475"/>
        <v>0</v>
      </c>
      <c r="N580" s="1012"/>
      <c r="O580" s="1012"/>
      <c r="P580" s="485"/>
      <c r="Q580" s="778"/>
      <c r="R580" s="778"/>
      <c r="S580" s="785" t="str">
        <f t="shared" si="478"/>
        <v/>
      </c>
      <c r="T580" s="548" t="str">
        <f t="shared" si="476"/>
        <v>Sheet Metal Takeoff</v>
      </c>
      <c r="U580" s="83">
        <f t="shared" si="479"/>
        <v>0</v>
      </c>
      <c r="V580" s="83">
        <f t="shared" si="480"/>
        <v>0</v>
      </c>
      <c r="W580" s="83">
        <f t="shared" si="481"/>
        <v>0</v>
      </c>
      <c r="X580" s="781">
        <f t="shared" si="482"/>
        <v>0</v>
      </c>
      <c r="Y580" s="781">
        <f t="shared" si="483"/>
        <v>0</v>
      </c>
      <c r="Z580" s="781">
        <f t="shared" si="484"/>
        <v>0</v>
      </c>
      <c r="AA580" s="83">
        <f t="shared" si="477"/>
        <v>0</v>
      </c>
      <c r="AB580" s="83">
        <f t="shared" si="485"/>
        <v>0</v>
      </c>
      <c r="AC580" s="83">
        <f t="shared" si="486"/>
        <v>0</v>
      </c>
      <c r="AD580" s="83">
        <f t="shared" si="487"/>
        <v>0</v>
      </c>
      <c r="AE580" s="83">
        <f t="shared" si="488"/>
        <v>0</v>
      </c>
      <c r="AF580" s="83">
        <f t="shared" si="489"/>
        <v>0</v>
      </c>
      <c r="AG580" s="83">
        <f t="shared" si="490"/>
        <v>0</v>
      </c>
      <c r="AH580" s="83">
        <f t="shared" si="491"/>
        <v>0</v>
      </c>
      <c r="AI580" s="83">
        <f t="shared" si="492"/>
        <v>0</v>
      </c>
      <c r="AJ580" s="718">
        <f t="shared" si="493"/>
        <v>0</v>
      </c>
      <c r="AL580">
        <f t="shared" si="494"/>
        <v>0</v>
      </c>
      <c r="AM580">
        <f t="shared" si="495"/>
        <v>0</v>
      </c>
    </row>
    <row r="581" spans="1:39" ht="15.75" x14ac:dyDescent="0.25">
      <c r="A581" s="561"/>
      <c r="B581" s="561"/>
      <c r="C581" s="561"/>
      <c r="D581" s="672"/>
      <c r="E581" s="209"/>
      <c r="F581" s="209"/>
      <c r="G581" s="209"/>
      <c r="H581" s="176">
        <f t="shared" si="473"/>
        <v>0</v>
      </c>
      <c r="I581" s="209"/>
      <c r="J581" s="209"/>
      <c r="K581" s="176">
        <f t="shared" si="474"/>
        <v>0</v>
      </c>
      <c r="L581" s="209"/>
      <c r="M581" s="177">
        <f t="shared" si="475"/>
        <v>0</v>
      </c>
      <c r="N581" s="1012"/>
      <c r="O581" s="1012"/>
      <c r="P581" s="485"/>
      <c r="Q581" s="778"/>
      <c r="R581" s="778"/>
      <c r="S581" s="785" t="str">
        <f t="shared" si="478"/>
        <v/>
      </c>
      <c r="T581" s="548" t="str">
        <f t="shared" si="476"/>
        <v>Sheet Metal Takeoff</v>
      </c>
      <c r="U581" s="83">
        <f t="shared" si="479"/>
        <v>0</v>
      </c>
      <c r="V581" s="83">
        <f t="shared" si="480"/>
        <v>0</v>
      </c>
      <c r="W581" s="83">
        <f t="shared" si="481"/>
        <v>0</v>
      </c>
      <c r="X581" s="781">
        <f t="shared" si="482"/>
        <v>0</v>
      </c>
      <c r="Y581" s="781">
        <f t="shared" si="483"/>
        <v>0</v>
      </c>
      <c r="Z581" s="781">
        <f t="shared" si="484"/>
        <v>0</v>
      </c>
      <c r="AA581" s="83">
        <f t="shared" si="477"/>
        <v>0</v>
      </c>
      <c r="AB581" s="83">
        <f t="shared" si="485"/>
        <v>0</v>
      </c>
      <c r="AC581" s="83">
        <f t="shared" si="486"/>
        <v>0</v>
      </c>
      <c r="AD581" s="83">
        <f t="shared" si="487"/>
        <v>0</v>
      </c>
      <c r="AE581" s="83">
        <f t="shared" si="488"/>
        <v>0</v>
      </c>
      <c r="AF581" s="83">
        <f t="shared" si="489"/>
        <v>0</v>
      </c>
      <c r="AG581" s="83">
        <f t="shared" si="490"/>
        <v>0</v>
      </c>
      <c r="AH581" s="83">
        <f t="shared" si="491"/>
        <v>0</v>
      </c>
      <c r="AI581" s="83">
        <f t="shared" si="492"/>
        <v>0</v>
      </c>
      <c r="AJ581" s="718">
        <f t="shared" si="493"/>
        <v>0</v>
      </c>
      <c r="AL581">
        <f t="shared" si="494"/>
        <v>0</v>
      </c>
      <c r="AM581">
        <f t="shared" si="495"/>
        <v>0</v>
      </c>
    </row>
    <row r="582" spans="1:39" ht="15.75" x14ac:dyDescent="0.25">
      <c r="A582" s="561"/>
      <c r="B582" s="561"/>
      <c r="C582" s="561"/>
      <c r="D582" s="672"/>
      <c r="E582" s="209"/>
      <c r="F582" s="209"/>
      <c r="G582" s="209"/>
      <c r="H582" s="176">
        <f t="shared" si="473"/>
        <v>0</v>
      </c>
      <c r="I582" s="209"/>
      <c r="J582" s="209"/>
      <c r="K582" s="176">
        <f t="shared" si="474"/>
        <v>0</v>
      </c>
      <c r="L582" s="209"/>
      <c r="M582" s="177">
        <f t="shared" si="475"/>
        <v>0</v>
      </c>
      <c r="N582" s="1012"/>
      <c r="O582" s="1012"/>
      <c r="P582" s="485"/>
      <c r="Q582" s="778"/>
      <c r="R582" s="778"/>
      <c r="S582" s="785" t="str">
        <f t="shared" si="478"/>
        <v/>
      </c>
      <c r="T582" s="548" t="str">
        <f t="shared" si="476"/>
        <v>Sheet Metal Takeoff</v>
      </c>
      <c r="U582" s="83">
        <f t="shared" si="479"/>
        <v>0</v>
      </c>
      <c r="V582" s="83">
        <f t="shared" si="480"/>
        <v>0</v>
      </c>
      <c r="W582" s="83">
        <f t="shared" si="481"/>
        <v>0</v>
      </c>
      <c r="X582" s="781">
        <f t="shared" si="482"/>
        <v>0</v>
      </c>
      <c r="Y582" s="781">
        <f t="shared" si="483"/>
        <v>0</v>
      </c>
      <c r="Z582" s="781">
        <f t="shared" si="484"/>
        <v>0</v>
      </c>
      <c r="AA582" s="83">
        <f t="shared" si="477"/>
        <v>0</v>
      </c>
      <c r="AB582" s="83">
        <f t="shared" si="485"/>
        <v>0</v>
      </c>
      <c r="AC582" s="83">
        <f t="shared" si="486"/>
        <v>0</v>
      </c>
      <c r="AD582" s="83">
        <f t="shared" si="487"/>
        <v>0</v>
      </c>
      <c r="AE582" s="83">
        <f t="shared" si="488"/>
        <v>0</v>
      </c>
      <c r="AF582" s="83">
        <f t="shared" si="489"/>
        <v>0</v>
      </c>
      <c r="AG582" s="83">
        <f t="shared" si="490"/>
        <v>0</v>
      </c>
      <c r="AH582" s="83">
        <f t="shared" si="491"/>
        <v>0</v>
      </c>
      <c r="AI582" s="83">
        <f t="shared" si="492"/>
        <v>0</v>
      </c>
      <c r="AJ582" s="718">
        <f t="shared" si="493"/>
        <v>0</v>
      </c>
      <c r="AL582">
        <f t="shared" si="494"/>
        <v>0</v>
      </c>
      <c r="AM582">
        <f t="shared" si="495"/>
        <v>0</v>
      </c>
    </row>
    <row r="583" spans="1:39" ht="15.75" x14ac:dyDescent="0.25">
      <c r="A583" s="561"/>
      <c r="B583" s="561"/>
      <c r="C583" s="561"/>
      <c r="D583" s="672"/>
      <c r="E583" s="209"/>
      <c r="F583" s="209"/>
      <c r="G583" s="209"/>
      <c r="H583" s="176">
        <f t="shared" si="473"/>
        <v>0</v>
      </c>
      <c r="I583" s="209"/>
      <c r="J583" s="209"/>
      <c r="K583" s="176">
        <f t="shared" si="474"/>
        <v>0</v>
      </c>
      <c r="L583" s="209"/>
      <c r="M583" s="177">
        <f t="shared" si="475"/>
        <v>0</v>
      </c>
      <c r="N583" s="1012"/>
      <c r="O583" s="1012"/>
      <c r="P583" s="485"/>
      <c r="Q583" s="778"/>
      <c r="R583" s="778"/>
      <c r="S583" s="785" t="str">
        <f t="shared" si="478"/>
        <v/>
      </c>
      <c r="T583" s="548" t="str">
        <f t="shared" si="476"/>
        <v>Sheet Metal Takeoff</v>
      </c>
      <c r="U583" s="83">
        <f t="shared" si="479"/>
        <v>0</v>
      </c>
      <c r="V583" s="83">
        <f t="shared" si="480"/>
        <v>0</v>
      </c>
      <c r="W583" s="83">
        <f t="shared" si="481"/>
        <v>0</v>
      </c>
      <c r="X583" s="781">
        <f t="shared" si="482"/>
        <v>0</v>
      </c>
      <c r="Y583" s="781">
        <f t="shared" si="483"/>
        <v>0</v>
      </c>
      <c r="Z583" s="781">
        <f t="shared" si="484"/>
        <v>0</v>
      </c>
      <c r="AA583" s="83">
        <f t="shared" si="477"/>
        <v>0</v>
      </c>
      <c r="AB583" s="83">
        <f t="shared" si="485"/>
        <v>0</v>
      </c>
      <c r="AC583" s="83">
        <f t="shared" si="486"/>
        <v>0</v>
      </c>
      <c r="AD583" s="83">
        <f t="shared" si="487"/>
        <v>0</v>
      </c>
      <c r="AE583" s="83">
        <f t="shared" si="488"/>
        <v>0</v>
      </c>
      <c r="AF583" s="83">
        <f t="shared" si="489"/>
        <v>0</v>
      </c>
      <c r="AG583" s="83">
        <f t="shared" si="490"/>
        <v>0</v>
      </c>
      <c r="AH583" s="83">
        <f t="shared" si="491"/>
        <v>0</v>
      </c>
      <c r="AI583" s="83">
        <f t="shared" si="492"/>
        <v>0</v>
      </c>
      <c r="AJ583" s="718">
        <f t="shared" si="493"/>
        <v>0</v>
      </c>
      <c r="AL583">
        <f t="shared" si="494"/>
        <v>0</v>
      </c>
      <c r="AM583">
        <f t="shared" si="495"/>
        <v>0</v>
      </c>
    </row>
    <row r="584" spans="1:39" ht="15.75" x14ac:dyDescent="0.25">
      <c r="A584" s="561"/>
      <c r="B584" s="561"/>
      <c r="C584" s="561"/>
      <c r="D584" s="672"/>
      <c r="E584" s="209"/>
      <c r="F584" s="209"/>
      <c r="G584" s="209"/>
      <c r="H584" s="176">
        <f t="shared" si="473"/>
        <v>0</v>
      </c>
      <c r="I584" s="209"/>
      <c r="J584" s="209"/>
      <c r="K584" s="176">
        <f t="shared" si="474"/>
        <v>0</v>
      </c>
      <c r="L584" s="209"/>
      <c r="M584" s="177">
        <f t="shared" si="475"/>
        <v>0</v>
      </c>
      <c r="N584" s="1012"/>
      <c r="O584" s="1012"/>
      <c r="P584" s="485"/>
      <c r="Q584" s="778"/>
      <c r="R584" s="778"/>
      <c r="S584" s="785" t="str">
        <f t="shared" si="478"/>
        <v/>
      </c>
      <c r="T584" s="548" t="str">
        <f t="shared" si="476"/>
        <v>Sheet Metal Takeoff</v>
      </c>
      <c r="U584" s="83">
        <f t="shared" si="479"/>
        <v>0</v>
      </c>
      <c r="V584" s="83">
        <f t="shared" si="480"/>
        <v>0</v>
      </c>
      <c r="W584" s="83">
        <f t="shared" si="481"/>
        <v>0</v>
      </c>
      <c r="X584" s="781">
        <f t="shared" si="482"/>
        <v>0</v>
      </c>
      <c r="Y584" s="781">
        <f t="shared" si="483"/>
        <v>0</v>
      </c>
      <c r="Z584" s="781">
        <f t="shared" si="484"/>
        <v>0</v>
      </c>
      <c r="AA584" s="83">
        <f t="shared" si="477"/>
        <v>0</v>
      </c>
      <c r="AB584" s="83">
        <f t="shared" si="485"/>
        <v>0</v>
      </c>
      <c r="AC584" s="83">
        <f t="shared" si="486"/>
        <v>0</v>
      </c>
      <c r="AD584" s="83">
        <f t="shared" si="487"/>
        <v>0</v>
      </c>
      <c r="AE584" s="83">
        <f t="shared" si="488"/>
        <v>0</v>
      </c>
      <c r="AF584" s="83">
        <f t="shared" si="489"/>
        <v>0</v>
      </c>
      <c r="AG584" s="83">
        <f t="shared" si="490"/>
        <v>0</v>
      </c>
      <c r="AH584" s="83">
        <f t="shared" si="491"/>
        <v>0</v>
      </c>
      <c r="AI584" s="83">
        <f t="shared" si="492"/>
        <v>0</v>
      </c>
      <c r="AJ584" s="718">
        <f t="shared" si="493"/>
        <v>0</v>
      </c>
      <c r="AL584">
        <f t="shared" si="494"/>
        <v>0</v>
      </c>
      <c r="AM584">
        <f t="shared" si="495"/>
        <v>0</v>
      </c>
    </row>
    <row r="585" spans="1:39" ht="15.75" x14ac:dyDescent="0.25">
      <c r="A585" s="561"/>
      <c r="B585" s="561"/>
      <c r="C585" s="561"/>
      <c r="D585" s="672"/>
      <c r="E585" s="209"/>
      <c r="F585" s="209"/>
      <c r="G585" s="209"/>
      <c r="H585" s="176">
        <f t="shared" si="473"/>
        <v>0</v>
      </c>
      <c r="I585" s="209"/>
      <c r="J585" s="209"/>
      <c r="K585" s="176">
        <f t="shared" si="474"/>
        <v>0</v>
      </c>
      <c r="L585" s="209"/>
      <c r="M585" s="177">
        <f t="shared" si="475"/>
        <v>0</v>
      </c>
      <c r="N585" s="1012"/>
      <c r="O585" s="1012"/>
      <c r="P585" s="485"/>
      <c r="Q585" s="778"/>
      <c r="R585" s="778"/>
      <c r="S585" s="785" t="str">
        <f t="shared" si="478"/>
        <v/>
      </c>
      <c r="T585" s="548" t="str">
        <f t="shared" si="476"/>
        <v>Sheet Metal Takeoff</v>
      </c>
      <c r="U585" s="83">
        <f t="shared" si="479"/>
        <v>0</v>
      </c>
      <c r="V585" s="83">
        <f t="shared" si="480"/>
        <v>0</v>
      </c>
      <c r="W585" s="83">
        <f t="shared" si="481"/>
        <v>0</v>
      </c>
      <c r="X585" s="781">
        <f t="shared" si="482"/>
        <v>0</v>
      </c>
      <c r="Y585" s="781">
        <f t="shared" si="483"/>
        <v>0</v>
      </c>
      <c r="Z585" s="781">
        <f t="shared" si="484"/>
        <v>0</v>
      </c>
      <c r="AA585" s="83">
        <f t="shared" si="477"/>
        <v>0</v>
      </c>
      <c r="AB585" s="83">
        <f t="shared" si="485"/>
        <v>0</v>
      </c>
      <c r="AC585" s="83">
        <f t="shared" si="486"/>
        <v>0</v>
      </c>
      <c r="AD585" s="83">
        <f t="shared" si="487"/>
        <v>0</v>
      </c>
      <c r="AE585" s="83">
        <f t="shared" si="488"/>
        <v>0</v>
      </c>
      <c r="AF585" s="83">
        <f t="shared" si="489"/>
        <v>0</v>
      </c>
      <c r="AG585" s="83">
        <f t="shared" si="490"/>
        <v>0</v>
      </c>
      <c r="AH585" s="83">
        <f t="shared" si="491"/>
        <v>0</v>
      </c>
      <c r="AI585" s="83">
        <f t="shared" si="492"/>
        <v>0</v>
      </c>
      <c r="AJ585" s="718">
        <f t="shared" si="493"/>
        <v>0</v>
      </c>
      <c r="AL585">
        <f t="shared" si="494"/>
        <v>0</v>
      </c>
      <c r="AM585">
        <f t="shared" si="495"/>
        <v>0</v>
      </c>
    </row>
    <row r="586" spans="1:39" ht="15.75" x14ac:dyDescent="0.25">
      <c r="A586" s="561"/>
      <c r="B586" s="561"/>
      <c r="C586" s="561"/>
      <c r="D586" s="672"/>
      <c r="E586" s="209"/>
      <c r="F586" s="209"/>
      <c r="G586" s="209"/>
      <c r="H586" s="176">
        <f t="shared" si="473"/>
        <v>0</v>
      </c>
      <c r="I586" s="209"/>
      <c r="J586" s="209"/>
      <c r="K586" s="176">
        <f t="shared" si="474"/>
        <v>0</v>
      </c>
      <c r="L586" s="209"/>
      <c r="M586" s="177">
        <f t="shared" si="475"/>
        <v>0</v>
      </c>
      <c r="N586" s="1012"/>
      <c r="O586" s="1012"/>
      <c r="P586" s="485"/>
      <c r="Q586" s="778"/>
      <c r="R586" s="778"/>
      <c r="S586" s="785" t="str">
        <f t="shared" si="478"/>
        <v/>
      </c>
      <c r="T586" s="548" t="str">
        <f t="shared" si="476"/>
        <v>Sheet Metal Takeoff</v>
      </c>
      <c r="U586" s="83">
        <f t="shared" si="479"/>
        <v>0</v>
      </c>
      <c r="V586" s="83">
        <f t="shared" si="480"/>
        <v>0</v>
      </c>
      <c r="W586" s="83">
        <f t="shared" si="481"/>
        <v>0</v>
      </c>
      <c r="X586" s="781">
        <f t="shared" si="482"/>
        <v>0</v>
      </c>
      <c r="Y586" s="781">
        <f t="shared" si="483"/>
        <v>0</v>
      </c>
      <c r="Z586" s="781">
        <f t="shared" si="484"/>
        <v>0</v>
      </c>
      <c r="AA586" s="83">
        <f t="shared" si="477"/>
        <v>0</v>
      </c>
      <c r="AB586" s="83">
        <f t="shared" si="485"/>
        <v>0</v>
      </c>
      <c r="AC586" s="83">
        <f t="shared" si="486"/>
        <v>0</v>
      </c>
      <c r="AD586" s="83">
        <f t="shared" si="487"/>
        <v>0</v>
      </c>
      <c r="AE586" s="83">
        <f t="shared" si="488"/>
        <v>0</v>
      </c>
      <c r="AF586" s="83">
        <f t="shared" si="489"/>
        <v>0</v>
      </c>
      <c r="AG586" s="83">
        <f t="shared" si="490"/>
        <v>0</v>
      </c>
      <c r="AH586" s="83">
        <f t="shared" si="491"/>
        <v>0</v>
      </c>
      <c r="AI586" s="83">
        <f t="shared" si="492"/>
        <v>0</v>
      </c>
      <c r="AJ586" s="718">
        <f t="shared" si="493"/>
        <v>0</v>
      </c>
      <c r="AL586">
        <f t="shared" si="494"/>
        <v>0</v>
      </c>
      <c r="AM586">
        <f t="shared" si="495"/>
        <v>0</v>
      </c>
    </row>
    <row r="587" spans="1:39" ht="15.75" x14ac:dyDescent="0.25">
      <c r="A587" s="561"/>
      <c r="B587" s="561"/>
      <c r="C587" s="561"/>
      <c r="D587" s="672"/>
      <c r="E587" s="209"/>
      <c r="F587" s="209"/>
      <c r="G587" s="209"/>
      <c r="H587" s="176">
        <f t="shared" si="473"/>
        <v>0</v>
      </c>
      <c r="I587" s="209"/>
      <c r="J587" s="209"/>
      <c r="K587" s="176">
        <f t="shared" si="474"/>
        <v>0</v>
      </c>
      <c r="L587" s="209"/>
      <c r="M587" s="177">
        <f t="shared" si="475"/>
        <v>0</v>
      </c>
      <c r="N587" s="1012"/>
      <c r="O587" s="1012"/>
      <c r="P587" s="485"/>
      <c r="Q587" s="778"/>
      <c r="R587" s="778"/>
      <c r="S587" s="785" t="str">
        <f t="shared" si="478"/>
        <v/>
      </c>
      <c r="T587" s="548" t="str">
        <f t="shared" si="476"/>
        <v>Sheet Metal Takeoff</v>
      </c>
      <c r="U587" s="83">
        <f t="shared" si="479"/>
        <v>0</v>
      </c>
      <c r="V587" s="83">
        <f t="shared" si="480"/>
        <v>0</v>
      </c>
      <c r="W587" s="83">
        <f t="shared" si="481"/>
        <v>0</v>
      </c>
      <c r="X587" s="781">
        <f t="shared" si="482"/>
        <v>0</v>
      </c>
      <c r="Y587" s="781">
        <f t="shared" si="483"/>
        <v>0</v>
      </c>
      <c r="Z587" s="781">
        <f t="shared" si="484"/>
        <v>0</v>
      </c>
      <c r="AA587" s="83">
        <f t="shared" si="477"/>
        <v>0</v>
      </c>
      <c r="AB587" s="83">
        <f t="shared" si="485"/>
        <v>0</v>
      </c>
      <c r="AC587" s="83">
        <f t="shared" si="486"/>
        <v>0</v>
      </c>
      <c r="AD587" s="83">
        <f t="shared" si="487"/>
        <v>0</v>
      </c>
      <c r="AE587" s="83">
        <f t="shared" si="488"/>
        <v>0</v>
      </c>
      <c r="AF587" s="83">
        <f t="shared" si="489"/>
        <v>0</v>
      </c>
      <c r="AG587" s="83">
        <f t="shared" si="490"/>
        <v>0</v>
      </c>
      <c r="AH587" s="83">
        <f t="shared" si="491"/>
        <v>0</v>
      </c>
      <c r="AI587" s="83">
        <f t="shared" si="492"/>
        <v>0</v>
      </c>
      <c r="AJ587" s="718">
        <f t="shared" si="493"/>
        <v>0</v>
      </c>
      <c r="AL587">
        <f t="shared" si="494"/>
        <v>0</v>
      </c>
      <c r="AM587">
        <f t="shared" si="495"/>
        <v>0</v>
      </c>
    </row>
    <row r="588" spans="1:39" ht="15.75" x14ac:dyDescent="0.25">
      <c r="A588" s="561"/>
      <c r="B588" s="561"/>
      <c r="C588" s="561"/>
      <c r="D588" s="672"/>
      <c r="E588" s="209"/>
      <c r="F588" s="209"/>
      <c r="G588" s="209"/>
      <c r="H588" s="176">
        <f t="shared" si="473"/>
        <v>0</v>
      </c>
      <c r="I588" s="209"/>
      <c r="J588" s="209"/>
      <c r="K588" s="176">
        <f t="shared" si="474"/>
        <v>0</v>
      </c>
      <c r="L588" s="209"/>
      <c r="M588" s="177">
        <f t="shared" si="475"/>
        <v>0</v>
      </c>
      <c r="N588" s="1012"/>
      <c r="O588" s="1012"/>
      <c r="P588" s="485"/>
      <c r="Q588" s="778"/>
      <c r="R588" s="778"/>
      <c r="S588" s="785" t="str">
        <f t="shared" si="478"/>
        <v/>
      </c>
      <c r="T588" s="548" t="str">
        <f t="shared" si="476"/>
        <v>Sheet Metal Takeoff</v>
      </c>
      <c r="U588" s="83">
        <f t="shared" si="479"/>
        <v>0</v>
      </c>
      <c r="V588" s="83">
        <f t="shared" si="480"/>
        <v>0</v>
      </c>
      <c r="W588" s="83">
        <f t="shared" si="481"/>
        <v>0</v>
      </c>
      <c r="X588" s="781">
        <f t="shared" si="482"/>
        <v>0</v>
      </c>
      <c r="Y588" s="781">
        <f t="shared" si="483"/>
        <v>0</v>
      </c>
      <c r="Z588" s="781">
        <f t="shared" si="484"/>
        <v>0</v>
      </c>
      <c r="AA588" s="83">
        <f t="shared" si="477"/>
        <v>0</v>
      </c>
      <c r="AB588" s="83">
        <f t="shared" si="485"/>
        <v>0</v>
      </c>
      <c r="AC588" s="83">
        <f t="shared" si="486"/>
        <v>0</v>
      </c>
      <c r="AD588" s="83">
        <f t="shared" si="487"/>
        <v>0</v>
      </c>
      <c r="AE588" s="83">
        <f t="shared" si="488"/>
        <v>0</v>
      </c>
      <c r="AF588" s="83">
        <f t="shared" si="489"/>
        <v>0</v>
      </c>
      <c r="AG588" s="83">
        <f t="shared" si="490"/>
        <v>0</v>
      </c>
      <c r="AH588" s="83">
        <f t="shared" si="491"/>
        <v>0</v>
      </c>
      <c r="AI588" s="83">
        <f t="shared" si="492"/>
        <v>0</v>
      </c>
      <c r="AJ588" s="718">
        <f t="shared" si="493"/>
        <v>0</v>
      </c>
      <c r="AL588">
        <f t="shared" si="494"/>
        <v>0</v>
      </c>
      <c r="AM588">
        <f t="shared" si="495"/>
        <v>0</v>
      </c>
    </row>
    <row r="589" spans="1:39" ht="15.75" x14ac:dyDescent="0.25">
      <c r="A589" s="561"/>
      <c r="B589" s="561"/>
      <c r="C589" s="561"/>
      <c r="D589" s="672"/>
      <c r="E589" s="209"/>
      <c r="F589" s="209"/>
      <c r="G589" s="209"/>
      <c r="H589" s="176">
        <f t="shared" si="473"/>
        <v>0</v>
      </c>
      <c r="I589" s="209"/>
      <c r="J589" s="209"/>
      <c r="K589" s="176">
        <f t="shared" si="474"/>
        <v>0</v>
      </c>
      <c r="L589" s="209"/>
      <c r="M589" s="177">
        <f t="shared" si="475"/>
        <v>0</v>
      </c>
      <c r="N589" s="1012"/>
      <c r="O589" s="1012"/>
      <c r="P589" s="485"/>
      <c r="Q589" s="778"/>
      <c r="R589" s="778"/>
      <c r="S589" s="785" t="str">
        <f t="shared" si="478"/>
        <v/>
      </c>
      <c r="T589" s="548" t="str">
        <f t="shared" si="476"/>
        <v>Sheet Metal Takeoff</v>
      </c>
      <c r="U589" s="83">
        <f t="shared" si="479"/>
        <v>0</v>
      </c>
      <c r="V589" s="83">
        <f t="shared" si="480"/>
        <v>0</v>
      </c>
      <c r="W589" s="83">
        <f t="shared" si="481"/>
        <v>0</v>
      </c>
      <c r="X589" s="781">
        <f t="shared" si="482"/>
        <v>0</v>
      </c>
      <c r="Y589" s="781">
        <f t="shared" si="483"/>
        <v>0</v>
      </c>
      <c r="Z589" s="781">
        <f t="shared" si="484"/>
        <v>0</v>
      </c>
      <c r="AA589" s="83">
        <f t="shared" si="477"/>
        <v>0</v>
      </c>
      <c r="AB589" s="83">
        <f t="shared" si="485"/>
        <v>0</v>
      </c>
      <c r="AC589" s="83">
        <f t="shared" si="486"/>
        <v>0</v>
      </c>
      <c r="AD589" s="83">
        <f t="shared" si="487"/>
        <v>0</v>
      </c>
      <c r="AE589" s="83">
        <f t="shared" si="488"/>
        <v>0</v>
      </c>
      <c r="AF589" s="83">
        <f t="shared" si="489"/>
        <v>0</v>
      </c>
      <c r="AG589" s="83">
        <f t="shared" si="490"/>
        <v>0</v>
      </c>
      <c r="AH589" s="83">
        <f t="shared" si="491"/>
        <v>0</v>
      </c>
      <c r="AI589" s="83">
        <f t="shared" si="492"/>
        <v>0</v>
      </c>
      <c r="AJ589" s="718">
        <f t="shared" si="493"/>
        <v>0</v>
      </c>
      <c r="AL589">
        <f t="shared" si="494"/>
        <v>0</v>
      </c>
      <c r="AM589">
        <f t="shared" si="495"/>
        <v>0</v>
      </c>
    </row>
    <row r="590" spans="1:39" ht="15.75" x14ac:dyDescent="0.25">
      <c r="A590" s="561"/>
      <c r="B590" s="561"/>
      <c r="C590" s="561"/>
      <c r="D590" s="672"/>
      <c r="E590" s="209"/>
      <c r="F590" s="209"/>
      <c r="G590" s="209"/>
      <c r="H590" s="176">
        <f t="shared" si="473"/>
        <v>0</v>
      </c>
      <c r="I590" s="209"/>
      <c r="J590" s="209"/>
      <c r="K590" s="176">
        <f t="shared" si="474"/>
        <v>0</v>
      </c>
      <c r="L590" s="209"/>
      <c r="M590" s="177">
        <f t="shared" si="475"/>
        <v>0</v>
      </c>
      <c r="N590" s="1012"/>
      <c r="O590" s="1012"/>
      <c r="P590" s="485"/>
      <c r="Q590" s="778"/>
      <c r="R590" s="778"/>
      <c r="S590" s="785" t="str">
        <f t="shared" si="478"/>
        <v/>
      </c>
      <c r="T590" s="548" t="str">
        <f t="shared" si="476"/>
        <v>Sheet Metal Takeoff</v>
      </c>
      <c r="U590" s="83">
        <f t="shared" si="479"/>
        <v>0</v>
      </c>
      <c r="V590" s="83">
        <f t="shared" si="480"/>
        <v>0</v>
      </c>
      <c r="W590" s="83">
        <f t="shared" si="481"/>
        <v>0</v>
      </c>
      <c r="X590" s="781">
        <f t="shared" si="482"/>
        <v>0</v>
      </c>
      <c r="Y590" s="781">
        <f t="shared" si="483"/>
        <v>0</v>
      </c>
      <c r="Z590" s="781">
        <f t="shared" si="484"/>
        <v>0</v>
      </c>
      <c r="AA590" s="83">
        <f t="shared" si="477"/>
        <v>0</v>
      </c>
      <c r="AB590" s="83">
        <f t="shared" si="485"/>
        <v>0</v>
      </c>
      <c r="AC590" s="83">
        <f t="shared" si="486"/>
        <v>0</v>
      </c>
      <c r="AD590" s="83">
        <f t="shared" si="487"/>
        <v>0</v>
      </c>
      <c r="AE590" s="83">
        <f t="shared" si="488"/>
        <v>0</v>
      </c>
      <c r="AF590" s="83">
        <f t="shared" si="489"/>
        <v>0</v>
      </c>
      <c r="AG590" s="83">
        <f t="shared" si="490"/>
        <v>0</v>
      </c>
      <c r="AH590" s="83">
        <f t="shared" si="491"/>
        <v>0</v>
      </c>
      <c r="AI590" s="83">
        <f t="shared" si="492"/>
        <v>0</v>
      </c>
      <c r="AJ590" s="718">
        <f t="shared" si="493"/>
        <v>0</v>
      </c>
      <c r="AL590">
        <f t="shared" si="494"/>
        <v>0</v>
      </c>
      <c r="AM590">
        <f t="shared" si="495"/>
        <v>0</v>
      </c>
    </row>
    <row r="591" spans="1:39" ht="15.75" x14ac:dyDescent="0.25">
      <c r="A591" s="561"/>
      <c r="B591" s="561"/>
      <c r="C591" s="561"/>
      <c r="D591" s="672"/>
      <c r="E591" s="209"/>
      <c r="F591" s="209"/>
      <c r="G591" s="209"/>
      <c r="H591" s="176">
        <f t="shared" si="473"/>
        <v>0</v>
      </c>
      <c r="I591" s="209"/>
      <c r="J591" s="209"/>
      <c r="K591" s="176">
        <f t="shared" si="474"/>
        <v>0</v>
      </c>
      <c r="L591" s="209"/>
      <c r="M591" s="177">
        <f t="shared" si="475"/>
        <v>0</v>
      </c>
      <c r="N591" s="1012"/>
      <c r="O591" s="1012"/>
      <c r="P591" s="485"/>
      <c r="Q591" s="778"/>
      <c r="R591" s="778"/>
      <c r="S591" s="785" t="str">
        <f t="shared" si="478"/>
        <v/>
      </c>
      <c r="T591" s="548" t="str">
        <f t="shared" si="476"/>
        <v>Sheet Metal Takeoff</v>
      </c>
      <c r="U591" s="83">
        <f t="shared" si="479"/>
        <v>0</v>
      </c>
      <c r="V591" s="83">
        <f t="shared" si="480"/>
        <v>0</v>
      </c>
      <c r="W591" s="83">
        <f t="shared" si="481"/>
        <v>0</v>
      </c>
      <c r="X591" s="781">
        <f t="shared" si="482"/>
        <v>0</v>
      </c>
      <c r="Y591" s="781">
        <f t="shared" si="483"/>
        <v>0</v>
      </c>
      <c r="Z591" s="781">
        <f t="shared" si="484"/>
        <v>0</v>
      </c>
      <c r="AA591" s="83">
        <f t="shared" si="477"/>
        <v>0</v>
      </c>
      <c r="AB591" s="83">
        <f t="shared" si="485"/>
        <v>0</v>
      </c>
      <c r="AC591" s="83">
        <f t="shared" si="486"/>
        <v>0</v>
      </c>
      <c r="AD591" s="83">
        <f t="shared" si="487"/>
        <v>0</v>
      </c>
      <c r="AE591" s="83">
        <f t="shared" si="488"/>
        <v>0</v>
      </c>
      <c r="AF591" s="83">
        <f t="shared" si="489"/>
        <v>0</v>
      </c>
      <c r="AG591" s="83">
        <f t="shared" si="490"/>
        <v>0</v>
      </c>
      <c r="AH591" s="83">
        <f t="shared" si="491"/>
        <v>0</v>
      </c>
      <c r="AI591" s="83">
        <f t="shared" si="492"/>
        <v>0</v>
      </c>
      <c r="AJ591" s="718">
        <f t="shared" si="493"/>
        <v>0</v>
      </c>
      <c r="AL591">
        <f t="shared" si="494"/>
        <v>0</v>
      </c>
      <c r="AM591">
        <f t="shared" si="495"/>
        <v>0</v>
      </c>
    </row>
    <row r="592" spans="1:39" ht="15.75" x14ac:dyDescent="0.25">
      <c r="A592" s="561"/>
      <c r="B592" s="561"/>
      <c r="C592" s="561"/>
      <c r="D592" s="672"/>
      <c r="E592" s="209"/>
      <c r="F592" s="209"/>
      <c r="G592" s="209"/>
      <c r="H592" s="176">
        <f t="shared" si="473"/>
        <v>0</v>
      </c>
      <c r="I592" s="209"/>
      <c r="J592" s="209"/>
      <c r="K592" s="176">
        <f t="shared" si="474"/>
        <v>0</v>
      </c>
      <c r="L592" s="209"/>
      <c r="M592" s="177">
        <f t="shared" si="475"/>
        <v>0</v>
      </c>
      <c r="N592" s="1012"/>
      <c r="O592" s="1012"/>
      <c r="P592" s="485"/>
      <c r="Q592" s="778"/>
      <c r="R592" s="778"/>
      <c r="S592" s="785" t="str">
        <f t="shared" si="478"/>
        <v/>
      </c>
      <c r="T592" s="548" t="str">
        <f t="shared" si="476"/>
        <v>Sheet Metal Takeoff</v>
      </c>
      <c r="U592" s="83">
        <f t="shared" si="479"/>
        <v>0</v>
      </c>
      <c r="V592" s="83">
        <f t="shared" si="480"/>
        <v>0</v>
      </c>
      <c r="W592" s="83">
        <f t="shared" si="481"/>
        <v>0</v>
      </c>
      <c r="X592" s="781">
        <f t="shared" si="482"/>
        <v>0</v>
      </c>
      <c r="Y592" s="781">
        <f t="shared" si="483"/>
        <v>0</v>
      </c>
      <c r="Z592" s="781">
        <f t="shared" si="484"/>
        <v>0</v>
      </c>
      <c r="AA592" s="83">
        <f t="shared" si="477"/>
        <v>0</v>
      </c>
      <c r="AB592" s="83">
        <f t="shared" si="485"/>
        <v>0</v>
      </c>
      <c r="AC592" s="83">
        <f t="shared" si="486"/>
        <v>0</v>
      </c>
      <c r="AD592" s="83">
        <f t="shared" si="487"/>
        <v>0</v>
      </c>
      <c r="AE592" s="83">
        <f t="shared" si="488"/>
        <v>0</v>
      </c>
      <c r="AF592" s="83">
        <f t="shared" si="489"/>
        <v>0</v>
      </c>
      <c r="AG592" s="83">
        <f t="shared" si="490"/>
        <v>0</v>
      </c>
      <c r="AH592" s="83">
        <f t="shared" si="491"/>
        <v>0</v>
      </c>
      <c r="AI592" s="83">
        <f t="shared" si="492"/>
        <v>0</v>
      </c>
      <c r="AJ592" s="718">
        <f t="shared" si="493"/>
        <v>0</v>
      </c>
      <c r="AL592">
        <f t="shared" si="494"/>
        <v>0</v>
      </c>
      <c r="AM592">
        <f t="shared" si="495"/>
        <v>0</v>
      </c>
    </row>
    <row r="593" spans="1:39" ht="15.75" x14ac:dyDescent="0.25">
      <c r="A593" s="561"/>
      <c r="B593" s="561"/>
      <c r="C593" s="561"/>
      <c r="D593" s="672"/>
      <c r="E593" s="209"/>
      <c r="F593" s="209"/>
      <c r="G593" s="209"/>
      <c r="H593" s="176">
        <f t="shared" si="473"/>
        <v>0</v>
      </c>
      <c r="I593" s="209"/>
      <c r="J593" s="209"/>
      <c r="K593" s="176">
        <f t="shared" si="474"/>
        <v>0</v>
      </c>
      <c r="L593" s="209"/>
      <c r="M593" s="177">
        <f t="shared" si="475"/>
        <v>0</v>
      </c>
      <c r="N593" s="1012"/>
      <c r="O593" s="1012"/>
      <c r="P593" s="485"/>
      <c r="Q593" s="778"/>
      <c r="R593" s="778"/>
      <c r="S593" s="785" t="str">
        <f t="shared" si="478"/>
        <v/>
      </c>
      <c r="T593" s="548" t="str">
        <f t="shared" si="476"/>
        <v>Sheet Metal Takeoff</v>
      </c>
      <c r="U593" s="83">
        <f t="shared" si="479"/>
        <v>0</v>
      </c>
      <c r="V593" s="83">
        <f t="shared" si="480"/>
        <v>0</v>
      </c>
      <c r="W593" s="83">
        <f t="shared" si="481"/>
        <v>0</v>
      </c>
      <c r="X593" s="781">
        <f t="shared" si="482"/>
        <v>0</v>
      </c>
      <c r="Y593" s="781">
        <f t="shared" si="483"/>
        <v>0</v>
      </c>
      <c r="Z593" s="781">
        <f t="shared" si="484"/>
        <v>0</v>
      </c>
      <c r="AA593" s="83">
        <f t="shared" si="477"/>
        <v>0</v>
      </c>
      <c r="AB593" s="83">
        <f t="shared" si="485"/>
        <v>0</v>
      </c>
      <c r="AC593" s="83">
        <f t="shared" si="486"/>
        <v>0</v>
      </c>
      <c r="AD593" s="83">
        <f t="shared" si="487"/>
        <v>0</v>
      </c>
      <c r="AE593" s="83">
        <f t="shared" si="488"/>
        <v>0</v>
      </c>
      <c r="AF593" s="83">
        <f t="shared" si="489"/>
        <v>0</v>
      </c>
      <c r="AG593" s="83">
        <f t="shared" si="490"/>
        <v>0</v>
      </c>
      <c r="AH593" s="83">
        <f t="shared" si="491"/>
        <v>0</v>
      </c>
      <c r="AI593" s="83">
        <f t="shared" si="492"/>
        <v>0</v>
      </c>
      <c r="AJ593" s="718">
        <f t="shared" si="493"/>
        <v>0</v>
      </c>
      <c r="AL593">
        <f t="shared" si="494"/>
        <v>0</v>
      </c>
      <c r="AM593">
        <f t="shared" si="495"/>
        <v>0</v>
      </c>
    </row>
    <row r="594" spans="1:39" ht="15.75" x14ac:dyDescent="0.25">
      <c r="A594" s="561"/>
      <c r="B594" s="561"/>
      <c r="C594" s="561"/>
      <c r="D594" s="672"/>
      <c r="E594" s="209"/>
      <c r="F594" s="209"/>
      <c r="G594" s="209"/>
      <c r="H594" s="176">
        <f t="shared" si="473"/>
        <v>0</v>
      </c>
      <c r="I594" s="209"/>
      <c r="J594" s="209"/>
      <c r="K594" s="176">
        <f t="shared" si="474"/>
        <v>0</v>
      </c>
      <c r="L594" s="209"/>
      <c r="M594" s="177">
        <f t="shared" si="475"/>
        <v>0</v>
      </c>
      <c r="N594" s="1012"/>
      <c r="O594" s="1012"/>
      <c r="P594" s="485"/>
      <c r="Q594" s="778"/>
      <c r="R594" s="778"/>
      <c r="S594" s="785" t="str">
        <f t="shared" si="478"/>
        <v/>
      </c>
      <c r="T594" s="548" t="str">
        <f t="shared" si="476"/>
        <v>Sheet Metal Takeoff</v>
      </c>
      <c r="U594" s="83">
        <f t="shared" si="479"/>
        <v>0</v>
      </c>
      <c r="V594" s="83">
        <f t="shared" si="480"/>
        <v>0</v>
      </c>
      <c r="W594" s="83">
        <f t="shared" si="481"/>
        <v>0</v>
      </c>
      <c r="X594" s="781">
        <f t="shared" si="482"/>
        <v>0</v>
      </c>
      <c r="Y594" s="781">
        <f t="shared" si="483"/>
        <v>0</v>
      </c>
      <c r="Z594" s="781">
        <f t="shared" si="484"/>
        <v>0</v>
      </c>
      <c r="AA594" s="83">
        <f t="shared" si="477"/>
        <v>0</v>
      </c>
      <c r="AB594" s="83">
        <f t="shared" si="485"/>
        <v>0</v>
      </c>
      <c r="AC594" s="83">
        <f t="shared" si="486"/>
        <v>0</v>
      </c>
      <c r="AD594" s="83">
        <f t="shared" si="487"/>
        <v>0</v>
      </c>
      <c r="AE594" s="83">
        <f t="shared" si="488"/>
        <v>0</v>
      </c>
      <c r="AF594" s="83">
        <f t="shared" si="489"/>
        <v>0</v>
      </c>
      <c r="AG594" s="83">
        <f t="shared" si="490"/>
        <v>0</v>
      </c>
      <c r="AH594" s="83">
        <f t="shared" si="491"/>
        <v>0</v>
      </c>
      <c r="AI594" s="83">
        <f t="shared" si="492"/>
        <v>0</v>
      </c>
      <c r="AJ594" s="718">
        <f t="shared" si="493"/>
        <v>0</v>
      </c>
      <c r="AL594">
        <f t="shared" si="494"/>
        <v>0</v>
      </c>
      <c r="AM594">
        <f t="shared" si="495"/>
        <v>0</v>
      </c>
    </row>
    <row r="595" spans="1:39" ht="15.75" x14ac:dyDescent="0.25">
      <c r="A595" s="561"/>
      <c r="B595" s="561"/>
      <c r="C595" s="561"/>
      <c r="D595" s="672"/>
      <c r="E595" s="209"/>
      <c r="F595" s="209"/>
      <c r="G595" s="209"/>
      <c r="H595" s="176">
        <f t="shared" si="473"/>
        <v>0</v>
      </c>
      <c r="I595" s="209"/>
      <c r="J595" s="209"/>
      <c r="K595" s="176">
        <f t="shared" si="474"/>
        <v>0</v>
      </c>
      <c r="L595" s="209"/>
      <c r="M595" s="177">
        <f t="shared" si="475"/>
        <v>0</v>
      </c>
      <c r="N595" s="1012"/>
      <c r="O595" s="1012"/>
      <c r="P595" s="485"/>
      <c r="Q595" s="778"/>
      <c r="R595" s="778"/>
      <c r="S595" s="785" t="str">
        <f t="shared" si="478"/>
        <v/>
      </c>
      <c r="T595" s="548" t="str">
        <f t="shared" si="476"/>
        <v>Sheet Metal Takeoff</v>
      </c>
      <c r="U595" s="83">
        <f t="shared" si="479"/>
        <v>0</v>
      </c>
      <c r="V595" s="83">
        <f t="shared" si="480"/>
        <v>0</v>
      </c>
      <c r="W595" s="83">
        <f t="shared" si="481"/>
        <v>0</v>
      </c>
      <c r="X595" s="781">
        <f t="shared" si="482"/>
        <v>0</v>
      </c>
      <c r="Y595" s="781">
        <f t="shared" si="483"/>
        <v>0</v>
      </c>
      <c r="Z595" s="781">
        <f t="shared" si="484"/>
        <v>0</v>
      </c>
      <c r="AA595" s="83">
        <f t="shared" si="477"/>
        <v>0</v>
      </c>
      <c r="AB595" s="83">
        <f t="shared" si="485"/>
        <v>0</v>
      </c>
      <c r="AC595" s="83">
        <f t="shared" si="486"/>
        <v>0</v>
      </c>
      <c r="AD595" s="83">
        <f t="shared" si="487"/>
        <v>0</v>
      </c>
      <c r="AE595" s="83">
        <f t="shared" si="488"/>
        <v>0</v>
      </c>
      <c r="AF595" s="83">
        <f t="shared" si="489"/>
        <v>0</v>
      </c>
      <c r="AG595" s="83">
        <f t="shared" si="490"/>
        <v>0</v>
      </c>
      <c r="AH595" s="83">
        <f t="shared" si="491"/>
        <v>0</v>
      </c>
      <c r="AI595" s="83">
        <f t="shared" si="492"/>
        <v>0</v>
      </c>
      <c r="AJ595" s="718">
        <f t="shared" si="493"/>
        <v>0</v>
      </c>
      <c r="AL595">
        <f t="shared" si="494"/>
        <v>0</v>
      </c>
      <c r="AM595">
        <f t="shared" si="495"/>
        <v>0</v>
      </c>
    </row>
    <row r="596" spans="1:39" ht="15.75" x14ac:dyDescent="0.25">
      <c r="A596" s="561"/>
      <c r="B596" s="561"/>
      <c r="C596" s="561"/>
      <c r="D596" s="672"/>
      <c r="E596" s="209"/>
      <c r="F596" s="209"/>
      <c r="G596" s="209"/>
      <c r="H596" s="176">
        <f t="shared" si="473"/>
        <v>0</v>
      </c>
      <c r="I596" s="209"/>
      <c r="J596" s="209"/>
      <c r="K596" s="176">
        <f t="shared" si="474"/>
        <v>0</v>
      </c>
      <c r="L596" s="209"/>
      <c r="M596" s="177">
        <f t="shared" si="475"/>
        <v>0</v>
      </c>
      <c r="N596" s="1012"/>
      <c r="O596" s="1012"/>
      <c r="P596" s="485"/>
      <c r="Q596" s="778"/>
      <c r="R596" s="778"/>
      <c r="S596" s="785" t="str">
        <f t="shared" si="478"/>
        <v/>
      </c>
      <c r="T596" s="548" t="str">
        <f t="shared" si="476"/>
        <v>Sheet Metal Takeoff</v>
      </c>
      <c r="U596" s="83">
        <f t="shared" si="479"/>
        <v>0</v>
      </c>
      <c r="V596" s="83">
        <f t="shared" si="480"/>
        <v>0</v>
      </c>
      <c r="W596" s="83">
        <f t="shared" si="481"/>
        <v>0</v>
      </c>
      <c r="X596" s="781">
        <f t="shared" si="482"/>
        <v>0</v>
      </c>
      <c r="Y596" s="781">
        <f t="shared" si="483"/>
        <v>0</v>
      </c>
      <c r="Z596" s="781">
        <f t="shared" si="484"/>
        <v>0</v>
      </c>
      <c r="AA596" s="83">
        <f t="shared" si="477"/>
        <v>0</v>
      </c>
      <c r="AB596" s="83">
        <f t="shared" si="485"/>
        <v>0</v>
      </c>
      <c r="AC596" s="83">
        <f t="shared" si="486"/>
        <v>0</v>
      </c>
      <c r="AD596" s="83">
        <f t="shared" si="487"/>
        <v>0</v>
      </c>
      <c r="AE596" s="83">
        <f t="shared" si="488"/>
        <v>0</v>
      </c>
      <c r="AF596" s="83">
        <f t="shared" si="489"/>
        <v>0</v>
      </c>
      <c r="AG596" s="83">
        <f t="shared" si="490"/>
        <v>0</v>
      </c>
      <c r="AH596" s="83">
        <f t="shared" si="491"/>
        <v>0</v>
      </c>
      <c r="AI596" s="83">
        <f t="shared" si="492"/>
        <v>0</v>
      </c>
      <c r="AJ596" s="718">
        <f t="shared" si="493"/>
        <v>0</v>
      </c>
      <c r="AL596">
        <f t="shared" si="494"/>
        <v>0</v>
      </c>
      <c r="AM596">
        <f t="shared" si="495"/>
        <v>0</v>
      </c>
    </row>
    <row r="597" spans="1:39" ht="15.75" x14ac:dyDescent="0.25">
      <c r="A597" s="561"/>
      <c r="B597" s="561"/>
      <c r="C597" s="561"/>
      <c r="D597" s="672"/>
      <c r="E597" s="209"/>
      <c r="F597" s="209"/>
      <c r="G597" s="209"/>
      <c r="H597" s="176">
        <f t="shared" si="473"/>
        <v>0</v>
      </c>
      <c r="I597" s="209"/>
      <c r="J597" s="209"/>
      <c r="K597" s="176">
        <f t="shared" si="474"/>
        <v>0</v>
      </c>
      <c r="L597" s="209"/>
      <c r="M597" s="177">
        <f t="shared" si="475"/>
        <v>0</v>
      </c>
      <c r="N597" s="1012"/>
      <c r="O597" s="1012"/>
      <c r="P597" s="485"/>
      <c r="Q597" s="778"/>
      <c r="R597" s="778"/>
      <c r="S597" s="785" t="str">
        <f t="shared" si="478"/>
        <v/>
      </c>
      <c r="T597" s="548" t="str">
        <f t="shared" si="476"/>
        <v>Sheet Metal Takeoff</v>
      </c>
      <c r="U597" s="83">
        <f t="shared" si="479"/>
        <v>0</v>
      </c>
      <c r="V597" s="83">
        <f t="shared" si="480"/>
        <v>0</v>
      </c>
      <c r="W597" s="83">
        <f t="shared" si="481"/>
        <v>0</v>
      </c>
      <c r="X597" s="781">
        <f t="shared" si="482"/>
        <v>0</v>
      </c>
      <c r="Y597" s="781">
        <f t="shared" si="483"/>
        <v>0</v>
      </c>
      <c r="Z597" s="781">
        <f t="shared" si="484"/>
        <v>0</v>
      </c>
      <c r="AA597" s="83">
        <f t="shared" si="477"/>
        <v>0</v>
      </c>
      <c r="AB597" s="83">
        <f t="shared" si="485"/>
        <v>0</v>
      </c>
      <c r="AC597" s="83">
        <f t="shared" si="486"/>
        <v>0</v>
      </c>
      <c r="AD597" s="83">
        <f t="shared" si="487"/>
        <v>0</v>
      </c>
      <c r="AE597" s="83">
        <f t="shared" si="488"/>
        <v>0</v>
      </c>
      <c r="AF597" s="83">
        <f t="shared" si="489"/>
        <v>0</v>
      </c>
      <c r="AG597" s="83">
        <f t="shared" si="490"/>
        <v>0</v>
      </c>
      <c r="AH597" s="83">
        <f t="shared" si="491"/>
        <v>0</v>
      </c>
      <c r="AI597" s="83">
        <f t="shared" si="492"/>
        <v>0</v>
      </c>
      <c r="AJ597" s="718">
        <f t="shared" si="493"/>
        <v>0</v>
      </c>
      <c r="AL597">
        <f t="shared" si="494"/>
        <v>0</v>
      </c>
      <c r="AM597">
        <f t="shared" si="495"/>
        <v>0</v>
      </c>
    </row>
    <row r="598" spans="1:39" ht="15.75" x14ac:dyDescent="0.25">
      <c r="A598" s="561"/>
      <c r="B598" s="561"/>
      <c r="C598" s="561"/>
      <c r="D598" s="672"/>
      <c r="E598" s="209"/>
      <c r="F598" s="209"/>
      <c r="G598" s="209"/>
      <c r="H598" s="176">
        <f t="shared" si="473"/>
        <v>0</v>
      </c>
      <c r="I598" s="209"/>
      <c r="J598" s="209"/>
      <c r="K598" s="176">
        <f t="shared" si="474"/>
        <v>0</v>
      </c>
      <c r="L598" s="209"/>
      <c r="M598" s="177">
        <f t="shared" si="475"/>
        <v>0</v>
      </c>
      <c r="N598" s="1012"/>
      <c r="O598" s="1012"/>
      <c r="P598" s="485"/>
      <c r="Q598" s="778"/>
      <c r="R598" s="778"/>
      <c r="S598" s="785" t="str">
        <f t="shared" si="478"/>
        <v/>
      </c>
      <c r="T598" s="548" t="str">
        <f t="shared" si="476"/>
        <v>Sheet Metal Takeoff</v>
      </c>
      <c r="U598" s="83">
        <f t="shared" si="479"/>
        <v>0</v>
      </c>
      <c r="V598" s="83">
        <f t="shared" si="480"/>
        <v>0</v>
      </c>
      <c r="W598" s="83">
        <f t="shared" si="481"/>
        <v>0</v>
      </c>
      <c r="X598" s="781">
        <f t="shared" si="482"/>
        <v>0</v>
      </c>
      <c r="Y598" s="781">
        <f t="shared" si="483"/>
        <v>0</v>
      </c>
      <c r="Z598" s="781">
        <f t="shared" si="484"/>
        <v>0</v>
      </c>
      <c r="AA598" s="83">
        <f t="shared" si="477"/>
        <v>0</v>
      </c>
      <c r="AB598" s="83">
        <f t="shared" si="485"/>
        <v>0</v>
      </c>
      <c r="AC598" s="83">
        <f t="shared" si="486"/>
        <v>0</v>
      </c>
      <c r="AD598" s="83">
        <f t="shared" si="487"/>
        <v>0</v>
      </c>
      <c r="AE598" s="83">
        <f t="shared" si="488"/>
        <v>0</v>
      </c>
      <c r="AF598" s="83">
        <f t="shared" si="489"/>
        <v>0</v>
      </c>
      <c r="AG598" s="83">
        <f t="shared" si="490"/>
        <v>0</v>
      </c>
      <c r="AH598" s="83">
        <f t="shared" si="491"/>
        <v>0</v>
      </c>
      <c r="AI598" s="83">
        <f t="shared" si="492"/>
        <v>0</v>
      </c>
      <c r="AJ598" s="718">
        <f t="shared" si="493"/>
        <v>0</v>
      </c>
      <c r="AL598">
        <f t="shared" si="494"/>
        <v>0</v>
      </c>
      <c r="AM598">
        <f t="shared" si="495"/>
        <v>0</v>
      </c>
    </row>
    <row r="599" spans="1:39" ht="15.75" x14ac:dyDescent="0.25">
      <c r="A599" s="561"/>
      <c r="B599" s="561"/>
      <c r="C599" s="561"/>
      <c r="D599" s="672"/>
      <c r="E599" s="209"/>
      <c r="F599" s="209"/>
      <c r="G599" s="209"/>
      <c r="H599" s="176">
        <f t="shared" si="473"/>
        <v>0</v>
      </c>
      <c r="I599" s="209"/>
      <c r="J599" s="209"/>
      <c r="K599" s="176">
        <f t="shared" si="474"/>
        <v>0</v>
      </c>
      <c r="L599" s="209"/>
      <c r="M599" s="177">
        <f t="shared" si="475"/>
        <v>0</v>
      </c>
      <c r="N599" s="1012"/>
      <c r="O599" s="1012"/>
      <c r="P599" s="485"/>
      <c r="Q599" s="778"/>
      <c r="R599" s="778"/>
      <c r="S599" s="785" t="str">
        <f t="shared" si="478"/>
        <v/>
      </c>
      <c r="T599" s="548" t="str">
        <f t="shared" si="476"/>
        <v>Sheet Metal Takeoff</v>
      </c>
      <c r="U599" s="83">
        <f t="shared" si="479"/>
        <v>0</v>
      </c>
      <c r="V599" s="83">
        <f t="shared" si="480"/>
        <v>0</v>
      </c>
      <c r="W599" s="83">
        <f t="shared" si="481"/>
        <v>0</v>
      </c>
      <c r="X599" s="781">
        <f t="shared" si="482"/>
        <v>0</v>
      </c>
      <c r="Y599" s="781">
        <f t="shared" si="483"/>
        <v>0</v>
      </c>
      <c r="Z599" s="781">
        <f t="shared" si="484"/>
        <v>0</v>
      </c>
      <c r="AA599" s="83">
        <f t="shared" si="477"/>
        <v>0</v>
      </c>
      <c r="AB599" s="83">
        <f t="shared" si="485"/>
        <v>0</v>
      </c>
      <c r="AC599" s="83">
        <f t="shared" si="486"/>
        <v>0</v>
      </c>
      <c r="AD599" s="83">
        <f t="shared" si="487"/>
        <v>0</v>
      </c>
      <c r="AE599" s="83">
        <f t="shared" si="488"/>
        <v>0</v>
      </c>
      <c r="AF599" s="83">
        <f t="shared" si="489"/>
        <v>0</v>
      </c>
      <c r="AG599" s="83">
        <f t="shared" si="490"/>
        <v>0</v>
      </c>
      <c r="AH599" s="83">
        <f t="shared" si="491"/>
        <v>0</v>
      </c>
      <c r="AI599" s="83">
        <f t="shared" si="492"/>
        <v>0</v>
      </c>
      <c r="AJ599" s="718">
        <f t="shared" si="493"/>
        <v>0</v>
      </c>
      <c r="AL599">
        <f t="shared" si="494"/>
        <v>0</v>
      </c>
      <c r="AM599">
        <f t="shared" si="495"/>
        <v>0</v>
      </c>
    </row>
    <row r="600" spans="1:39" ht="15.75" x14ac:dyDescent="0.25">
      <c r="A600" s="561"/>
      <c r="B600" s="561"/>
      <c r="C600" s="561"/>
      <c r="D600" s="672"/>
      <c r="E600" s="209"/>
      <c r="F600" s="209"/>
      <c r="G600" s="209"/>
      <c r="H600" s="176">
        <f t="shared" si="473"/>
        <v>0</v>
      </c>
      <c r="I600" s="209"/>
      <c r="J600" s="209"/>
      <c r="K600" s="176">
        <f t="shared" si="474"/>
        <v>0</v>
      </c>
      <c r="L600" s="209"/>
      <c r="M600" s="177">
        <f t="shared" si="475"/>
        <v>0</v>
      </c>
      <c r="N600" s="1012"/>
      <c r="O600" s="1012"/>
      <c r="P600" s="485"/>
      <c r="Q600" s="778"/>
      <c r="R600" s="778"/>
      <c r="S600" s="785" t="str">
        <f t="shared" si="478"/>
        <v/>
      </c>
      <c r="T600" s="548" t="str">
        <f t="shared" si="476"/>
        <v>Sheet Metal Takeoff</v>
      </c>
      <c r="U600" s="83">
        <f t="shared" si="479"/>
        <v>0</v>
      </c>
      <c r="V600" s="83">
        <f t="shared" si="480"/>
        <v>0</v>
      </c>
      <c r="W600" s="83">
        <f t="shared" si="481"/>
        <v>0</v>
      </c>
      <c r="X600" s="781">
        <f t="shared" si="482"/>
        <v>0</v>
      </c>
      <c r="Y600" s="781">
        <f t="shared" si="483"/>
        <v>0</v>
      </c>
      <c r="Z600" s="781">
        <f t="shared" si="484"/>
        <v>0</v>
      </c>
      <c r="AA600" s="83">
        <f t="shared" si="477"/>
        <v>0</v>
      </c>
      <c r="AB600" s="83">
        <f t="shared" si="485"/>
        <v>0</v>
      </c>
      <c r="AC600" s="83">
        <f t="shared" si="486"/>
        <v>0</v>
      </c>
      <c r="AD600" s="83">
        <f t="shared" si="487"/>
        <v>0</v>
      </c>
      <c r="AE600" s="83">
        <f t="shared" si="488"/>
        <v>0</v>
      </c>
      <c r="AF600" s="83">
        <f t="shared" si="489"/>
        <v>0</v>
      </c>
      <c r="AG600" s="83">
        <f t="shared" si="490"/>
        <v>0</v>
      </c>
      <c r="AH600" s="83">
        <f t="shared" si="491"/>
        <v>0</v>
      </c>
      <c r="AI600" s="83">
        <f t="shared" si="492"/>
        <v>0</v>
      </c>
      <c r="AJ600" s="718">
        <f t="shared" si="493"/>
        <v>0</v>
      </c>
      <c r="AL600">
        <f t="shared" si="494"/>
        <v>0</v>
      </c>
      <c r="AM600">
        <f t="shared" si="495"/>
        <v>0</v>
      </c>
    </row>
    <row r="601" spans="1:39" ht="15.75" x14ac:dyDescent="0.25">
      <c r="A601" s="561"/>
      <c r="B601" s="561"/>
      <c r="C601" s="561"/>
      <c r="D601" s="672"/>
      <c r="E601" s="209"/>
      <c r="F601" s="209"/>
      <c r="G601" s="209"/>
      <c r="H601" s="176">
        <f t="shared" si="473"/>
        <v>0</v>
      </c>
      <c r="I601" s="209"/>
      <c r="J601" s="209"/>
      <c r="K601" s="176">
        <f t="shared" si="474"/>
        <v>0</v>
      </c>
      <c r="L601" s="209"/>
      <c r="M601" s="177">
        <f t="shared" si="475"/>
        <v>0</v>
      </c>
      <c r="N601" s="1012"/>
      <c r="O601" s="1012"/>
      <c r="P601" s="485"/>
      <c r="Q601" s="778"/>
      <c r="R601" s="778"/>
      <c r="S601" s="785" t="str">
        <f t="shared" si="478"/>
        <v/>
      </c>
      <c r="T601" s="548" t="str">
        <f t="shared" si="476"/>
        <v>Sheet Metal Takeoff</v>
      </c>
      <c r="U601" s="83">
        <f t="shared" si="479"/>
        <v>0</v>
      </c>
      <c r="V601" s="83">
        <f t="shared" si="480"/>
        <v>0</v>
      </c>
      <c r="W601" s="83">
        <f t="shared" si="481"/>
        <v>0</v>
      </c>
      <c r="X601" s="781">
        <f t="shared" si="482"/>
        <v>0</v>
      </c>
      <c r="Y601" s="781">
        <f t="shared" si="483"/>
        <v>0</v>
      </c>
      <c r="Z601" s="781">
        <f t="shared" si="484"/>
        <v>0</v>
      </c>
      <c r="AA601" s="83">
        <f t="shared" si="477"/>
        <v>0</v>
      </c>
      <c r="AB601" s="83">
        <f t="shared" si="485"/>
        <v>0</v>
      </c>
      <c r="AC601" s="83">
        <f t="shared" si="486"/>
        <v>0</v>
      </c>
      <c r="AD601" s="83">
        <f t="shared" si="487"/>
        <v>0</v>
      </c>
      <c r="AE601" s="83">
        <f t="shared" si="488"/>
        <v>0</v>
      </c>
      <c r="AF601" s="83">
        <f t="shared" si="489"/>
        <v>0</v>
      </c>
      <c r="AG601" s="83">
        <f t="shared" si="490"/>
        <v>0</v>
      </c>
      <c r="AH601" s="83">
        <f t="shared" si="491"/>
        <v>0</v>
      </c>
      <c r="AI601" s="83">
        <f t="shared" si="492"/>
        <v>0</v>
      </c>
      <c r="AJ601" s="718">
        <f t="shared" si="493"/>
        <v>0</v>
      </c>
      <c r="AL601">
        <f t="shared" si="494"/>
        <v>0</v>
      </c>
      <c r="AM601">
        <f t="shared" si="495"/>
        <v>0</v>
      </c>
    </row>
    <row r="602" spans="1:39" ht="15.75" hidden="1" customHeight="1" x14ac:dyDescent="0.25">
      <c r="A602" s="561"/>
      <c r="B602" s="561"/>
      <c r="C602" s="561"/>
      <c r="D602" s="672"/>
      <c r="E602" s="209"/>
      <c r="F602" s="209"/>
      <c r="G602" s="209"/>
      <c r="H602" s="176">
        <f t="shared" si="473"/>
        <v>0</v>
      </c>
      <c r="I602" s="209"/>
      <c r="J602" s="209"/>
      <c r="K602" s="176">
        <f t="shared" si="474"/>
        <v>0</v>
      </c>
      <c r="L602" s="209"/>
      <c r="M602" s="177">
        <f t="shared" si="475"/>
        <v>0</v>
      </c>
      <c r="N602" s="1012"/>
      <c r="O602" s="1012"/>
      <c r="P602" s="485"/>
      <c r="Q602" s="778"/>
      <c r="R602" s="778"/>
      <c r="S602" s="785" t="str">
        <f t="shared" si="478"/>
        <v/>
      </c>
      <c r="T602" s="548" t="str">
        <f t="shared" si="476"/>
        <v>Sheet Metal Takeoff</v>
      </c>
      <c r="U602" s="83">
        <f>ROUND(IF($T602="Plumb Takeoff",$H602*U$3,IF($T602="Pipe Takeoff",$H602*U$4,$H602*U$2)),2)</f>
        <v>0</v>
      </c>
      <c r="V602" s="83">
        <f t="shared" si="480"/>
        <v>0</v>
      </c>
      <c r="W602" s="83">
        <f t="shared" si="481"/>
        <v>0</v>
      </c>
      <c r="X602" s="781">
        <f t="shared" si="482"/>
        <v>0</v>
      </c>
      <c r="Y602" s="781">
        <f t="shared" si="483"/>
        <v>0</v>
      </c>
      <c r="Z602" s="781">
        <f t="shared" si="484"/>
        <v>0</v>
      </c>
      <c r="AA602" s="83">
        <f t="shared" si="477"/>
        <v>0</v>
      </c>
      <c r="AB602" s="83">
        <f t="shared" si="485"/>
        <v>0</v>
      </c>
      <c r="AC602" s="83">
        <f t="shared" si="486"/>
        <v>0</v>
      </c>
      <c r="AD602" s="83">
        <f t="shared" si="487"/>
        <v>0</v>
      </c>
      <c r="AE602" s="83">
        <f t="shared" si="488"/>
        <v>0</v>
      </c>
      <c r="AF602" s="83">
        <f t="shared" si="489"/>
        <v>0</v>
      </c>
      <c r="AG602" s="83">
        <f t="shared" si="490"/>
        <v>0</v>
      </c>
      <c r="AH602" s="83">
        <f t="shared" si="491"/>
        <v>0</v>
      </c>
      <c r="AI602" s="83">
        <f t="shared" si="492"/>
        <v>0</v>
      </c>
      <c r="AJ602" s="718">
        <f t="shared" si="493"/>
        <v>0</v>
      </c>
      <c r="AL602">
        <f t="shared" si="494"/>
        <v>0</v>
      </c>
      <c r="AM602">
        <f t="shared" si="495"/>
        <v>0</v>
      </c>
    </row>
    <row r="603" spans="1:39" ht="15.75" x14ac:dyDescent="0.25">
      <c r="A603" s="551"/>
      <c r="B603" s="551"/>
      <c r="C603" s="551"/>
      <c r="D603" s="673"/>
      <c r="E603" s="552"/>
      <c r="F603" s="553"/>
      <c r="G603" s="553"/>
      <c r="H603" s="181">
        <f>SUM(H577:H602)</f>
        <v>0</v>
      </c>
      <c r="I603" s="182"/>
      <c r="J603" s="182"/>
      <c r="K603" s="181">
        <f>SUM(K577:K602)</f>
        <v>0</v>
      </c>
      <c r="L603" s="182"/>
      <c r="M603" s="177">
        <f>SUM(M577:M602)</f>
        <v>0</v>
      </c>
      <c r="O603" s="486"/>
      <c r="AJ603" s="718"/>
    </row>
    <row r="604" spans="1:39" ht="15.75" thickBot="1" x14ac:dyDescent="0.3">
      <c r="AJ604" s="718"/>
    </row>
    <row r="605" spans="1:39" ht="16.5" thickBot="1" x14ac:dyDescent="0.3">
      <c r="E605" s="678" t="s">
        <v>1122</v>
      </c>
      <c r="F605" s="1017" t="s">
        <v>1630</v>
      </c>
      <c r="G605" s="1018"/>
      <c r="H605" s="344"/>
      <c r="I605" s="1019" t="s">
        <v>1628</v>
      </c>
      <c r="J605" s="1020"/>
      <c r="K605" s="679" t="b">
        <v>0</v>
      </c>
      <c r="AJ605" s="718"/>
    </row>
    <row r="606" spans="1:39" ht="38.25" thickBot="1" x14ac:dyDescent="0.35">
      <c r="A606" s="477" t="s">
        <v>1063</v>
      </c>
      <c r="B606" s="477" t="s">
        <v>348</v>
      </c>
      <c r="C606" s="477" t="s">
        <v>349</v>
      </c>
      <c r="D606" s="666" t="s">
        <v>0</v>
      </c>
      <c r="E606" s="477" t="s">
        <v>1</v>
      </c>
      <c r="F606" s="480" t="s">
        <v>2</v>
      </c>
      <c r="G606" s="480" t="s">
        <v>1123</v>
      </c>
      <c r="H606" s="480" t="s">
        <v>3</v>
      </c>
      <c r="I606" s="483" t="s">
        <v>4</v>
      </c>
      <c r="J606" s="480" t="s">
        <v>1124</v>
      </c>
      <c r="K606" s="680" t="s">
        <v>5</v>
      </c>
      <c r="L606" s="480" t="s">
        <v>6</v>
      </c>
      <c r="M606" s="484" t="s">
        <v>7</v>
      </c>
      <c r="N606" s="1013" t="s">
        <v>1079</v>
      </c>
      <c r="O606" s="1014"/>
      <c r="P606" s="1009" t="s">
        <v>1629</v>
      </c>
      <c r="Q606" s="1009" t="s">
        <v>1147</v>
      </c>
      <c r="R606" s="1009" t="s">
        <v>1792</v>
      </c>
      <c r="T606" s="2"/>
      <c r="AJ606" s="718"/>
    </row>
    <row r="607" spans="1:39" ht="16.5" thickBot="1" x14ac:dyDescent="0.3">
      <c r="A607" s="183"/>
      <c r="B607" s="183"/>
      <c r="C607" s="183"/>
      <c r="D607" s="671"/>
      <c r="E607" s="183"/>
      <c r="F607" s="183"/>
      <c r="G607" s="183"/>
      <c r="H607" s="183"/>
      <c r="I607" s="183"/>
      <c r="J607" s="183"/>
      <c r="K607" s="183"/>
      <c r="L607" s="183"/>
      <c r="M607" s="183"/>
      <c r="N607" s="1015"/>
      <c r="O607" s="1016"/>
      <c r="P607" s="1010" t="s">
        <v>1362</v>
      </c>
      <c r="Q607" s="1010"/>
      <c r="R607" s="1010"/>
      <c r="T607" s="1"/>
      <c r="AJ607" s="718"/>
    </row>
    <row r="608" spans="1:39" ht="15.75" x14ac:dyDescent="0.25">
      <c r="A608" s="561"/>
      <c r="B608" s="561"/>
      <c r="C608" s="561"/>
      <c r="D608" s="672"/>
      <c r="E608" s="209"/>
      <c r="F608" s="209"/>
      <c r="G608" s="209"/>
      <c r="H608" s="176">
        <f t="shared" ref="H608:H633" si="496">IF(SM_ExludeGroup19=TRUE,0,IF(G608="",E608*F608*IF(AND(S608="LOP",R608="SWING"),1+CrewRate_PlumbFitter_SwingLOP,1)*IF(AND(S608="LOP",R608="GRAVE"),1+CrewRate_PlumbFitter_GraveLOP,1)*IF(AND(S608="LOP",R608="SPECIAL"),1+CrewRate_PlumbFitter_SwingLOP,1),E608*F608*G608*IF(AND(S608="LOP",R608="SWING"),1+CrewRate_PlumbFitter_SwingLOP,1)*IF(AND(S608="LOP",R608="GRAVE"),1+CrewRate_PlumbFitter_GraveLOP,1)*IF(AND(S608="LOP",R608="SPECIAL"),1+CrewRate_PlumbFitter_SwingLOP,1)))</f>
        <v>0</v>
      </c>
      <c r="I608" s="209"/>
      <c r="J608" s="209"/>
      <c r="K608" s="176">
        <f t="shared" ref="K608:K633" si="497">IF(SM_ExludeGroup19=TRUE,0,IF(J608="",E608*I608,E608*I608*J608))</f>
        <v>0</v>
      </c>
      <c r="L608" s="209"/>
      <c r="M608" s="177">
        <f t="shared" ref="M608:M633" si="498">IF(SM_ExludeGroup19=TRUE,0,E608*L608)</f>
        <v>0</v>
      </c>
      <c r="N608" s="1012"/>
      <c r="O608" s="1012"/>
      <c r="P608" s="485"/>
      <c r="Q608" s="778"/>
      <c r="R608" s="778"/>
      <c r="S608" s="785" t="str">
        <f>IF(T608="Sheet Metal Takeoff","",IF(R608="","","LOP"))</f>
        <v/>
      </c>
      <c r="T608" s="548" t="str">
        <f t="shared" ref="T608:T633" si="499">IF($F$605="","Sheet Metal Takeoff",$F$605)</f>
        <v>Sheet Metal Takeoff</v>
      </c>
      <c r="U608" s="83">
        <f>ROUND(IF($T608="Plumb Takeoff",$H608*U$3,IF($T608="Pipe Takeoff",$H608*U$4,$H608*U$2)),2)</f>
        <v>0</v>
      </c>
      <c r="V608" s="83">
        <f>ROUND(IF($T608="Plumb Takeoff",IF($Q608="OT",$H608*V$3,0),IF($T608="Pipe Takeoff",IF($Q608="OT",$H608*V$4,0),IF($Q608="OT",$H608*V$2,0))),2)</f>
        <v>0</v>
      </c>
      <c r="W608" s="83">
        <f>ROUND(IF($T608="Plumb Takeoff",IF($Q608="DBLT",$H608*W$3,0),IF($T608="Pipe Takeoff",IF($Q608="DBLT",$H608*W$4,0),IF($Q608="DBLT",$H608*W$2,0))),2)</f>
        <v>0</v>
      </c>
      <c r="X608" s="781">
        <f>ROUND(SUM(IF($T608="Plumb Takeoff",IF($R608="SWING",ROUND(SUM($H608)*X$3,2))),IF($T608="Pipe Takeoff",IF($R608="SWING",ROUND(SUM($H608)*X$4,2))),IF($T608="Sheet Metal Takeoff",IF($R608="SWING",ROUND(SUM($H608)*X$2,2)))),2)</f>
        <v>0</v>
      </c>
      <c r="Y608" s="781">
        <f>ROUND(SUM(IF($T608="Plumb Takeoff",IF($R608="GRAVE",ROUND(SUM($H608)*Y$3,2))),IF($T608="Pipe Takeoff",IF($R608="GRAVE",ROUND(SUM($H608)*Y$4,2))),IF($T608="Sheet Metal Takeoff",IF($R608="GRAVE",ROUND(SUM($H608)*Y$2,2)))),2)</f>
        <v>0</v>
      </c>
      <c r="Z608" s="781">
        <f>ROUND(SUM(IF($T608="Plumb Takeoff",IF($R608="SPECIAL",ROUND(SUM($H608)*Z$3,2))),IF($T608="Pipe Takeoff",IF($R608="SPECIAL",ROUND(SUM($H608)*Z$4,2))),IF($T608="Sheet Metal Takeoff",IF($R608="SPECIAL",ROUND(SUM($H608)*Z$2,2)))),2)</f>
        <v>0</v>
      </c>
      <c r="AA608" s="83">
        <f t="shared" ref="AA608:AA633" si="500">ROUND($K608*AA$2,2)</f>
        <v>0</v>
      </c>
      <c r="AB608" s="83">
        <f>ROUND(IF($Q608="OT",$K608*AB$2,0),2)</f>
        <v>0</v>
      </c>
      <c r="AC608" s="83">
        <f>ROUND(IF($Q608="DBLT",$K608*AC$2,0),2)</f>
        <v>0</v>
      </c>
      <c r="AD608" s="83">
        <f>ROUND(IF($R608="SWING",$K608*AD$2,0),2)</f>
        <v>0</v>
      </c>
      <c r="AE608" s="83">
        <f>ROUND(IF($R608="GRAVE",$K608*AE$2,0),2)</f>
        <v>0</v>
      </c>
      <c r="AF608" s="83">
        <f>ROUND(IF($R608="SPECIAL",$K608*AF$2,0),2)</f>
        <v>0</v>
      </c>
      <c r="AG608" s="83">
        <f>SUM(U608:Z608)</f>
        <v>0</v>
      </c>
      <c r="AH608" s="83">
        <f>SUM(AA608:AF608)</f>
        <v>0</v>
      </c>
      <c r="AI608" s="83">
        <f>SUM(U608:AF608)</f>
        <v>0</v>
      </c>
      <c r="AJ608" s="718">
        <f>SUM(M608,AI608)</f>
        <v>0</v>
      </c>
      <c r="AL608">
        <f>SUM(V608:Z608)</f>
        <v>0</v>
      </c>
      <c r="AM608">
        <f>SUM(AB608:AF608)</f>
        <v>0</v>
      </c>
    </row>
    <row r="609" spans="1:39" ht="15.75" x14ac:dyDescent="0.25">
      <c r="A609" s="561"/>
      <c r="B609" s="561"/>
      <c r="C609" s="561"/>
      <c r="D609" s="672"/>
      <c r="E609" s="209"/>
      <c r="F609" s="209"/>
      <c r="G609" s="209"/>
      <c r="H609" s="176">
        <f t="shared" si="496"/>
        <v>0</v>
      </c>
      <c r="I609" s="209"/>
      <c r="J609" s="209"/>
      <c r="K609" s="176">
        <f t="shared" si="497"/>
        <v>0</v>
      </c>
      <c r="L609" s="209"/>
      <c r="M609" s="177">
        <f t="shared" si="498"/>
        <v>0</v>
      </c>
      <c r="N609" s="1012"/>
      <c r="O609" s="1012"/>
      <c r="P609" s="485"/>
      <c r="Q609" s="778"/>
      <c r="R609" s="778"/>
      <c r="S609" s="785" t="str">
        <f t="shared" ref="S609:S633" si="501">IF(T609="Sheet Metal Takeoff","",IF(R609="","","LOP"))</f>
        <v/>
      </c>
      <c r="T609" s="548" t="str">
        <f t="shared" si="499"/>
        <v>Sheet Metal Takeoff</v>
      </c>
      <c r="U609" s="83">
        <f t="shared" ref="U609:U632" si="502">ROUND(IF($T609="Plumb Takeoff",$H609*U$3,IF($T609="Pipe Takeoff",$H609*U$4,$H609*U$2)),2)</f>
        <v>0</v>
      </c>
      <c r="V609" s="83">
        <f t="shared" ref="V609:V633" si="503">ROUND(IF($T609="Plumb Takeoff",IF($Q609="OT",$H609*V$3,0),IF($T609="Pipe Takeoff",IF($Q609="OT",$H609*V$4,0),IF($Q609="OT",$H609*V$2,0))),2)</f>
        <v>0</v>
      </c>
      <c r="W609" s="83">
        <f t="shared" ref="W609:W633" si="504">ROUND(IF($T609="Plumb Takeoff",IF($Q609="DBLT",$H609*W$3,0),IF($T609="Pipe Takeoff",IF($Q609="DBLT",$H609*W$4,0),IF($Q609="DBLT",$H609*W$2,0))),2)</f>
        <v>0</v>
      </c>
      <c r="X609" s="781">
        <f t="shared" ref="X609:X633" si="505">ROUND(SUM(IF($T609="Plumb Takeoff",IF($R609="SWING",ROUND(SUM($H609)*X$3,2))),IF($T609="Pipe Takeoff",IF($R609="SWING",ROUND(SUM($H609)*X$4,2))),IF($T609="Sheet Metal Takeoff",IF($R609="SWING",ROUND(SUM($H609)*X$2,2)))),2)</f>
        <v>0</v>
      </c>
      <c r="Y609" s="781">
        <f t="shared" ref="Y609:Y633" si="506">ROUND(SUM(IF($T609="Plumb Takeoff",IF($R609="GRAVE",ROUND(SUM($H609)*Y$3,2))),IF($T609="Pipe Takeoff",IF($R609="GRAVE",ROUND(SUM($H609)*Y$4,2))),IF($T609="Sheet Metal Takeoff",IF($R609="GRAVE",ROUND(SUM($H609)*Y$2,2)))),2)</f>
        <v>0</v>
      </c>
      <c r="Z609" s="781">
        <f t="shared" ref="Z609:Z633" si="507">ROUND(SUM(IF($T609="Plumb Takeoff",IF($R609="SPECIAL",ROUND(SUM($H609)*Z$3,2))),IF($T609="Pipe Takeoff",IF($R609="SPECIAL",ROUND(SUM($H609)*Z$4,2))),IF($T609="Sheet Metal Takeoff",IF($R609="SPECIAL",ROUND(SUM($H609)*Z$2,2)))),2)</f>
        <v>0</v>
      </c>
      <c r="AA609" s="83">
        <f t="shared" si="500"/>
        <v>0</v>
      </c>
      <c r="AB609" s="83">
        <f t="shared" ref="AB609:AB633" si="508">ROUND(IF($Q609="OT",$K609*AB$2,0),2)</f>
        <v>0</v>
      </c>
      <c r="AC609" s="83">
        <f t="shared" ref="AC609:AC633" si="509">ROUND(IF($Q609="DBLT",$K609*AC$2,0),2)</f>
        <v>0</v>
      </c>
      <c r="AD609" s="83">
        <f t="shared" ref="AD609:AD633" si="510">ROUND(IF($R609="SWING",$K609*AD$2,0),2)</f>
        <v>0</v>
      </c>
      <c r="AE609" s="83">
        <f t="shared" ref="AE609:AE633" si="511">ROUND(IF($R609="GRAVE",$K609*AE$2,0),2)</f>
        <v>0</v>
      </c>
      <c r="AF609" s="83">
        <f t="shared" ref="AF609:AF633" si="512">ROUND(IF($R609="SPECIAL",$K609*AF$2,0),2)</f>
        <v>0</v>
      </c>
      <c r="AG609" s="83">
        <f t="shared" ref="AG609:AG633" si="513">SUM(U609:Z609)</f>
        <v>0</v>
      </c>
      <c r="AH609" s="83">
        <f t="shared" ref="AH609:AH633" si="514">SUM(AA609:AF609)</f>
        <v>0</v>
      </c>
      <c r="AI609" s="83">
        <f t="shared" ref="AI609:AI633" si="515">SUM(U609:AF609)</f>
        <v>0</v>
      </c>
      <c r="AJ609" s="718">
        <f t="shared" ref="AJ609:AJ633" si="516">SUM(M609,AI609)</f>
        <v>0</v>
      </c>
      <c r="AL609">
        <f t="shared" ref="AL609:AL633" si="517">SUM(V609:Z609)</f>
        <v>0</v>
      </c>
      <c r="AM609">
        <f t="shared" ref="AM609:AM633" si="518">SUM(AB609:AF609)</f>
        <v>0</v>
      </c>
    </row>
    <row r="610" spans="1:39" ht="15.75" x14ac:dyDescent="0.25">
      <c r="A610" s="561"/>
      <c r="B610" s="561"/>
      <c r="C610" s="561"/>
      <c r="D610" s="672"/>
      <c r="E610" s="209"/>
      <c r="F610" s="209"/>
      <c r="G610" s="209"/>
      <c r="H610" s="176">
        <f t="shared" si="496"/>
        <v>0</v>
      </c>
      <c r="I610" s="209"/>
      <c r="J610" s="209"/>
      <c r="K610" s="176">
        <f t="shared" si="497"/>
        <v>0</v>
      </c>
      <c r="L610" s="209"/>
      <c r="M610" s="177">
        <f t="shared" si="498"/>
        <v>0</v>
      </c>
      <c r="N610" s="1012"/>
      <c r="O610" s="1012"/>
      <c r="P610" s="485"/>
      <c r="Q610" s="778"/>
      <c r="R610" s="778"/>
      <c r="S610" s="785" t="str">
        <f t="shared" si="501"/>
        <v/>
      </c>
      <c r="T610" s="548" t="str">
        <f t="shared" si="499"/>
        <v>Sheet Metal Takeoff</v>
      </c>
      <c r="U610" s="83">
        <f t="shared" si="502"/>
        <v>0</v>
      </c>
      <c r="V610" s="83">
        <f t="shared" si="503"/>
        <v>0</v>
      </c>
      <c r="W610" s="83">
        <f t="shared" si="504"/>
        <v>0</v>
      </c>
      <c r="X610" s="781">
        <f t="shared" si="505"/>
        <v>0</v>
      </c>
      <c r="Y610" s="781">
        <f t="shared" si="506"/>
        <v>0</v>
      </c>
      <c r="Z610" s="781">
        <f t="shared" si="507"/>
        <v>0</v>
      </c>
      <c r="AA610" s="83">
        <f t="shared" si="500"/>
        <v>0</v>
      </c>
      <c r="AB610" s="83">
        <f t="shared" si="508"/>
        <v>0</v>
      </c>
      <c r="AC610" s="83">
        <f t="shared" si="509"/>
        <v>0</v>
      </c>
      <c r="AD610" s="83">
        <f t="shared" si="510"/>
        <v>0</v>
      </c>
      <c r="AE610" s="83">
        <f t="shared" si="511"/>
        <v>0</v>
      </c>
      <c r="AF610" s="83">
        <f t="shared" si="512"/>
        <v>0</v>
      </c>
      <c r="AG610" s="83">
        <f t="shared" si="513"/>
        <v>0</v>
      </c>
      <c r="AH610" s="83">
        <f t="shared" si="514"/>
        <v>0</v>
      </c>
      <c r="AI610" s="83">
        <f t="shared" si="515"/>
        <v>0</v>
      </c>
      <c r="AJ610" s="718">
        <f t="shared" si="516"/>
        <v>0</v>
      </c>
      <c r="AL610">
        <f t="shared" si="517"/>
        <v>0</v>
      </c>
      <c r="AM610">
        <f t="shared" si="518"/>
        <v>0</v>
      </c>
    </row>
    <row r="611" spans="1:39" ht="15.75" x14ac:dyDescent="0.25">
      <c r="A611" s="561"/>
      <c r="B611" s="561"/>
      <c r="C611" s="561"/>
      <c r="D611" s="672"/>
      <c r="E611" s="209"/>
      <c r="F611" s="209"/>
      <c r="G611" s="209"/>
      <c r="H611" s="176">
        <f t="shared" si="496"/>
        <v>0</v>
      </c>
      <c r="I611" s="209"/>
      <c r="J611" s="209"/>
      <c r="K611" s="176">
        <f t="shared" si="497"/>
        <v>0</v>
      </c>
      <c r="L611" s="209"/>
      <c r="M611" s="177">
        <f t="shared" si="498"/>
        <v>0</v>
      </c>
      <c r="N611" s="1012"/>
      <c r="O611" s="1012"/>
      <c r="P611" s="485"/>
      <c r="Q611" s="778"/>
      <c r="R611" s="778"/>
      <c r="S611" s="785" t="str">
        <f t="shared" si="501"/>
        <v/>
      </c>
      <c r="T611" s="548" t="str">
        <f t="shared" si="499"/>
        <v>Sheet Metal Takeoff</v>
      </c>
      <c r="U611" s="83">
        <f t="shared" si="502"/>
        <v>0</v>
      </c>
      <c r="V611" s="83">
        <f t="shared" si="503"/>
        <v>0</v>
      </c>
      <c r="W611" s="83">
        <f t="shared" si="504"/>
        <v>0</v>
      </c>
      <c r="X611" s="781">
        <f t="shared" si="505"/>
        <v>0</v>
      </c>
      <c r="Y611" s="781">
        <f t="shared" si="506"/>
        <v>0</v>
      </c>
      <c r="Z611" s="781">
        <f t="shared" si="507"/>
        <v>0</v>
      </c>
      <c r="AA611" s="83">
        <f t="shared" si="500"/>
        <v>0</v>
      </c>
      <c r="AB611" s="83">
        <f t="shared" si="508"/>
        <v>0</v>
      </c>
      <c r="AC611" s="83">
        <f t="shared" si="509"/>
        <v>0</v>
      </c>
      <c r="AD611" s="83">
        <f t="shared" si="510"/>
        <v>0</v>
      </c>
      <c r="AE611" s="83">
        <f t="shared" si="511"/>
        <v>0</v>
      </c>
      <c r="AF611" s="83">
        <f t="shared" si="512"/>
        <v>0</v>
      </c>
      <c r="AG611" s="83">
        <f t="shared" si="513"/>
        <v>0</v>
      </c>
      <c r="AH611" s="83">
        <f t="shared" si="514"/>
        <v>0</v>
      </c>
      <c r="AI611" s="83">
        <f t="shared" si="515"/>
        <v>0</v>
      </c>
      <c r="AJ611" s="718">
        <f t="shared" si="516"/>
        <v>0</v>
      </c>
      <c r="AL611">
        <f t="shared" si="517"/>
        <v>0</v>
      </c>
      <c r="AM611">
        <f t="shared" si="518"/>
        <v>0</v>
      </c>
    </row>
    <row r="612" spans="1:39" ht="15.75" x14ac:dyDescent="0.25">
      <c r="A612" s="561"/>
      <c r="B612" s="561"/>
      <c r="C612" s="561"/>
      <c r="D612" s="672"/>
      <c r="E612" s="209"/>
      <c r="F612" s="209"/>
      <c r="G612" s="209"/>
      <c r="H612" s="176">
        <f t="shared" si="496"/>
        <v>0</v>
      </c>
      <c r="I612" s="209"/>
      <c r="J612" s="209"/>
      <c r="K612" s="176">
        <f t="shared" si="497"/>
        <v>0</v>
      </c>
      <c r="L612" s="209"/>
      <c r="M612" s="177">
        <f t="shared" si="498"/>
        <v>0</v>
      </c>
      <c r="N612" s="1012"/>
      <c r="O612" s="1012"/>
      <c r="P612" s="485"/>
      <c r="Q612" s="778"/>
      <c r="R612" s="778"/>
      <c r="S612" s="785" t="str">
        <f t="shared" si="501"/>
        <v/>
      </c>
      <c r="T612" s="548" t="str">
        <f t="shared" si="499"/>
        <v>Sheet Metal Takeoff</v>
      </c>
      <c r="U612" s="83">
        <f t="shared" si="502"/>
        <v>0</v>
      </c>
      <c r="V612" s="83">
        <f t="shared" si="503"/>
        <v>0</v>
      </c>
      <c r="W612" s="83">
        <f t="shared" si="504"/>
        <v>0</v>
      </c>
      <c r="X612" s="781">
        <f t="shared" si="505"/>
        <v>0</v>
      </c>
      <c r="Y612" s="781">
        <f t="shared" si="506"/>
        <v>0</v>
      </c>
      <c r="Z612" s="781">
        <f t="shared" si="507"/>
        <v>0</v>
      </c>
      <c r="AA612" s="83">
        <f t="shared" si="500"/>
        <v>0</v>
      </c>
      <c r="AB612" s="83">
        <f t="shared" si="508"/>
        <v>0</v>
      </c>
      <c r="AC612" s="83">
        <f t="shared" si="509"/>
        <v>0</v>
      </c>
      <c r="AD612" s="83">
        <f t="shared" si="510"/>
        <v>0</v>
      </c>
      <c r="AE612" s="83">
        <f t="shared" si="511"/>
        <v>0</v>
      </c>
      <c r="AF612" s="83">
        <f t="shared" si="512"/>
        <v>0</v>
      </c>
      <c r="AG612" s="83">
        <f t="shared" si="513"/>
        <v>0</v>
      </c>
      <c r="AH612" s="83">
        <f t="shared" si="514"/>
        <v>0</v>
      </c>
      <c r="AI612" s="83">
        <f t="shared" si="515"/>
        <v>0</v>
      </c>
      <c r="AJ612" s="718">
        <f t="shared" si="516"/>
        <v>0</v>
      </c>
      <c r="AL612">
        <f t="shared" si="517"/>
        <v>0</v>
      </c>
      <c r="AM612">
        <f t="shared" si="518"/>
        <v>0</v>
      </c>
    </row>
    <row r="613" spans="1:39" ht="15.75" x14ac:dyDescent="0.25">
      <c r="A613" s="561"/>
      <c r="B613" s="561"/>
      <c r="C613" s="561"/>
      <c r="D613" s="672"/>
      <c r="E613" s="209"/>
      <c r="F613" s="209"/>
      <c r="G613" s="209"/>
      <c r="H613" s="176">
        <f t="shared" si="496"/>
        <v>0</v>
      </c>
      <c r="I613" s="209"/>
      <c r="J613" s="209"/>
      <c r="K613" s="176">
        <f t="shared" si="497"/>
        <v>0</v>
      </c>
      <c r="L613" s="209"/>
      <c r="M613" s="177">
        <f t="shared" si="498"/>
        <v>0</v>
      </c>
      <c r="N613" s="1012"/>
      <c r="O613" s="1012"/>
      <c r="P613" s="485"/>
      <c r="Q613" s="778"/>
      <c r="R613" s="778"/>
      <c r="S613" s="785" t="str">
        <f t="shared" si="501"/>
        <v/>
      </c>
      <c r="T613" s="548" t="str">
        <f t="shared" si="499"/>
        <v>Sheet Metal Takeoff</v>
      </c>
      <c r="U613" s="83">
        <f t="shared" si="502"/>
        <v>0</v>
      </c>
      <c r="V613" s="83">
        <f t="shared" si="503"/>
        <v>0</v>
      </c>
      <c r="W613" s="83">
        <f t="shared" si="504"/>
        <v>0</v>
      </c>
      <c r="X613" s="781">
        <f t="shared" si="505"/>
        <v>0</v>
      </c>
      <c r="Y613" s="781">
        <f t="shared" si="506"/>
        <v>0</v>
      </c>
      <c r="Z613" s="781">
        <f t="shared" si="507"/>
        <v>0</v>
      </c>
      <c r="AA613" s="83">
        <f t="shared" si="500"/>
        <v>0</v>
      </c>
      <c r="AB613" s="83">
        <f t="shared" si="508"/>
        <v>0</v>
      </c>
      <c r="AC613" s="83">
        <f t="shared" si="509"/>
        <v>0</v>
      </c>
      <c r="AD613" s="83">
        <f t="shared" si="510"/>
        <v>0</v>
      </c>
      <c r="AE613" s="83">
        <f t="shared" si="511"/>
        <v>0</v>
      </c>
      <c r="AF613" s="83">
        <f t="shared" si="512"/>
        <v>0</v>
      </c>
      <c r="AG613" s="83">
        <f t="shared" si="513"/>
        <v>0</v>
      </c>
      <c r="AH613" s="83">
        <f t="shared" si="514"/>
        <v>0</v>
      </c>
      <c r="AI613" s="83">
        <f t="shared" si="515"/>
        <v>0</v>
      </c>
      <c r="AJ613" s="718">
        <f t="shared" si="516"/>
        <v>0</v>
      </c>
      <c r="AL613">
        <f t="shared" si="517"/>
        <v>0</v>
      </c>
      <c r="AM613">
        <f t="shared" si="518"/>
        <v>0</v>
      </c>
    </row>
    <row r="614" spans="1:39" ht="15.75" x14ac:dyDescent="0.25">
      <c r="A614" s="561"/>
      <c r="B614" s="561"/>
      <c r="C614" s="561"/>
      <c r="D614" s="672"/>
      <c r="E614" s="209"/>
      <c r="F614" s="209"/>
      <c r="G614" s="209"/>
      <c r="H614" s="176">
        <f t="shared" si="496"/>
        <v>0</v>
      </c>
      <c r="I614" s="209"/>
      <c r="J614" s="209"/>
      <c r="K614" s="176">
        <f t="shared" si="497"/>
        <v>0</v>
      </c>
      <c r="L614" s="209"/>
      <c r="M614" s="177">
        <f t="shared" si="498"/>
        <v>0</v>
      </c>
      <c r="N614" s="1012"/>
      <c r="O614" s="1012"/>
      <c r="P614" s="485"/>
      <c r="Q614" s="778"/>
      <c r="R614" s="778"/>
      <c r="S614" s="785" t="str">
        <f t="shared" si="501"/>
        <v/>
      </c>
      <c r="T614" s="548" t="str">
        <f t="shared" si="499"/>
        <v>Sheet Metal Takeoff</v>
      </c>
      <c r="U614" s="83">
        <f t="shared" si="502"/>
        <v>0</v>
      </c>
      <c r="V614" s="83">
        <f t="shared" si="503"/>
        <v>0</v>
      </c>
      <c r="W614" s="83">
        <f t="shared" si="504"/>
        <v>0</v>
      </c>
      <c r="X614" s="781">
        <f t="shared" si="505"/>
        <v>0</v>
      </c>
      <c r="Y614" s="781">
        <f t="shared" si="506"/>
        <v>0</v>
      </c>
      <c r="Z614" s="781">
        <f t="shared" si="507"/>
        <v>0</v>
      </c>
      <c r="AA614" s="83">
        <f t="shared" si="500"/>
        <v>0</v>
      </c>
      <c r="AB614" s="83">
        <f t="shared" si="508"/>
        <v>0</v>
      </c>
      <c r="AC614" s="83">
        <f t="shared" si="509"/>
        <v>0</v>
      </c>
      <c r="AD614" s="83">
        <f t="shared" si="510"/>
        <v>0</v>
      </c>
      <c r="AE614" s="83">
        <f t="shared" si="511"/>
        <v>0</v>
      </c>
      <c r="AF614" s="83">
        <f t="shared" si="512"/>
        <v>0</v>
      </c>
      <c r="AG614" s="83">
        <f t="shared" si="513"/>
        <v>0</v>
      </c>
      <c r="AH614" s="83">
        <f t="shared" si="514"/>
        <v>0</v>
      </c>
      <c r="AI614" s="83">
        <f t="shared" si="515"/>
        <v>0</v>
      </c>
      <c r="AJ614" s="718">
        <f t="shared" si="516"/>
        <v>0</v>
      </c>
      <c r="AL614">
        <f t="shared" si="517"/>
        <v>0</v>
      </c>
      <c r="AM614">
        <f t="shared" si="518"/>
        <v>0</v>
      </c>
    </row>
    <row r="615" spans="1:39" ht="15.75" x14ac:dyDescent="0.25">
      <c r="A615" s="561"/>
      <c r="B615" s="561"/>
      <c r="C615" s="561"/>
      <c r="D615" s="672"/>
      <c r="E615" s="209"/>
      <c r="F615" s="209"/>
      <c r="G615" s="209"/>
      <c r="H615" s="176">
        <f t="shared" si="496"/>
        <v>0</v>
      </c>
      <c r="I615" s="209"/>
      <c r="J615" s="209"/>
      <c r="K615" s="176">
        <f t="shared" si="497"/>
        <v>0</v>
      </c>
      <c r="L615" s="209"/>
      <c r="M615" s="177">
        <f t="shared" si="498"/>
        <v>0</v>
      </c>
      <c r="N615" s="1012"/>
      <c r="O615" s="1012"/>
      <c r="P615" s="485"/>
      <c r="Q615" s="778"/>
      <c r="R615" s="778"/>
      <c r="S615" s="785" t="str">
        <f t="shared" si="501"/>
        <v/>
      </c>
      <c r="T615" s="548" t="str">
        <f t="shared" si="499"/>
        <v>Sheet Metal Takeoff</v>
      </c>
      <c r="U615" s="83">
        <f t="shared" si="502"/>
        <v>0</v>
      </c>
      <c r="V615" s="83">
        <f t="shared" si="503"/>
        <v>0</v>
      </c>
      <c r="W615" s="83">
        <f t="shared" si="504"/>
        <v>0</v>
      </c>
      <c r="X615" s="781">
        <f t="shared" si="505"/>
        <v>0</v>
      </c>
      <c r="Y615" s="781">
        <f t="shared" si="506"/>
        <v>0</v>
      </c>
      <c r="Z615" s="781">
        <f t="shared" si="507"/>
        <v>0</v>
      </c>
      <c r="AA615" s="83">
        <f t="shared" si="500"/>
        <v>0</v>
      </c>
      <c r="AB615" s="83">
        <f t="shared" si="508"/>
        <v>0</v>
      </c>
      <c r="AC615" s="83">
        <f t="shared" si="509"/>
        <v>0</v>
      </c>
      <c r="AD615" s="83">
        <f t="shared" si="510"/>
        <v>0</v>
      </c>
      <c r="AE615" s="83">
        <f t="shared" si="511"/>
        <v>0</v>
      </c>
      <c r="AF615" s="83">
        <f t="shared" si="512"/>
        <v>0</v>
      </c>
      <c r="AG615" s="83">
        <f t="shared" si="513"/>
        <v>0</v>
      </c>
      <c r="AH615" s="83">
        <f t="shared" si="514"/>
        <v>0</v>
      </c>
      <c r="AI615" s="83">
        <f t="shared" si="515"/>
        <v>0</v>
      </c>
      <c r="AJ615" s="718">
        <f t="shared" si="516"/>
        <v>0</v>
      </c>
      <c r="AL615">
        <f t="shared" si="517"/>
        <v>0</v>
      </c>
      <c r="AM615">
        <f t="shared" si="518"/>
        <v>0</v>
      </c>
    </row>
    <row r="616" spans="1:39" ht="15.75" x14ac:dyDescent="0.25">
      <c r="A616" s="561"/>
      <c r="B616" s="561"/>
      <c r="C616" s="561"/>
      <c r="D616" s="672"/>
      <c r="E616" s="209"/>
      <c r="F616" s="209"/>
      <c r="G616" s="209"/>
      <c r="H616" s="176">
        <f t="shared" si="496"/>
        <v>0</v>
      </c>
      <c r="I616" s="209"/>
      <c r="J616" s="209"/>
      <c r="K616" s="176">
        <f t="shared" si="497"/>
        <v>0</v>
      </c>
      <c r="L616" s="209"/>
      <c r="M616" s="177">
        <f t="shared" si="498"/>
        <v>0</v>
      </c>
      <c r="N616" s="1012"/>
      <c r="O616" s="1012"/>
      <c r="P616" s="485"/>
      <c r="Q616" s="778"/>
      <c r="R616" s="778"/>
      <c r="S616" s="785" t="str">
        <f t="shared" si="501"/>
        <v/>
      </c>
      <c r="T616" s="548" t="str">
        <f t="shared" si="499"/>
        <v>Sheet Metal Takeoff</v>
      </c>
      <c r="U616" s="83">
        <f t="shared" si="502"/>
        <v>0</v>
      </c>
      <c r="V616" s="83">
        <f t="shared" si="503"/>
        <v>0</v>
      </c>
      <c r="W616" s="83">
        <f t="shared" si="504"/>
        <v>0</v>
      </c>
      <c r="X616" s="781">
        <f t="shared" si="505"/>
        <v>0</v>
      </c>
      <c r="Y616" s="781">
        <f t="shared" si="506"/>
        <v>0</v>
      </c>
      <c r="Z616" s="781">
        <f t="shared" si="507"/>
        <v>0</v>
      </c>
      <c r="AA616" s="83">
        <f t="shared" si="500"/>
        <v>0</v>
      </c>
      <c r="AB616" s="83">
        <f t="shared" si="508"/>
        <v>0</v>
      </c>
      <c r="AC616" s="83">
        <f t="shared" si="509"/>
        <v>0</v>
      </c>
      <c r="AD616" s="83">
        <f t="shared" si="510"/>
        <v>0</v>
      </c>
      <c r="AE616" s="83">
        <f t="shared" si="511"/>
        <v>0</v>
      </c>
      <c r="AF616" s="83">
        <f t="shared" si="512"/>
        <v>0</v>
      </c>
      <c r="AG616" s="83">
        <f t="shared" si="513"/>
        <v>0</v>
      </c>
      <c r="AH616" s="83">
        <f t="shared" si="514"/>
        <v>0</v>
      </c>
      <c r="AI616" s="83">
        <f t="shared" si="515"/>
        <v>0</v>
      </c>
      <c r="AJ616" s="718">
        <f t="shared" si="516"/>
        <v>0</v>
      </c>
      <c r="AL616">
        <f t="shared" si="517"/>
        <v>0</v>
      </c>
      <c r="AM616">
        <f t="shared" si="518"/>
        <v>0</v>
      </c>
    </row>
    <row r="617" spans="1:39" ht="15.75" x14ac:dyDescent="0.25">
      <c r="A617" s="561"/>
      <c r="B617" s="561"/>
      <c r="C617" s="561"/>
      <c r="D617" s="672"/>
      <c r="E617" s="209"/>
      <c r="F617" s="209"/>
      <c r="G617" s="209"/>
      <c r="H617" s="176">
        <f t="shared" si="496"/>
        <v>0</v>
      </c>
      <c r="I617" s="209"/>
      <c r="J617" s="209"/>
      <c r="K617" s="176">
        <f t="shared" si="497"/>
        <v>0</v>
      </c>
      <c r="L617" s="209"/>
      <c r="M617" s="177">
        <f t="shared" si="498"/>
        <v>0</v>
      </c>
      <c r="N617" s="1012"/>
      <c r="O617" s="1012"/>
      <c r="P617" s="485"/>
      <c r="Q617" s="778"/>
      <c r="R617" s="778"/>
      <c r="S617" s="785" t="str">
        <f t="shared" si="501"/>
        <v/>
      </c>
      <c r="T617" s="548" t="str">
        <f t="shared" si="499"/>
        <v>Sheet Metal Takeoff</v>
      </c>
      <c r="U617" s="83">
        <f t="shared" si="502"/>
        <v>0</v>
      </c>
      <c r="V617" s="83">
        <f t="shared" si="503"/>
        <v>0</v>
      </c>
      <c r="W617" s="83">
        <f t="shared" si="504"/>
        <v>0</v>
      </c>
      <c r="X617" s="781">
        <f t="shared" si="505"/>
        <v>0</v>
      </c>
      <c r="Y617" s="781">
        <f t="shared" si="506"/>
        <v>0</v>
      </c>
      <c r="Z617" s="781">
        <f t="shared" si="507"/>
        <v>0</v>
      </c>
      <c r="AA617" s="83">
        <f t="shared" si="500"/>
        <v>0</v>
      </c>
      <c r="AB617" s="83">
        <f t="shared" si="508"/>
        <v>0</v>
      </c>
      <c r="AC617" s="83">
        <f t="shared" si="509"/>
        <v>0</v>
      </c>
      <c r="AD617" s="83">
        <f t="shared" si="510"/>
        <v>0</v>
      </c>
      <c r="AE617" s="83">
        <f t="shared" si="511"/>
        <v>0</v>
      </c>
      <c r="AF617" s="83">
        <f t="shared" si="512"/>
        <v>0</v>
      </c>
      <c r="AG617" s="83">
        <f t="shared" si="513"/>
        <v>0</v>
      </c>
      <c r="AH617" s="83">
        <f t="shared" si="514"/>
        <v>0</v>
      </c>
      <c r="AI617" s="83">
        <f t="shared" si="515"/>
        <v>0</v>
      </c>
      <c r="AJ617" s="718">
        <f t="shared" si="516"/>
        <v>0</v>
      </c>
      <c r="AL617">
        <f t="shared" si="517"/>
        <v>0</v>
      </c>
      <c r="AM617">
        <f t="shared" si="518"/>
        <v>0</v>
      </c>
    </row>
    <row r="618" spans="1:39" ht="15.75" x14ac:dyDescent="0.25">
      <c r="A618" s="561"/>
      <c r="B618" s="561"/>
      <c r="C618" s="561"/>
      <c r="D618" s="672"/>
      <c r="E618" s="209"/>
      <c r="F618" s="209"/>
      <c r="G618" s="209"/>
      <c r="H618" s="176">
        <f t="shared" si="496"/>
        <v>0</v>
      </c>
      <c r="I618" s="209"/>
      <c r="J618" s="209"/>
      <c r="K618" s="176">
        <f t="shared" si="497"/>
        <v>0</v>
      </c>
      <c r="L618" s="209"/>
      <c r="M618" s="177">
        <f t="shared" si="498"/>
        <v>0</v>
      </c>
      <c r="N618" s="1012"/>
      <c r="O618" s="1012"/>
      <c r="P618" s="485"/>
      <c r="Q618" s="778"/>
      <c r="R618" s="778"/>
      <c r="S618" s="785" t="str">
        <f t="shared" si="501"/>
        <v/>
      </c>
      <c r="T618" s="548" t="str">
        <f t="shared" si="499"/>
        <v>Sheet Metal Takeoff</v>
      </c>
      <c r="U618" s="83">
        <f t="shared" si="502"/>
        <v>0</v>
      </c>
      <c r="V618" s="83">
        <f t="shared" si="503"/>
        <v>0</v>
      </c>
      <c r="W618" s="83">
        <f t="shared" si="504"/>
        <v>0</v>
      </c>
      <c r="X618" s="781">
        <f t="shared" si="505"/>
        <v>0</v>
      </c>
      <c r="Y618" s="781">
        <f t="shared" si="506"/>
        <v>0</v>
      </c>
      <c r="Z618" s="781">
        <f t="shared" si="507"/>
        <v>0</v>
      </c>
      <c r="AA618" s="83">
        <f t="shared" si="500"/>
        <v>0</v>
      </c>
      <c r="AB618" s="83">
        <f t="shared" si="508"/>
        <v>0</v>
      </c>
      <c r="AC618" s="83">
        <f t="shared" si="509"/>
        <v>0</v>
      </c>
      <c r="AD618" s="83">
        <f t="shared" si="510"/>
        <v>0</v>
      </c>
      <c r="AE618" s="83">
        <f t="shared" si="511"/>
        <v>0</v>
      </c>
      <c r="AF618" s="83">
        <f t="shared" si="512"/>
        <v>0</v>
      </c>
      <c r="AG618" s="83">
        <f t="shared" si="513"/>
        <v>0</v>
      </c>
      <c r="AH618" s="83">
        <f t="shared" si="514"/>
        <v>0</v>
      </c>
      <c r="AI618" s="83">
        <f t="shared" si="515"/>
        <v>0</v>
      </c>
      <c r="AJ618" s="718">
        <f t="shared" si="516"/>
        <v>0</v>
      </c>
      <c r="AL618">
        <f t="shared" si="517"/>
        <v>0</v>
      </c>
      <c r="AM618">
        <f t="shared" si="518"/>
        <v>0</v>
      </c>
    </row>
    <row r="619" spans="1:39" ht="15.75" x14ac:dyDescent="0.25">
      <c r="A619" s="561"/>
      <c r="B619" s="561"/>
      <c r="C619" s="561"/>
      <c r="D619" s="672"/>
      <c r="E619" s="209"/>
      <c r="F619" s="209"/>
      <c r="G619" s="209"/>
      <c r="H619" s="176">
        <f t="shared" si="496"/>
        <v>0</v>
      </c>
      <c r="I619" s="209"/>
      <c r="J619" s="209"/>
      <c r="K619" s="176">
        <f t="shared" si="497"/>
        <v>0</v>
      </c>
      <c r="L619" s="209"/>
      <c r="M619" s="177">
        <f t="shared" si="498"/>
        <v>0</v>
      </c>
      <c r="N619" s="1012"/>
      <c r="O619" s="1012"/>
      <c r="P619" s="485"/>
      <c r="Q619" s="778"/>
      <c r="R619" s="778"/>
      <c r="S619" s="785" t="str">
        <f t="shared" si="501"/>
        <v/>
      </c>
      <c r="T619" s="548" t="str">
        <f t="shared" si="499"/>
        <v>Sheet Metal Takeoff</v>
      </c>
      <c r="U619" s="83">
        <f t="shared" si="502"/>
        <v>0</v>
      </c>
      <c r="V619" s="83">
        <f t="shared" si="503"/>
        <v>0</v>
      </c>
      <c r="W619" s="83">
        <f t="shared" si="504"/>
        <v>0</v>
      </c>
      <c r="X619" s="781">
        <f t="shared" si="505"/>
        <v>0</v>
      </c>
      <c r="Y619" s="781">
        <f t="shared" si="506"/>
        <v>0</v>
      </c>
      <c r="Z619" s="781">
        <f t="shared" si="507"/>
        <v>0</v>
      </c>
      <c r="AA619" s="83">
        <f t="shared" si="500"/>
        <v>0</v>
      </c>
      <c r="AB619" s="83">
        <f t="shared" si="508"/>
        <v>0</v>
      </c>
      <c r="AC619" s="83">
        <f t="shared" si="509"/>
        <v>0</v>
      </c>
      <c r="AD619" s="83">
        <f t="shared" si="510"/>
        <v>0</v>
      </c>
      <c r="AE619" s="83">
        <f t="shared" si="511"/>
        <v>0</v>
      </c>
      <c r="AF619" s="83">
        <f t="shared" si="512"/>
        <v>0</v>
      </c>
      <c r="AG619" s="83">
        <f t="shared" si="513"/>
        <v>0</v>
      </c>
      <c r="AH619" s="83">
        <f t="shared" si="514"/>
        <v>0</v>
      </c>
      <c r="AI619" s="83">
        <f t="shared" si="515"/>
        <v>0</v>
      </c>
      <c r="AJ619" s="718">
        <f t="shared" si="516"/>
        <v>0</v>
      </c>
      <c r="AL619">
        <f t="shared" si="517"/>
        <v>0</v>
      </c>
      <c r="AM619">
        <f t="shared" si="518"/>
        <v>0</v>
      </c>
    </row>
    <row r="620" spans="1:39" ht="15.75" x14ac:dyDescent="0.25">
      <c r="A620" s="561"/>
      <c r="B620" s="561"/>
      <c r="C620" s="561"/>
      <c r="D620" s="672"/>
      <c r="E620" s="209"/>
      <c r="F620" s="209"/>
      <c r="G620" s="209"/>
      <c r="H620" s="176">
        <f t="shared" si="496"/>
        <v>0</v>
      </c>
      <c r="I620" s="209"/>
      <c r="J620" s="209"/>
      <c r="K620" s="176">
        <f t="shared" si="497"/>
        <v>0</v>
      </c>
      <c r="L620" s="209"/>
      <c r="M620" s="177">
        <f t="shared" si="498"/>
        <v>0</v>
      </c>
      <c r="N620" s="1012"/>
      <c r="O620" s="1012"/>
      <c r="P620" s="485"/>
      <c r="Q620" s="778"/>
      <c r="R620" s="778"/>
      <c r="S620" s="785" t="str">
        <f t="shared" si="501"/>
        <v/>
      </c>
      <c r="T620" s="548" t="str">
        <f t="shared" si="499"/>
        <v>Sheet Metal Takeoff</v>
      </c>
      <c r="U620" s="83">
        <f t="shared" si="502"/>
        <v>0</v>
      </c>
      <c r="V620" s="83">
        <f t="shared" si="503"/>
        <v>0</v>
      </c>
      <c r="W620" s="83">
        <f t="shared" si="504"/>
        <v>0</v>
      </c>
      <c r="X620" s="781">
        <f t="shared" si="505"/>
        <v>0</v>
      </c>
      <c r="Y620" s="781">
        <f t="shared" si="506"/>
        <v>0</v>
      </c>
      <c r="Z620" s="781">
        <f t="shared" si="507"/>
        <v>0</v>
      </c>
      <c r="AA620" s="83">
        <f t="shared" si="500"/>
        <v>0</v>
      </c>
      <c r="AB620" s="83">
        <f t="shared" si="508"/>
        <v>0</v>
      </c>
      <c r="AC620" s="83">
        <f t="shared" si="509"/>
        <v>0</v>
      </c>
      <c r="AD620" s="83">
        <f t="shared" si="510"/>
        <v>0</v>
      </c>
      <c r="AE620" s="83">
        <f t="shared" si="511"/>
        <v>0</v>
      </c>
      <c r="AF620" s="83">
        <f t="shared" si="512"/>
        <v>0</v>
      </c>
      <c r="AG620" s="83">
        <f t="shared" si="513"/>
        <v>0</v>
      </c>
      <c r="AH620" s="83">
        <f t="shared" si="514"/>
        <v>0</v>
      </c>
      <c r="AI620" s="83">
        <f t="shared" si="515"/>
        <v>0</v>
      </c>
      <c r="AJ620" s="718">
        <f t="shared" si="516"/>
        <v>0</v>
      </c>
      <c r="AL620">
        <f t="shared" si="517"/>
        <v>0</v>
      </c>
      <c r="AM620">
        <f t="shared" si="518"/>
        <v>0</v>
      </c>
    </row>
    <row r="621" spans="1:39" ht="15.75" x14ac:dyDescent="0.25">
      <c r="A621" s="561"/>
      <c r="B621" s="561"/>
      <c r="C621" s="561"/>
      <c r="D621" s="672"/>
      <c r="E621" s="209"/>
      <c r="F621" s="209"/>
      <c r="G621" s="209"/>
      <c r="H621" s="176">
        <f t="shared" si="496"/>
        <v>0</v>
      </c>
      <c r="I621" s="209"/>
      <c r="J621" s="209"/>
      <c r="K621" s="176">
        <f t="shared" si="497"/>
        <v>0</v>
      </c>
      <c r="L621" s="209"/>
      <c r="M621" s="177">
        <f t="shared" si="498"/>
        <v>0</v>
      </c>
      <c r="N621" s="1012"/>
      <c r="O621" s="1012"/>
      <c r="P621" s="485"/>
      <c r="Q621" s="778"/>
      <c r="R621" s="778"/>
      <c r="S621" s="785" t="str">
        <f t="shared" si="501"/>
        <v/>
      </c>
      <c r="T621" s="548" t="str">
        <f t="shared" si="499"/>
        <v>Sheet Metal Takeoff</v>
      </c>
      <c r="U621" s="83">
        <f t="shared" si="502"/>
        <v>0</v>
      </c>
      <c r="V621" s="83">
        <f t="shared" si="503"/>
        <v>0</v>
      </c>
      <c r="W621" s="83">
        <f t="shared" si="504"/>
        <v>0</v>
      </c>
      <c r="X621" s="781">
        <f t="shared" si="505"/>
        <v>0</v>
      </c>
      <c r="Y621" s="781">
        <f t="shared" si="506"/>
        <v>0</v>
      </c>
      <c r="Z621" s="781">
        <f t="shared" si="507"/>
        <v>0</v>
      </c>
      <c r="AA621" s="83">
        <f t="shared" si="500"/>
        <v>0</v>
      </c>
      <c r="AB621" s="83">
        <f t="shared" si="508"/>
        <v>0</v>
      </c>
      <c r="AC621" s="83">
        <f t="shared" si="509"/>
        <v>0</v>
      </c>
      <c r="AD621" s="83">
        <f t="shared" si="510"/>
        <v>0</v>
      </c>
      <c r="AE621" s="83">
        <f t="shared" si="511"/>
        <v>0</v>
      </c>
      <c r="AF621" s="83">
        <f t="shared" si="512"/>
        <v>0</v>
      </c>
      <c r="AG621" s="83">
        <f t="shared" si="513"/>
        <v>0</v>
      </c>
      <c r="AH621" s="83">
        <f t="shared" si="514"/>
        <v>0</v>
      </c>
      <c r="AI621" s="83">
        <f t="shared" si="515"/>
        <v>0</v>
      </c>
      <c r="AJ621" s="718">
        <f t="shared" si="516"/>
        <v>0</v>
      </c>
      <c r="AL621">
        <f t="shared" si="517"/>
        <v>0</v>
      </c>
      <c r="AM621">
        <f t="shared" si="518"/>
        <v>0</v>
      </c>
    </row>
    <row r="622" spans="1:39" ht="15.75" x14ac:dyDescent="0.25">
      <c r="A622" s="561"/>
      <c r="B622" s="561"/>
      <c r="C622" s="561"/>
      <c r="D622" s="672"/>
      <c r="E622" s="209"/>
      <c r="F622" s="209"/>
      <c r="G622" s="209"/>
      <c r="H622" s="176">
        <f t="shared" si="496"/>
        <v>0</v>
      </c>
      <c r="I622" s="209"/>
      <c r="J622" s="209"/>
      <c r="K622" s="176">
        <f t="shared" si="497"/>
        <v>0</v>
      </c>
      <c r="L622" s="209"/>
      <c r="M622" s="177">
        <f t="shared" si="498"/>
        <v>0</v>
      </c>
      <c r="N622" s="1012"/>
      <c r="O622" s="1012"/>
      <c r="P622" s="485"/>
      <c r="Q622" s="778"/>
      <c r="R622" s="778"/>
      <c r="S622" s="785" t="str">
        <f t="shared" si="501"/>
        <v/>
      </c>
      <c r="T622" s="548" t="str">
        <f t="shared" si="499"/>
        <v>Sheet Metal Takeoff</v>
      </c>
      <c r="U622" s="83">
        <f t="shared" si="502"/>
        <v>0</v>
      </c>
      <c r="V622" s="83">
        <f t="shared" si="503"/>
        <v>0</v>
      </c>
      <c r="W622" s="83">
        <f t="shared" si="504"/>
        <v>0</v>
      </c>
      <c r="X622" s="781">
        <f t="shared" si="505"/>
        <v>0</v>
      </c>
      <c r="Y622" s="781">
        <f t="shared" si="506"/>
        <v>0</v>
      </c>
      <c r="Z622" s="781">
        <f t="shared" si="507"/>
        <v>0</v>
      </c>
      <c r="AA622" s="83">
        <f t="shared" si="500"/>
        <v>0</v>
      </c>
      <c r="AB622" s="83">
        <f t="shared" si="508"/>
        <v>0</v>
      </c>
      <c r="AC622" s="83">
        <f t="shared" si="509"/>
        <v>0</v>
      </c>
      <c r="AD622" s="83">
        <f t="shared" si="510"/>
        <v>0</v>
      </c>
      <c r="AE622" s="83">
        <f t="shared" si="511"/>
        <v>0</v>
      </c>
      <c r="AF622" s="83">
        <f t="shared" si="512"/>
        <v>0</v>
      </c>
      <c r="AG622" s="83">
        <f t="shared" si="513"/>
        <v>0</v>
      </c>
      <c r="AH622" s="83">
        <f t="shared" si="514"/>
        <v>0</v>
      </c>
      <c r="AI622" s="83">
        <f t="shared" si="515"/>
        <v>0</v>
      </c>
      <c r="AJ622" s="718">
        <f t="shared" si="516"/>
        <v>0</v>
      </c>
      <c r="AL622">
        <f t="shared" si="517"/>
        <v>0</v>
      </c>
      <c r="AM622">
        <f t="shared" si="518"/>
        <v>0</v>
      </c>
    </row>
    <row r="623" spans="1:39" ht="15.75" x14ac:dyDescent="0.25">
      <c r="A623" s="561"/>
      <c r="B623" s="561"/>
      <c r="C623" s="561"/>
      <c r="D623" s="672"/>
      <c r="E623" s="209"/>
      <c r="F623" s="209"/>
      <c r="G623" s="209"/>
      <c r="H623" s="176">
        <f t="shared" si="496"/>
        <v>0</v>
      </c>
      <c r="I623" s="209"/>
      <c r="J623" s="209"/>
      <c r="K623" s="176">
        <f t="shared" si="497"/>
        <v>0</v>
      </c>
      <c r="L623" s="209"/>
      <c r="M623" s="177">
        <f t="shared" si="498"/>
        <v>0</v>
      </c>
      <c r="N623" s="1012"/>
      <c r="O623" s="1012"/>
      <c r="P623" s="485"/>
      <c r="Q623" s="778"/>
      <c r="R623" s="778"/>
      <c r="S623" s="785" t="str">
        <f t="shared" si="501"/>
        <v/>
      </c>
      <c r="T623" s="548" t="str">
        <f t="shared" si="499"/>
        <v>Sheet Metal Takeoff</v>
      </c>
      <c r="U623" s="83">
        <f t="shared" si="502"/>
        <v>0</v>
      </c>
      <c r="V623" s="83">
        <f t="shared" si="503"/>
        <v>0</v>
      </c>
      <c r="W623" s="83">
        <f t="shared" si="504"/>
        <v>0</v>
      </c>
      <c r="X623" s="781">
        <f t="shared" si="505"/>
        <v>0</v>
      </c>
      <c r="Y623" s="781">
        <f t="shared" si="506"/>
        <v>0</v>
      </c>
      <c r="Z623" s="781">
        <f t="shared" si="507"/>
        <v>0</v>
      </c>
      <c r="AA623" s="83">
        <f t="shared" si="500"/>
        <v>0</v>
      </c>
      <c r="AB623" s="83">
        <f t="shared" si="508"/>
        <v>0</v>
      </c>
      <c r="AC623" s="83">
        <f t="shared" si="509"/>
        <v>0</v>
      </c>
      <c r="AD623" s="83">
        <f t="shared" si="510"/>
        <v>0</v>
      </c>
      <c r="AE623" s="83">
        <f t="shared" si="511"/>
        <v>0</v>
      </c>
      <c r="AF623" s="83">
        <f t="shared" si="512"/>
        <v>0</v>
      </c>
      <c r="AG623" s="83">
        <f t="shared" si="513"/>
        <v>0</v>
      </c>
      <c r="AH623" s="83">
        <f t="shared" si="514"/>
        <v>0</v>
      </c>
      <c r="AI623" s="83">
        <f t="shared" si="515"/>
        <v>0</v>
      </c>
      <c r="AJ623" s="718">
        <f t="shared" si="516"/>
        <v>0</v>
      </c>
      <c r="AL623">
        <f t="shared" si="517"/>
        <v>0</v>
      </c>
      <c r="AM623">
        <f t="shared" si="518"/>
        <v>0</v>
      </c>
    </row>
    <row r="624" spans="1:39" ht="15.75" x14ac:dyDescent="0.25">
      <c r="A624" s="561"/>
      <c r="B624" s="561"/>
      <c r="C624" s="561"/>
      <c r="D624" s="672"/>
      <c r="E624" s="209"/>
      <c r="F624" s="209"/>
      <c r="G624" s="209"/>
      <c r="H624" s="176">
        <f t="shared" si="496"/>
        <v>0</v>
      </c>
      <c r="I624" s="209"/>
      <c r="J624" s="209"/>
      <c r="K624" s="176">
        <f t="shared" si="497"/>
        <v>0</v>
      </c>
      <c r="L624" s="209"/>
      <c r="M624" s="177">
        <f t="shared" si="498"/>
        <v>0</v>
      </c>
      <c r="N624" s="1012"/>
      <c r="O624" s="1012"/>
      <c r="P624" s="485"/>
      <c r="Q624" s="778"/>
      <c r="R624" s="778"/>
      <c r="S624" s="785" t="str">
        <f t="shared" si="501"/>
        <v/>
      </c>
      <c r="T624" s="548" t="str">
        <f t="shared" si="499"/>
        <v>Sheet Metal Takeoff</v>
      </c>
      <c r="U624" s="83">
        <f t="shared" si="502"/>
        <v>0</v>
      </c>
      <c r="V624" s="83">
        <f t="shared" si="503"/>
        <v>0</v>
      </c>
      <c r="W624" s="83">
        <f t="shared" si="504"/>
        <v>0</v>
      </c>
      <c r="X624" s="781">
        <f t="shared" si="505"/>
        <v>0</v>
      </c>
      <c r="Y624" s="781">
        <f t="shared" si="506"/>
        <v>0</v>
      </c>
      <c r="Z624" s="781">
        <f t="shared" si="507"/>
        <v>0</v>
      </c>
      <c r="AA624" s="83">
        <f t="shared" si="500"/>
        <v>0</v>
      </c>
      <c r="AB624" s="83">
        <f t="shared" si="508"/>
        <v>0</v>
      </c>
      <c r="AC624" s="83">
        <f t="shared" si="509"/>
        <v>0</v>
      </c>
      <c r="AD624" s="83">
        <f t="shared" si="510"/>
        <v>0</v>
      </c>
      <c r="AE624" s="83">
        <f t="shared" si="511"/>
        <v>0</v>
      </c>
      <c r="AF624" s="83">
        <f t="shared" si="512"/>
        <v>0</v>
      </c>
      <c r="AG624" s="83">
        <f t="shared" si="513"/>
        <v>0</v>
      </c>
      <c r="AH624" s="83">
        <f t="shared" si="514"/>
        <v>0</v>
      </c>
      <c r="AI624" s="83">
        <f t="shared" si="515"/>
        <v>0</v>
      </c>
      <c r="AJ624" s="718">
        <f t="shared" si="516"/>
        <v>0</v>
      </c>
      <c r="AL624">
        <f t="shared" si="517"/>
        <v>0</v>
      </c>
      <c r="AM624">
        <f t="shared" si="518"/>
        <v>0</v>
      </c>
    </row>
    <row r="625" spans="1:39" ht="15.75" x14ac:dyDescent="0.25">
      <c r="A625" s="561"/>
      <c r="B625" s="561"/>
      <c r="C625" s="561"/>
      <c r="D625" s="672"/>
      <c r="E625" s="209"/>
      <c r="F625" s="209"/>
      <c r="G625" s="209"/>
      <c r="H625" s="176">
        <f t="shared" si="496"/>
        <v>0</v>
      </c>
      <c r="I625" s="209"/>
      <c r="J625" s="209"/>
      <c r="K625" s="176">
        <f t="shared" si="497"/>
        <v>0</v>
      </c>
      <c r="L625" s="209"/>
      <c r="M625" s="177">
        <f t="shared" si="498"/>
        <v>0</v>
      </c>
      <c r="N625" s="1012"/>
      <c r="O625" s="1012"/>
      <c r="P625" s="485"/>
      <c r="Q625" s="778"/>
      <c r="R625" s="778"/>
      <c r="S625" s="785" t="str">
        <f t="shared" si="501"/>
        <v/>
      </c>
      <c r="T625" s="548" t="str">
        <f t="shared" si="499"/>
        <v>Sheet Metal Takeoff</v>
      </c>
      <c r="U625" s="83">
        <f t="shared" si="502"/>
        <v>0</v>
      </c>
      <c r="V625" s="83">
        <f t="shared" si="503"/>
        <v>0</v>
      </c>
      <c r="W625" s="83">
        <f t="shared" si="504"/>
        <v>0</v>
      </c>
      <c r="X625" s="781">
        <f t="shared" si="505"/>
        <v>0</v>
      </c>
      <c r="Y625" s="781">
        <f t="shared" si="506"/>
        <v>0</v>
      </c>
      <c r="Z625" s="781">
        <f t="shared" si="507"/>
        <v>0</v>
      </c>
      <c r="AA625" s="83">
        <f t="shared" si="500"/>
        <v>0</v>
      </c>
      <c r="AB625" s="83">
        <f t="shared" si="508"/>
        <v>0</v>
      </c>
      <c r="AC625" s="83">
        <f t="shared" si="509"/>
        <v>0</v>
      </c>
      <c r="AD625" s="83">
        <f t="shared" si="510"/>
        <v>0</v>
      </c>
      <c r="AE625" s="83">
        <f t="shared" si="511"/>
        <v>0</v>
      </c>
      <c r="AF625" s="83">
        <f t="shared" si="512"/>
        <v>0</v>
      </c>
      <c r="AG625" s="83">
        <f t="shared" si="513"/>
        <v>0</v>
      </c>
      <c r="AH625" s="83">
        <f t="shared" si="514"/>
        <v>0</v>
      </c>
      <c r="AI625" s="83">
        <f t="shared" si="515"/>
        <v>0</v>
      </c>
      <c r="AJ625" s="718">
        <f t="shared" si="516"/>
        <v>0</v>
      </c>
      <c r="AL625">
        <f t="shared" si="517"/>
        <v>0</v>
      </c>
      <c r="AM625">
        <f t="shared" si="518"/>
        <v>0</v>
      </c>
    </row>
    <row r="626" spans="1:39" ht="15.75" x14ac:dyDescent="0.25">
      <c r="A626" s="561"/>
      <c r="B626" s="561"/>
      <c r="C626" s="561"/>
      <c r="D626" s="672"/>
      <c r="E626" s="209"/>
      <c r="F626" s="209"/>
      <c r="G626" s="209"/>
      <c r="H626" s="176">
        <f t="shared" si="496"/>
        <v>0</v>
      </c>
      <c r="I626" s="209"/>
      <c r="J626" s="209"/>
      <c r="K626" s="176">
        <f t="shared" si="497"/>
        <v>0</v>
      </c>
      <c r="L626" s="209"/>
      <c r="M626" s="177">
        <f t="shared" si="498"/>
        <v>0</v>
      </c>
      <c r="N626" s="1012"/>
      <c r="O626" s="1012"/>
      <c r="P626" s="485"/>
      <c r="Q626" s="778"/>
      <c r="R626" s="778"/>
      <c r="S626" s="785" t="str">
        <f t="shared" si="501"/>
        <v/>
      </c>
      <c r="T626" s="548" t="str">
        <f t="shared" si="499"/>
        <v>Sheet Metal Takeoff</v>
      </c>
      <c r="U626" s="83">
        <f t="shared" si="502"/>
        <v>0</v>
      </c>
      <c r="V626" s="83">
        <f t="shared" si="503"/>
        <v>0</v>
      </c>
      <c r="W626" s="83">
        <f t="shared" si="504"/>
        <v>0</v>
      </c>
      <c r="X626" s="781">
        <f t="shared" si="505"/>
        <v>0</v>
      </c>
      <c r="Y626" s="781">
        <f t="shared" si="506"/>
        <v>0</v>
      </c>
      <c r="Z626" s="781">
        <f t="shared" si="507"/>
        <v>0</v>
      </c>
      <c r="AA626" s="83">
        <f t="shared" si="500"/>
        <v>0</v>
      </c>
      <c r="AB626" s="83">
        <f t="shared" si="508"/>
        <v>0</v>
      </c>
      <c r="AC626" s="83">
        <f t="shared" si="509"/>
        <v>0</v>
      </c>
      <c r="AD626" s="83">
        <f t="shared" si="510"/>
        <v>0</v>
      </c>
      <c r="AE626" s="83">
        <f t="shared" si="511"/>
        <v>0</v>
      </c>
      <c r="AF626" s="83">
        <f t="shared" si="512"/>
        <v>0</v>
      </c>
      <c r="AG626" s="83">
        <f t="shared" si="513"/>
        <v>0</v>
      </c>
      <c r="AH626" s="83">
        <f t="shared" si="514"/>
        <v>0</v>
      </c>
      <c r="AI626" s="83">
        <f t="shared" si="515"/>
        <v>0</v>
      </c>
      <c r="AJ626" s="718">
        <f t="shared" si="516"/>
        <v>0</v>
      </c>
      <c r="AL626">
        <f t="shared" si="517"/>
        <v>0</v>
      </c>
      <c r="AM626">
        <f t="shared" si="518"/>
        <v>0</v>
      </c>
    </row>
    <row r="627" spans="1:39" ht="15.75" x14ac:dyDescent="0.25">
      <c r="A627" s="561"/>
      <c r="B627" s="561"/>
      <c r="C627" s="561"/>
      <c r="D627" s="672"/>
      <c r="E627" s="209"/>
      <c r="F627" s="209"/>
      <c r="G627" s="209"/>
      <c r="H627" s="176">
        <f t="shared" si="496"/>
        <v>0</v>
      </c>
      <c r="I627" s="209"/>
      <c r="J627" s="209"/>
      <c r="K627" s="176">
        <f t="shared" si="497"/>
        <v>0</v>
      </c>
      <c r="L627" s="209"/>
      <c r="M627" s="177">
        <f t="shared" si="498"/>
        <v>0</v>
      </c>
      <c r="N627" s="1012"/>
      <c r="O627" s="1012"/>
      <c r="P627" s="485"/>
      <c r="Q627" s="778"/>
      <c r="R627" s="778"/>
      <c r="S627" s="785" t="str">
        <f t="shared" si="501"/>
        <v/>
      </c>
      <c r="T627" s="548" t="str">
        <f t="shared" si="499"/>
        <v>Sheet Metal Takeoff</v>
      </c>
      <c r="U627" s="83">
        <f t="shared" si="502"/>
        <v>0</v>
      </c>
      <c r="V627" s="83">
        <f t="shared" si="503"/>
        <v>0</v>
      </c>
      <c r="W627" s="83">
        <f t="shared" si="504"/>
        <v>0</v>
      </c>
      <c r="X627" s="781">
        <f t="shared" si="505"/>
        <v>0</v>
      </c>
      <c r="Y627" s="781">
        <f t="shared" si="506"/>
        <v>0</v>
      </c>
      <c r="Z627" s="781">
        <f t="shared" si="507"/>
        <v>0</v>
      </c>
      <c r="AA627" s="83">
        <f t="shared" si="500"/>
        <v>0</v>
      </c>
      <c r="AB627" s="83">
        <f t="shared" si="508"/>
        <v>0</v>
      </c>
      <c r="AC627" s="83">
        <f t="shared" si="509"/>
        <v>0</v>
      </c>
      <c r="AD627" s="83">
        <f t="shared" si="510"/>
        <v>0</v>
      </c>
      <c r="AE627" s="83">
        <f t="shared" si="511"/>
        <v>0</v>
      </c>
      <c r="AF627" s="83">
        <f t="shared" si="512"/>
        <v>0</v>
      </c>
      <c r="AG627" s="83">
        <f t="shared" si="513"/>
        <v>0</v>
      </c>
      <c r="AH627" s="83">
        <f t="shared" si="514"/>
        <v>0</v>
      </c>
      <c r="AI627" s="83">
        <f t="shared" si="515"/>
        <v>0</v>
      </c>
      <c r="AJ627" s="718">
        <f t="shared" si="516"/>
        <v>0</v>
      </c>
      <c r="AL627">
        <f t="shared" si="517"/>
        <v>0</v>
      </c>
      <c r="AM627">
        <f t="shared" si="518"/>
        <v>0</v>
      </c>
    </row>
    <row r="628" spans="1:39" ht="15.75" x14ac:dyDescent="0.25">
      <c r="A628" s="561"/>
      <c r="B628" s="561"/>
      <c r="C628" s="561"/>
      <c r="D628" s="672"/>
      <c r="E628" s="209"/>
      <c r="F628" s="209"/>
      <c r="G628" s="209"/>
      <c r="H628" s="176">
        <f t="shared" si="496"/>
        <v>0</v>
      </c>
      <c r="I628" s="209"/>
      <c r="J628" s="209"/>
      <c r="K628" s="176">
        <f t="shared" si="497"/>
        <v>0</v>
      </c>
      <c r="L628" s="209"/>
      <c r="M628" s="177">
        <f t="shared" si="498"/>
        <v>0</v>
      </c>
      <c r="N628" s="1012"/>
      <c r="O628" s="1012"/>
      <c r="P628" s="485"/>
      <c r="Q628" s="778"/>
      <c r="R628" s="778"/>
      <c r="S628" s="785" t="str">
        <f t="shared" si="501"/>
        <v/>
      </c>
      <c r="T628" s="548" t="str">
        <f t="shared" si="499"/>
        <v>Sheet Metal Takeoff</v>
      </c>
      <c r="U628" s="83">
        <f t="shared" si="502"/>
        <v>0</v>
      </c>
      <c r="V628" s="83">
        <f t="shared" si="503"/>
        <v>0</v>
      </c>
      <c r="W628" s="83">
        <f t="shared" si="504"/>
        <v>0</v>
      </c>
      <c r="X628" s="781">
        <f t="shared" si="505"/>
        <v>0</v>
      </c>
      <c r="Y628" s="781">
        <f t="shared" si="506"/>
        <v>0</v>
      </c>
      <c r="Z628" s="781">
        <f t="shared" si="507"/>
        <v>0</v>
      </c>
      <c r="AA628" s="83">
        <f t="shared" si="500"/>
        <v>0</v>
      </c>
      <c r="AB628" s="83">
        <f t="shared" si="508"/>
        <v>0</v>
      </c>
      <c r="AC628" s="83">
        <f t="shared" si="509"/>
        <v>0</v>
      </c>
      <c r="AD628" s="83">
        <f t="shared" si="510"/>
        <v>0</v>
      </c>
      <c r="AE628" s="83">
        <f t="shared" si="511"/>
        <v>0</v>
      </c>
      <c r="AF628" s="83">
        <f t="shared" si="512"/>
        <v>0</v>
      </c>
      <c r="AG628" s="83">
        <f t="shared" si="513"/>
        <v>0</v>
      </c>
      <c r="AH628" s="83">
        <f t="shared" si="514"/>
        <v>0</v>
      </c>
      <c r="AI628" s="83">
        <f t="shared" si="515"/>
        <v>0</v>
      </c>
      <c r="AJ628" s="718">
        <f t="shared" si="516"/>
        <v>0</v>
      </c>
      <c r="AL628">
        <f t="shared" si="517"/>
        <v>0</v>
      </c>
      <c r="AM628">
        <f t="shared" si="518"/>
        <v>0</v>
      </c>
    </row>
    <row r="629" spans="1:39" ht="15.75" x14ac:dyDescent="0.25">
      <c r="A629" s="561"/>
      <c r="B629" s="561"/>
      <c r="C629" s="561"/>
      <c r="D629" s="672"/>
      <c r="E629" s="209"/>
      <c r="F629" s="209"/>
      <c r="G629" s="209"/>
      <c r="H629" s="176">
        <f t="shared" si="496"/>
        <v>0</v>
      </c>
      <c r="I629" s="209"/>
      <c r="J629" s="209"/>
      <c r="K629" s="176">
        <f t="shared" si="497"/>
        <v>0</v>
      </c>
      <c r="L629" s="209"/>
      <c r="M629" s="177">
        <f t="shared" si="498"/>
        <v>0</v>
      </c>
      <c r="N629" s="1012"/>
      <c r="O629" s="1012"/>
      <c r="P629" s="485"/>
      <c r="Q629" s="778"/>
      <c r="R629" s="778"/>
      <c r="S629" s="785" t="str">
        <f t="shared" si="501"/>
        <v/>
      </c>
      <c r="T629" s="548" t="str">
        <f t="shared" si="499"/>
        <v>Sheet Metal Takeoff</v>
      </c>
      <c r="U629" s="83">
        <f t="shared" si="502"/>
        <v>0</v>
      </c>
      <c r="V629" s="83">
        <f t="shared" si="503"/>
        <v>0</v>
      </c>
      <c r="W629" s="83">
        <f t="shared" si="504"/>
        <v>0</v>
      </c>
      <c r="X629" s="781">
        <f t="shared" si="505"/>
        <v>0</v>
      </c>
      <c r="Y629" s="781">
        <f t="shared" si="506"/>
        <v>0</v>
      </c>
      <c r="Z629" s="781">
        <f t="shared" si="507"/>
        <v>0</v>
      </c>
      <c r="AA629" s="83">
        <f t="shared" si="500"/>
        <v>0</v>
      </c>
      <c r="AB629" s="83">
        <f t="shared" si="508"/>
        <v>0</v>
      </c>
      <c r="AC629" s="83">
        <f t="shared" si="509"/>
        <v>0</v>
      </c>
      <c r="AD629" s="83">
        <f t="shared" si="510"/>
        <v>0</v>
      </c>
      <c r="AE629" s="83">
        <f t="shared" si="511"/>
        <v>0</v>
      </c>
      <c r="AF629" s="83">
        <f t="shared" si="512"/>
        <v>0</v>
      </c>
      <c r="AG629" s="83">
        <f t="shared" si="513"/>
        <v>0</v>
      </c>
      <c r="AH629" s="83">
        <f t="shared" si="514"/>
        <v>0</v>
      </c>
      <c r="AI629" s="83">
        <f t="shared" si="515"/>
        <v>0</v>
      </c>
      <c r="AJ629" s="718">
        <f t="shared" si="516"/>
        <v>0</v>
      </c>
      <c r="AL629">
        <f t="shared" si="517"/>
        <v>0</v>
      </c>
      <c r="AM629">
        <f t="shared" si="518"/>
        <v>0</v>
      </c>
    </row>
    <row r="630" spans="1:39" ht="15.75" x14ac:dyDescent="0.25">
      <c r="A630" s="561"/>
      <c r="B630" s="561"/>
      <c r="C630" s="561"/>
      <c r="D630" s="672"/>
      <c r="E630" s="209"/>
      <c r="F630" s="209"/>
      <c r="G630" s="209"/>
      <c r="H630" s="176">
        <f t="shared" si="496"/>
        <v>0</v>
      </c>
      <c r="I630" s="209"/>
      <c r="J630" s="209"/>
      <c r="K630" s="176">
        <f t="shared" si="497"/>
        <v>0</v>
      </c>
      <c r="L630" s="209"/>
      <c r="M630" s="177">
        <f t="shared" si="498"/>
        <v>0</v>
      </c>
      <c r="N630" s="1012"/>
      <c r="O630" s="1012"/>
      <c r="P630" s="485"/>
      <c r="Q630" s="778"/>
      <c r="R630" s="778"/>
      <c r="S630" s="785" t="str">
        <f t="shared" si="501"/>
        <v/>
      </c>
      <c r="T630" s="548" t="str">
        <f t="shared" si="499"/>
        <v>Sheet Metal Takeoff</v>
      </c>
      <c r="U630" s="83">
        <f t="shared" si="502"/>
        <v>0</v>
      </c>
      <c r="V630" s="83">
        <f t="shared" si="503"/>
        <v>0</v>
      </c>
      <c r="W630" s="83">
        <f t="shared" si="504"/>
        <v>0</v>
      </c>
      <c r="X630" s="781">
        <f t="shared" si="505"/>
        <v>0</v>
      </c>
      <c r="Y630" s="781">
        <f t="shared" si="506"/>
        <v>0</v>
      </c>
      <c r="Z630" s="781">
        <f t="shared" si="507"/>
        <v>0</v>
      </c>
      <c r="AA630" s="83">
        <f t="shared" si="500"/>
        <v>0</v>
      </c>
      <c r="AB630" s="83">
        <f t="shared" si="508"/>
        <v>0</v>
      </c>
      <c r="AC630" s="83">
        <f t="shared" si="509"/>
        <v>0</v>
      </c>
      <c r="AD630" s="83">
        <f t="shared" si="510"/>
        <v>0</v>
      </c>
      <c r="AE630" s="83">
        <f t="shared" si="511"/>
        <v>0</v>
      </c>
      <c r="AF630" s="83">
        <f t="shared" si="512"/>
        <v>0</v>
      </c>
      <c r="AG630" s="83">
        <f t="shared" si="513"/>
        <v>0</v>
      </c>
      <c r="AH630" s="83">
        <f t="shared" si="514"/>
        <v>0</v>
      </c>
      <c r="AI630" s="83">
        <f t="shared" si="515"/>
        <v>0</v>
      </c>
      <c r="AJ630" s="718">
        <f t="shared" si="516"/>
        <v>0</v>
      </c>
      <c r="AL630">
        <f t="shared" si="517"/>
        <v>0</v>
      </c>
      <c r="AM630">
        <f t="shared" si="518"/>
        <v>0</v>
      </c>
    </row>
    <row r="631" spans="1:39" ht="15.75" x14ac:dyDescent="0.25">
      <c r="A631" s="561"/>
      <c r="B631" s="561"/>
      <c r="C631" s="561"/>
      <c r="D631" s="672"/>
      <c r="E631" s="209"/>
      <c r="F631" s="209"/>
      <c r="G631" s="209"/>
      <c r="H631" s="176">
        <f t="shared" si="496"/>
        <v>0</v>
      </c>
      <c r="I631" s="209"/>
      <c r="J631" s="209"/>
      <c r="K631" s="176">
        <f t="shared" si="497"/>
        <v>0</v>
      </c>
      <c r="L631" s="209"/>
      <c r="M631" s="177">
        <f t="shared" si="498"/>
        <v>0</v>
      </c>
      <c r="N631" s="1012"/>
      <c r="O631" s="1012"/>
      <c r="P631" s="485"/>
      <c r="Q631" s="778"/>
      <c r="R631" s="778"/>
      <c r="S631" s="785" t="str">
        <f t="shared" si="501"/>
        <v/>
      </c>
      <c r="T631" s="548" t="str">
        <f t="shared" si="499"/>
        <v>Sheet Metal Takeoff</v>
      </c>
      <c r="U631" s="83">
        <f t="shared" si="502"/>
        <v>0</v>
      </c>
      <c r="V631" s="83">
        <f t="shared" si="503"/>
        <v>0</v>
      </c>
      <c r="W631" s="83">
        <f t="shared" si="504"/>
        <v>0</v>
      </c>
      <c r="X631" s="781">
        <f t="shared" si="505"/>
        <v>0</v>
      </c>
      <c r="Y631" s="781">
        <f t="shared" si="506"/>
        <v>0</v>
      </c>
      <c r="Z631" s="781">
        <f t="shared" si="507"/>
        <v>0</v>
      </c>
      <c r="AA631" s="83">
        <f t="shared" si="500"/>
        <v>0</v>
      </c>
      <c r="AB631" s="83">
        <f t="shared" si="508"/>
        <v>0</v>
      </c>
      <c r="AC631" s="83">
        <f t="shared" si="509"/>
        <v>0</v>
      </c>
      <c r="AD631" s="83">
        <f t="shared" si="510"/>
        <v>0</v>
      </c>
      <c r="AE631" s="83">
        <f t="shared" si="511"/>
        <v>0</v>
      </c>
      <c r="AF631" s="83">
        <f t="shared" si="512"/>
        <v>0</v>
      </c>
      <c r="AG631" s="83">
        <f t="shared" si="513"/>
        <v>0</v>
      </c>
      <c r="AH631" s="83">
        <f t="shared" si="514"/>
        <v>0</v>
      </c>
      <c r="AI631" s="83">
        <f t="shared" si="515"/>
        <v>0</v>
      </c>
      <c r="AJ631" s="718">
        <f t="shared" si="516"/>
        <v>0</v>
      </c>
      <c r="AL631">
        <f t="shared" si="517"/>
        <v>0</v>
      </c>
      <c r="AM631">
        <f t="shared" si="518"/>
        <v>0</v>
      </c>
    </row>
    <row r="632" spans="1:39" ht="15.75" x14ac:dyDescent="0.25">
      <c r="A632" s="561"/>
      <c r="B632" s="561"/>
      <c r="C632" s="561"/>
      <c r="D632" s="672"/>
      <c r="E632" s="209"/>
      <c r="F632" s="209"/>
      <c r="G632" s="209"/>
      <c r="H632" s="176">
        <f t="shared" si="496"/>
        <v>0</v>
      </c>
      <c r="I632" s="209"/>
      <c r="J632" s="209"/>
      <c r="K632" s="176">
        <f t="shared" si="497"/>
        <v>0</v>
      </c>
      <c r="L632" s="209"/>
      <c r="M632" s="177">
        <f t="shared" si="498"/>
        <v>0</v>
      </c>
      <c r="N632" s="1012"/>
      <c r="O632" s="1012"/>
      <c r="P632" s="485"/>
      <c r="Q632" s="778"/>
      <c r="R632" s="778"/>
      <c r="S632" s="785" t="str">
        <f t="shared" si="501"/>
        <v/>
      </c>
      <c r="T632" s="548" t="str">
        <f t="shared" si="499"/>
        <v>Sheet Metal Takeoff</v>
      </c>
      <c r="U632" s="83">
        <f t="shared" si="502"/>
        <v>0</v>
      </c>
      <c r="V632" s="83">
        <f t="shared" si="503"/>
        <v>0</v>
      </c>
      <c r="W632" s="83">
        <f t="shared" si="504"/>
        <v>0</v>
      </c>
      <c r="X632" s="781">
        <f t="shared" si="505"/>
        <v>0</v>
      </c>
      <c r="Y632" s="781">
        <f t="shared" si="506"/>
        <v>0</v>
      </c>
      <c r="Z632" s="781">
        <f t="shared" si="507"/>
        <v>0</v>
      </c>
      <c r="AA632" s="83">
        <f t="shared" si="500"/>
        <v>0</v>
      </c>
      <c r="AB632" s="83">
        <f t="shared" si="508"/>
        <v>0</v>
      </c>
      <c r="AC632" s="83">
        <f t="shared" si="509"/>
        <v>0</v>
      </c>
      <c r="AD632" s="83">
        <f t="shared" si="510"/>
        <v>0</v>
      </c>
      <c r="AE632" s="83">
        <f t="shared" si="511"/>
        <v>0</v>
      </c>
      <c r="AF632" s="83">
        <f t="shared" si="512"/>
        <v>0</v>
      </c>
      <c r="AG632" s="83">
        <f t="shared" si="513"/>
        <v>0</v>
      </c>
      <c r="AH632" s="83">
        <f t="shared" si="514"/>
        <v>0</v>
      </c>
      <c r="AI632" s="83">
        <f t="shared" si="515"/>
        <v>0</v>
      </c>
      <c r="AJ632" s="718">
        <f t="shared" si="516"/>
        <v>0</v>
      </c>
      <c r="AL632">
        <f t="shared" si="517"/>
        <v>0</v>
      </c>
      <c r="AM632">
        <f t="shared" si="518"/>
        <v>0</v>
      </c>
    </row>
    <row r="633" spans="1:39" ht="15.75" hidden="1" customHeight="1" x14ac:dyDescent="0.25">
      <c r="A633" s="561"/>
      <c r="B633" s="561"/>
      <c r="C633" s="561"/>
      <c r="D633" s="672"/>
      <c r="E633" s="209"/>
      <c r="F633" s="209"/>
      <c r="G633" s="209"/>
      <c r="H633" s="176">
        <f t="shared" si="496"/>
        <v>0</v>
      </c>
      <c r="I633" s="209"/>
      <c r="J633" s="209"/>
      <c r="K633" s="176">
        <f t="shared" si="497"/>
        <v>0</v>
      </c>
      <c r="L633" s="209"/>
      <c r="M633" s="177">
        <f t="shared" si="498"/>
        <v>0</v>
      </c>
      <c r="N633" s="1012"/>
      <c r="O633" s="1012"/>
      <c r="P633" s="485"/>
      <c r="Q633" s="778"/>
      <c r="R633" s="778"/>
      <c r="S633" s="785" t="str">
        <f t="shared" si="501"/>
        <v/>
      </c>
      <c r="T633" s="548" t="str">
        <f t="shared" si="499"/>
        <v>Sheet Metal Takeoff</v>
      </c>
      <c r="U633" s="83">
        <f>ROUND(IF($T633="Plumb Takeoff",$H633*U$3,IF($T633="Pipe Takeoff",$H633*U$4,$H633*U$2)),2)</f>
        <v>0</v>
      </c>
      <c r="V633" s="83">
        <f t="shared" si="503"/>
        <v>0</v>
      </c>
      <c r="W633" s="83">
        <f t="shared" si="504"/>
        <v>0</v>
      </c>
      <c r="X633" s="781">
        <f t="shared" si="505"/>
        <v>0</v>
      </c>
      <c r="Y633" s="781">
        <f t="shared" si="506"/>
        <v>0</v>
      </c>
      <c r="Z633" s="781">
        <f t="shared" si="507"/>
        <v>0</v>
      </c>
      <c r="AA633" s="83">
        <f t="shared" si="500"/>
        <v>0</v>
      </c>
      <c r="AB633" s="83">
        <f t="shared" si="508"/>
        <v>0</v>
      </c>
      <c r="AC633" s="83">
        <f t="shared" si="509"/>
        <v>0</v>
      </c>
      <c r="AD633" s="83">
        <f t="shared" si="510"/>
        <v>0</v>
      </c>
      <c r="AE633" s="83">
        <f t="shared" si="511"/>
        <v>0</v>
      </c>
      <c r="AF633" s="83">
        <f t="shared" si="512"/>
        <v>0</v>
      </c>
      <c r="AG633" s="83">
        <f t="shared" si="513"/>
        <v>0</v>
      </c>
      <c r="AH633" s="83">
        <f t="shared" si="514"/>
        <v>0</v>
      </c>
      <c r="AI633" s="83">
        <f t="shared" si="515"/>
        <v>0</v>
      </c>
      <c r="AJ633" s="718">
        <f t="shared" si="516"/>
        <v>0</v>
      </c>
      <c r="AL633">
        <f t="shared" si="517"/>
        <v>0</v>
      </c>
      <c r="AM633">
        <f t="shared" si="518"/>
        <v>0</v>
      </c>
    </row>
    <row r="634" spans="1:39" ht="15.75" x14ac:dyDescent="0.25">
      <c r="A634" s="551"/>
      <c r="B634" s="551"/>
      <c r="C634" s="551"/>
      <c r="D634" s="673"/>
      <c r="E634" s="552"/>
      <c r="F634" s="553"/>
      <c r="G634" s="553"/>
      <c r="H634" s="181">
        <f>SUM(H608:H633)</f>
        <v>0</v>
      </c>
      <c r="I634" s="182"/>
      <c r="J634" s="182"/>
      <c r="K634" s="181">
        <f>SUM(K608:K633)</f>
        <v>0</v>
      </c>
      <c r="L634" s="182"/>
      <c r="M634" s="177">
        <f>SUM(M608:M633)</f>
        <v>0</v>
      </c>
      <c r="O634" s="486"/>
      <c r="AJ634" s="718"/>
    </row>
    <row r="635" spans="1:39" ht="15.75" thickBot="1" x14ac:dyDescent="0.3">
      <c r="AJ635" s="718"/>
    </row>
    <row r="636" spans="1:39" ht="16.5" thickBot="1" x14ac:dyDescent="0.3">
      <c r="E636" s="678" t="s">
        <v>1122</v>
      </c>
      <c r="F636" s="1017" t="s">
        <v>1630</v>
      </c>
      <c r="G636" s="1018"/>
      <c r="H636" s="344"/>
      <c r="I636" s="1019" t="s">
        <v>1628</v>
      </c>
      <c r="J636" s="1020"/>
      <c r="K636" s="679" t="b">
        <v>0</v>
      </c>
      <c r="AJ636" s="718"/>
    </row>
    <row r="637" spans="1:39" ht="38.25" thickBot="1" x14ac:dyDescent="0.35">
      <c r="A637" s="477" t="s">
        <v>1063</v>
      </c>
      <c r="B637" s="477" t="s">
        <v>348</v>
      </c>
      <c r="C637" s="477" t="s">
        <v>349</v>
      </c>
      <c r="D637" s="666" t="s">
        <v>0</v>
      </c>
      <c r="E637" s="477" t="s">
        <v>1</v>
      </c>
      <c r="F637" s="480" t="s">
        <v>2</v>
      </c>
      <c r="G637" s="480" t="s">
        <v>1123</v>
      </c>
      <c r="H637" s="480" t="s">
        <v>3</v>
      </c>
      <c r="I637" s="483" t="s">
        <v>4</v>
      </c>
      <c r="J637" s="480" t="s">
        <v>1124</v>
      </c>
      <c r="K637" s="680" t="s">
        <v>5</v>
      </c>
      <c r="L637" s="480" t="s">
        <v>6</v>
      </c>
      <c r="M637" s="484" t="s">
        <v>7</v>
      </c>
      <c r="N637" s="1013" t="s">
        <v>1079</v>
      </c>
      <c r="O637" s="1014"/>
      <c r="P637" s="1009" t="s">
        <v>1629</v>
      </c>
      <c r="Q637" s="1009" t="s">
        <v>1147</v>
      </c>
      <c r="R637" s="1009" t="s">
        <v>1792</v>
      </c>
      <c r="T637" s="2"/>
      <c r="AJ637" s="718"/>
    </row>
    <row r="638" spans="1:39" ht="16.5" thickBot="1" x14ac:dyDescent="0.3">
      <c r="A638" s="183"/>
      <c r="B638" s="183"/>
      <c r="C638" s="183"/>
      <c r="D638" s="671"/>
      <c r="E638" s="183"/>
      <c r="F638" s="183"/>
      <c r="G638" s="183"/>
      <c r="H638" s="183"/>
      <c r="I638" s="183"/>
      <c r="J638" s="183"/>
      <c r="K638" s="183"/>
      <c r="L638" s="183"/>
      <c r="M638" s="183"/>
      <c r="N638" s="1015"/>
      <c r="O638" s="1016"/>
      <c r="P638" s="1010" t="s">
        <v>1362</v>
      </c>
      <c r="Q638" s="1010"/>
      <c r="R638" s="1010"/>
      <c r="T638" s="1"/>
      <c r="AJ638" s="718"/>
    </row>
    <row r="639" spans="1:39" ht="15.75" x14ac:dyDescent="0.25">
      <c r="A639" s="561"/>
      <c r="B639" s="561"/>
      <c r="C639" s="561"/>
      <c r="D639" s="672"/>
      <c r="E639" s="209"/>
      <c r="F639" s="209"/>
      <c r="G639" s="209"/>
      <c r="H639" s="176">
        <f t="shared" ref="H639:H664" si="519">IF(SM_ExludeGroup20=TRUE,0,IF(G639="",E639*F639*IF(AND(S639="LOP",R639="SWING"),1+CrewRate_PlumbFitter_SwingLOP,1)*IF(AND(S639="LOP",R639="GRAVE"),1+CrewRate_PlumbFitter_GraveLOP,1)*IF(AND(S639="LOP",R639="SPECIAL"),1+CrewRate_PlumbFitter_SwingLOP,1),E639*F639*G639*IF(AND(S639="LOP",R639="SWING"),1+CrewRate_PlumbFitter_SwingLOP,1)*IF(AND(S639="LOP",R639="GRAVE"),1+CrewRate_PlumbFitter_GraveLOP,1)*IF(AND(S639="LOP",R639="SPECIAL"),1+CrewRate_PlumbFitter_SwingLOP,1)))</f>
        <v>0</v>
      </c>
      <c r="I639" s="209"/>
      <c r="J639" s="209"/>
      <c r="K639" s="176">
        <f t="shared" ref="K639:K664" si="520">IF(SM_ExludeGroup20=TRUE,0,IF(J639="",E639*I639,E639*I639*J639))</f>
        <v>0</v>
      </c>
      <c r="L639" s="209"/>
      <c r="M639" s="177">
        <f t="shared" ref="M639:M664" si="521">IF(SM_ExludeGroup20=TRUE,0,E639*L639)</f>
        <v>0</v>
      </c>
      <c r="N639" s="1012"/>
      <c r="O639" s="1012"/>
      <c r="P639" s="485"/>
      <c r="Q639" s="778"/>
      <c r="R639" s="778"/>
      <c r="S639" s="785" t="str">
        <f>IF(T639="Sheet Metal Takeoff","",IF(R639="","","LOP"))</f>
        <v/>
      </c>
      <c r="T639" s="548" t="str">
        <f t="shared" ref="T639:T664" si="522">IF($F$636="","Sheet Metal Takeoff",$F$636)</f>
        <v>Sheet Metal Takeoff</v>
      </c>
      <c r="U639" s="83">
        <f>ROUND(IF($T639="Plumb Takeoff",$H639*U$3,IF($T639="Pipe Takeoff",$H639*U$4,$H639*U$2)),2)</f>
        <v>0</v>
      </c>
      <c r="V639" s="83">
        <f>ROUND(IF($T639="Plumb Takeoff",IF($Q639="OT",$H639*V$3,0),IF($T639="Pipe Takeoff",IF($Q639="OT",$H639*V$4,0),IF($Q639="OT",$H639*V$2,0))),2)</f>
        <v>0</v>
      </c>
      <c r="W639" s="83">
        <f>ROUND(IF($T639="Plumb Takeoff",IF($Q639="DBLT",$H639*W$3,0),IF($T639="Pipe Takeoff",IF($Q639="DBLT",$H639*W$4,0),IF($Q639="DBLT",$H639*W$2,0))),2)</f>
        <v>0</v>
      </c>
      <c r="X639" s="781">
        <f>ROUND(SUM(IF($T639="Plumb Takeoff",IF($R639="SWING",ROUND(SUM($H639)*X$3,2))),IF($T639="Pipe Takeoff",IF($R639="SWING",ROUND(SUM($H639)*X$4,2))),IF($T639="Sheet Metal Takeoff",IF($R639="SWING",ROUND(SUM($H639)*X$2,2)))),2)</f>
        <v>0</v>
      </c>
      <c r="Y639" s="781">
        <f>ROUND(SUM(IF($T639="Plumb Takeoff",IF($R639="GRAVE",ROUND(SUM($H639)*Y$3,2))),IF($T639="Pipe Takeoff",IF($R639="GRAVE",ROUND(SUM($H639)*Y$4,2))),IF($T639="Sheet Metal Takeoff",IF($R639="GRAVE",ROUND(SUM($H639)*Y$2,2)))),2)</f>
        <v>0</v>
      </c>
      <c r="Z639" s="781">
        <f>ROUND(SUM(IF($T639="Plumb Takeoff",IF($R639="SPECIAL",ROUND(SUM($H639)*Z$3,2))),IF($T639="Pipe Takeoff",IF($R639="SPECIAL",ROUND(SUM($H639)*Z$4,2))),IF($T639="Sheet Metal Takeoff",IF($R639="SPECIAL",ROUND(SUM($H639)*Z$2,2)))),2)</f>
        <v>0</v>
      </c>
      <c r="AA639" s="83">
        <f t="shared" ref="AA639:AA664" si="523">ROUND($K639*AA$2,2)</f>
        <v>0</v>
      </c>
      <c r="AB639" s="83">
        <f>ROUND(IF($Q639="OT",$K639*AB$2,0),2)</f>
        <v>0</v>
      </c>
      <c r="AC639" s="83">
        <f>ROUND(IF($Q639="DBLT",$K639*AC$2,0),2)</f>
        <v>0</v>
      </c>
      <c r="AD639" s="83">
        <f>ROUND(IF($R639="SWING",$K639*AD$2,0),2)</f>
        <v>0</v>
      </c>
      <c r="AE639" s="83">
        <f>ROUND(IF($R639="GRAVE",$K639*AE$2,0),2)</f>
        <v>0</v>
      </c>
      <c r="AF639" s="83">
        <f>ROUND(IF($R639="SPECIAL",$K639*AF$2,0),2)</f>
        <v>0</v>
      </c>
      <c r="AG639" s="83">
        <f>SUM(U639:Z639)</f>
        <v>0</v>
      </c>
      <c r="AH639" s="83">
        <f>SUM(AA639:AF639)</f>
        <v>0</v>
      </c>
      <c r="AI639" s="83">
        <f>SUM(U639:AF639)</f>
        <v>0</v>
      </c>
      <c r="AJ639" s="718">
        <f>SUM(M639,AI639)</f>
        <v>0</v>
      </c>
      <c r="AL639">
        <f>SUM(V639:Z639)</f>
        <v>0</v>
      </c>
      <c r="AM639">
        <f>SUM(AB639:AF639)</f>
        <v>0</v>
      </c>
    </row>
    <row r="640" spans="1:39" ht="15.75" x14ac:dyDescent="0.25">
      <c r="A640" s="561"/>
      <c r="B640" s="561"/>
      <c r="C640" s="561"/>
      <c r="D640" s="672"/>
      <c r="E640" s="209"/>
      <c r="F640" s="209"/>
      <c r="G640" s="209"/>
      <c r="H640" s="176">
        <f t="shared" si="519"/>
        <v>0</v>
      </c>
      <c r="I640" s="209"/>
      <c r="J640" s="209"/>
      <c r="K640" s="176">
        <f t="shared" si="520"/>
        <v>0</v>
      </c>
      <c r="L640" s="209"/>
      <c r="M640" s="177">
        <f t="shared" si="521"/>
        <v>0</v>
      </c>
      <c r="N640" s="1012"/>
      <c r="O640" s="1012"/>
      <c r="P640" s="485"/>
      <c r="Q640" s="778"/>
      <c r="R640" s="778"/>
      <c r="S640" s="785" t="str">
        <f t="shared" ref="S640:S664" si="524">IF(T640="Sheet Metal Takeoff","",IF(R640="","","LOP"))</f>
        <v/>
      </c>
      <c r="T640" s="548" t="str">
        <f t="shared" si="522"/>
        <v>Sheet Metal Takeoff</v>
      </c>
      <c r="U640" s="83">
        <f t="shared" ref="U640:U663" si="525">ROUND(IF($T640="Plumb Takeoff",$H640*U$3,IF($T640="Pipe Takeoff",$H640*U$4,$H640*U$2)),2)</f>
        <v>0</v>
      </c>
      <c r="V640" s="83">
        <f t="shared" ref="V640:V664" si="526">ROUND(IF($T640="Plumb Takeoff",IF($Q640="OT",$H640*V$3,0),IF($T640="Pipe Takeoff",IF($Q640="OT",$H640*V$4,0),IF($Q640="OT",$H640*V$2,0))),2)</f>
        <v>0</v>
      </c>
      <c r="W640" s="83">
        <f t="shared" ref="W640:W664" si="527">ROUND(IF($T640="Plumb Takeoff",IF($Q640="DBLT",$H640*W$3,0),IF($T640="Pipe Takeoff",IF($Q640="DBLT",$H640*W$4,0),IF($Q640="DBLT",$H640*W$2,0))),2)</f>
        <v>0</v>
      </c>
      <c r="X640" s="781">
        <f t="shared" ref="X640:X664" si="528">ROUND(SUM(IF($T640="Plumb Takeoff",IF($R640="SWING",ROUND(SUM($H640)*X$3,2))),IF($T640="Pipe Takeoff",IF($R640="SWING",ROUND(SUM($H640)*X$4,2))),IF($T640="Sheet Metal Takeoff",IF($R640="SWING",ROUND(SUM($H640)*X$2,2)))),2)</f>
        <v>0</v>
      </c>
      <c r="Y640" s="781">
        <f t="shared" ref="Y640:Y664" si="529">ROUND(SUM(IF($T640="Plumb Takeoff",IF($R640="GRAVE",ROUND(SUM($H640)*Y$3,2))),IF($T640="Pipe Takeoff",IF($R640="GRAVE",ROUND(SUM($H640)*Y$4,2))),IF($T640="Sheet Metal Takeoff",IF($R640="GRAVE",ROUND(SUM($H640)*Y$2,2)))),2)</f>
        <v>0</v>
      </c>
      <c r="Z640" s="781">
        <f t="shared" ref="Z640:Z664" si="530">ROUND(SUM(IF($T640="Plumb Takeoff",IF($R640="SPECIAL",ROUND(SUM($H640)*Z$3,2))),IF($T640="Pipe Takeoff",IF($R640="SPECIAL",ROUND(SUM($H640)*Z$4,2))),IF($T640="Sheet Metal Takeoff",IF($R640="SPECIAL",ROUND(SUM($H640)*Z$2,2)))),2)</f>
        <v>0</v>
      </c>
      <c r="AA640" s="83">
        <f t="shared" si="523"/>
        <v>0</v>
      </c>
      <c r="AB640" s="83">
        <f t="shared" ref="AB640:AB664" si="531">ROUND(IF($Q640="OT",$K640*AB$2,0),2)</f>
        <v>0</v>
      </c>
      <c r="AC640" s="83">
        <f t="shared" ref="AC640:AC664" si="532">ROUND(IF($Q640="DBLT",$K640*AC$2,0),2)</f>
        <v>0</v>
      </c>
      <c r="AD640" s="83">
        <f t="shared" ref="AD640:AD664" si="533">ROUND(IF($R640="SWING",$K640*AD$2,0),2)</f>
        <v>0</v>
      </c>
      <c r="AE640" s="83">
        <f t="shared" ref="AE640:AE664" si="534">ROUND(IF($R640="GRAVE",$K640*AE$2,0),2)</f>
        <v>0</v>
      </c>
      <c r="AF640" s="83">
        <f t="shared" ref="AF640:AF664" si="535">ROUND(IF($R640="SPECIAL",$K640*AF$2,0),2)</f>
        <v>0</v>
      </c>
      <c r="AG640" s="83">
        <f t="shared" ref="AG640:AG664" si="536">SUM(U640:Z640)</f>
        <v>0</v>
      </c>
      <c r="AH640" s="83">
        <f t="shared" ref="AH640:AH664" si="537">SUM(AA640:AF640)</f>
        <v>0</v>
      </c>
      <c r="AI640" s="83">
        <f t="shared" ref="AI640:AI664" si="538">SUM(U640:AF640)</f>
        <v>0</v>
      </c>
      <c r="AJ640" s="718">
        <f t="shared" ref="AJ640:AJ664" si="539">SUM(M640,AI640)</f>
        <v>0</v>
      </c>
      <c r="AL640">
        <f t="shared" ref="AL640:AL664" si="540">SUM(V640:Z640)</f>
        <v>0</v>
      </c>
      <c r="AM640">
        <f t="shared" ref="AM640:AM664" si="541">SUM(AB640:AF640)</f>
        <v>0</v>
      </c>
    </row>
    <row r="641" spans="1:39" ht="15.75" x14ac:dyDescent="0.25">
      <c r="A641" s="561"/>
      <c r="B641" s="561"/>
      <c r="C641" s="561"/>
      <c r="D641" s="672"/>
      <c r="E641" s="209"/>
      <c r="F641" s="209"/>
      <c r="G641" s="209"/>
      <c r="H641" s="176">
        <f t="shared" si="519"/>
        <v>0</v>
      </c>
      <c r="I641" s="209"/>
      <c r="J641" s="209"/>
      <c r="K641" s="176">
        <f t="shared" si="520"/>
        <v>0</v>
      </c>
      <c r="L641" s="209"/>
      <c r="M641" s="177">
        <f t="shared" si="521"/>
        <v>0</v>
      </c>
      <c r="N641" s="1012"/>
      <c r="O641" s="1012"/>
      <c r="P641" s="485"/>
      <c r="Q641" s="778"/>
      <c r="R641" s="778"/>
      <c r="S641" s="785" t="str">
        <f t="shared" si="524"/>
        <v/>
      </c>
      <c r="T641" s="548" t="str">
        <f t="shared" si="522"/>
        <v>Sheet Metal Takeoff</v>
      </c>
      <c r="U641" s="83">
        <f t="shared" si="525"/>
        <v>0</v>
      </c>
      <c r="V641" s="83">
        <f t="shared" si="526"/>
        <v>0</v>
      </c>
      <c r="W641" s="83">
        <f t="shared" si="527"/>
        <v>0</v>
      </c>
      <c r="X641" s="781">
        <f t="shared" si="528"/>
        <v>0</v>
      </c>
      <c r="Y641" s="781">
        <f t="shared" si="529"/>
        <v>0</v>
      </c>
      <c r="Z641" s="781">
        <f t="shared" si="530"/>
        <v>0</v>
      </c>
      <c r="AA641" s="83">
        <f t="shared" si="523"/>
        <v>0</v>
      </c>
      <c r="AB641" s="83">
        <f t="shared" si="531"/>
        <v>0</v>
      </c>
      <c r="AC641" s="83">
        <f t="shared" si="532"/>
        <v>0</v>
      </c>
      <c r="AD641" s="83">
        <f t="shared" si="533"/>
        <v>0</v>
      </c>
      <c r="AE641" s="83">
        <f t="shared" si="534"/>
        <v>0</v>
      </c>
      <c r="AF641" s="83">
        <f t="shared" si="535"/>
        <v>0</v>
      </c>
      <c r="AG641" s="83">
        <f t="shared" si="536"/>
        <v>0</v>
      </c>
      <c r="AH641" s="83">
        <f t="shared" si="537"/>
        <v>0</v>
      </c>
      <c r="AI641" s="83">
        <f t="shared" si="538"/>
        <v>0</v>
      </c>
      <c r="AJ641" s="718">
        <f t="shared" si="539"/>
        <v>0</v>
      </c>
      <c r="AL641">
        <f t="shared" si="540"/>
        <v>0</v>
      </c>
      <c r="AM641">
        <f t="shared" si="541"/>
        <v>0</v>
      </c>
    </row>
    <row r="642" spans="1:39" ht="15.75" x14ac:dyDescent="0.25">
      <c r="A642" s="561"/>
      <c r="B642" s="561"/>
      <c r="C642" s="561"/>
      <c r="D642" s="672"/>
      <c r="E642" s="209"/>
      <c r="F642" s="209"/>
      <c r="G642" s="209"/>
      <c r="H642" s="176">
        <f t="shared" si="519"/>
        <v>0</v>
      </c>
      <c r="I642" s="209"/>
      <c r="J642" s="209"/>
      <c r="K642" s="176">
        <f t="shared" si="520"/>
        <v>0</v>
      </c>
      <c r="L642" s="209"/>
      <c r="M642" s="177">
        <f t="shared" si="521"/>
        <v>0</v>
      </c>
      <c r="N642" s="1012"/>
      <c r="O642" s="1012"/>
      <c r="P642" s="485"/>
      <c r="Q642" s="778"/>
      <c r="R642" s="778"/>
      <c r="S642" s="785" t="str">
        <f t="shared" si="524"/>
        <v/>
      </c>
      <c r="T642" s="548" t="str">
        <f t="shared" si="522"/>
        <v>Sheet Metal Takeoff</v>
      </c>
      <c r="U642" s="83">
        <f t="shared" si="525"/>
        <v>0</v>
      </c>
      <c r="V642" s="83">
        <f t="shared" si="526"/>
        <v>0</v>
      </c>
      <c r="W642" s="83">
        <f t="shared" si="527"/>
        <v>0</v>
      </c>
      <c r="X642" s="781">
        <f t="shared" si="528"/>
        <v>0</v>
      </c>
      <c r="Y642" s="781">
        <f t="shared" si="529"/>
        <v>0</v>
      </c>
      <c r="Z642" s="781">
        <f t="shared" si="530"/>
        <v>0</v>
      </c>
      <c r="AA642" s="83">
        <f t="shared" si="523"/>
        <v>0</v>
      </c>
      <c r="AB642" s="83">
        <f t="shared" si="531"/>
        <v>0</v>
      </c>
      <c r="AC642" s="83">
        <f t="shared" si="532"/>
        <v>0</v>
      </c>
      <c r="AD642" s="83">
        <f t="shared" si="533"/>
        <v>0</v>
      </c>
      <c r="AE642" s="83">
        <f t="shared" si="534"/>
        <v>0</v>
      </c>
      <c r="AF642" s="83">
        <f t="shared" si="535"/>
        <v>0</v>
      </c>
      <c r="AG642" s="83">
        <f t="shared" si="536"/>
        <v>0</v>
      </c>
      <c r="AH642" s="83">
        <f t="shared" si="537"/>
        <v>0</v>
      </c>
      <c r="AI642" s="83">
        <f t="shared" si="538"/>
        <v>0</v>
      </c>
      <c r="AJ642" s="718">
        <f t="shared" si="539"/>
        <v>0</v>
      </c>
      <c r="AL642">
        <f t="shared" si="540"/>
        <v>0</v>
      </c>
      <c r="AM642">
        <f t="shared" si="541"/>
        <v>0</v>
      </c>
    </row>
    <row r="643" spans="1:39" ht="15.75" x14ac:dyDescent="0.25">
      <c r="A643" s="561"/>
      <c r="B643" s="561"/>
      <c r="C643" s="561"/>
      <c r="D643" s="672"/>
      <c r="E643" s="209"/>
      <c r="F643" s="209"/>
      <c r="G643" s="209"/>
      <c r="H643" s="176">
        <f t="shared" si="519"/>
        <v>0</v>
      </c>
      <c r="I643" s="209"/>
      <c r="J643" s="209"/>
      <c r="K643" s="176">
        <f t="shared" si="520"/>
        <v>0</v>
      </c>
      <c r="L643" s="209"/>
      <c r="M643" s="177">
        <f t="shared" si="521"/>
        <v>0</v>
      </c>
      <c r="N643" s="1012"/>
      <c r="O643" s="1012"/>
      <c r="P643" s="485"/>
      <c r="Q643" s="778"/>
      <c r="R643" s="778"/>
      <c r="S643" s="785" t="str">
        <f t="shared" si="524"/>
        <v/>
      </c>
      <c r="T643" s="548" t="str">
        <f t="shared" si="522"/>
        <v>Sheet Metal Takeoff</v>
      </c>
      <c r="U643" s="83">
        <f t="shared" si="525"/>
        <v>0</v>
      </c>
      <c r="V643" s="83">
        <f t="shared" si="526"/>
        <v>0</v>
      </c>
      <c r="W643" s="83">
        <f t="shared" si="527"/>
        <v>0</v>
      </c>
      <c r="X643" s="781">
        <f t="shared" si="528"/>
        <v>0</v>
      </c>
      <c r="Y643" s="781">
        <f t="shared" si="529"/>
        <v>0</v>
      </c>
      <c r="Z643" s="781">
        <f t="shared" si="530"/>
        <v>0</v>
      </c>
      <c r="AA643" s="83">
        <f t="shared" si="523"/>
        <v>0</v>
      </c>
      <c r="AB643" s="83">
        <f t="shared" si="531"/>
        <v>0</v>
      </c>
      <c r="AC643" s="83">
        <f t="shared" si="532"/>
        <v>0</v>
      </c>
      <c r="AD643" s="83">
        <f t="shared" si="533"/>
        <v>0</v>
      </c>
      <c r="AE643" s="83">
        <f t="shared" si="534"/>
        <v>0</v>
      </c>
      <c r="AF643" s="83">
        <f t="shared" si="535"/>
        <v>0</v>
      </c>
      <c r="AG643" s="83">
        <f t="shared" si="536"/>
        <v>0</v>
      </c>
      <c r="AH643" s="83">
        <f t="shared" si="537"/>
        <v>0</v>
      </c>
      <c r="AI643" s="83">
        <f t="shared" si="538"/>
        <v>0</v>
      </c>
      <c r="AJ643" s="718">
        <f t="shared" si="539"/>
        <v>0</v>
      </c>
      <c r="AL643">
        <f t="shared" si="540"/>
        <v>0</v>
      </c>
      <c r="AM643">
        <f t="shared" si="541"/>
        <v>0</v>
      </c>
    </row>
    <row r="644" spans="1:39" ht="15.75" x14ac:dyDescent="0.25">
      <c r="A644" s="561"/>
      <c r="B644" s="561"/>
      <c r="C644" s="561"/>
      <c r="D644" s="672"/>
      <c r="E644" s="209"/>
      <c r="F644" s="209"/>
      <c r="G644" s="209"/>
      <c r="H644" s="176">
        <f t="shared" si="519"/>
        <v>0</v>
      </c>
      <c r="I644" s="209"/>
      <c r="J644" s="209"/>
      <c r="K644" s="176">
        <f t="shared" si="520"/>
        <v>0</v>
      </c>
      <c r="L644" s="209"/>
      <c r="M644" s="177">
        <f t="shared" si="521"/>
        <v>0</v>
      </c>
      <c r="N644" s="1012"/>
      <c r="O644" s="1012"/>
      <c r="P644" s="485"/>
      <c r="Q644" s="778"/>
      <c r="R644" s="778"/>
      <c r="S644" s="785" t="str">
        <f t="shared" si="524"/>
        <v/>
      </c>
      <c r="T644" s="548" t="str">
        <f t="shared" si="522"/>
        <v>Sheet Metal Takeoff</v>
      </c>
      <c r="U644" s="83">
        <f t="shared" si="525"/>
        <v>0</v>
      </c>
      <c r="V644" s="83">
        <f t="shared" si="526"/>
        <v>0</v>
      </c>
      <c r="W644" s="83">
        <f t="shared" si="527"/>
        <v>0</v>
      </c>
      <c r="X644" s="781">
        <f t="shared" si="528"/>
        <v>0</v>
      </c>
      <c r="Y644" s="781">
        <f t="shared" si="529"/>
        <v>0</v>
      </c>
      <c r="Z644" s="781">
        <f t="shared" si="530"/>
        <v>0</v>
      </c>
      <c r="AA644" s="83">
        <f t="shared" si="523"/>
        <v>0</v>
      </c>
      <c r="AB644" s="83">
        <f t="shared" si="531"/>
        <v>0</v>
      </c>
      <c r="AC644" s="83">
        <f t="shared" si="532"/>
        <v>0</v>
      </c>
      <c r="AD644" s="83">
        <f t="shared" si="533"/>
        <v>0</v>
      </c>
      <c r="AE644" s="83">
        <f t="shared" si="534"/>
        <v>0</v>
      </c>
      <c r="AF644" s="83">
        <f t="shared" si="535"/>
        <v>0</v>
      </c>
      <c r="AG644" s="83">
        <f t="shared" si="536"/>
        <v>0</v>
      </c>
      <c r="AH644" s="83">
        <f t="shared" si="537"/>
        <v>0</v>
      </c>
      <c r="AI644" s="83">
        <f t="shared" si="538"/>
        <v>0</v>
      </c>
      <c r="AJ644" s="718">
        <f t="shared" si="539"/>
        <v>0</v>
      </c>
      <c r="AL644">
        <f t="shared" si="540"/>
        <v>0</v>
      </c>
      <c r="AM644">
        <f t="shared" si="541"/>
        <v>0</v>
      </c>
    </row>
    <row r="645" spans="1:39" ht="15.75" x14ac:dyDescent="0.25">
      <c r="A645" s="561"/>
      <c r="B645" s="561"/>
      <c r="C645" s="561"/>
      <c r="D645" s="672"/>
      <c r="E645" s="209"/>
      <c r="F645" s="209"/>
      <c r="G645" s="209"/>
      <c r="H645" s="176">
        <f t="shared" si="519"/>
        <v>0</v>
      </c>
      <c r="I645" s="209"/>
      <c r="J645" s="209"/>
      <c r="K645" s="176">
        <f t="shared" si="520"/>
        <v>0</v>
      </c>
      <c r="L645" s="209"/>
      <c r="M645" s="177">
        <f t="shared" si="521"/>
        <v>0</v>
      </c>
      <c r="N645" s="1012"/>
      <c r="O645" s="1012"/>
      <c r="P645" s="485"/>
      <c r="Q645" s="778"/>
      <c r="R645" s="778"/>
      <c r="S645" s="785" t="str">
        <f t="shared" si="524"/>
        <v/>
      </c>
      <c r="T645" s="548" t="str">
        <f t="shared" si="522"/>
        <v>Sheet Metal Takeoff</v>
      </c>
      <c r="U645" s="83">
        <f t="shared" si="525"/>
        <v>0</v>
      </c>
      <c r="V645" s="83">
        <f t="shared" si="526"/>
        <v>0</v>
      </c>
      <c r="W645" s="83">
        <f t="shared" si="527"/>
        <v>0</v>
      </c>
      <c r="X645" s="781">
        <f t="shared" si="528"/>
        <v>0</v>
      </c>
      <c r="Y645" s="781">
        <f t="shared" si="529"/>
        <v>0</v>
      </c>
      <c r="Z645" s="781">
        <f t="shared" si="530"/>
        <v>0</v>
      </c>
      <c r="AA645" s="83">
        <f t="shared" si="523"/>
        <v>0</v>
      </c>
      <c r="AB645" s="83">
        <f t="shared" si="531"/>
        <v>0</v>
      </c>
      <c r="AC645" s="83">
        <f t="shared" si="532"/>
        <v>0</v>
      </c>
      <c r="AD645" s="83">
        <f t="shared" si="533"/>
        <v>0</v>
      </c>
      <c r="AE645" s="83">
        <f t="shared" si="534"/>
        <v>0</v>
      </c>
      <c r="AF645" s="83">
        <f t="shared" si="535"/>
        <v>0</v>
      </c>
      <c r="AG645" s="83">
        <f t="shared" si="536"/>
        <v>0</v>
      </c>
      <c r="AH645" s="83">
        <f t="shared" si="537"/>
        <v>0</v>
      </c>
      <c r="AI645" s="83">
        <f t="shared" si="538"/>
        <v>0</v>
      </c>
      <c r="AJ645" s="718">
        <f t="shared" si="539"/>
        <v>0</v>
      </c>
      <c r="AL645">
        <f t="shared" si="540"/>
        <v>0</v>
      </c>
      <c r="AM645">
        <f t="shared" si="541"/>
        <v>0</v>
      </c>
    </row>
    <row r="646" spans="1:39" ht="15.75" x14ac:dyDescent="0.25">
      <c r="A646" s="561"/>
      <c r="B646" s="561"/>
      <c r="C646" s="561"/>
      <c r="D646" s="672"/>
      <c r="E646" s="209"/>
      <c r="F646" s="209"/>
      <c r="G646" s="209"/>
      <c r="H646" s="176">
        <f t="shared" si="519"/>
        <v>0</v>
      </c>
      <c r="I646" s="209"/>
      <c r="J646" s="209"/>
      <c r="K646" s="176">
        <f t="shared" si="520"/>
        <v>0</v>
      </c>
      <c r="L646" s="209"/>
      <c r="M646" s="177">
        <f t="shared" si="521"/>
        <v>0</v>
      </c>
      <c r="N646" s="1012"/>
      <c r="O646" s="1012"/>
      <c r="P646" s="485"/>
      <c r="Q646" s="778"/>
      <c r="R646" s="778"/>
      <c r="S646" s="785" t="str">
        <f t="shared" si="524"/>
        <v/>
      </c>
      <c r="T646" s="548" t="str">
        <f t="shared" si="522"/>
        <v>Sheet Metal Takeoff</v>
      </c>
      <c r="U646" s="83">
        <f t="shared" si="525"/>
        <v>0</v>
      </c>
      <c r="V646" s="83">
        <f t="shared" si="526"/>
        <v>0</v>
      </c>
      <c r="W646" s="83">
        <f t="shared" si="527"/>
        <v>0</v>
      </c>
      <c r="X646" s="781">
        <f t="shared" si="528"/>
        <v>0</v>
      </c>
      <c r="Y646" s="781">
        <f t="shared" si="529"/>
        <v>0</v>
      </c>
      <c r="Z646" s="781">
        <f t="shared" si="530"/>
        <v>0</v>
      </c>
      <c r="AA646" s="83">
        <f t="shared" si="523"/>
        <v>0</v>
      </c>
      <c r="AB646" s="83">
        <f t="shared" si="531"/>
        <v>0</v>
      </c>
      <c r="AC646" s="83">
        <f t="shared" si="532"/>
        <v>0</v>
      </c>
      <c r="AD646" s="83">
        <f t="shared" si="533"/>
        <v>0</v>
      </c>
      <c r="AE646" s="83">
        <f t="shared" si="534"/>
        <v>0</v>
      </c>
      <c r="AF646" s="83">
        <f t="shared" si="535"/>
        <v>0</v>
      </c>
      <c r="AG646" s="83">
        <f t="shared" si="536"/>
        <v>0</v>
      </c>
      <c r="AH646" s="83">
        <f t="shared" si="537"/>
        <v>0</v>
      </c>
      <c r="AI646" s="83">
        <f t="shared" si="538"/>
        <v>0</v>
      </c>
      <c r="AJ646" s="718">
        <f t="shared" si="539"/>
        <v>0</v>
      </c>
      <c r="AL646">
        <f t="shared" si="540"/>
        <v>0</v>
      </c>
      <c r="AM646">
        <f t="shared" si="541"/>
        <v>0</v>
      </c>
    </row>
    <row r="647" spans="1:39" ht="15.75" x14ac:dyDescent="0.25">
      <c r="A647" s="561"/>
      <c r="B647" s="561"/>
      <c r="C647" s="561"/>
      <c r="D647" s="672"/>
      <c r="E647" s="209"/>
      <c r="F647" s="209"/>
      <c r="G647" s="209"/>
      <c r="H647" s="176">
        <f t="shared" si="519"/>
        <v>0</v>
      </c>
      <c r="I647" s="209"/>
      <c r="J647" s="209"/>
      <c r="K647" s="176">
        <f t="shared" si="520"/>
        <v>0</v>
      </c>
      <c r="L647" s="209"/>
      <c r="M647" s="177">
        <f t="shared" si="521"/>
        <v>0</v>
      </c>
      <c r="N647" s="1012"/>
      <c r="O647" s="1012"/>
      <c r="P647" s="485"/>
      <c r="Q647" s="778"/>
      <c r="R647" s="778"/>
      <c r="S647" s="785" t="str">
        <f t="shared" si="524"/>
        <v/>
      </c>
      <c r="T647" s="548" t="str">
        <f t="shared" si="522"/>
        <v>Sheet Metal Takeoff</v>
      </c>
      <c r="U647" s="83">
        <f t="shared" si="525"/>
        <v>0</v>
      </c>
      <c r="V647" s="83">
        <f t="shared" si="526"/>
        <v>0</v>
      </c>
      <c r="W647" s="83">
        <f t="shared" si="527"/>
        <v>0</v>
      </c>
      <c r="X647" s="781">
        <f t="shared" si="528"/>
        <v>0</v>
      </c>
      <c r="Y647" s="781">
        <f t="shared" si="529"/>
        <v>0</v>
      </c>
      <c r="Z647" s="781">
        <f t="shared" si="530"/>
        <v>0</v>
      </c>
      <c r="AA647" s="83">
        <f t="shared" si="523"/>
        <v>0</v>
      </c>
      <c r="AB647" s="83">
        <f t="shared" si="531"/>
        <v>0</v>
      </c>
      <c r="AC647" s="83">
        <f t="shared" si="532"/>
        <v>0</v>
      </c>
      <c r="AD647" s="83">
        <f t="shared" si="533"/>
        <v>0</v>
      </c>
      <c r="AE647" s="83">
        <f t="shared" si="534"/>
        <v>0</v>
      </c>
      <c r="AF647" s="83">
        <f t="shared" si="535"/>
        <v>0</v>
      </c>
      <c r="AG647" s="83">
        <f t="shared" si="536"/>
        <v>0</v>
      </c>
      <c r="AH647" s="83">
        <f t="shared" si="537"/>
        <v>0</v>
      </c>
      <c r="AI647" s="83">
        <f t="shared" si="538"/>
        <v>0</v>
      </c>
      <c r="AJ647" s="718">
        <f t="shared" si="539"/>
        <v>0</v>
      </c>
      <c r="AL647">
        <f t="shared" si="540"/>
        <v>0</v>
      </c>
      <c r="AM647">
        <f t="shared" si="541"/>
        <v>0</v>
      </c>
    </row>
    <row r="648" spans="1:39" ht="15.75" x14ac:dyDescent="0.25">
      <c r="A648" s="561"/>
      <c r="B648" s="561"/>
      <c r="C648" s="561"/>
      <c r="D648" s="672"/>
      <c r="E648" s="209"/>
      <c r="F648" s="209"/>
      <c r="G648" s="209"/>
      <c r="H648" s="176">
        <f t="shared" si="519"/>
        <v>0</v>
      </c>
      <c r="I648" s="209"/>
      <c r="J648" s="209"/>
      <c r="K648" s="176">
        <f t="shared" si="520"/>
        <v>0</v>
      </c>
      <c r="L648" s="209"/>
      <c r="M648" s="177">
        <f t="shared" si="521"/>
        <v>0</v>
      </c>
      <c r="N648" s="1012"/>
      <c r="O648" s="1012"/>
      <c r="P648" s="485"/>
      <c r="Q648" s="778"/>
      <c r="R648" s="778"/>
      <c r="S648" s="785" t="str">
        <f t="shared" si="524"/>
        <v/>
      </c>
      <c r="T648" s="548" t="str">
        <f t="shared" si="522"/>
        <v>Sheet Metal Takeoff</v>
      </c>
      <c r="U648" s="83">
        <f t="shared" si="525"/>
        <v>0</v>
      </c>
      <c r="V648" s="83">
        <f t="shared" si="526"/>
        <v>0</v>
      </c>
      <c r="W648" s="83">
        <f t="shared" si="527"/>
        <v>0</v>
      </c>
      <c r="X648" s="781">
        <f t="shared" si="528"/>
        <v>0</v>
      </c>
      <c r="Y648" s="781">
        <f t="shared" si="529"/>
        <v>0</v>
      </c>
      <c r="Z648" s="781">
        <f t="shared" si="530"/>
        <v>0</v>
      </c>
      <c r="AA648" s="83">
        <f t="shared" si="523"/>
        <v>0</v>
      </c>
      <c r="AB648" s="83">
        <f t="shared" si="531"/>
        <v>0</v>
      </c>
      <c r="AC648" s="83">
        <f t="shared" si="532"/>
        <v>0</v>
      </c>
      <c r="AD648" s="83">
        <f t="shared" si="533"/>
        <v>0</v>
      </c>
      <c r="AE648" s="83">
        <f t="shared" si="534"/>
        <v>0</v>
      </c>
      <c r="AF648" s="83">
        <f t="shared" si="535"/>
        <v>0</v>
      </c>
      <c r="AG648" s="83">
        <f t="shared" si="536"/>
        <v>0</v>
      </c>
      <c r="AH648" s="83">
        <f t="shared" si="537"/>
        <v>0</v>
      </c>
      <c r="AI648" s="83">
        <f t="shared" si="538"/>
        <v>0</v>
      </c>
      <c r="AJ648" s="718">
        <f t="shared" si="539"/>
        <v>0</v>
      </c>
      <c r="AL648">
        <f t="shared" si="540"/>
        <v>0</v>
      </c>
      <c r="AM648">
        <f t="shared" si="541"/>
        <v>0</v>
      </c>
    </row>
    <row r="649" spans="1:39" ht="15.75" x14ac:dyDescent="0.25">
      <c r="A649" s="561"/>
      <c r="B649" s="561"/>
      <c r="C649" s="561"/>
      <c r="D649" s="672"/>
      <c r="E649" s="209"/>
      <c r="F649" s="209"/>
      <c r="G649" s="209"/>
      <c r="H649" s="176">
        <f t="shared" si="519"/>
        <v>0</v>
      </c>
      <c r="I649" s="209"/>
      <c r="J649" s="209"/>
      <c r="K649" s="176">
        <f t="shared" si="520"/>
        <v>0</v>
      </c>
      <c r="L649" s="209"/>
      <c r="M649" s="177">
        <f t="shared" si="521"/>
        <v>0</v>
      </c>
      <c r="N649" s="1012"/>
      <c r="O649" s="1012"/>
      <c r="P649" s="485"/>
      <c r="Q649" s="778"/>
      <c r="R649" s="778"/>
      <c r="S649" s="785" t="str">
        <f t="shared" si="524"/>
        <v/>
      </c>
      <c r="T649" s="548" t="str">
        <f t="shared" si="522"/>
        <v>Sheet Metal Takeoff</v>
      </c>
      <c r="U649" s="83">
        <f t="shared" si="525"/>
        <v>0</v>
      </c>
      <c r="V649" s="83">
        <f t="shared" si="526"/>
        <v>0</v>
      </c>
      <c r="W649" s="83">
        <f t="shared" si="527"/>
        <v>0</v>
      </c>
      <c r="X649" s="781">
        <f t="shared" si="528"/>
        <v>0</v>
      </c>
      <c r="Y649" s="781">
        <f t="shared" si="529"/>
        <v>0</v>
      </c>
      <c r="Z649" s="781">
        <f t="shared" si="530"/>
        <v>0</v>
      </c>
      <c r="AA649" s="83">
        <f t="shared" si="523"/>
        <v>0</v>
      </c>
      <c r="AB649" s="83">
        <f t="shared" si="531"/>
        <v>0</v>
      </c>
      <c r="AC649" s="83">
        <f t="shared" si="532"/>
        <v>0</v>
      </c>
      <c r="AD649" s="83">
        <f t="shared" si="533"/>
        <v>0</v>
      </c>
      <c r="AE649" s="83">
        <f t="shared" si="534"/>
        <v>0</v>
      </c>
      <c r="AF649" s="83">
        <f t="shared" si="535"/>
        <v>0</v>
      </c>
      <c r="AG649" s="83">
        <f t="shared" si="536"/>
        <v>0</v>
      </c>
      <c r="AH649" s="83">
        <f t="shared" si="537"/>
        <v>0</v>
      </c>
      <c r="AI649" s="83">
        <f t="shared" si="538"/>
        <v>0</v>
      </c>
      <c r="AJ649" s="718">
        <f t="shared" si="539"/>
        <v>0</v>
      </c>
      <c r="AL649">
        <f t="shared" si="540"/>
        <v>0</v>
      </c>
      <c r="AM649">
        <f t="shared" si="541"/>
        <v>0</v>
      </c>
    </row>
    <row r="650" spans="1:39" ht="15.75" x14ac:dyDescent="0.25">
      <c r="A650" s="561"/>
      <c r="B650" s="561"/>
      <c r="C650" s="561"/>
      <c r="D650" s="672"/>
      <c r="E650" s="209"/>
      <c r="F650" s="209"/>
      <c r="G650" s="209"/>
      <c r="H650" s="176">
        <f t="shared" si="519"/>
        <v>0</v>
      </c>
      <c r="I650" s="209"/>
      <c r="J650" s="209"/>
      <c r="K650" s="176">
        <f t="shared" si="520"/>
        <v>0</v>
      </c>
      <c r="L650" s="209"/>
      <c r="M650" s="177">
        <f t="shared" si="521"/>
        <v>0</v>
      </c>
      <c r="N650" s="1012"/>
      <c r="O650" s="1012"/>
      <c r="P650" s="485"/>
      <c r="Q650" s="778"/>
      <c r="R650" s="778"/>
      <c r="S650" s="785" t="str">
        <f t="shared" si="524"/>
        <v/>
      </c>
      <c r="T650" s="548" t="str">
        <f t="shared" si="522"/>
        <v>Sheet Metal Takeoff</v>
      </c>
      <c r="U650" s="83">
        <f t="shared" si="525"/>
        <v>0</v>
      </c>
      <c r="V650" s="83">
        <f t="shared" si="526"/>
        <v>0</v>
      </c>
      <c r="W650" s="83">
        <f t="shared" si="527"/>
        <v>0</v>
      </c>
      <c r="X650" s="781">
        <f t="shared" si="528"/>
        <v>0</v>
      </c>
      <c r="Y650" s="781">
        <f t="shared" si="529"/>
        <v>0</v>
      </c>
      <c r="Z650" s="781">
        <f t="shared" si="530"/>
        <v>0</v>
      </c>
      <c r="AA650" s="83">
        <f t="shared" si="523"/>
        <v>0</v>
      </c>
      <c r="AB650" s="83">
        <f t="shared" si="531"/>
        <v>0</v>
      </c>
      <c r="AC650" s="83">
        <f t="shared" si="532"/>
        <v>0</v>
      </c>
      <c r="AD650" s="83">
        <f t="shared" si="533"/>
        <v>0</v>
      </c>
      <c r="AE650" s="83">
        <f t="shared" si="534"/>
        <v>0</v>
      </c>
      <c r="AF650" s="83">
        <f t="shared" si="535"/>
        <v>0</v>
      </c>
      <c r="AG650" s="83">
        <f t="shared" si="536"/>
        <v>0</v>
      </c>
      <c r="AH650" s="83">
        <f t="shared" si="537"/>
        <v>0</v>
      </c>
      <c r="AI650" s="83">
        <f t="shared" si="538"/>
        <v>0</v>
      </c>
      <c r="AJ650" s="718">
        <f t="shared" si="539"/>
        <v>0</v>
      </c>
      <c r="AL650">
        <f t="shared" si="540"/>
        <v>0</v>
      </c>
      <c r="AM650">
        <f t="shared" si="541"/>
        <v>0</v>
      </c>
    </row>
    <row r="651" spans="1:39" ht="15.75" x14ac:dyDescent="0.25">
      <c r="A651" s="561"/>
      <c r="B651" s="561"/>
      <c r="C651" s="561"/>
      <c r="D651" s="672"/>
      <c r="E651" s="209"/>
      <c r="F651" s="209"/>
      <c r="G651" s="209"/>
      <c r="H651" s="176">
        <f t="shared" si="519"/>
        <v>0</v>
      </c>
      <c r="I651" s="209"/>
      <c r="J651" s="209"/>
      <c r="K651" s="176">
        <f t="shared" si="520"/>
        <v>0</v>
      </c>
      <c r="L651" s="209"/>
      <c r="M651" s="177">
        <f t="shared" si="521"/>
        <v>0</v>
      </c>
      <c r="N651" s="1012"/>
      <c r="O651" s="1012"/>
      <c r="P651" s="485"/>
      <c r="Q651" s="778"/>
      <c r="R651" s="778"/>
      <c r="S651" s="785" t="str">
        <f t="shared" si="524"/>
        <v/>
      </c>
      <c r="T651" s="548" t="str">
        <f t="shared" si="522"/>
        <v>Sheet Metal Takeoff</v>
      </c>
      <c r="U651" s="83">
        <f t="shared" si="525"/>
        <v>0</v>
      </c>
      <c r="V651" s="83">
        <f t="shared" si="526"/>
        <v>0</v>
      </c>
      <c r="W651" s="83">
        <f t="shared" si="527"/>
        <v>0</v>
      </c>
      <c r="X651" s="781">
        <f t="shared" si="528"/>
        <v>0</v>
      </c>
      <c r="Y651" s="781">
        <f t="shared" si="529"/>
        <v>0</v>
      </c>
      <c r="Z651" s="781">
        <f t="shared" si="530"/>
        <v>0</v>
      </c>
      <c r="AA651" s="83">
        <f t="shared" si="523"/>
        <v>0</v>
      </c>
      <c r="AB651" s="83">
        <f t="shared" si="531"/>
        <v>0</v>
      </c>
      <c r="AC651" s="83">
        <f t="shared" si="532"/>
        <v>0</v>
      </c>
      <c r="AD651" s="83">
        <f t="shared" si="533"/>
        <v>0</v>
      </c>
      <c r="AE651" s="83">
        <f t="shared" si="534"/>
        <v>0</v>
      </c>
      <c r="AF651" s="83">
        <f t="shared" si="535"/>
        <v>0</v>
      </c>
      <c r="AG651" s="83">
        <f t="shared" si="536"/>
        <v>0</v>
      </c>
      <c r="AH651" s="83">
        <f t="shared" si="537"/>
        <v>0</v>
      </c>
      <c r="AI651" s="83">
        <f t="shared" si="538"/>
        <v>0</v>
      </c>
      <c r="AJ651" s="718">
        <f t="shared" si="539"/>
        <v>0</v>
      </c>
      <c r="AL651">
        <f t="shared" si="540"/>
        <v>0</v>
      </c>
      <c r="AM651">
        <f t="shared" si="541"/>
        <v>0</v>
      </c>
    </row>
    <row r="652" spans="1:39" ht="15.75" x14ac:dyDescent="0.25">
      <c r="A652" s="561"/>
      <c r="B652" s="561"/>
      <c r="C652" s="561"/>
      <c r="D652" s="672"/>
      <c r="E652" s="209"/>
      <c r="F652" s="209"/>
      <c r="G652" s="209"/>
      <c r="H652" s="176">
        <f t="shared" si="519"/>
        <v>0</v>
      </c>
      <c r="I652" s="209"/>
      <c r="J652" s="209"/>
      <c r="K652" s="176">
        <f t="shared" si="520"/>
        <v>0</v>
      </c>
      <c r="L652" s="209"/>
      <c r="M652" s="177">
        <f t="shared" si="521"/>
        <v>0</v>
      </c>
      <c r="N652" s="1012"/>
      <c r="O652" s="1012"/>
      <c r="P652" s="485"/>
      <c r="Q652" s="778"/>
      <c r="R652" s="778"/>
      <c r="S652" s="785" t="str">
        <f t="shared" si="524"/>
        <v/>
      </c>
      <c r="T652" s="548" t="str">
        <f t="shared" si="522"/>
        <v>Sheet Metal Takeoff</v>
      </c>
      <c r="U652" s="83">
        <f t="shared" si="525"/>
        <v>0</v>
      </c>
      <c r="V652" s="83">
        <f t="shared" si="526"/>
        <v>0</v>
      </c>
      <c r="W652" s="83">
        <f t="shared" si="527"/>
        <v>0</v>
      </c>
      <c r="X652" s="781">
        <f t="shared" si="528"/>
        <v>0</v>
      </c>
      <c r="Y652" s="781">
        <f t="shared" si="529"/>
        <v>0</v>
      </c>
      <c r="Z652" s="781">
        <f t="shared" si="530"/>
        <v>0</v>
      </c>
      <c r="AA652" s="83">
        <f t="shared" si="523"/>
        <v>0</v>
      </c>
      <c r="AB652" s="83">
        <f t="shared" si="531"/>
        <v>0</v>
      </c>
      <c r="AC652" s="83">
        <f t="shared" si="532"/>
        <v>0</v>
      </c>
      <c r="AD652" s="83">
        <f t="shared" si="533"/>
        <v>0</v>
      </c>
      <c r="AE652" s="83">
        <f t="shared" si="534"/>
        <v>0</v>
      </c>
      <c r="AF652" s="83">
        <f t="shared" si="535"/>
        <v>0</v>
      </c>
      <c r="AG652" s="83">
        <f t="shared" si="536"/>
        <v>0</v>
      </c>
      <c r="AH652" s="83">
        <f t="shared" si="537"/>
        <v>0</v>
      </c>
      <c r="AI652" s="83">
        <f t="shared" si="538"/>
        <v>0</v>
      </c>
      <c r="AJ652" s="718">
        <f t="shared" si="539"/>
        <v>0</v>
      </c>
      <c r="AL652">
        <f t="shared" si="540"/>
        <v>0</v>
      </c>
      <c r="AM652">
        <f t="shared" si="541"/>
        <v>0</v>
      </c>
    </row>
    <row r="653" spans="1:39" ht="15.75" x14ac:dyDescent="0.25">
      <c r="A653" s="561"/>
      <c r="B653" s="561"/>
      <c r="C653" s="561"/>
      <c r="D653" s="672"/>
      <c r="E653" s="209"/>
      <c r="F653" s="209"/>
      <c r="G653" s="209"/>
      <c r="H653" s="176">
        <f t="shared" si="519"/>
        <v>0</v>
      </c>
      <c r="I653" s="209"/>
      <c r="J653" s="209"/>
      <c r="K653" s="176">
        <f t="shared" si="520"/>
        <v>0</v>
      </c>
      <c r="L653" s="209"/>
      <c r="M653" s="177">
        <f t="shared" si="521"/>
        <v>0</v>
      </c>
      <c r="N653" s="1012"/>
      <c r="O653" s="1012"/>
      <c r="P653" s="485"/>
      <c r="Q653" s="778"/>
      <c r="R653" s="778"/>
      <c r="S653" s="785" t="str">
        <f t="shared" si="524"/>
        <v/>
      </c>
      <c r="T653" s="548" t="str">
        <f t="shared" si="522"/>
        <v>Sheet Metal Takeoff</v>
      </c>
      <c r="U653" s="83">
        <f t="shared" si="525"/>
        <v>0</v>
      </c>
      <c r="V653" s="83">
        <f t="shared" si="526"/>
        <v>0</v>
      </c>
      <c r="W653" s="83">
        <f t="shared" si="527"/>
        <v>0</v>
      </c>
      <c r="X653" s="781">
        <f t="shared" si="528"/>
        <v>0</v>
      </c>
      <c r="Y653" s="781">
        <f t="shared" si="529"/>
        <v>0</v>
      </c>
      <c r="Z653" s="781">
        <f t="shared" si="530"/>
        <v>0</v>
      </c>
      <c r="AA653" s="83">
        <f t="shared" si="523"/>
        <v>0</v>
      </c>
      <c r="AB653" s="83">
        <f t="shared" si="531"/>
        <v>0</v>
      </c>
      <c r="AC653" s="83">
        <f t="shared" si="532"/>
        <v>0</v>
      </c>
      <c r="AD653" s="83">
        <f t="shared" si="533"/>
        <v>0</v>
      </c>
      <c r="AE653" s="83">
        <f t="shared" si="534"/>
        <v>0</v>
      </c>
      <c r="AF653" s="83">
        <f t="shared" si="535"/>
        <v>0</v>
      </c>
      <c r="AG653" s="83">
        <f t="shared" si="536"/>
        <v>0</v>
      </c>
      <c r="AH653" s="83">
        <f t="shared" si="537"/>
        <v>0</v>
      </c>
      <c r="AI653" s="83">
        <f t="shared" si="538"/>
        <v>0</v>
      </c>
      <c r="AJ653" s="718">
        <f t="shared" si="539"/>
        <v>0</v>
      </c>
      <c r="AL653">
        <f t="shared" si="540"/>
        <v>0</v>
      </c>
      <c r="AM653">
        <f t="shared" si="541"/>
        <v>0</v>
      </c>
    </row>
    <row r="654" spans="1:39" ht="15.75" x14ac:dyDescent="0.25">
      <c r="A654" s="561"/>
      <c r="B654" s="561"/>
      <c r="C654" s="561"/>
      <c r="D654" s="672"/>
      <c r="E654" s="209"/>
      <c r="F654" s="209"/>
      <c r="G654" s="209"/>
      <c r="H654" s="176">
        <f t="shared" si="519"/>
        <v>0</v>
      </c>
      <c r="I654" s="209"/>
      <c r="J654" s="209"/>
      <c r="K654" s="176">
        <f t="shared" si="520"/>
        <v>0</v>
      </c>
      <c r="L654" s="209"/>
      <c r="M654" s="177">
        <f t="shared" si="521"/>
        <v>0</v>
      </c>
      <c r="N654" s="1012"/>
      <c r="O654" s="1012"/>
      <c r="P654" s="485"/>
      <c r="Q654" s="778"/>
      <c r="R654" s="778"/>
      <c r="S654" s="785" t="str">
        <f t="shared" si="524"/>
        <v/>
      </c>
      <c r="T654" s="548" t="str">
        <f t="shared" si="522"/>
        <v>Sheet Metal Takeoff</v>
      </c>
      <c r="U654" s="83">
        <f t="shared" si="525"/>
        <v>0</v>
      </c>
      <c r="V654" s="83">
        <f t="shared" si="526"/>
        <v>0</v>
      </c>
      <c r="W654" s="83">
        <f t="shared" si="527"/>
        <v>0</v>
      </c>
      <c r="X654" s="781">
        <f t="shared" si="528"/>
        <v>0</v>
      </c>
      <c r="Y654" s="781">
        <f t="shared" si="529"/>
        <v>0</v>
      </c>
      <c r="Z654" s="781">
        <f t="shared" si="530"/>
        <v>0</v>
      </c>
      <c r="AA654" s="83">
        <f t="shared" si="523"/>
        <v>0</v>
      </c>
      <c r="AB654" s="83">
        <f t="shared" si="531"/>
        <v>0</v>
      </c>
      <c r="AC654" s="83">
        <f t="shared" si="532"/>
        <v>0</v>
      </c>
      <c r="AD654" s="83">
        <f t="shared" si="533"/>
        <v>0</v>
      </c>
      <c r="AE654" s="83">
        <f t="shared" si="534"/>
        <v>0</v>
      </c>
      <c r="AF654" s="83">
        <f t="shared" si="535"/>
        <v>0</v>
      </c>
      <c r="AG654" s="83">
        <f t="shared" si="536"/>
        <v>0</v>
      </c>
      <c r="AH654" s="83">
        <f t="shared" si="537"/>
        <v>0</v>
      </c>
      <c r="AI654" s="83">
        <f t="shared" si="538"/>
        <v>0</v>
      </c>
      <c r="AJ654" s="718">
        <f t="shared" si="539"/>
        <v>0</v>
      </c>
      <c r="AL654">
        <f t="shared" si="540"/>
        <v>0</v>
      </c>
      <c r="AM654">
        <f t="shared" si="541"/>
        <v>0</v>
      </c>
    </row>
    <row r="655" spans="1:39" ht="15.75" x14ac:dyDescent="0.25">
      <c r="A655" s="561"/>
      <c r="B655" s="561"/>
      <c r="C655" s="561"/>
      <c r="D655" s="672"/>
      <c r="E655" s="209"/>
      <c r="F655" s="209"/>
      <c r="G655" s="209"/>
      <c r="H655" s="176">
        <f t="shared" si="519"/>
        <v>0</v>
      </c>
      <c r="I655" s="209"/>
      <c r="J655" s="209"/>
      <c r="K655" s="176">
        <f t="shared" si="520"/>
        <v>0</v>
      </c>
      <c r="L655" s="209"/>
      <c r="M655" s="177">
        <f t="shared" si="521"/>
        <v>0</v>
      </c>
      <c r="N655" s="1012"/>
      <c r="O655" s="1012"/>
      <c r="P655" s="485"/>
      <c r="Q655" s="778"/>
      <c r="R655" s="778"/>
      <c r="S655" s="785" t="str">
        <f t="shared" si="524"/>
        <v/>
      </c>
      <c r="T655" s="548" t="str">
        <f t="shared" si="522"/>
        <v>Sheet Metal Takeoff</v>
      </c>
      <c r="U655" s="83">
        <f t="shared" si="525"/>
        <v>0</v>
      </c>
      <c r="V655" s="83">
        <f t="shared" si="526"/>
        <v>0</v>
      </c>
      <c r="W655" s="83">
        <f t="shared" si="527"/>
        <v>0</v>
      </c>
      <c r="X655" s="781">
        <f t="shared" si="528"/>
        <v>0</v>
      </c>
      <c r="Y655" s="781">
        <f t="shared" si="529"/>
        <v>0</v>
      </c>
      <c r="Z655" s="781">
        <f t="shared" si="530"/>
        <v>0</v>
      </c>
      <c r="AA655" s="83">
        <f t="shared" si="523"/>
        <v>0</v>
      </c>
      <c r="AB655" s="83">
        <f t="shared" si="531"/>
        <v>0</v>
      </c>
      <c r="AC655" s="83">
        <f t="shared" si="532"/>
        <v>0</v>
      </c>
      <c r="AD655" s="83">
        <f t="shared" si="533"/>
        <v>0</v>
      </c>
      <c r="AE655" s="83">
        <f t="shared" si="534"/>
        <v>0</v>
      </c>
      <c r="AF655" s="83">
        <f t="shared" si="535"/>
        <v>0</v>
      </c>
      <c r="AG655" s="83">
        <f t="shared" si="536"/>
        <v>0</v>
      </c>
      <c r="AH655" s="83">
        <f t="shared" si="537"/>
        <v>0</v>
      </c>
      <c r="AI655" s="83">
        <f t="shared" si="538"/>
        <v>0</v>
      </c>
      <c r="AJ655" s="718">
        <f t="shared" si="539"/>
        <v>0</v>
      </c>
      <c r="AL655">
        <f t="shared" si="540"/>
        <v>0</v>
      </c>
      <c r="AM655">
        <f t="shared" si="541"/>
        <v>0</v>
      </c>
    </row>
    <row r="656" spans="1:39" ht="15.75" x14ac:dyDescent="0.25">
      <c r="A656" s="561"/>
      <c r="B656" s="561"/>
      <c r="C656" s="561"/>
      <c r="D656" s="672"/>
      <c r="E656" s="209"/>
      <c r="F656" s="209"/>
      <c r="G656" s="209"/>
      <c r="H656" s="176">
        <f t="shared" si="519"/>
        <v>0</v>
      </c>
      <c r="I656" s="209"/>
      <c r="J656" s="209"/>
      <c r="K656" s="176">
        <f t="shared" si="520"/>
        <v>0</v>
      </c>
      <c r="L656" s="209"/>
      <c r="M656" s="177">
        <f t="shared" si="521"/>
        <v>0</v>
      </c>
      <c r="N656" s="1012"/>
      <c r="O656" s="1012"/>
      <c r="P656" s="485"/>
      <c r="Q656" s="778"/>
      <c r="R656" s="778"/>
      <c r="S656" s="785" t="str">
        <f t="shared" si="524"/>
        <v/>
      </c>
      <c r="T656" s="548" t="str">
        <f t="shared" si="522"/>
        <v>Sheet Metal Takeoff</v>
      </c>
      <c r="U656" s="83">
        <f t="shared" si="525"/>
        <v>0</v>
      </c>
      <c r="V656" s="83">
        <f t="shared" si="526"/>
        <v>0</v>
      </c>
      <c r="W656" s="83">
        <f t="shared" si="527"/>
        <v>0</v>
      </c>
      <c r="X656" s="781">
        <f t="shared" si="528"/>
        <v>0</v>
      </c>
      <c r="Y656" s="781">
        <f t="shared" si="529"/>
        <v>0</v>
      </c>
      <c r="Z656" s="781">
        <f t="shared" si="530"/>
        <v>0</v>
      </c>
      <c r="AA656" s="83">
        <f t="shared" si="523"/>
        <v>0</v>
      </c>
      <c r="AB656" s="83">
        <f t="shared" si="531"/>
        <v>0</v>
      </c>
      <c r="AC656" s="83">
        <f t="shared" si="532"/>
        <v>0</v>
      </c>
      <c r="AD656" s="83">
        <f t="shared" si="533"/>
        <v>0</v>
      </c>
      <c r="AE656" s="83">
        <f t="shared" si="534"/>
        <v>0</v>
      </c>
      <c r="AF656" s="83">
        <f t="shared" si="535"/>
        <v>0</v>
      </c>
      <c r="AG656" s="83">
        <f t="shared" si="536"/>
        <v>0</v>
      </c>
      <c r="AH656" s="83">
        <f t="shared" si="537"/>
        <v>0</v>
      </c>
      <c r="AI656" s="83">
        <f t="shared" si="538"/>
        <v>0</v>
      </c>
      <c r="AJ656" s="718">
        <f t="shared" si="539"/>
        <v>0</v>
      </c>
      <c r="AL656">
        <f t="shared" si="540"/>
        <v>0</v>
      </c>
      <c r="AM656">
        <f t="shared" si="541"/>
        <v>0</v>
      </c>
    </row>
    <row r="657" spans="1:39" ht="15.75" x14ac:dyDescent="0.25">
      <c r="A657" s="561"/>
      <c r="B657" s="561"/>
      <c r="C657" s="561"/>
      <c r="D657" s="672"/>
      <c r="E657" s="209"/>
      <c r="F657" s="209"/>
      <c r="G657" s="209"/>
      <c r="H657" s="176">
        <f t="shared" si="519"/>
        <v>0</v>
      </c>
      <c r="I657" s="209"/>
      <c r="J657" s="209"/>
      <c r="K657" s="176">
        <f t="shared" si="520"/>
        <v>0</v>
      </c>
      <c r="L657" s="209"/>
      <c r="M657" s="177">
        <f t="shared" si="521"/>
        <v>0</v>
      </c>
      <c r="N657" s="1012"/>
      <c r="O657" s="1012"/>
      <c r="P657" s="485"/>
      <c r="Q657" s="778"/>
      <c r="R657" s="778"/>
      <c r="S657" s="785" t="str">
        <f t="shared" si="524"/>
        <v/>
      </c>
      <c r="T657" s="548" t="str">
        <f t="shared" si="522"/>
        <v>Sheet Metal Takeoff</v>
      </c>
      <c r="U657" s="83">
        <f t="shared" si="525"/>
        <v>0</v>
      </c>
      <c r="V657" s="83">
        <f t="shared" si="526"/>
        <v>0</v>
      </c>
      <c r="W657" s="83">
        <f t="shared" si="527"/>
        <v>0</v>
      </c>
      <c r="X657" s="781">
        <f t="shared" si="528"/>
        <v>0</v>
      </c>
      <c r="Y657" s="781">
        <f t="shared" si="529"/>
        <v>0</v>
      </c>
      <c r="Z657" s="781">
        <f t="shared" si="530"/>
        <v>0</v>
      </c>
      <c r="AA657" s="83">
        <f t="shared" si="523"/>
        <v>0</v>
      </c>
      <c r="AB657" s="83">
        <f t="shared" si="531"/>
        <v>0</v>
      </c>
      <c r="AC657" s="83">
        <f t="shared" si="532"/>
        <v>0</v>
      </c>
      <c r="AD657" s="83">
        <f t="shared" si="533"/>
        <v>0</v>
      </c>
      <c r="AE657" s="83">
        <f t="shared" si="534"/>
        <v>0</v>
      </c>
      <c r="AF657" s="83">
        <f t="shared" si="535"/>
        <v>0</v>
      </c>
      <c r="AG657" s="83">
        <f t="shared" si="536"/>
        <v>0</v>
      </c>
      <c r="AH657" s="83">
        <f t="shared" si="537"/>
        <v>0</v>
      </c>
      <c r="AI657" s="83">
        <f t="shared" si="538"/>
        <v>0</v>
      </c>
      <c r="AJ657" s="718">
        <f t="shared" si="539"/>
        <v>0</v>
      </c>
      <c r="AL657">
        <f t="shared" si="540"/>
        <v>0</v>
      </c>
      <c r="AM657">
        <f t="shared" si="541"/>
        <v>0</v>
      </c>
    </row>
    <row r="658" spans="1:39" ht="15.75" x14ac:dyDescent="0.25">
      <c r="A658" s="561"/>
      <c r="B658" s="561"/>
      <c r="C658" s="561"/>
      <c r="D658" s="672"/>
      <c r="E658" s="209"/>
      <c r="F658" s="209"/>
      <c r="G658" s="209"/>
      <c r="H658" s="176">
        <f t="shared" si="519"/>
        <v>0</v>
      </c>
      <c r="I658" s="209"/>
      <c r="J658" s="209"/>
      <c r="K658" s="176">
        <f t="shared" si="520"/>
        <v>0</v>
      </c>
      <c r="L658" s="209"/>
      <c r="M658" s="177">
        <f t="shared" si="521"/>
        <v>0</v>
      </c>
      <c r="N658" s="1012"/>
      <c r="O658" s="1012"/>
      <c r="P658" s="485"/>
      <c r="Q658" s="778"/>
      <c r="R658" s="778"/>
      <c r="S658" s="785" t="str">
        <f t="shared" si="524"/>
        <v/>
      </c>
      <c r="T658" s="548" t="str">
        <f t="shared" si="522"/>
        <v>Sheet Metal Takeoff</v>
      </c>
      <c r="U658" s="83">
        <f t="shared" si="525"/>
        <v>0</v>
      </c>
      <c r="V658" s="83">
        <f t="shared" si="526"/>
        <v>0</v>
      </c>
      <c r="W658" s="83">
        <f t="shared" si="527"/>
        <v>0</v>
      </c>
      <c r="X658" s="781">
        <f t="shared" si="528"/>
        <v>0</v>
      </c>
      <c r="Y658" s="781">
        <f t="shared" si="529"/>
        <v>0</v>
      </c>
      <c r="Z658" s="781">
        <f t="shared" si="530"/>
        <v>0</v>
      </c>
      <c r="AA658" s="83">
        <f t="shared" si="523"/>
        <v>0</v>
      </c>
      <c r="AB658" s="83">
        <f t="shared" si="531"/>
        <v>0</v>
      </c>
      <c r="AC658" s="83">
        <f t="shared" si="532"/>
        <v>0</v>
      </c>
      <c r="AD658" s="83">
        <f t="shared" si="533"/>
        <v>0</v>
      </c>
      <c r="AE658" s="83">
        <f t="shared" si="534"/>
        <v>0</v>
      </c>
      <c r="AF658" s="83">
        <f t="shared" si="535"/>
        <v>0</v>
      </c>
      <c r="AG658" s="83">
        <f t="shared" si="536"/>
        <v>0</v>
      </c>
      <c r="AH658" s="83">
        <f t="shared" si="537"/>
        <v>0</v>
      </c>
      <c r="AI658" s="83">
        <f t="shared" si="538"/>
        <v>0</v>
      </c>
      <c r="AJ658" s="718">
        <f t="shared" si="539"/>
        <v>0</v>
      </c>
      <c r="AL658">
        <f t="shared" si="540"/>
        <v>0</v>
      </c>
      <c r="AM658">
        <f t="shared" si="541"/>
        <v>0</v>
      </c>
    </row>
    <row r="659" spans="1:39" ht="15.75" x14ac:dyDescent="0.25">
      <c r="A659" s="561"/>
      <c r="B659" s="561"/>
      <c r="C659" s="561"/>
      <c r="D659" s="672"/>
      <c r="E659" s="209"/>
      <c r="F659" s="209"/>
      <c r="G659" s="209"/>
      <c r="H659" s="176">
        <f t="shared" si="519"/>
        <v>0</v>
      </c>
      <c r="I659" s="209"/>
      <c r="J659" s="209"/>
      <c r="K659" s="176">
        <f t="shared" si="520"/>
        <v>0</v>
      </c>
      <c r="L659" s="209"/>
      <c r="M659" s="177">
        <f t="shared" si="521"/>
        <v>0</v>
      </c>
      <c r="N659" s="1012"/>
      <c r="O659" s="1012"/>
      <c r="P659" s="485"/>
      <c r="Q659" s="778"/>
      <c r="R659" s="778"/>
      <c r="S659" s="785" t="str">
        <f t="shared" si="524"/>
        <v/>
      </c>
      <c r="T659" s="548" t="str">
        <f t="shared" si="522"/>
        <v>Sheet Metal Takeoff</v>
      </c>
      <c r="U659" s="83">
        <f t="shared" si="525"/>
        <v>0</v>
      </c>
      <c r="V659" s="83">
        <f t="shared" si="526"/>
        <v>0</v>
      </c>
      <c r="W659" s="83">
        <f t="shared" si="527"/>
        <v>0</v>
      </c>
      <c r="X659" s="781">
        <f t="shared" si="528"/>
        <v>0</v>
      </c>
      <c r="Y659" s="781">
        <f t="shared" si="529"/>
        <v>0</v>
      </c>
      <c r="Z659" s="781">
        <f t="shared" si="530"/>
        <v>0</v>
      </c>
      <c r="AA659" s="83">
        <f t="shared" si="523"/>
        <v>0</v>
      </c>
      <c r="AB659" s="83">
        <f t="shared" si="531"/>
        <v>0</v>
      </c>
      <c r="AC659" s="83">
        <f t="shared" si="532"/>
        <v>0</v>
      </c>
      <c r="AD659" s="83">
        <f t="shared" si="533"/>
        <v>0</v>
      </c>
      <c r="AE659" s="83">
        <f t="shared" si="534"/>
        <v>0</v>
      </c>
      <c r="AF659" s="83">
        <f t="shared" si="535"/>
        <v>0</v>
      </c>
      <c r="AG659" s="83">
        <f t="shared" si="536"/>
        <v>0</v>
      </c>
      <c r="AH659" s="83">
        <f t="shared" si="537"/>
        <v>0</v>
      </c>
      <c r="AI659" s="83">
        <f t="shared" si="538"/>
        <v>0</v>
      </c>
      <c r="AJ659" s="718">
        <f t="shared" si="539"/>
        <v>0</v>
      </c>
      <c r="AL659">
        <f t="shared" si="540"/>
        <v>0</v>
      </c>
      <c r="AM659">
        <f t="shared" si="541"/>
        <v>0</v>
      </c>
    </row>
    <row r="660" spans="1:39" ht="15.75" x14ac:dyDescent="0.25">
      <c r="A660" s="561"/>
      <c r="B660" s="561"/>
      <c r="C660" s="561"/>
      <c r="D660" s="672"/>
      <c r="E660" s="209"/>
      <c r="F660" s="209"/>
      <c r="G660" s="209"/>
      <c r="H660" s="176">
        <f t="shared" si="519"/>
        <v>0</v>
      </c>
      <c r="I660" s="209"/>
      <c r="J660" s="209"/>
      <c r="K660" s="176">
        <f t="shared" si="520"/>
        <v>0</v>
      </c>
      <c r="L660" s="209"/>
      <c r="M660" s="177">
        <f t="shared" si="521"/>
        <v>0</v>
      </c>
      <c r="N660" s="1012"/>
      <c r="O660" s="1012"/>
      <c r="P660" s="485"/>
      <c r="Q660" s="778"/>
      <c r="R660" s="778"/>
      <c r="S660" s="785" t="str">
        <f t="shared" si="524"/>
        <v/>
      </c>
      <c r="T660" s="548" t="str">
        <f t="shared" si="522"/>
        <v>Sheet Metal Takeoff</v>
      </c>
      <c r="U660" s="83">
        <f t="shared" si="525"/>
        <v>0</v>
      </c>
      <c r="V660" s="83">
        <f t="shared" si="526"/>
        <v>0</v>
      </c>
      <c r="W660" s="83">
        <f t="shared" si="527"/>
        <v>0</v>
      </c>
      <c r="X660" s="781">
        <f t="shared" si="528"/>
        <v>0</v>
      </c>
      <c r="Y660" s="781">
        <f t="shared" si="529"/>
        <v>0</v>
      </c>
      <c r="Z660" s="781">
        <f t="shared" si="530"/>
        <v>0</v>
      </c>
      <c r="AA660" s="83">
        <f t="shared" si="523"/>
        <v>0</v>
      </c>
      <c r="AB660" s="83">
        <f t="shared" si="531"/>
        <v>0</v>
      </c>
      <c r="AC660" s="83">
        <f t="shared" si="532"/>
        <v>0</v>
      </c>
      <c r="AD660" s="83">
        <f t="shared" si="533"/>
        <v>0</v>
      </c>
      <c r="AE660" s="83">
        <f t="shared" si="534"/>
        <v>0</v>
      </c>
      <c r="AF660" s="83">
        <f t="shared" si="535"/>
        <v>0</v>
      </c>
      <c r="AG660" s="83">
        <f t="shared" si="536"/>
        <v>0</v>
      </c>
      <c r="AH660" s="83">
        <f t="shared" si="537"/>
        <v>0</v>
      </c>
      <c r="AI660" s="83">
        <f t="shared" si="538"/>
        <v>0</v>
      </c>
      <c r="AJ660" s="718">
        <f t="shared" si="539"/>
        <v>0</v>
      </c>
      <c r="AL660">
        <f t="shared" si="540"/>
        <v>0</v>
      </c>
      <c r="AM660">
        <f t="shared" si="541"/>
        <v>0</v>
      </c>
    </row>
    <row r="661" spans="1:39" ht="15.75" x14ac:dyDescent="0.25">
      <c r="A661" s="561"/>
      <c r="B661" s="561"/>
      <c r="C661" s="561"/>
      <c r="D661" s="672"/>
      <c r="E661" s="209"/>
      <c r="F661" s="209"/>
      <c r="G661" s="209"/>
      <c r="H661" s="176">
        <f t="shared" si="519"/>
        <v>0</v>
      </c>
      <c r="I661" s="209"/>
      <c r="J661" s="209"/>
      <c r="K661" s="176">
        <f t="shared" si="520"/>
        <v>0</v>
      </c>
      <c r="L661" s="209"/>
      <c r="M661" s="177">
        <f t="shared" si="521"/>
        <v>0</v>
      </c>
      <c r="N661" s="1012"/>
      <c r="O661" s="1012"/>
      <c r="P661" s="485"/>
      <c r="Q661" s="778"/>
      <c r="R661" s="778"/>
      <c r="S661" s="785" t="str">
        <f t="shared" si="524"/>
        <v/>
      </c>
      <c r="T661" s="548" t="str">
        <f t="shared" si="522"/>
        <v>Sheet Metal Takeoff</v>
      </c>
      <c r="U661" s="83">
        <f t="shared" si="525"/>
        <v>0</v>
      </c>
      <c r="V661" s="83">
        <f t="shared" si="526"/>
        <v>0</v>
      </c>
      <c r="W661" s="83">
        <f t="shared" si="527"/>
        <v>0</v>
      </c>
      <c r="X661" s="781">
        <f t="shared" si="528"/>
        <v>0</v>
      </c>
      <c r="Y661" s="781">
        <f t="shared" si="529"/>
        <v>0</v>
      </c>
      <c r="Z661" s="781">
        <f t="shared" si="530"/>
        <v>0</v>
      </c>
      <c r="AA661" s="83">
        <f t="shared" si="523"/>
        <v>0</v>
      </c>
      <c r="AB661" s="83">
        <f t="shared" si="531"/>
        <v>0</v>
      </c>
      <c r="AC661" s="83">
        <f t="shared" si="532"/>
        <v>0</v>
      </c>
      <c r="AD661" s="83">
        <f t="shared" si="533"/>
        <v>0</v>
      </c>
      <c r="AE661" s="83">
        <f t="shared" si="534"/>
        <v>0</v>
      </c>
      <c r="AF661" s="83">
        <f t="shared" si="535"/>
        <v>0</v>
      </c>
      <c r="AG661" s="83">
        <f t="shared" si="536"/>
        <v>0</v>
      </c>
      <c r="AH661" s="83">
        <f t="shared" si="537"/>
        <v>0</v>
      </c>
      <c r="AI661" s="83">
        <f t="shared" si="538"/>
        <v>0</v>
      </c>
      <c r="AJ661" s="718">
        <f t="shared" si="539"/>
        <v>0</v>
      </c>
      <c r="AL661">
        <f t="shared" si="540"/>
        <v>0</v>
      </c>
      <c r="AM661">
        <f t="shared" si="541"/>
        <v>0</v>
      </c>
    </row>
    <row r="662" spans="1:39" ht="15.75" x14ac:dyDescent="0.25">
      <c r="A662" s="561"/>
      <c r="B662" s="561"/>
      <c r="C662" s="561"/>
      <c r="D662" s="672"/>
      <c r="E662" s="209"/>
      <c r="F662" s="209"/>
      <c r="G662" s="209"/>
      <c r="H662" s="176">
        <f t="shared" si="519"/>
        <v>0</v>
      </c>
      <c r="I662" s="209"/>
      <c r="J662" s="209"/>
      <c r="K662" s="176">
        <f t="shared" si="520"/>
        <v>0</v>
      </c>
      <c r="L662" s="209"/>
      <c r="M662" s="177">
        <f t="shared" si="521"/>
        <v>0</v>
      </c>
      <c r="N662" s="1012"/>
      <c r="O662" s="1012"/>
      <c r="P662" s="485"/>
      <c r="Q662" s="778"/>
      <c r="R662" s="778"/>
      <c r="S662" s="785" t="str">
        <f t="shared" si="524"/>
        <v/>
      </c>
      <c r="T662" s="548" t="str">
        <f t="shared" si="522"/>
        <v>Sheet Metal Takeoff</v>
      </c>
      <c r="U662" s="83">
        <f t="shared" si="525"/>
        <v>0</v>
      </c>
      <c r="V662" s="83">
        <f t="shared" si="526"/>
        <v>0</v>
      </c>
      <c r="W662" s="83">
        <f t="shared" si="527"/>
        <v>0</v>
      </c>
      <c r="X662" s="781">
        <f t="shared" si="528"/>
        <v>0</v>
      </c>
      <c r="Y662" s="781">
        <f t="shared" si="529"/>
        <v>0</v>
      </c>
      <c r="Z662" s="781">
        <f t="shared" si="530"/>
        <v>0</v>
      </c>
      <c r="AA662" s="83">
        <f t="shared" si="523"/>
        <v>0</v>
      </c>
      <c r="AB662" s="83">
        <f t="shared" si="531"/>
        <v>0</v>
      </c>
      <c r="AC662" s="83">
        <f t="shared" si="532"/>
        <v>0</v>
      </c>
      <c r="AD662" s="83">
        <f t="shared" si="533"/>
        <v>0</v>
      </c>
      <c r="AE662" s="83">
        <f t="shared" si="534"/>
        <v>0</v>
      </c>
      <c r="AF662" s="83">
        <f t="shared" si="535"/>
        <v>0</v>
      </c>
      <c r="AG662" s="83">
        <f t="shared" si="536"/>
        <v>0</v>
      </c>
      <c r="AH662" s="83">
        <f t="shared" si="537"/>
        <v>0</v>
      </c>
      <c r="AI662" s="83">
        <f t="shared" si="538"/>
        <v>0</v>
      </c>
      <c r="AJ662" s="718">
        <f t="shared" si="539"/>
        <v>0</v>
      </c>
      <c r="AL662">
        <f t="shared" si="540"/>
        <v>0</v>
      </c>
      <c r="AM662">
        <f t="shared" si="541"/>
        <v>0</v>
      </c>
    </row>
    <row r="663" spans="1:39" ht="15.75" x14ac:dyDescent="0.25">
      <c r="A663" s="561"/>
      <c r="B663" s="561"/>
      <c r="C663" s="561"/>
      <c r="D663" s="672"/>
      <c r="E663" s="209"/>
      <c r="F663" s="209"/>
      <c r="G663" s="209"/>
      <c r="H663" s="176">
        <f t="shared" si="519"/>
        <v>0</v>
      </c>
      <c r="I663" s="209"/>
      <c r="J663" s="209"/>
      <c r="K663" s="176">
        <f t="shared" si="520"/>
        <v>0</v>
      </c>
      <c r="L663" s="209"/>
      <c r="M663" s="177">
        <f t="shared" si="521"/>
        <v>0</v>
      </c>
      <c r="N663" s="1012"/>
      <c r="O663" s="1012"/>
      <c r="P663" s="485"/>
      <c r="Q663" s="778"/>
      <c r="R663" s="778"/>
      <c r="S663" s="785" t="str">
        <f t="shared" si="524"/>
        <v/>
      </c>
      <c r="T663" s="548" t="str">
        <f t="shared" si="522"/>
        <v>Sheet Metal Takeoff</v>
      </c>
      <c r="U663" s="83">
        <f t="shared" si="525"/>
        <v>0</v>
      </c>
      <c r="V663" s="83">
        <f t="shared" si="526"/>
        <v>0</v>
      </c>
      <c r="W663" s="83">
        <f t="shared" si="527"/>
        <v>0</v>
      </c>
      <c r="X663" s="781">
        <f t="shared" si="528"/>
        <v>0</v>
      </c>
      <c r="Y663" s="781">
        <f t="shared" si="529"/>
        <v>0</v>
      </c>
      <c r="Z663" s="781">
        <f t="shared" si="530"/>
        <v>0</v>
      </c>
      <c r="AA663" s="83">
        <f t="shared" si="523"/>
        <v>0</v>
      </c>
      <c r="AB663" s="83">
        <f t="shared" si="531"/>
        <v>0</v>
      </c>
      <c r="AC663" s="83">
        <f t="shared" si="532"/>
        <v>0</v>
      </c>
      <c r="AD663" s="83">
        <f t="shared" si="533"/>
        <v>0</v>
      </c>
      <c r="AE663" s="83">
        <f t="shared" si="534"/>
        <v>0</v>
      </c>
      <c r="AF663" s="83">
        <f t="shared" si="535"/>
        <v>0</v>
      </c>
      <c r="AG663" s="83">
        <f t="shared" si="536"/>
        <v>0</v>
      </c>
      <c r="AH663" s="83">
        <f t="shared" si="537"/>
        <v>0</v>
      </c>
      <c r="AI663" s="83">
        <f t="shared" si="538"/>
        <v>0</v>
      </c>
      <c r="AJ663" s="718">
        <f t="shared" si="539"/>
        <v>0</v>
      </c>
      <c r="AL663">
        <f t="shared" si="540"/>
        <v>0</v>
      </c>
      <c r="AM663">
        <f t="shared" si="541"/>
        <v>0</v>
      </c>
    </row>
    <row r="664" spans="1:39" ht="15.75" hidden="1" customHeight="1" x14ac:dyDescent="0.25">
      <c r="A664" s="561"/>
      <c r="B664" s="561"/>
      <c r="C664" s="561"/>
      <c r="D664" s="672"/>
      <c r="E664" s="209"/>
      <c r="F664" s="209"/>
      <c r="G664" s="209"/>
      <c r="H664" s="176">
        <f t="shared" si="519"/>
        <v>0</v>
      </c>
      <c r="I664" s="209"/>
      <c r="J664" s="209"/>
      <c r="K664" s="176">
        <f t="shared" si="520"/>
        <v>0</v>
      </c>
      <c r="L664" s="209"/>
      <c r="M664" s="177">
        <f t="shared" si="521"/>
        <v>0</v>
      </c>
      <c r="N664" s="1012"/>
      <c r="O664" s="1012"/>
      <c r="P664" s="485"/>
      <c r="Q664" s="778"/>
      <c r="R664" s="778"/>
      <c r="S664" s="785" t="str">
        <f t="shared" si="524"/>
        <v/>
      </c>
      <c r="T664" s="548" t="str">
        <f t="shared" si="522"/>
        <v>Sheet Metal Takeoff</v>
      </c>
      <c r="U664" s="83">
        <f>ROUND(IF($T664="Plumb Takeoff",$H664*U$3,IF($T664="Pipe Takeoff",$H664*U$4,$H664*U$2)),2)</f>
        <v>0</v>
      </c>
      <c r="V664" s="83">
        <f t="shared" si="526"/>
        <v>0</v>
      </c>
      <c r="W664" s="83">
        <f t="shared" si="527"/>
        <v>0</v>
      </c>
      <c r="X664" s="781">
        <f t="shared" si="528"/>
        <v>0</v>
      </c>
      <c r="Y664" s="781">
        <f t="shared" si="529"/>
        <v>0</v>
      </c>
      <c r="Z664" s="781">
        <f t="shared" si="530"/>
        <v>0</v>
      </c>
      <c r="AA664" s="83">
        <f t="shared" si="523"/>
        <v>0</v>
      </c>
      <c r="AB664" s="83">
        <f t="shared" si="531"/>
        <v>0</v>
      </c>
      <c r="AC664" s="83">
        <f t="shared" si="532"/>
        <v>0</v>
      </c>
      <c r="AD664" s="83">
        <f t="shared" si="533"/>
        <v>0</v>
      </c>
      <c r="AE664" s="83">
        <f t="shared" si="534"/>
        <v>0</v>
      </c>
      <c r="AF664" s="83">
        <f t="shared" si="535"/>
        <v>0</v>
      </c>
      <c r="AG664" s="83">
        <f t="shared" si="536"/>
        <v>0</v>
      </c>
      <c r="AH664" s="83">
        <f t="shared" si="537"/>
        <v>0</v>
      </c>
      <c r="AI664" s="83">
        <f t="shared" si="538"/>
        <v>0</v>
      </c>
      <c r="AJ664" s="718">
        <f t="shared" si="539"/>
        <v>0</v>
      </c>
      <c r="AL664">
        <f t="shared" si="540"/>
        <v>0</v>
      </c>
      <c r="AM664">
        <f t="shared" si="541"/>
        <v>0</v>
      </c>
    </row>
    <row r="665" spans="1:39" ht="15.75" x14ac:dyDescent="0.25">
      <c r="A665" s="551"/>
      <c r="B665" s="551"/>
      <c r="C665" s="551"/>
      <c r="D665" s="673"/>
      <c r="E665" s="552"/>
      <c r="F665" s="553"/>
      <c r="G665" s="553"/>
      <c r="H665" s="181">
        <f>SUM(H639:H664)</f>
        <v>0</v>
      </c>
      <c r="I665" s="182"/>
      <c r="J665" s="182"/>
      <c r="K665" s="181">
        <f>SUM(K639:K664)</f>
        <v>0</v>
      </c>
      <c r="L665" s="182"/>
      <c r="M665" s="177">
        <f>SUM(M639:M664)</f>
        <v>0</v>
      </c>
      <c r="O665" s="486"/>
      <c r="AJ665" s="718"/>
    </row>
    <row r="666" spans="1:39" ht="15.75" thickBot="1" x14ac:dyDescent="0.3">
      <c r="AJ666" s="718"/>
    </row>
    <row r="667" spans="1:39" ht="16.5" thickBot="1" x14ac:dyDescent="0.3">
      <c r="E667" s="678" t="s">
        <v>1122</v>
      </c>
      <c r="F667" s="1017" t="s">
        <v>1630</v>
      </c>
      <c r="G667" s="1018"/>
      <c r="H667" s="344"/>
      <c r="I667" s="1019" t="s">
        <v>1628</v>
      </c>
      <c r="J667" s="1020"/>
      <c r="K667" s="679" t="b">
        <v>0</v>
      </c>
      <c r="AJ667" s="718"/>
    </row>
    <row r="668" spans="1:39" ht="38.25" thickBot="1" x14ac:dyDescent="0.35">
      <c r="A668" s="477" t="s">
        <v>1063</v>
      </c>
      <c r="B668" s="477" t="s">
        <v>348</v>
      </c>
      <c r="C668" s="477" t="s">
        <v>349</v>
      </c>
      <c r="D668" s="666" t="s">
        <v>0</v>
      </c>
      <c r="E668" s="477" t="s">
        <v>1</v>
      </c>
      <c r="F668" s="480" t="s">
        <v>2</v>
      </c>
      <c r="G668" s="480" t="s">
        <v>1123</v>
      </c>
      <c r="H668" s="480" t="s">
        <v>3</v>
      </c>
      <c r="I668" s="483" t="s">
        <v>4</v>
      </c>
      <c r="J668" s="480" t="s">
        <v>1124</v>
      </c>
      <c r="K668" s="680" t="s">
        <v>5</v>
      </c>
      <c r="L668" s="480" t="s">
        <v>6</v>
      </c>
      <c r="M668" s="484" t="s">
        <v>7</v>
      </c>
      <c r="N668" s="1013" t="s">
        <v>1079</v>
      </c>
      <c r="O668" s="1014"/>
      <c r="P668" s="1009" t="s">
        <v>1629</v>
      </c>
      <c r="Q668" s="1009" t="s">
        <v>1147</v>
      </c>
      <c r="R668" s="1009" t="s">
        <v>1792</v>
      </c>
      <c r="T668" s="2"/>
      <c r="AJ668" s="718"/>
    </row>
    <row r="669" spans="1:39" ht="16.5" thickBot="1" x14ac:dyDescent="0.3">
      <c r="A669" s="183"/>
      <c r="B669" s="183"/>
      <c r="C669" s="183"/>
      <c r="D669" s="671"/>
      <c r="E669" s="183"/>
      <c r="F669" s="183"/>
      <c r="G669" s="183"/>
      <c r="H669" s="183"/>
      <c r="I669" s="183"/>
      <c r="J669" s="183"/>
      <c r="K669" s="183"/>
      <c r="L669" s="183"/>
      <c r="M669" s="183"/>
      <c r="N669" s="1015"/>
      <c r="O669" s="1016"/>
      <c r="P669" s="1010" t="s">
        <v>1362</v>
      </c>
      <c r="Q669" s="1010"/>
      <c r="R669" s="1010"/>
      <c r="T669" s="1"/>
      <c r="AJ669" s="718"/>
    </row>
    <row r="670" spans="1:39" ht="15.75" x14ac:dyDescent="0.25">
      <c r="A670" s="561"/>
      <c r="B670" s="561"/>
      <c r="C670" s="561"/>
      <c r="D670" s="672"/>
      <c r="E670" s="209"/>
      <c r="F670" s="209"/>
      <c r="G670" s="209"/>
      <c r="H670" s="176">
        <f t="shared" ref="H670:H695" si="542">IF(SM_ExludeGroup21=TRUE,0,IF(G670="",E670*F670*IF(AND(S670="LOP",R670="SWING"),1+CrewRate_PlumbFitter_SwingLOP,1)*IF(AND(S670="LOP",R670="GRAVE"),1+CrewRate_PlumbFitter_GraveLOP,1)*IF(AND(S670="LOP",R670="SPECIAL"),1+CrewRate_PlumbFitter_SwingLOP,1),E670*F670*G670*IF(AND(S670="LOP",R670="SWING"),1+CrewRate_PlumbFitter_SwingLOP,1)*IF(AND(S670="LOP",R670="GRAVE"),1+CrewRate_PlumbFitter_GraveLOP,1)*IF(AND(S670="LOP",R670="SPECIAL"),1+CrewRate_PlumbFitter_SwingLOP,1)))</f>
        <v>0</v>
      </c>
      <c r="I670" s="209"/>
      <c r="J670" s="209"/>
      <c r="K670" s="176">
        <f t="shared" ref="K670:K695" si="543">IF(SM_ExludeGroup21=TRUE,0,IF(J670="",E670*I670,E670*I670*J670))</f>
        <v>0</v>
      </c>
      <c r="L670" s="209"/>
      <c r="M670" s="177">
        <f t="shared" ref="M670:M695" si="544">IF(SM_ExludeGroup21=TRUE,0,E670*L670)</f>
        <v>0</v>
      </c>
      <c r="N670" s="1012"/>
      <c r="O670" s="1012"/>
      <c r="P670" s="485"/>
      <c r="Q670" s="778"/>
      <c r="R670" s="778"/>
      <c r="S670" s="785" t="str">
        <f>IF(T670="Sheet Metal Takeoff","",IF(R670="","","LOP"))</f>
        <v/>
      </c>
      <c r="T670" s="548" t="str">
        <f t="shared" ref="T670:T695" si="545">IF($F$667="","Sheet Metal Takeoff",$F$667)</f>
        <v>Sheet Metal Takeoff</v>
      </c>
      <c r="U670" s="83">
        <f>ROUND(IF($T670="Plumb Takeoff",$H670*U$3,IF($T670="Pipe Takeoff",$H670*U$4,$H670*U$2)),2)</f>
        <v>0</v>
      </c>
      <c r="V670" s="83">
        <f>ROUND(IF($T670="Plumb Takeoff",IF($Q670="OT",$H670*V$3,0),IF($T670="Pipe Takeoff",IF($Q670="OT",$H670*V$4,0),IF($Q670="OT",$H670*V$2,0))),2)</f>
        <v>0</v>
      </c>
      <c r="W670" s="83">
        <f>ROUND(IF($T670="Plumb Takeoff",IF($Q670="DBLT",$H670*W$3,0),IF($T670="Pipe Takeoff",IF($Q670="DBLT",$H670*W$4,0),IF($Q670="DBLT",$H670*W$2,0))),2)</f>
        <v>0</v>
      </c>
      <c r="X670" s="781">
        <f>ROUND(SUM(IF($T670="Plumb Takeoff",IF($R670="SWING",ROUND(SUM($H670)*X$3,2))),IF($T670="Pipe Takeoff",IF($R670="SWING",ROUND(SUM($H670)*X$4,2))),IF($T670="Sheet Metal Takeoff",IF($R670="SWING",ROUND(SUM($H670)*X$2,2)))),2)</f>
        <v>0</v>
      </c>
      <c r="Y670" s="781">
        <f>ROUND(SUM(IF($T670="Plumb Takeoff",IF($R670="GRAVE",ROUND(SUM($H670)*Y$3,2))),IF($T670="Pipe Takeoff",IF($R670="GRAVE",ROUND(SUM($H670)*Y$4,2))),IF($T670="Sheet Metal Takeoff",IF($R670="GRAVE",ROUND(SUM($H670)*Y$2,2)))),2)</f>
        <v>0</v>
      </c>
      <c r="Z670" s="781">
        <f>ROUND(SUM(IF($T670="Plumb Takeoff",IF($R670="SPECIAL",ROUND(SUM($H670)*Z$3,2))),IF($T670="Pipe Takeoff",IF($R670="SPECIAL",ROUND(SUM($H670)*Z$4,2))),IF($T670="Sheet Metal Takeoff",IF($R670="SPECIAL",ROUND(SUM($H670)*Z$2,2)))),2)</f>
        <v>0</v>
      </c>
      <c r="AA670" s="83">
        <f t="shared" ref="AA670:AA695" si="546">ROUND($K670*AA$2,2)</f>
        <v>0</v>
      </c>
      <c r="AB670" s="83">
        <f>ROUND(IF($Q670="OT",$K670*AB$2,0),2)</f>
        <v>0</v>
      </c>
      <c r="AC670" s="83">
        <f>ROUND(IF($Q670="DBLT",$K670*AC$2,0),2)</f>
        <v>0</v>
      </c>
      <c r="AD670" s="83">
        <f>ROUND(IF($R670="SWING",$K670*AD$2,0),2)</f>
        <v>0</v>
      </c>
      <c r="AE670" s="83">
        <f>ROUND(IF($R670="GRAVE",$K670*AE$2,0),2)</f>
        <v>0</v>
      </c>
      <c r="AF670" s="83">
        <f>ROUND(IF($R670="SPECIAL",$K670*AF$2,0),2)</f>
        <v>0</v>
      </c>
      <c r="AG670" s="83">
        <f>SUM(U670:Z670)</f>
        <v>0</v>
      </c>
      <c r="AH670" s="83">
        <f>SUM(AA670:AF670)</f>
        <v>0</v>
      </c>
      <c r="AI670" s="83">
        <f>SUM(U670:AF670)</f>
        <v>0</v>
      </c>
      <c r="AJ670" s="718">
        <f>SUM(M670,AI670)</f>
        <v>0</v>
      </c>
      <c r="AL670">
        <f>SUM(V670:Z670)</f>
        <v>0</v>
      </c>
      <c r="AM670">
        <f>SUM(AB670:AF670)</f>
        <v>0</v>
      </c>
    </row>
    <row r="671" spans="1:39" ht="15.75" x14ac:dyDescent="0.25">
      <c r="A671" s="561"/>
      <c r="B671" s="561"/>
      <c r="C671" s="561"/>
      <c r="D671" s="672"/>
      <c r="E671" s="209"/>
      <c r="F671" s="209"/>
      <c r="G671" s="209"/>
      <c r="H671" s="176">
        <f t="shared" si="542"/>
        <v>0</v>
      </c>
      <c r="I671" s="209"/>
      <c r="J671" s="209"/>
      <c r="K671" s="176">
        <f t="shared" si="543"/>
        <v>0</v>
      </c>
      <c r="L671" s="209"/>
      <c r="M671" s="177">
        <f t="shared" si="544"/>
        <v>0</v>
      </c>
      <c r="N671" s="1012"/>
      <c r="O671" s="1012"/>
      <c r="P671" s="485"/>
      <c r="Q671" s="778"/>
      <c r="R671" s="778"/>
      <c r="S671" s="785" t="str">
        <f t="shared" ref="S671:S695" si="547">IF(T671="Sheet Metal Takeoff","",IF(R671="","","LOP"))</f>
        <v/>
      </c>
      <c r="T671" s="548" t="str">
        <f t="shared" si="545"/>
        <v>Sheet Metal Takeoff</v>
      </c>
      <c r="U671" s="83">
        <f t="shared" ref="U671:U694" si="548">ROUND(IF($T671="Plumb Takeoff",$H671*U$3,IF($T671="Pipe Takeoff",$H671*U$4,$H671*U$2)),2)</f>
        <v>0</v>
      </c>
      <c r="V671" s="83">
        <f t="shared" ref="V671:V695" si="549">ROUND(IF($T671="Plumb Takeoff",IF($Q671="OT",$H671*V$3,0),IF($T671="Pipe Takeoff",IF($Q671="OT",$H671*V$4,0),IF($Q671="OT",$H671*V$2,0))),2)</f>
        <v>0</v>
      </c>
      <c r="W671" s="83">
        <f t="shared" ref="W671:W695" si="550">ROUND(IF($T671="Plumb Takeoff",IF($Q671="DBLT",$H671*W$3,0),IF($T671="Pipe Takeoff",IF($Q671="DBLT",$H671*W$4,0),IF($Q671="DBLT",$H671*W$2,0))),2)</f>
        <v>0</v>
      </c>
      <c r="X671" s="781">
        <f t="shared" ref="X671:X695" si="551">ROUND(SUM(IF($T671="Plumb Takeoff",IF($R671="SWING",ROUND(SUM($H671)*X$3,2))),IF($T671="Pipe Takeoff",IF($R671="SWING",ROUND(SUM($H671)*X$4,2))),IF($T671="Sheet Metal Takeoff",IF($R671="SWING",ROUND(SUM($H671)*X$2,2)))),2)</f>
        <v>0</v>
      </c>
      <c r="Y671" s="781">
        <f t="shared" ref="Y671:Y695" si="552">ROUND(SUM(IF($T671="Plumb Takeoff",IF($R671="GRAVE",ROUND(SUM($H671)*Y$3,2))),IF($T671="Pipe Takeoff",IF($R671="GRAVE",ROUND(SUM($H671)*Y$4,2))),IF($T671="Sheet Metal Takeoff",IF($R671="GRAVE",ROUND(SUM($H671)*Y$2,2)))),2)</f>
        <v>0</v>
      </c>
      <c r="Z671" s="781">
        <f t="shared" ref="Z671:Z695" si="553">ROUND(SUM(IF($T671="Plumb Takeoff",IF($R671="SPECIAL",ROUND(SUM($H671)*Z$3,2))),IF($T671="Pipe Takeoff",IF($R671="SPECIAL",ROUND(SUM($H671)*Z$4,2))),IF($T671="Sheet Metal Takeoff",IF($R671="SPECIAL",ROUND(SUM($H671)*Z$2,2)))),2)</f>
        <v>0</v>
      </c>
      <c r="AA671" s="83">
        <f t="shared" si="546"/>
        <v>0</v>
      </c>
      <c r="AB671" s="83">
        <f t="shared" ref="AB671:AB695" si="554">ROUND(IF($Q671="OT",$K671*AB$2,0),2)</f>
        <v>0</v>
      </c>
      <c r="AC671" s="83">
        <f t="shared" ref="AC671:AC695" si="555">ROUND(IF($Q671="DBLT",$K671*AC$2,0),2)</f>
        <v>0</v>
      </c>
      <c r="AD671" s="83">
        <f t="shared" ref="AD671:AD695" si="556">ROUND(IF($R671="SWING",$K671*AD$2,0),2)</f>
        <v>0</v>
      </c>
      <c r="AE671" s="83">
        <f t="shared" ref="AE671:AE695" si="557">ROUND(IF($R671="GRAVE",$K671*AE$2,0),2)</f>
        <v>0</v>
      </c>
      <c r="AF671" s="83">
        <f t="shared" ref="AF671:AF695" si="558">ROUND(IF($R671="SPECIAL",$K671*AF$2,0),2)</f>
        <v>0</v>
      </c>
      <c r="AG671" s="83">
        <f t="shared" ref="AG671:AG695" si="559">SUM(U671:Z671)</f>
        <v>0</v>
      </c>
      <c r="AH671" s="83">
        <f t="shared" ref="AH671:AH695" si="560">SUM(AA671:AF671)</f>
        <v>0</v>
      </c>
      <c r="AI671" s="83">
        <f t="shared" ref="AI671:AI695" si="561">SUM(U671:AF671)</f>
        <v>0</v>
      </c>
      <c r="AJ671" s="718">
        <f t="shared" ref="AJ671:AJ695" si="562">SUM(M671,AI671)</f>
        <v>0</v>
      </c>
      <c r="AL671">
        <f t="shared" ref="AL671:AL695" si="563">SUM(V671:Z671)</f>
        <v>0</v>
      </c>
      <c r="AM671">
        <f t="shared" ref="AM671:AM695" si="564">SUM(AB671:AF671)</f>
        <v>0</v>
      </c>
    </row>
    <row r="672" spans="1:39" ht="15.75" x14ac:dyDescent="0.25">
      <c r="A672" s="561"/>
      <c r="B672" s="561"/>
      <c r="C672" s="561"/>
      <c r="D672" s="672"/>
      <c r="E672" s="209"/>
      <c r="F672" s="209"/>
      <c r="G672" s="209"/>
      <c r="H672" s="176">
        <f t="shared" si="542"/>
        <v>0</v>
      </c>
      <c r="I672" s="209"/>
      <c r="J672" s="209"/>
      <c r="K672" s="176">
        <f t="shared" si="543"/>
        <v>0</v>
      </c>
      <c r="L672" s="209"/>
      <c r="M672" s="177">
        <f t="shared" si="544"/>
        <v>0</v>
      </c>
      <c r="N672" s="1012"/>
      <c r="O672" s="1012"/>
      <c r="P672" s="485"/>
      <c r="Q672" s="778"/>
      <c r="R672" s="778"/>
      <c r="S672" s="785" t="str">
        <f t="shared" si="547"/>
        <v/>
      </c>
      <c r="T672" s="548" t="str">
        <f t="shared" si="545"/>
        <v>Sheet Metal Takeoff</v>
      </c>
      <c r="U672" s="83">
        <f t="shared" si="548"/>
        <v>0</v>
      </c>
      <c r="V672" s="83">
        <f t="shared" si="549"/>
        <v>0</v>
      </c>
      <c r="W672" s="83">
        <f t="shared" si="550"/>
        <v>0</v>
      </c>
      <c r="X672" s="781">
        <f t="shared" si="551"/>
        <v>0</v>
      </c>
      <c r="Y672" s="781">
        <f t="shared" si="552"/>
        <v>0</v>
      </c>
      <c r="Z672" s="781">
        <f t="shared" si="553"/>
        <v>0</v>
      </c>
      <c r="AA672" s="83">
        <f t="shared" si="546"/>
        <v>0</v>
      </c>
      <c r="AB672" s="83">
        <f t="shared" si="554"/>
        <v>0</v>
      </c>
      <c r="AC672" s="83">
        <f t="shared" si="555"/>
        <v>0</v>
      </c>
      <c r="AD672" s="83">
        <f t="shared" si="556"/>
        <v>0</v>
      </c>
      <c r="AE672" s="83">
        <f t="shared" si="557"/>
        <v>0</v>
      </c>
      <c r="AF672" s="83">
        <f t="shared" si="558"/>
        <v>0</v>
      </c>
      <c r="AG672" s="83">
        <f t="shared" si="559"/>
        <v>0</v>
      </c>
      <c r="AH672" s="83">
        <f t="shared" si="560"/>
        <v>0</v>
      </c>
      <c r="AI672" s="83">
        <f t="shared" si="561"/>
        <v>0</v>
      </c>
      <c r="AJ672" s="718">
        <f t="shared" si="562"/>
        <v>0</v>
      </c>
      <c r="AL672">
        <f t="shared" si="563"/>
        <v>0</v>
      </c>
      <c r="AM672">
        <f t="shared" si="564"/>
        <v>0</v>
      </c>
    </row>
    <row r="673" spans="1:39" ht="15.75" x14ac:dyDescent="0.25">
      <c r="A673" s="561"/>
      <c r="B673" s="561"/>
      <c r="C673" s="561"/>
      <c r="D673" s="672"/>
      <c r="E673" s="209"/>
      <c r="F673" s="209"/>
      <c r="G673" s="209"/>
      <c r="H673" s="176">
        <f t="shared" si="542"/>
        <v>0</v>
      </c>
      <c r="I673" s="209"/>
      <c r="J673" s="209"/>
      <c r="K673" s="176">
        <f t="shared" si="543"/>
        <v>0</v>
      </c>
      <c r="L673" s="209"/>
      <c r="M673" s="177">
        <f t="shared" si="544"/>
        <v>0</v>
      </c>
      <c r="N673" s="1012"/>
      <c r="O673" s="1012"/>
      <c r="P673" s="485"/>
      <c r="Q673" s="778"/>
      <c r="R673" s="778"/>
      <c r="S673" s="785" t="str">
        <f t="shared" si="547"/>
        <v/>
      </c>
      <c r="T673" s="548" t="str">
        <f t="shared" si="545"/>
        <v>Sheet Metal Takeoff</v>
      </c>
      <c r="U673" s="83">
        <f t="shared" si="548"/>
        <v>0</v>
      </c>
      <c r="V673" s="83">
        <f t="shared" si="549"/>
        <v>0</v>
      </c>
      <c r="W673" s="83">
        <f t="shared" si="550"/>
        <v>0</v>
      </c>
      <c r="X673" s="781">
        <f t="shared" si="551"/>
        <v>0</v>
      </c>
      <c r="Y673" s="781">
        <f t="shared" si="552"/>
        <v>0</v>
      </c>
      <c r="Z673" s="781">
        <f t="shared" si="553"/>
        <v>0</v>
      </c>
      <c r="AA673" s="83">
        <f t="shared" si="546"/>
        <v>0</v>
      </c>
      <c r="AB673" s="83">
        <f t="shared" si="554"/>
        <v>0</v>
      </c>
      <c r="AC673" s="83">
        <f t="shared" si="555"/>
        <v>0</v>
      </c>
      <c r="AD673" s="83">
        <f t="shared" si="556"/>
        <v>0</v>
      </c>
      <c r="AE673" s="83">
        <f t="shared" si="557"/>
        <v>0</v>
      </c>
      <c r="AF673" s="83">
        <f t="shared" si="558"/>
        <v>0</v>
      </c>
      <c r="AG673" s="83">
        <f t="shared" si="559"/>
        <v>0</v>
      </c>
      <c r="AH673" s="83">
        <f t="shared" si="560"/>
        <v>0</v>
      </c>
      <c r="AI673" s="83">
        <f t="shared" si="561"/>
        <v>0</v>
      </c>
      <c r="AJ673" s="718">
        <f t="shared" si="562"/>
        <v>0</v>
      </c>
      <c r="AL673">
        <f t="shared" si="563"/>
        <v>0</v>
      </c>
      <c r="AM673">
        <f t="shared" si="564"/>
        <v>0</v>
      </c>
    </row>
    <row r="674" spans="1:39" ht="15.75" x14ac:dyDescent="0.25">
      <c r="A674" s="561"/>
      <c r="B674" s="561"/>
      <c r="C674" s="561"/>
      <c r="D674" s="672"/>
      <c r="E674" s="209"/>
      <c r="F674" s="209"/>
      <c r="G674" s="209"/>
      <c r="H674" s="176">
        <f t="shared" si="542"/>
        <v>0</v>
      </c>
      <c r="I674" s="209"/>
      <c r="J674" s="209"/>
      <c r="K674" s="176">
        <f t="shared" si="543"/>
        <v>0</v>
      </c>
      <c r="L674" s="209"/>
      <c r="M674" s="177">
        <f t="shared" si="544"/>
        <v>0</v>
      </c>
      <c r="N674" s="1012"/>
      <c r="O674" s="1012"/>
      <c r="P674" s="485"/>
      <c r="Q674" s="778"/>
      <c r="R674" s="778"/>
      <c r="S674" s="785" t="str">
        <f t="shared" si="547"/>
        <v/>
      </c>
      <c r="T674" s="548" t="str">
        <f t="shared" si="545"/>
        <v>Sheet Metal Takeoff</v>
      </c>
      <c r="U674" s="83">
        <f t="shared" si="548"/>
        <v>0</v>
      </c>
      <c r="V674" s="83">
        <f t="shared" si="549"/>
        <v>0</v>
      </c>
      <c r="W674" s="83">
        <f t="shared" si="550"/>
        <v>0</v>
      </c>
      <c r="X674" s="781">
        <f t="shared" si="551"/>
        <v>0</v>
      </c>
      <c r="Y674" s="781">
        <f t="shared" si="552"/>
        <v>0</v>
      </c>
      <c r="Z674" s="781">
        <f t="shared" si="553"/>
        <v>0</v>
      </c>
      <c r="AA674" s="83">
        <f t="shared" si="546"/>
        <v>0</v>
      </c>
      <c r="AB674" s="83">
        <f t="shared" si="554"/>
        <v>0</v>
      </c>
      <c r="AC674" s="83">
        <f t="shared" si="555"/>
        <v>0</v>
      </c>
      <c r="AD674" s="83">
        <f t="shared" si="556"/>
        <v>0</v>
      </c>
      <c r="AE674" s="83">
        <f t="shared" si="557"/>
        <v>0</v>
      </c>
      <c r="AF674" s="83">
        <f t="shared" si="558"/>
        <v>0</v>
      </c>
      <c r="AG674" s="83">
        <f t="shared" si="559"/>
        <v>0</v>
      </c>
      <c r="AH674" s="83">
        <f t="shared" si="560"/>
        <v>0</v>
      </c>
      <c r="AI674" s="83">
        <f t="shared" si="561"/>
        <v>0</v>
      </c>
      <c r="AJ674" s="718">
        <f t="shared" si="562"/>
        <v>0</v>
      </c>
      <c r="AL674">
        <f t="shared" si="563"/>
        <v>0</v>
      </c>
      <c r="AM674">
        <f t="shared" si="564"/>
        <v>0</v>
      </c>
    </row>
    <row r="675" spans="1:39" ht="15.75" x14ac:dyDescent="0.25">
      <c r="A675" s="561"/>
      <c r="B675" s="561"/>
      <c r="C675" s="561"/>
      <c r="D675" s="672"/>
      <c r="E675" s="209"/>
      <c r="F675" s="209"/>
      <c r="G675" s="209"/>
      <c r="H675" s="176">
        <f t="shared" si="542"/>
        <v>0</v>
      </c>
      <c r="I675" s="209"/>
      <c r="J675" s="209"/>
      <c r="K675" s="176">
        <f t="shared" si="543"/>
        <v>0</v>
      </c>
      <c r="L675" s="209"/>
      <c r="M675" s="177">
        <f t="shared" si="544"/>
        <v>0</v>
      </c>
      <c r="N675" s="1012"/>
      <c r="O675" s="1012"/>
      <c r="P675" s="485"/>
      <c r="Q675" s="778"/>
      <c r="R675" s="778"/>
      <c r="S675" s="785" t="str">
        <f t="shared" si="547"/>
        <v/>
      </c>
      <c r="T675" s="548" t="str">
        <f t="shared" si="545"/>
        <v>Sheet Metal Takeoff</v>
      </c>
      <c r="U675" s="83">
        <f t="shared" si="548"/>
        <v>0</v>
      </c>
      <c r="V675" s="83">
        <f t="shared" si="549"/>
        <v>0</v>
      </c>
      <c r="W675" s="83">
        <f t="shared" si="550"/>
        <v>0</v>
      </c>
      <c r="X675" s="781">
        <f t="shared" si="551"/>
        <v>0</v>
      </c>
      <c r="Y675" s="781">
        <f t="shared" si="552"/>
        <v>0</v>
      </c>
      <c r="Z675" s="781">
        <f t="shared" si="553"/>
        <v>0</v>
      </c>
      <c r="AA675" s="83">
        <f t="shared" si="546"/>
        <v>0</v>
      </c>
      <c r="AB675" s="83">
        <f t="shared" si="554"/>
        <v>0</v>
      </c>
      <c r="AC675" s="83">
        <f t="shared" si="555"/>
        <v>0</v>
      </c>
      <c r="AD675" s="83">
        <f t="shared" si="556"/>
        <v>0</v>
      </c>
      <c r="AE675" s="83">
        <f t="shared" si="557"/>
        <v>0</v>
      </c>
      <c r="AF675" s="83">
        <f t="shared" si="558"/>
        <v>0</v>
      </c>
      <c r="AG675" s="83">
        <f t="shared" si="559"/>
        <v>0</v>
      </c>
      <c r="AH675" s="83">
        <f t="shared" si="560"/>
        <v>0</v>
      </c>
      <c r="AI675" s="83">
        <f t="shared" si="561"/>
        <v>0</v>
      </c>
      <c r="AJ675" s="718">
        <f t="shared" si="562"/>
        <v>0</v>
      </c>
      <c r="AL675">
        <f t="shared" si="563"/>
        <v>0</v>
      </c>
      <c r="AM675">
        <f t="shared" si="564"/>
        <v>0</v>
      </c>
    </row>
    <row r="676" spans="1:39" ht="15.75" x14ac:dyDescent="0.25">
      <c r="A676" s="561"/>
      <c r="B676" s="561"/>
      <c r="C676" s="561"/>
      <c r="D676" s="672"/>
      <c r="E676" s="209"/>
      <c r="F676" s="209"/>
      <c r="G676" s="209"/>
      <c r="H676" s="176">
        <f t="shared" si="542"/>
        <v>0</v>
      </c>
      <c r="I676" s="209"/>
      <c r="J676" s="209"/>
      <c r="K676" s="176">
        <f t="shared" si="543"/>
        <v>0</v>
      </c>
      <c r="L676" s="209"/>
      <c r="M676" s="177">
        <f t="shared" si="544"/>
        <v>0</v>
      </c>
      <c r="N676" s="1012"/>
      <c r="O676" s="1012"/>
      <c r="P676" s="485"/>
      <c r="Q676" s="778"/>
      <c r="R676" s="778"/>
      <c r="S676" s="785" t="str">
        <f t="shared" si="547"/>
        <v/>
      </c>
      <c r="T676" s="548" t="str">
        <f t="shared" si="545"/>
        <v>Sheet Metal Takeoff</v>
      </c>
      <c r="U676" s="83">
        <f t="shared" si="548"/>
        <v>0</v>
      </c>
      <c r="V676" s="83">
        <f t="shared" si="549"/>
        <v>0</v>
      </c>
      <c r="W676" s="83">
        <f t="shared" si="550"/>
        <v>0</v>
      </c>
      <c r="X676" s="781">
        <f t="shared" si="551"/>
        <v>0</v>
      </c>
      <c r="Y676" s="781">
        <f t="shared" si="552"/>
        <v>0</v>
      </c>
      <c r="Z676" s="781">
        <f t="shared" si="553"/>
        <v>0</v>
      </c>
      <c r="AA676" s="83">
        <f t="shared" si="546"/>
        <v>0</v>
      </c>
      <c r="AB676" s="83">
        <f t="shared" si="554"/>
        <v>0</v>
      </c>
      <c r="AC676" s="83">
        <f t="shared" si="555"/>
        <v>0</v>
      </c>
      <c r="AD676" s="83">
        <f t="shared" si="556"/>
        <v>0</v>
      </c>
      <c r="AE676" s="83">
        <f t="shared" si="557"/>
        <v>0</v>
      </c>
      <c r="AF676" s="83">
        <f t="shared" si="558"/>
        <v>0</v>
      </c>
      <c r="AG676" s="83">
        <f t="shared" si="559"/>
        <v>0</v>
      </c>
      <c r="AH676" s="83">
        <f t="shared" si="560"/>
        <v>0</v>
      </c>
      <c r="AI676" s="83">
        <f t="shared" si="561"/>
        <v>0</v>
      </c>
      <c r="AJ676" s="718">
        <f t="shared" si="562"/>
        <v>0</v>
      </c>
      <c r="AL676">
        <f t="shared" si="563"/>
        <v>0</v>
      </c>
      <c r="AM676">
        <f t="shared" si="564"/>
        <v>0</v>
      </c>
    </row>
    <row r="677" spans="1:39" ht="15.75" x14ac:dyDescent="0.25">
      <c r="A677" s="561"/>
      <c r="B677" s="561"/>
      <c r="C677" s="561"/>
      <c r="D677" s="672"/>
      <c r="E677" s="209"/>
      <c r="F677" s="209"/>
      <c r="G677" s="209"/>
      <c r="H677" s="176">
        <f t="shared" si="542"/>
        <v>0</v>
      </c>
      <c r="I677" s="209"/>
      <c r="J677" s="209"/>
      <c r="K677" s="176">
        <f t="shared" si="543"/>
        <v>0</v>
      </c>
      <c r="L677" s="209"/>
      <c r="M677" s="177">
        <f t="shared" si="544"/>
        <v>0</v>
      </c>
      <c r="N677" s="1012"/>
      <c r="O677" s="1012"/>
      <c r="P677" s="485"/>
      <c r="Q677" s="778"/>
      <c r="R677" s="778"/>
      <c r="S677" s="785" t="str">
        <f t="shared" si="547"/>
        <v/>
      </c>
      <c r="T677" s="548" t="str">
        <f t="shared" si="545"/>
        <v>Sheet Metal Takeoff</v>
      </c>
      <c r="U677" s="83">
        <f t="shared" si="548"/>
        <v>0</v>
      </c>
      <c r="V677" s="83">
        <f t="shared" si="549"/>
        <v>0</v>
      </c>
      <c r="W677" s="83">
        <f t="shared" si="550"/>
        <v>0</v>
      </c>
      <c r="X677" s="781">
        <f t="shared" si="551"/>
        <v>0</v>
      </c>
      <c r="Y677" s="781">
        <f t="shared" si="552"/>
        <v>0</v>
      </c>
      <c r="Z677" s="781">
        <f t="shared" si="553"/>
        <v>0</v>
      </c>
      <c r="AA677" s="83">
        <f t="shared" si="546"/>
        <v>0</v>
      </c>
      <c r="AB677" s="83">
        <f t="shared" si="554"/>
        <v>0</v>
      </c>
      <c r="AC677" s="83">
        <f t="shared" si="555"/>
        <v>0</v>
      </c>
      <c r="AD677" s="83">
        <f t="shared" si="556"/>
        <v>0</v>
      </c>
      <c r="AE677" s="83">
        <f t="shared" si="557"/>
        <v>0</v>
      </c>
      <c r="AF677" s="83">
        <f t="shared" si="558"/>
        <v>0</v>
      </c>
      <c r="AG677" s="83">
        <f t="shared" si="559"/>
        <v>0</v>
      </c>
      <c r="AH677" s="83">
        <f t="shared" si="560"/>
        <v>0</v>
      </c>
      <c r="AI677" s="83">
        <f t="shared" si="561"/>
        <v>0</v>
      </c>
      <c r="AJ677" s="718">
        <f t="shared" si="562"/>
        <v>0</v>
      </c>
      <c r="AL677">
        <f t="shared" si="563"/>
        <v>0</v>
      </c>
      <c r="AM677">
        <f t="shared" si="564"/>
        <v>0</v>
      </c>
    </row>
    <row r="678" spans="1:39" ht="15.75" x14ac:dyDescent="0.25">
      <c r="A678" s="561"/>
      <c r="B678" s="561"/>
      <c r="C678" s="561"/>
      <c r="D678" s="672"/>
      <c r="E678" s="209"/>
      <c r="F678" s="209"/>
      <c r="G678" s="209"/>
      <c r="H678" s="176">
        <f t="shared" si="542"/>
        <v>0</v>
      </c>
      <c r="I678" s="209"/>
      <c r="J678" s="209"/>
      <c r="K678" s="176">
        <f t="shared" si="543"/>
        <v>0</v>
      </c>
      <c r="L678" s="209"/>
      <c r="M678" s="177">
        <f t="shared" si="544"/>
        <v>0</v>
      </c>
      <c r="N678" s="1012"/>
      <c r="O678" s="1012"/>
      <c r="P678" s="485"/>
      <c r="Q678" s="778"/>
      <c r="R678" s="778"/>
      <c r="S678" s="785" t="str">
        <f t="shared" si="547"/>
        <v/>
      </c>
      <c r="T678" s="548" t="str">
        <f t="shared" si="545"/>
        <v>Sheet Metal Takeoff</v>
      </c>
      <c r="U678" s="83">
        <f t="shared" si="548"/>
        <v>0</v>
      </c>
      <c r="V678" s="83">
        <f t="shared" si="549"/>
        <v>0</v>
      </c>
      <c r="W678" s="83">
        <f t="shared" si="550"/>
        <v>0</v>
      </c>
      <c r="X678" s="781">
        <f t="shared" si="551"/>
        <v>0</v>
      </c>
      <c r="Y678" s="781">
        <f t="shared" si="552"/>
        <v>0</v>
      </c>
      <c r="Z678" s="781">
        <f t="shared" si="553"/>
        <v>0</v>
      </c>
      <c r="AA678" s="83">
        <f t="shared" si="546"/>
        <v>0</v>
      </c>
      <c r="AB678" s="83">
        <f t="shared" si="554"/>
        <v>0</v>
      </c>
      <c r="AC678" s="83">
        <f t="shared" si="555"/>
        <v>0</v>
      </c>
      <c r="AD678" s="83">
        <f t="shared" si="556"/>
        <v>0</v>
      </c>
      <c r="AE678" s="83">
        <f t="shared" si="557"/>
        <v>0</v>
      </c>
      <c r="AF678" s="83">
        <f t="shared" si="558"/>
        <v>0</v>
      </c>
      <c r="AG678" s="83">
        <f t="shared" si="559"/>
        <v>0</v>
      </c>
      <c r="AH678" s="83">
        <f t="shared" si="560"/>
        <v>0</v>
      </c>
      <c r="AI678" s="83">
        <f t="shared" si="561"/>
        <v>0</v>
      </c>
      <c r="AJ678" s="718">
        <f t="shared" si="562"/>
        <v>0</v>
      </c>
      <c r="AL678">
        <f t="shared" si="563"/>
        <v>0</v>
      </c>
      <c r="AM678">
        <f t="shared" si="564"/>
        <v>0</v>
      </c>
    </row>
    <row r="679" spans="1:39" ht="15.75" x14ac:dyDescent="0.25">
      <c r="A679" s="561"/>
      <c r="B679" s="561"/>
      <c r="C679" s="561"/>
      <c r="D679" s="672"/>
      <c r="E679" s="209"/>
      <c r="F679" s="209"/>
      <c r="G679" s="209"/>
      <c r="H679" s="176">
        <f t="shared" si="542"/>
        <v>0</v>
      </c>
      <c r="I679" s="209"/>
      <c r="J679" s="209"/>
      <c r="K679" s="176">
        <f t="shared" si="543"/>
        <v>0</v>
      </c>
      <c r="L679" s="209"/>
      <c r="M679" s="177">
        <f t="shared" si="544"/>
        <v>0</v>
      </c>
      <c r="N679" s="1012"/>
      <c r="O679" s="1012"/>
      <c r="P679" s="485"/>
      <c r="Q679" s="778"/>
      <c r="R679" s="778"/>
      <c r="S679" s="785" t="str">
        <f t="shared" si="547"/>
        <v/>
      </c>
      <c r="T679" s="548" t="str">
        <f t="shared" si="545"/>
        <v>Sheet Metal Takeoff</v>
      </c>
      <c r="U679" s="83">
        <f t="shared" si="548"/>
        <v>0</v>
      </c>
      <c r="V679" s="83">
        <f t="shared" si="549"/>
        <v>0</v>
      </c>
      <c r="W679" s="83">
        <f t="shared" si="550"/>
        <v>0</v>
      </c>
      <c r="X679" s="781">
        <f t="shared" si="551"/>
        <v>0</v>
      </c>
      <c r="Y679" s="781">
        <f t="shared" si="552"/>
        <v>0</v>
      </c>
      <c r="Z679" s="781">
        <f t="shared" si="553"/>
        <v>0</v>
      </c>
      <c r="AA679" s="83">
        <f t="shared" si="546"/>
        <v>0</v>
      </c>
      <c r="AB679" s="83">
        <f t="shared" si="554"/>
        <v>0</v>
      </c>
      <c r="AC679" s="83">
        <f t="shared" si="555"/>
        <v>0</v>
      </c>
      <c r="AD679" s="83">
        <f t="shared" si="556"/>
        <v>0</v>
      </c>
      <c r="AE679" s="83">
        <f t="shared" si="557"/>
        <v>0</v>
      </c>
      <c r="AF679" s="83">
        <f t="shared" si="558"/>
        <v>0</v>
      </c>
      <c r="AG679" s="83">
        <f t="shared" si="559"/>
        <v>0</v>
      </c>
      <c r="AH679" s="83">
        <f t="shared" si="560"/>
        <v>0</v>
      </c>
      <c r="AI679" s="83">
        <f t="shared" si="561"/>
        <v>0</v>
      </c>
      <c r="AJ679" s="718">
        <f t="shared" si="562"/>
        <v>0</v>
      </c>
      <c r="AL679">
        <f t="shared" si="563"/>
        <v>0</v>
      </c>
      <c r="AM679">
        <f t="shared" si="564"/>
        <v>0</v>
      </c>
    </row>
    <row r="680" spans="1:39" ht="15.75" x14ac:dyDescent="0.25">
      <c r="A680" s="561"/>
      <c r="B680" s="561"/>
      <c r="C680" s="561"/>
      <c r="D680" s="672"/>
      <c r="E680" s="209"/>
      <c r="F680" s="209"/>
      <c r="G680" s="209"/>
      <c r="H680" s="176">
        <f t="shared" si="542"/>
        <v>0</v>
      </c>
      <c r="I680" s="209"/>
      <c r="J680" s="209"/>
      <c r="K680" s="176">
        <f t="shared" si="543"/>
        <v>0</v>
      </c>
      <c r="L680" s="209"/>
      <c r="M680" s="177">
        <f t="shared" si="544"/>
        <v>0</v>
      </c>
      <c r="N680" s="1012"/>
      <c r="O680" s="1012"/>
      <c r="P680" s="485"/>
      <c r="Q680" s="778"/>
      <c r="R680" s="778"/>
      <c r="S680" s="785" t="str">
        <f t="shared" si="547"/>
        <v/>
      </c>
      <c r="T680" s="548" t="str">
        <f t="shared" si="545"/>
        <v>Sheet Metal Takeoff</v>
      </c>
      <c r="U680" s="83">
        <f t="shared" si="548"/>
        <v>0</v>
      </c>
      <c r="V680" s="83">
        <f t="shared" si="549"/>
        <v>0</v>
      </c>
      <c r="W680" s="83">
        <f t="shared" si="550"/>
        <v>0</v>
      </c>
      <c r="X680" s="781">
        <f t="shared" si="551"/>
        <v>0</v>
      </c>
      <c r="Y680" s="781">
        <f t="shared" si="552"/>
        <v>0</v>
      </c>
      <c r="Z680" s="781">
        <f t="shared" si="553"/>
        <v>0</v>
      </c>
      <c r="AA680" s="83">
        <f t="shared" si="546"/>
        <v>0</v>
      </c>
      <c r="AB680" s="83">
        <f t="shared" si="554"/>
        <v>0</v>
      </c>
      <c r="AC680" s="83">
        <f t="shared" si="555"/>
        <v>0</v>
      </c>
      <c r="AD680" s="83">
        <f t="shared" si="556"/>
        <v>0</v>
      </c>
      <c r="AE680" s="83">
        <f t="shared" si="557"/>
        <v>0</v>
      </c>
      <c r="AF680" s="83">
        <f t="shared" si="558"/>
        <v>0</v>
      </c>
      <c r="AG680" s="83">
        <f t="shared" si="559"/>
        <v>0</v>
      </c>
      <c r="AH680" s="83">
        <f t="shared" si="560"/>
        <v>0</v>
      </c>
      <c r="AI680" s="83">
        <f t="shared" si="561"/>
        <v>0</v>
      </c>
      <c r="AJ680" s="718">
        <f t="shared" si="562"/>
        <v>0</v>
      </c>
      <c r="AL680">
        <f t="shared" si="563"/>
        <v>0</v>
      </c>
      <c r="AM680">
        <f t="shared" si="564"/>
        <v>0</v>
      </c>
    </row>
    <row r="681" spans="1:39" ht="15.75" x14ac:dyDescent="0.25">
      <c r="A681" s="561"/>
      <c r="B681" s="561"/>
      <c r="C681" s="561"/>
      <c r="D681" s="672"/>
      <c r="E681" s="209"/>
      <c r="F681" s="209"/>
      <c r="G681" s="209"/>
      <c r="H681" s="176">
        <f t="shared" si="542"/>
        <v>0</v>
      </c>
      <c r="I681" s="209"/>
      <c r="J681" s="209"/>
      <c r="K681" s="176">
        <f t="shared" si="543"/>
        <v>0</v>
      </c>
      <c r="L681" s="209"/>
      <c r="M681" s="177">
        <f t="shared" si="544"/>
        <v>0</v>
      </c>
      <c r="N681" s="1012"/>
      <c r="O681" s="1012"/>
      <c r="P681" s="485"/>
      <c r="Q681" s="778"/>
      <c r="R681" s="778"/>
      <c r="S681" s="785" t="str">
        <f t="shared" si="547"/>
        <v/>
      </c>
      <c r="T681" s="548" t="str">
        <f t="shared" si="545"/>
        <v>Sheet Metal Takeoff</v>
      </c>
      <c r="U681" s="83">
        <f t="shared" si="548"/>
        <v>0</v>
      </c>
      <c r="V681" s="83">
        <f t="shared" si="549"/>
        <v>0</v>
      </c>
      <c r="W681" s="83">
        <f t="shared" si="550"/>
        <v>0</v>
      </c>
      <c r="X681" s="781">
        <f t="shared" si="551"/>
        <v>0</v>
      </c>
      <c r="Y681" s="781">
        <f t="shared" si="552"/>
        <v>0</v>
      </c>
      <c r="Z681" s="781">
        <f t="shared" si="553"/>
        <v>0</v>
      </c>
      <c r="AA681" s="83">
        <f t="shared" si="546"/>
        <v>0</v>
      </c>
      <c r="AB681" s="83">
        <f t="shared" si="554"/>
        <v>0</v>
      </c>
      <c r="AC681" s="83">
        <f t="shared" si="555"/>
        <v>0</v>
      </c>
      <c r="AD681" s="83">
        <f t="shared" si="556"/>
        <v>0</v>
      </c>
      <c r="AE681" s="83">
        <f t="shared" si="557"/>
        <v>0</v>
      </c>
      <c r="AF681" s="83">
        <f t="shared" si="558"/>
        <v>0</v>
      </c>
      <c r="AG681" s="83">
        <f t="shared" si="559"/>
        <v>0</v>
      </c>
      <c r="AH681" s="83">
        <f t="shared" si="560"/>
        <v>0</v>
      </c>
      <c r="AI681" s="83">
        <f t="shared" si="561"/>
        <v>0</v>
      </c>
      <c r="AJ681" s="718">
        <f t="shared" si="562"/>
        <v>0</v>
      </c>
      <c r="AL681">
        <f t="shared" si="563"/>
        <v>0</v>
      </c>
      <c r="AM681">
        <f t="shared" si="564"/>
        <v>0</v>
      </c>
    </row>
    <row r="682" spans="1:39" ht="15.75" x14ac:dyDescent="0.25">
      <c r="A682" s="561"/>
      <c r="B682" s="561"/>
      <c r="C682" s="561"/>
      <c r="D682" s="672"/>
      <c r="E682" s="209"/>
      <c r="F682" s="209"/>
      <c r="G682" s="209"/>
      <c r="H682" s="176">
        <f t="shared" si="542"/>
        <v>0</v>
      </c>
      <c r="I682" s="209"/>
      <c r="J682" s="209"/>
      <c r="K682" s="176">
        <f t="shared" si="543"/>
        <v>0</v>
      </c>
      <c r="L682" s="209"/>
      <c r="M682" s="177">
        <f t="shared" si="544"/>
        <v>0</v>
      </c>
      <c r="N682" s="1012"/>
      <c r="O682" s="1012"/>
      <c r="P682" s="485"/>
      <c r="Q682" s="778"/>
      <c r="R682" s="778"/>
      <c r="S682" s="785" t="str">
        <f t="shared" si="547"/>
        <v/>
      </c>
      <c r="T682" s="548" t="str">
        <f t="shared" si="545"/>
        <v>Sheet Metal Takeoff</v>
      </c>
      <c r="U682" s="83">
        <f t="shared" si="548"/>
        <v>0</v>
      </c>
      <c r="V682" s="83">
        <f t="shared" si="549"/>
        <v>0</v>
      </c>
      <c r="W682" s="83">
        <f t="shared" si="550"/>
        <v>0</v>
      </c>
      <c r="X682" s="781">
        <f t="shared" si="551"/>
        <v>0</v>
      </c>
      <c r="Y682" s="781">
        <f t="shared" si="552"/>
        <v>0</v>
      </c>
      <c r="Z682" s="781">
        <f t="shared" si="553"/>
        <v>0</v>
      </c>
      <c r="AA682" s="83">
        <f t="shared" si="546"/>
        <v>0</v>
      </c>
      <c r="AB682" s="83">
        <f t="shared" si="554"/>
        <v>0</v>
      </c>
      <c r="AC682" s="83">
        <f t="shared" si="555"/>
        <v>0</v>
      </c>
      <c r="AD682" s="83">
        <f t="shared" si="556"/>
        <v>0</v>
      </c>
      <c r="AE682" s="83">
        <f t="shared" si="557"/>
        <v>0</v>
      </c>
      <c r="AF682" s="83">
        <f t="shared" si="558"/>
        <v>0</v>
      </c>
      <c r="AG682" s="83">
        <f t="shared" si="559"/>
        <v>0</v>
      </c>
      <c r="AH682" s="83">
        <f t="shared" si="560"/>
        <v>0</v>
      </c>
      <c r="AI682" s="83">
        <f t="shared" si="561"/>
        <v>0</v>
      </c>
      <c r="AJ682" s="718">
        <f t="shared" si="562"/>
        <v>0</v>
      </c>
      <c r="AL682">
        <f t="shared" si="563"/>
        <v>0</v>
      </c>
      <c r="AM682">
        <f t="shared" si="564"/>
        <v>0</v>
      </c>
    </row>
    <row r="683" spans="1:39" ht="15.75" x14ac:dyDescent="0.25">
      <c r="A683" s="561"/>
      <c r="B683" s="561"/>
      <c r="C683" s="561"/>
      <c r="D683" s="672"/>
      <c r="E683" s="209"/>
      <c r="F683" s="209"/>
      <c r="G683" s="209"/>
      <c r="H683" s="176">
        <f t="shared" si="542"/>
        <v>0</v>
      </c>
      <c r="I683" s="209"/>
      <c r="J683" s="209"/>
      <c r="K683" s="176">
        <f t="shared" si="543"/>
        <v>0</v>
      </c>
      <c r="L683" s="209"/>
      <c r="M683" s="177">
        <f t="shared" si="544"/>
        <v>0</v>
      </c>
      <c r="N683" s="1012"/>
      <c r="O683" s="1012"/>
      <c r="P683" s="485"/>
      <c r="Q683" s="778"/>
      <c r="R683" s="778"/>
      <c r="S683" s="785" t="str">
        <f t="shared" si="547"/>
        <v/>
      </c>
      <c r="T683" s="548" t="str">
        <f t="shared" si="545"/>
        <v>Sheet Metal Takeoff</v>
      </c>
      <c r="U683" s="83">
        <f t="shared" si="548"/>
        <v>0</v>
      </c>
      <c r="V683" s="83">
        <f t="shared" si="549"/>
        <v>0</v>
      </c>
      <c r="W683" s="83">
        <f t="shared" si="550"/>
        <v>0</v>
      </c>
      <c r="X683" s="781">
        <f t="shared" si="551"/>
        <v>0</v>
      </c>
      <c r="Y683" s="781">
        <f t="shared" si="552"/>
        <v>0</v>
      </c>
      <c r="Z683" s="781">
        <f t="shared" si="553"/>
        <v>0</v>
      </c>
      <c r="AA683" s="83">
        <f t="shared" si="546"/>
        <v>0</v>
      </c>
      <c r="AB683" s="83">
        <f t="shared" si="554"/>
        <v>0</v>
      </c>
      <c r="AC683" s="83">
        <f t="shared" si="555"/>
        <v>0</v>
      </c>
      <c r="AD683" s="83">
        <f t="shared" si="556"/>
        <v>0</v>
      </c>
      <c r="AE683" s="83">
        <f t="shared" si="557"/>
        <v>0</v>
      </c>
      <c r="AF683" s="83">
        <f t="shared" si="558"/>
        <v>0</v>
      </c>
      <c r="AG683" s="83">
        <f t="shared" si="559"/>
        <v>0</v>
      </c>
      <c r="AH683" s="83">
        <f t="shared" si="560"/>
        <v>0</v>
      </c>
      <c r="AI683" s="83">
        <f t="shared" si="561"/>
        <v>0</v>
      </c>
      <c r="AJ683" s="718">
        <f t="shared" si="562"/>
        <v>0</v>
      </c>
      <c r="AL683">
        <f t="shared" si="563"/>
        <v>0</v>
      </c>
      <c r="AM683">
        <f t="shared" si="564"/>
        <v>0</v>
      </c>
    </row>
    <row r="684" spans="1:39" ht="15.75" x14ac:dyDescent="0.25">
      <c r="A684" s="561"/>
      <c r="B684" s="561"/>
      <c r="C684" s="561"/>
      <c r="D684" s="672"/>
      <c r="E684" s="209"/>
      <c r="F684" s="209"/>
      <c r="G684" s="209"/>
      <c r="H684" s="176">
        <f t="shared" si="542"/>
        <v>0</v>
      </c>
      <c r="I684" s="209"/>
      <c r="J684" s="209"/>
      <c r="K684" s="176">
        <f t="shared" si="543"/>
        <v>0</v>
      </c>
      <c r="L684" s="209"/>
      <c r="M684" s="177">
        <f t="shared" si="544"/>
        <v>0</v>
      </c>
      <c r="N684" s="1012"/>
      <c r="O684" s="1012"/>
      <c r="P684" s="485"/>
      <c r="Q684" s="778"/>
      <c r="R684" s="778"/>
      <c r="S684" s="785" t="str">
        <f t="shared" si="547"/>
        <v/>
      </c>
      <c r="T684" s="548" t="str">
        <f t="shared" si="545"/>
        <v>Sheet Metal Takeoff</v>
      </c>
      <c r="U684" s="83">
        <f t="shared" si="548"/>
        <v>0</v>
      </c>
      <c r="V684" s="83">
        <f t="shared" si="549"/>
        <v>0</v>
      </c>
      <c r="W684" s="83">
        <f t="shared" si="550"/>
        <v>0</v>
      </c>
      <c r="X684" s="781">
        <f t="shared" si="551"/>
        <v>0</v>
      </c>
      <c r="Y684" s="781">
        <f t="shared" si="552"/>
        <v>0</v>
      </c>
      <c r="Z684" s="781">
        <f t="shared" si="553"/>
        <v>0</v>
      </c>
      <c r="AA684" s="83">
        <f t="shared" si="546"/>
        <v>0</v>
      </c>
      <c r="AB684" s="83">
        <f t="shared" si="554"/>
        <v>0</v>
      </c>
      <c r="AC684" s="83">
        <f t="shared" si="555"/>
        <v>0</v>
      </c>
      <c r="AD684" s="83">
        <f t="shared" si="556"/>
        <v>0</v>
      </c>
      <c r="AE684" s="83">
        <f t="shared" si="557"/>
        <v>0</v>
      </c>
      <c r="AF684" s="83">
        <f t="shared" si="558"/>
        <v>0</v>
      </c>
      <c r="AG684" s="83">
        <f t="shared" si="559"/>
        <v>0</v>
      </c>
      <c r="AH684" s="83">
        <f t="shared" si="560"/>
        <v>0</v>
      </c>
      <c r="AI684" s="83">
        <f t="shared" si="561"/>
        <v>0</v>
      </c>
      <c r="AJ684" s="718">
        <f t="shared" si="562"/>
        <v>0</v>
      </c>
      <c r="AL684">
        <f t="shared" si="563"/>
        <v>0</v>
      </c>
      <c r="AM684">
        <f t="shared" si="564"/>
        <v>0</v>
      </c>
    </row>
    <row r="685" spans="1:39" ht="15.75" x14ac:dyDescent="0.25">
      <c r="A685" s="561"/>
      <c r="B685" s="561"/>
      <c r="C685" s="561"/>
      <c r="D685" s="672"/>
      <c r="E685" s="209"/>
      <c r="F685" s="209"/>
      <c r="G685" s="209"/>
      <c r="H685" s="176">
        <f t="shared" si="542"/>
        <v>0</v>
      </c>
      <c r="I685" s="209"/>
      <c r="J685" s="209"/>
      <c r="K685" s="176">
        <f t="shared" si="543"/>
        <v>0</v>
      </c>
      <c r="L685" s="209"/>
      <c r="M685" s="177">
        <f t="shared" si="544"/>
        <v>0</v>
      </c>
      <c r="N685" s="1012"/>
      <c r="O685" s="1012"/>
      <c r="P685" s="485"/>
      <c r="Q685" s="778"/>
      <c r="R685" s="778"/>
      <c r="S685" s="785" t="str">
        <f t="shared" si="547"/>
        <v/>
      </c>
      <c r="T685" s="548" t="str">
        <f t="shared" si="545"/>
        <v>Sheet Metal Takeoff</v>
      </c>
      <c r="U685" s="83">
        <f t="shared" si="548"/>
        <v>0</v>
      </c>
      <c r="V685" s="83">
        <f t="shared" si="549"/>
        <v>0</v>
      </c>
      <c r="W685" s="83">
        <f t="shared" si="550"/>
        <v>0</v>
      </c>
      <c r="X685" s="781">
        <f t="shared" si="551"/>
        <v>0</v>
      </c>
      <c r="Y685" s="781">
        <f t="shared" si="552"/>
        <v>0</v>
      </c>
      <c r="Z685" s="781">
        <f t="shared" si="553"/>
        <v>0</v>
      </c>
      <c r="AA685" s="83">
        <f t="shared" si="546"/>
        <v>0</v>
      </c>
      <c r="AB685" s="83">
        <f t="shared" si="554"/>
        <v>0</v>
      </c>
      <c r="AC685" s="83">
        <f t="shared" si="555"/>
        <v>0</v>
      </c>
      <c r="AD685" s="83">
        <f t="shared" si="556"/>
        <v>0</v>
      </c>
      <c r="AE685" s="83">
        <f t="shared" si="557"/>
        <v>0</v>
      </c>
      <c r="AF685" s="83">
        <f t="shared" si="558"/>
        <v>0</v>
      </c>
      <c r="AG685" s="83">
        <f t="shared" si="559"/>
        <v>0</v>
      </c>
      <c r="AH685" s="83">
        <f t="shared" si="560"/>
        <v>0</v>
      </c>
      <c r="AI685" s="83">
        <f t="shared" si="561"/>
        <v>0</v>
      </c>
      <c r="AJ685" s="718">
        <f t="shared" si="562"/>
        <v>0</v>
      </c>
      <c r="AL685">
        <f t="shared" si="563"/>
        <v>0</v>
      </c>
      <c r="AM685">
        <f t="shared" si="564"/>
        <v>0</v>
      </c>
    </row>
    <row r="686" spans="1:39" ht="15.75" x14ac:dyDescent="0.25">
      <c r="A686" s="561"/>
      <c r="B686" s="561"/>
      <c r="C686" s="561"/>
      <c r="D686" s="672"/>
      <c r="E686" s="209"/>
      <c r="F686" s="209"/>
      <c r="G686" s="209"/>
      <c r="H686" s="176">
        <f t="shared" si="542"/>
        <v>0</v>
      </c>
      <c r="I686" s="209"/>
      <c r="J686" s="209"/>
      <c r="K686" s="176">
        <f t="shared" si="543"/>
        <v>0</v>
      </c>
      <c r="L686" s="209"/>
      <c r="M686" s="177">
        <f t="shared" si="544"/>
        <v>0</v>
      </c>
      <c r="N686" s="1012"/>
      <c r="O686" s="1012"/>
      <c r="P686" s="485"/>
      <c r="Q686" s="778"/>
      <c r="R686" s="778"/>
      <c r="S686" s="785" t="str">
        <f t="shared" si="547"/>
        <v/>
      </c>
      <c r="T686" s="548" t="str">
        <f t="shared" si="545"/>
        <v>Sheet Metal Takeoff</v>
      </c>
      <c r="U686" s="83">
        <f t="shared" si="548"/>
        <v>0</v>
      </c>
      <c r="V686" s="83">
        <f t="shared" si="549"/>
        <v>0</v>
      </c>
      <c r="W686" s="83">
        <f t="shared" si="550"/>
        <v>0</v>
      </c>
      <c r="X686" s="781">
        <f t="shared" si="551"/>
        <v>0</v>
      </c>
      <c r="Y686" s="781">
        <f t="shared" si="552"/>
        <v>0</v>
      </c>
      <c r="Z686" s="781">
        <f t="shared" si="553"/>
        <v>0</v>
      </c>
      <c r="AA686" s="83">
        <f t="shared" si="546"/>
        <v>0</v>
      </c>
      <c r="AB686" s="83">
        <f t="shared" si="554"/>
        <v>0</v>
      </c>
      <c r="AC686" s="83">
        <f t="shared" si="555"/>
        <v>0</v>
      </c>
      <c r="AD686" s="83">
        <f t="shared" si="556"/>
        <v>0</v>
      </c>
      <c r="AE686" s="83">
        <f t="shared" si="557"/>
        <v>0</v>
      </c>
      <c r="AF686" s="83">
        <f t="shared" si="558"/>
        <v>0</v>
      </c>
      <c r="AG686" s="83">
        <f t="shared" si="559"/>
        <v>0</v>
      </c>
      <c r="AH686" s="83">
        <f t="shared" si="560"/>
        <v>0</v>
      </c>
      <c r="AI686" s="83">
        <f t="shared" si="561"/>
        <v>0</v>
      </c>
      <c r="AJ686" s="718">
        <f t="shared" si="562"/>
        <v>0</v>
      </c>
      <c r="AL686">
        <f t="shared" si="563"/>
        <v>0</v>
      </c>
      <c r="AM686">
        <f t="shared" si="564"/>
        <v>0</v>
      </c>
    </row>
    <row r="687" spans="1:39" ht="15.75" x14ac:dyDescent="0.25">
      <c r="A687" s="561"/>
      <c r="B687" s="561"/>
      <c r="C687" s="561"/>
      <c r="D687" s="672"/>
      <c r="E687" s="209"/>
      <c r="F687" s="209"/>
      <c r="G687" s="209"/>
      <c r="H687" s="176">
        <f t="shared" si="542"/>
        <v>0</v>
      </c>
      <c r="I687" s="209"/>
      <c r="J687" s="209"/>
      <c r="K687" s="176">
        <f t="shared" si="543"/>
        <v>0</v>
      </c>
      <c r="L687" s="209"/>
      <c r="M687" s="177">
        <f t="shared" si="544"/>
        <v>0</v>
      </c>
      <c r="N687" s="1012"/>
      <c r="O687" s="1012"/>
      <c r="P687" s="485"/>
      <c r="Q687" s="778"/>
      <c r="R687" s="778"/>
      <c r="S687" s="785" t="str">
        <f t="shared" si="547"/>
        <v/>
      </c>
      <c r="T687" s="548" t="str">
        <f t="shared" si="545"/>
        <v>Sheet Metal Takeoff</v>
      </c>
      <c r="U687" s="83">
        <f t="shared" si="548"/>
        <v>0</v>
      </c>
      <c r="V687" s="83">
        <f t="shared" si="549"/>
        <v>0</v>
      </c>
      <c r="W687" s="83">
        <f t="shared" si="550"/>
        <v>0</v>
      </c>
      <c r="X687" s="781">
        <f t="shared" si="551"/>
        <v>0</v>
      </c>
      <c r="Y687" s="781">
        <f t="shared" si="552"/>
        <v>0</v>
      </c>
      <c r="Z687" s="781">
        <f t="shared" si="553"/>
        <v>0</v>
      </c>
      <c r="AA687" s="83">
        <f t="shared" si="546"/>
        <v>0</v>
      </c>
      <c r="AB687" s="83">
        <f t="shared" si="554"/>
        <v>0</v>
      </c>
      <c r="AC687" s="83">
        <f t="shared" si="555"/>
        <v>0</v>
      </c>
      <c r="AD687" s="83">
        <f t="shared" si="556"/>
        <v>0</v>
      </c>
      <c r="AE687" s="83">
        <f t="shared" si="557"/>
        <v>0</v>
      </c>
      <c r="AF687" s="83">
        <f t="shared" si="558"/>
        <v>0</v>
      </c>
      <c r="AG687" s="83">
        <f t="shared" si="559"/>
        <v>0</v>
      </c>
      <c r="AH687" s="83">
        <f t="shared" si="560"/>
        <v>0</v>
      </c>
      <c r="AI687" s="83">
        <f t="shared" si="561"/>
        <v>0</v>
      </c>
      <c r="AJ687" s="718">
        <f t="shared" si="562"/>
        <v>0</v>
      </c>
      <c r="AL687">
        <f t="shared" si="563"/>
        <v>0</v>
      </c>
      <c r="AM687">
        <f t="shared" si="564"/>
        <v>0</v>
      </c>
    </row>
    <row r="688" spans="1:39" ht="15.75" x14ac:dyDescent="0.25">
      <c r="A688" s="561"/>
      <c r="B688" s="561"/>
      <c r="C688" s="561"/>
      <c r="D688" s="672"/>
      <c r="E688" s="209"/>
      <c r="F688" s="209"/>
      <c r="G688" s="209"/>
      <c r="H688" s="176">
        <f t="shared" si="542"/>
        <v>0</v>
      </c>
      <c r="I688" s="209"/>
      <c r="J688" s="209"/>
      <c r="K688" s="176">
        <f t="shared" si="543"/>
        <v>0</v>
      </c>
      <c r="L688" s="209"/>
      <c r="M688" s="177">
        <f t="shared" si="544"/>
        <v>0</v>
      </c>
      <c r="N688" s="1012"/>
      <c r="O688" s="1012"/>
      <c r="P688" s="485"/>
      <c r="Q688" s="778"/>
      <c r="R688" s="778"/>
      <c r="S688" s="785" t="str">
        <f t="shared" si="547"/>
        <v/>
      </c>
      <c r="T688" s="548" t="str">
        <f t="shared" si="545"/>
        <v>Sheet Metal Takeoff</v>
      </c>
      <c r="U688" s="83">
        <f t="shared" si="548"/>
        <v>0</v>
      </c>
      <c r="V688" s="83">
        <f t="shared" si="549"/>
        <v>0</v>
      </c>
      <c r="W688" s="83">
        <f t="shared" si="550"/>
        <v>0</v>
      </c>
      <c r="X688" s="781">
        <f t="shared" si="551"/>
        <v>0</v>
      </c>
      <c r="Y688" s="781">
        <f t="shared" si="552"/>
        <v>0</v>
      </c>
      <c r="Z688" s="781">
        <f t="shared" si="553"/>
        <v>0</v>
      </c>
      <c r="AA688" s="83">
        <f t="shared" si="546"/>
        <v>0</v>
      </c>
      <c r="AB688" s="83">
        <f t="shared" si="554"/>
        <v>0</v>
      </c>
      <c r="AC688" s="83">
        <f t="shared" si="555"/>
        <v>0</v>
      </c>
      <c r="AD688" s="83">
        <f t="shared" si="556"/>
        <v>0</v>
      </c>
      <c r="AE688" s="83">
        <f t="shared" si="557"/>
        <v>0</v>
      </c>
      <c r="AF688" s="83">
        <f t="shared" si="558"/>
        <v>0</v>
      </c>
      <c r="AG688" s="83">
        <f t="shared" si="559"/>
        <v>0</v>
      </c>
      <c r="AH688" s="83">
        <f t="shared" si="560"/>
        <v>0</v>
      </c>
      <c r="AI688" s="83">
        <f t="shared" si="561"/>
        <v>0</v>
      </c>
      <c r="AJ688" s="718">
        <f t="shared" si="562"/>
        <v>0</v>
      </c>
      <c r="AL688">
        <f t="shared" si="563"/>
        <v>0</v>
      </c>
      <c r="AM688">
        <f t="shared" si="564"/>
        <v>0</v>
      </c>
    </row>
    <row r="689" spans="1:39" ht="15.75" x14ac:dyDescent="0.25">
      <c r="A689" s="561"/>
      <c r="B689" s="561"/>
      <c r="C689" s="561"/>
      <c r="D689" s="672"/>
      <c r="E689" s="209"/>
      <c r="F689" s="209"/>
      <c r="G689" s="209"/>
      <c r="H689" s="176">
        <f t="shared" si="542"/>
        <v>0</v>
      </c>
      <c r="I689" s="209"/>
      <c r="J689" s="209"/>
      <c r="K689" s="176">
        <f t="shared" si="543"/>
        <v>0</v>
      </c>
      <c r="L689" s="209"/>
      <c r="M689" s="177">
        <f t="shared" si="544"/>
        <v>0</v>
      </c>
      <c r="N689" s="1012"/>
      <c r="O689" s="1012"/>
      <c r="P689" s="485"/>
      <c r="Q689" s="778"/>
      <c r="R689" s="778"/>
      <c r="S689" s="785" t="str">
        <f t="shared" si="547"/>
        <v/>
      </c>
      <c r="T689" s="548" t="str">
        <f t="shared" si="545"/>
        <v>Sheet Metal Takeoff</v>
      </c>
      <c r="U689" s="83">
        <f t="shared" si="548"/>
        <v>0</v>
      </c>
      <c r="V689" s="83">
        <f t="shared" si="549"/>
        <v>0</v>
      </c>
      <c r="W689" s="83">
        <f t="shared" si="550"/>
        <v>0</v>
      </c>
      <c r="X689" s="781">
        <f t="shared" si="551"/>
        <v>0</v>
      </c>
      <c r="Y689" s="781">
        <f t="shared" si="552"/>
        <v>0</v>
      </c>
      <c r="Z689" s="781">
        <f t="shared" si="553"/>
        <v>0</v>
      </c>
      <c r="AA689" s="83">
        <f t="shared" si="546"/>
        <v>0</v>
      </c>
      <c r="AB689" s="83">
        <f t="shared" si="554"/>
        <v>0</v>
      </c>
      <c r="AC689" s="83">
        <f t="shared" si="555"/>
        <v>0</v>
      </c>
      <c r="AD689" s="83">
        <f t="shared" si="556"/>
        <v>0</v>
      </c>
      <c r="AE689" s="83">
        <f t="shared" si="557"/>
        <v>0</v>
      </c>
      <c r="AF689" s="83">
        <f t="shared" si="558"/>
        <v>0</v>
      </c>
      <c r="AG689" s="83">
        <f t="shared" si="559"/>
        <v>0</v>
      </c>
      <c r="AH689" s="83">
        <f t="shared" si="560"/>
        <v>0</v>
      </c>
      <c r="AI689" s="83">
        <f t="shared" si="561"/>
        <v>0</v>
      </c>
      <c r="AJ689" s="718">
        <f t="shared" si="562"/>
        <v>0</v>
      </c>
      <c r="AL689">
        <f t="shared" si="563"/>
        <v>0</v>
      </c>
      <c r="AM689">
        <f t="shared" si="564"/>
        <v>0</v>
      </c>
    </row>
    <row r="690" spans="1:39" ht="15.75" x14ac:dyDescent="0.25">
      <c r="A690" s="561"/>
      <c r="B690" s="561"/>
      <c r="C690" s="561"/>
      <c r="D690" s="672"/>
      <c r="E690" s="209"/>
      <c r="F690" s="209"/>
      <c r="G690" s="209"/>
      <c r="H690" s="176">
        <f t="shared" si="542"/>
        <v>0</v>
      </c>
      <c r="I690" s="209"/>
      <c r="J690" s="209"/>
      <c r="K690" s="176">
        <f t="shared" si="543"/>
        <v>0</v>
      </c>
      <c r="L690" s="209"/>
      <c r="M690" s="177">
        <f t="shared" si="544"/>
        <v>0</v>
      </c>
      <c r="N690" s="1012"/>
      <c r="O690" s="1012"/>
      <c r="P690" s="485"/>
      <c r="Q690" s="778"/>
      <c r="R690" s="778"/>
      <c r="S690" s="785" t="str">
        <f t="shared" si="547"/>
        <v/>
      </c>
      <c r="T690" s="548" t="str">
        <f t="shared" si="545"/>
        <v>Sheet Metal Takeoff</v>
      </c>
      <c r="U690" s="83">
        <f t="shared" si="548"/>
        <v>0</v>
      </c>
      <c r="V690" s="83">
        <f t="shared" si="549"/>
        <v>0</v>
      </c>
      <c r="W690" s="83">
        <f t="shared" si="550"/>
        <v>0</v>
      </c>
      <c r="X690" s="781">
        <f t="shared" si="551"/>
        <v>0</v>
      </c>
      <c r="Y690" s="781">
        <f t="shared" si="552"/>
        <v>0</v>
      </c>
      <c r="Z690" s="781">
        <f t="shared" si="553"/>
        <v>0</v>
      </c>
      <c r="AA690" s="83">
        <f t="shared" si="546"/>
        <v>0</v>
      </c>
      <c r="AB690" s="83">
        <f t="shared" si="554"/>
        <v>0</v>
      </c>
      <c r="AC690" s="83">
        <f t="shared" si="555"/>
        <v>0</v>
      </c>
      <c r="AD690" s="83">
        <f t="shared" si="556"/>
        <v>0</v>
      </c>
      <c r="AE690" s="83">
        <f t="shared" si="557"/>
        <v>0</v>
      </c>
      <c r="AF690" s="83">
        <f t="shared" si="558"/>
        <v>0</v>
      </c>
      <c r="AG690" s="83">
        <f t="shared" si="559"/>
        <v>0</v>
      </c>
      <c r="AH690" s="83">
        <f t="shared" si="560"/>
        <v>0</v>
      </c>
      <c r="AI690" s="83">
        <f t="shared" si="561"/>
        <v>0</v>
      </c>
      <c r="AJ690" s="718">
        <f t="shared" si="562"/>
        <v>0</v>
      </c>
      <c r="AL690">
        <f t="shared" si="563"/>
        <v>0</v>
      </c>
      <c r="AM690">
        <f t="shared" si="564"/>
        <v>0</v>
      </c>
    </row>
    <row r="691" spans="1:39" ht="15.75" x14ac:dyDescent="0.25">
      <c r="A691" s="561"/>
      <c r="B691" s="561"/>
      <c r="C691" s="561"/>
      <c r="D691" s="672"/>
      <c r="E691" s="209"/>
      <c r="F691" s="209"/>
      <c r="G691" s="209"/>
      <c r="H691" s="176">
        <f t="shared" si="542"/>
        <v>0</v>
      </c>
      <c r="I691" s="209"/>
      <c r="J691" s="209"/>
      <c r="K691" s="176">
        <f t="shared" si="543"/>
        <v>0</v>
      </c>
      <c r="L691" s="209"/>
      <c r="M691" s="177">
        <f t="shared" si="544"/>
        <v>0</v>
      </c>
      <c r="N691" s="1012"/>
      <c r="O691" s="1012"/>
      <c r="P691" s="485"/>
      <c r="Q691" s="778"/>
      <c r="R691" s="778"/>
      <c r="S691" s="785" t="str">
        <f t="shared" si="547"/>
        <v/>
      </c>
      <c r="T691" s="548" t="str">
        <f t="shared" si="545"/>
        <v>Sheet Metal Takeoff</v>
      </c>
      <c r="U691" s="83">
        <f t="shared" si="548"/>
        <v>0</v>
      </c>
      <c r="V691" s="83">
        <f t="shared" si="549"/>
        <v>0</v>
      </c>
      <c r="W691" s="83">
        <f t="shared" si="550"/>
        <v>0</v>
      </c>
      <c r="X691" s="781">
        <f t="shared" si="551"/>
        <v>0</v>
      </c>
      <c r="Y691" s="781">
        <f t="shared" si="552"/>
        <v>0</v>
      </c>
      <c r="Z691" s="781">
        <f t="shared" si="553"/>
        <v>0</v>
      </c>
      <c r="AA691" s="83">
        <f t="shared" si="546"/>
        <v>0</v>
      </c>
      <c r="AB691" s="83">
        <f t="shared" si="554"/>
        <v>0</v>
      </c>
      <c r="AC691" s="83">
        <f t="shared" si="555"/>
        <v>0</v>
      </c>
      <c r="AD691" s="83">
        <f t="shared" si="556"/>
        <v>0</v>
      </c>
      <c r="AE691" s="83">
        <f t="shared" si="557"/>
        <v>0</v>
      </c>
      <c r="AF691" s="83">
        <f t="shared" si="558"/>
        <v>0</v>
      </c>
      <c r="AG691" s="83">
        <f t="shared" si="559"/>
        <v>0</v>
      </c>
      <c r="AH691" s="83">
        <f t="shared" si="560"/>
        <v>0</v>
      </c>
      <c r="AI691" s="83">
        <f t="shared" si="561"/>
        <v>0</v>
      </c>
      <c r="AJ691" s="718">
        <f t="shared" si="562"/>
        <v>0</v>
      </c>
      <c r="AL691">
        <f t="shared" si="563"/>
        <v>0</v>
      </c>
      <c r="AM691">
        <f t="shared" si="564"/>
        <v>0</v>
      </c>
    </row>
    <row r="692" spans="1:39" ht="15.75" x14ac:dyDescent="0.25">
      <c r="A692" s="561"/>
      <c r="B692" s="561"/>
      <c r="C692" s="561"/>
      <c r="D692" s="672"/>
      <c r="E692" s="209"/>
      <c r="F692" s="209"/>
      <c r="G692" s="209"/>
      <c r="H692" s="176">
        <f t="shared" si="542"/>
        <v>0</v>
      </c>
      <c r="I692" s="209"/>
      <c r="J692" s="209"/>
      <c r="K692" s="176">
        <f t="shared" si="543"/>
        <v>0</v>
      </c>
      <c r="L692" s="209"/>
      <c r="M692" s="177">
        <f t="shared" si="544"/>
        <v>0</v>
      </c>
      <c r="N692" s="1012"/>
      <c r="O692" s="1012"/>
      <c r="P692" s="485"/>
      <c r="Q692" s="778"/>
      <c r="R692" s="778"/>
      <c r="S692" s="785" t="str">
        <f t="shared" si="547"/>
        <v/>
      </c>
      <c r="T692" s="548" t="str">
        <f t="shared" si="545"/>
        <v>Sheet Metal Takeoff</v>
      </c>
      <c r="U692" s="83">
        <f t="shared" si="548"/>
        <v>0</v>
      </c>
      <c r="V692" s="83">
        <f t="shared" si="549"/>
        <v>0</v>
      </c>
      <c r="W692" s="83">
        <f t="shared" si="550"/>
        <v>0</v>
      </c>
      <c r="X692" s="781">
        <f t="shared" si="551"/>
        <v>0</v>
      </c>
      <c r="Y692" s="781">
        <f t="shared" si="552"/>
        <v>0</v>
      </c>
      <c r="Z692" s="781">
        <f t="shared" si="553"/>
        <v>0</v>
      </c>
      <c r="AA692" s="83">
        <f t="shared" si="546"/>
        <v>0</v>
      </c>
      <c r="AB692" s="83">
        <f t="shared" si="554"/>
        <v>0</v>
      </c>
      <c r="AC692" s="83">
        <f t="shared" si="555"/>
        <v>0</v>
      </c>
      <c r="AD692" s="83">
        <f t="shared" si="556"/>
        <v>0</v>
      </c>
      <c r="AE692" s="83">
        <f t="shared" si="557"/>
        <v>0</v>
      </c>
      <c r="AF692" s="83">
        <f t="shared" si="558"/>
        <v>0</v>
      </c>
      <c r="AG692" s="83">
        <f t="shared" si="559"/>
        <v>0</v>
      </c>
      <c r="AH692" s="83">
        <f t="shared" si="560"/>
        <v>0</v>
      </c>
      <c r="AI692" s="83">
        <f t="shared" si="561"/>
        <v>0</v>
      </c>
      <c r="AJ692" s="718">
        <f t="shared" si="562"/>
        <v>0</v>
      </c>
      <c r="AL692">
        <f t="shared" si="563"/>
        <v>0</v>
      </c>
      <c r="AM692">
        <f t="shared" si="564"/>
        <v>0</v>
      </c>
    </row>
    <row r="693" spans="1:39" ht="15.75" x14ac:dyDescent="0.25">
      <c r="A693" s="561"/>
      <c r="B693" s="561"/>
      <c r="C693" s="561"/>
      <c r="D693" s="672"/>
      <c r="E693" s="209"/>
      <c r="F693" s="209"/>
      <c r="G693" s="209"/>
      <c r="H693" s="176">
        <f t="shared" si="542"/>
        <v>0</v>
      </c>
      <c r="I693" s="209"/>
      <c r="J693" s="209"/>
      <c r="K693" s="176">
        <f t="shared" si="543"/>
        <v>0</v>
      </c>
      <c r="L693" s="209"/>
      <c r="M693" s="177">
        <f t="shared" si="544"/>
        <v>0</v>
      </c>
      <c r="N693" s="1012"/>
      <c r="O693" s="1012"/>
      <c r="P693" s="485"/>
      <c r="Q693" s="778"/>
      <c r="R693" s="778"/>
      <c r="S693" s="785" t="str">
        <f t="shared" si="547"/>
        <v/>
      </c>
      <c r="T693" s="548" t="str">
        <f t="shared" si="545"/>
        <v>Sheet Metal Takeoff</v>
      </c>
      <c r="U693" s="83">
        <f t="shared" si="548"/>
        <v>0</v>
      </c>
      <c r="V693" s="83">
        <f t="shared" si="549"/>
        <v>0</v>
      </c>
      <c r="W693" s="83">
        <f t="shared" si="550"/>
        <v>0</v>
      </c>
      <c r="X693" s="781">
        <f t="shared" si="551"/>
        <v>0</v>
      </c>
      <c r="Y693" s="781">
        <f t="shared" si="552"/>
        <v>0</v>
      </c>
      <c r="Z693" s="781">
        <f t="shared" si="553"/>
        <v>0</v>
      </c>
      <c r="AA693" s="83">
        <f t="shared" si="546"/>
        <v>0</v>
      </c>
      <c r="AB693" s="83">
        <f t="shared" si="554"/>
        <v>0</v>
      </c>
      <c r="AC693" s="83">
        <f t="shared" si="555"/>
        <v>0</v>
      </c>
      <c r="AD693" s="83">
        <f t="shared" si="556"/>
        <v>0</v>
      </c>
      <c r="AE693" s="83">
        <f t="shared" si="557"/>
        <v>0</v>
      </c>
      <c r="AF693" s="83">
        <f t="shared" si="558"/>
        <v>0</v>
      </c>
      <c r="AG693" s="83">
        <f t="shared" si="559"/>
        <v>0</v>
      </c>
      <c r="AH693" s="83">
        <f t="shared" si="560"/>
        <v>0</v>
      </c>
      <c r="AI693" s="83">
        <f t="shared" si="561"/>
        <v>0</v>
      </c>
      <c r="AJ693" s="718">
        <f t="shared" si="562"/>
        <v>0</v>
      </c>
      <c r="AL693">
        <f t="shared" si="563"/>
        <v>0</v>
      </c>
      <c r="AM693">
        <f t="shared" si="564"/>
        <v>0</v>
      </c>
    </row>
    <row r="694" spans="1:39" ht="15.75" x14ac:dyDescent="0.25">
      <c r="A694" s="561"/>
      <c r="B694" s="561"/>
      <c r="C694" s="561"/>
      <c r="D694" s="672"/>
      <c r="E694" s="209"/>
      <c r="F694" s="209"/>
      <c r="G694" s="209"/>
      <c r="H694" s="176">
        <f t="shared" si="542"/>
        <v>0</v>
      </c>
      <c r="I694" s="209"/>
      <c r="J694" s="209"/>
      <c r="K694" s="176">
        <f t="shared" si="543"/>
        <v>0</v>
      </c>
      <c r="L694" s="209"/>
      <c r="M694" s="177">
        <f t="shared" si="544"/>
        <v>0</v>
      </c>
      <c r="N694" s="1012"/>
      <c r="O694" s="1012"/>
      <c r="P694" s="485"/>
      <c r="Q694" s="778"/>
      <c r="R694" s="778"/>
      <c r="S694" s="785" t="str">
        <f t="shared" si="547"/>
        <v/>
      </c>
      <c r="T694" s="548" t="str">
        <f t="shared" si="545"/>
        <v>Sheet Metal Takeoff</v>
      </c>
      <c r="U694" s="83">
        <f t="shared" si="548"/>
        <v>0</v>
      </c>
      <c r="V694" s="83">
        <f t="shared" si="549"/>
        <v>0</v>
      </c>
      <c r="W694" s="83">
        <f t="shared" si="550"/>
        <v>0</v>
      </c>
      <c r="X694" s="781">
        <f t="shared" si="551"/>
        <v>0</v>
      </c>
      <c r="Y694" s="781">
        <f t="shared" si="552"/>
        <v>0</v>
      </c>
      <c r="Z694" s="781">
        <f t="shared" si="553"/>
        <v>0</v>
      </c>
      <c r="AA694" s="83">
        <f t="shared" si="546"/>
        <v>0</v>
      </c>
      <c r="AB694" s="83">
        <f t="shared" si="554"/>
        <v>0</v>
      </c>
      <c r="AC694" s="83">
        <f t="shared" si="555"/>
        <v>0</v>
      </c>
      <c r="AD694" s="83">
        <f t="shared" si="556"/>
        <v>0</v>
      </c>
      <c r="AE694" s="83">
        <f t="shared" si="557"/>
        <v>0</v>
      </c>
      <c r="AF694" s="83">
        <f t="shared" si="558"/>
        <v>0</v>
      </c>
      <c r="AG694" s="83">
        <f t="shared" si="559"/>
        <v>0</v>
      </c>
      <c r="AH694" s="83">
        <f t="shared" si="560"/>
        <v>0</v>
      </c>
      <c r="AI694" s="83">
        <f t="shared" si="561"/>
        <v>0</v>
      </c>
      <c r="AJ694" s="718">
        <f t="shared" si="562"/>
        <v>0</v>
      </c>
      <c r="AL694">
        <f t="shared" si="563"/>
        <v>0</v>
      </c>
      <c r="AM694">
        <f t="shared" si="564"/>
        <v>0</v>
      </c>
    </row>
    <row r="695" spans="1:39" ht="15.75" hidden="1" customHeight="1" x14ac:dyDescent="0.25">
      <c r="A695" s="561"/>
      <c r="B695" s="561"/>
      <c r="C695" s="561"/>
      <c r="D695" s="672"/>
      <c r="E695" s="209"/>
      <c r="F695" s="209"/>
      <c r="G695" s="209"/>
      <c r="H695" s="176">
        <f t="shared" si="542"/>
        <v>0</v>
      </c>
      <c r="I695" s="209"/>
      <c r="J695" s="209"/>
      <c r="K695" s="176">
        <f t="shared" si="543"/>
        <v>0</v>
      </c>
      <c r="L695" s="209"/>
      <c r="M695" s="177">
        <f t="shared" si="544"/>
        <v>0</v>
      </c>
      <c r="N695" s="1012"/>
      <c r="O695" s="1012"/>
      <c r="P695" s="485"/>
      <c r="Q695" s="778"/>
      <c r="R695" s="778"/>
      <c r="S695" s="785" t="str">
        <f t="shared" si="547"/>
        <v/>
      </c>
      <c r="T695" s="548" t="str">
        <f t="shared" si="545"/>
        <v>Sheet Metal Takeoff</v>
      </c>
      <c r="U695" s="83">
        <f>ROUND(IF($T695="Plumb Takeoff",$H695*U$3,IF($T695="Pipe Takeoff",$H695*U$4,$H695*U$2)),2)</f>
        <v>0</v>
      </c>
      <c r="V695" s="83">
        <f t="shared" si="549"/>
        <v>0</v>
      </c>
      <c r="W695" s="83">
        <f t="shared" si="550"/>
        <v>0</v>
      </c>
      <c r="X695" s="781">
        <f t="shared" si="551"/>
        <v>0</v>
      </c>
      <c r="Y695" s="781">
        <f t="shared" si="552"/>
        <v>0</v>
      </c>
      <c r="Z695" s="781">
        <f t="shared" si="553"/>
        <v>0</v>
      </c>
      <c r="AA695" s="83">
        <f t="shared" si="546"/>
        <v>0</v>
      </c>
      <c r="AB695" s="83">
        <f t="shared" si="554"/>
        <v>0</v>
      </c>
      <c r="AC695" s="83">
        <f t="shared" si="555"/>
        <v>0</v>
      </c>
      <c r="AD695" s="83">
        <f t="shared" si="556"/>
        <v>0</v>
      </c>
      <c r="AE695" s="83">
        <f t="shared" si="557"/>
        <v>0</v>
      </c>
      <c r="AF695" s="83">
        <f t="shared" si="558"/>
        <v>0</v>
      </c>
      <c r="AG695" s="83">
        <f t="shared" si="559"/>
        <v>0</v>
      </c>
      <c r="AH695" s="83">
        <f t="shared" si="560"/>
        <v>0</v>
      </c>
      <c r="AI695" s="83">
        <f t="shared" si="561"/>
        <v>0</v>
      </c>
      <c r="AJ695" s="718">
        <f t="shared" si="562"/>
        <v>0</v>
      </c>
      <c r="AL695">
        <f t="shared" si="563"/>
        <v>0</v>
      </c>
      <c r="AM695">
        <f t="shared" si="564"/>
        <v>0</v>
      </c>
    </row>
    <row r="696" spans="1:39" ht="15.75" x14ac:dyDescent="0.25">
      <c r="A696" s="551"/>
      <c r="B696" s="551"/>
      <c r="C696" s="551"/>
      <c r="D696" s="673"/>
      <c r="E696" s="552"/>
      <c r="F696" s="553"/>
      <c r="G696" s="553"/>
      <c r="H696" s="181">
        <f>SUM(H670:H695)</f>
        <v>0</v>
      </c>
      <c r="I696" s="182"/>
      <c r="J696" s="182"/>
      <c r="K696" s="181">
        <f>SUM(K670:K695)</f>
        <v>0</v>
      </c>
      <c r="L696" s="182"/>
      <c r="M696" s="177">
        <f>SUM(M670:M695)</f>
        <v>0</v>
      </c>
      <c r="O696" s="486"/>
      <c r="AJ696" s="718"/>
    </row>
    <row r="697" spans="1:39" ht="15.75" thickBot="1" x14ac:dyDescent="0.3">
      <c r="AJ697" s="718"/>
    </row>
    <row r="698" spans="1:39" ht="16.5" thickBot="1" x14ac:dyDescent="0.3">
      <c r="E698" s="678" t="s">
        <v>1122</v>
      </c>
      <c r="F698" s="1017" t="s">
        <v>1630</v>
      </c>
      <c r="G698" s="1018"/>
      <c r="H698" s="344"/>
      <c r="I698" s="1019" t="s">
        <v>1628</v>
      </c>
      <c r="J698" s="1020"/>
      <c r="K698" s="679" t="b">
        <v>0</v>
      </c>
      <c r="AJ698" s="718"/>
    </row>
    <row r="699" spans="1:39" ht="38.25" thickBot="1" x14ac:dyDescent="0.35">
      <c r="A699" s="477" t="s">
        <v>1063</v>
      </c>
      <c r="B699" s="477" t="s">
        <v>348</v>
      </c>
      <c r="C699" s="477" t="s">
        <v>349</v>
      </c>
      <c r="D699" s="666" t="s">
        <v>0</v>
      </c>
      <c r="E699" s="477" t="s">
        <v>1</v>
      </c>
      <c r="F699" s="480" t="s">
        <v>2</v>
      </c>
      <c r="G699" s="480" t="s">
        <v>1123</v>
      </c>
      <c r="H699" s="480" t="s">
        <v>3</v>
      </c>
      <c r="I699" s="483" t="s">
        <v>4</v>
      </c>
      <c r="J699" s="480" t="s">
        <v>1124</v>
      </c>
      <c r="K699" s="680" t="s">
        <v>5</v>
      </c>
      <c r="L699" s="480" t="s">
        <v>6</v>
      </c>
      <c r="M699" s="484" t="s">
        <v>7</v>
      </c>
      <c r="N699" s="1013" t="s">
        <v>1079</v>
      </c>
      <c r="O699" s="1014"/>
      <c r="P699" s="1009" t="s">
        <v>1629</v>
      </c>
      <c r="Q699" s="1009" t="s">
        <v>1147</v>
      </c>
      <c r="R699" s="1009" t="s">
        <v>1792</v>
      </c>
      <c r="T699" s="2"/>
      <c r="AJ699" s="718"/>
    </row>
    <row r="700" spans="1:39" ht="16.5" thickBot="1" x14ac:dyDescent="0.3">
      <c r="A700" s="183"/>
      <c r="B700" s="183"/>
      <c r="C700" s="183"/>
      <c r="D700" s="671"/>
      <c r="E700" s="183"/>
      <c r="F700" s="183"/>
      <c r="G700" s="183"/>
      <c r="H700" s="183"/>
      <c r="I700" s="183"/>
      <c r="J700" s="183"/>
      <c r="K700" s="183"/>
      <c r="L700" s="183"/>
      <c r="M700" s="183"/>
      <c r="N700" s="1015"/>
      <c r="O700" s="1016"/>
      <c r="P700" s="1010" t="s">
        <v>1362</v>
      </c>
      <c r="Q700" s="1010"/>
      <c r="R700" s="1010"/>
      <c r="T700" s="1"/>
      <c r="AJ700" s="718"/>
    </row>
    <row r="701" spans="1:39" ht="15.75" x14ac:dyDescent="0.25">
      <c r="A701" s="561"/>
      <c r="B701" s="561"/>
      <c r="C701" s="561"/>
      <c r="D701" s="672"/>
      <c r="E701" s="209"/>
      <c r="F701" s="209"/>
      <c r="G701" s="209"/>
      <c r="H701" s="176">
        <f t="shared" ref="H701:H726" si="565">IF(SM_ExludeGroup22=TRUE,0,IF(G701="",E701*F701*IF(AND(S701="LOP",R701="SWING"),1+CrewRate_PlumbFitter_SwingLOP,1)*IF(AND(S701="LOP",R701="GRAVE"),1+CrewRate_PlumbFitter_GraveLOP,1)*IF(AND(S701="LOP",R701="SPECIAL"),1+CrewRate_PlumbFitter_SwingLOP,1),E701*F701*G701*IF(AND(S701="LOP",R701="SWING"),1+CrewRate_PlumbFitter_SwingLOP,1)*IF(AND(S701="LOP",R701="GRAVE"),1+CrewRate_PlumbFitter_GraveLOP,1)*IF(AND(S701="LOP",R701="SPECIAL"),1+CrewRate_PlumbFitter_SwingLOP,1)))</f>
        <v>0</v>
      </c>
      <c r="I701" s="209"/>
      <c r="J701" s="209"/>
      <c r="K701" s="176">
        <f t="shared" ref="K701:K726" si="566">IF(SM_ExludeGroup22=TRUE,0,IF(J701="",E701*I701,E701*I701*J701))</f>
        <v>0</v>
      </c>
      <c r="L701" s="209"/>
      <c r="M701" s="177">
        <f t="shared" ref="M701:M726" si="567">IF(SM_ExludeGroup22=TRUE,0,E701*L701)</f>
        <v>0</v>
      </c>
      <c r="N701" s="1012"/>
      <c r="O701" s="1012"/>
      <c r="P701" s="485"/>
      <c r="Q701" s="778"/>
      <c r="R701" s="778"/>
      <c r="S701" s="785" t="str">
        <f>IF(T701="Sheet Metal Takeoff","",IF(R701="","","LOP"))</f>
        <v/>
      </c>
      <c r="T701" s="548" t="str">
        <f t="shared" ref="T701:T726" si="568">IF($F$698="","Sheet Metal Takeoff",$F$698)</f>
        <v>Sheet Metal Takeoff</v>
      </c>
      <c r="U701" s="83">
        <f>ROUND(IF($T701="Plumb Takeoff",$H701*U$3,IF($T701="Pipe Takeoff",$H701*U$4,$H701*U$2)),2)</f>
        <v>0</v>
      </c>
      <c r="V701" s="83">
        <f>ROUND(IF($T701="Plumb Takeoff",IF($Q701="OT",$H701*V$3,0),IF($T701="Pipe Takeoff",IF($Q701="OT",$H701*V$4,0),IF($Q701="OT",$H701*V$2,0))),2)</f>
        <v>0</v>
      </c>
      <c r="W701" s="83">
        <f>ROUND(IF($T701="Plumb Takeoff",IF($Q701="DBLT",$H701*W$3,0),IF($T701="Pipe Takeoff",IF($Q701="DBLT",$H701*W$4,0),IF($Q701="DBLT",$H701*W$2,0))),2)</f>
        <v>0</v>
      </c>
      <c r="X701" s="781">
        <f>ROUND(SUM(IF($T701="Plumb Takeoff",IF($R701="SWING",ROUND(SUM($H701)*X$3,2))),IF($T701="Pipe Takeoff",IF($R701="SWING",ROUND(SUM($H701)*X$4,2))),IF($T701="Sheet Metal Takeoff",IF($R701="SWING",ROUND(SUM($H701)*X$2,2)))),2)</f>
        <v>0</v>
      </c>
      <c r="Y701" s="781">
        <f>ROUND(SUM(IF($T701="Plumb Takeoff",IF($R701="GRAVE",ROUND(SUM($H701)*Y$3,2))),IF($T701="Pipe Takeoff",IF($R701="GRAVE",ROUND(SUM($H701)*Y$4,2))),IF($T701="Sheet Metal Takeoff",IF($R701="GRAVE",ROUND(SUM($H701)*Y$2,2)))),2)</f>
        <v>0</v>
      </c>
      <c r="Z701" s="781">
        <f>ROUND(SUM(IF($T701="Plumb Takeoff",IF($R701="SPECIAL",ROUND(SUM($H701)*Z$3,2))),IF($T701="Pipe Takeoff",IF($R701="SPECIAL",ROUND(SUM($H701)*Z$4,2))),IF($T701="Sheet Metal Takeoff",IF($R701="SPECIAL",ROUND(SUM($H701)*Z$2,2)))),2)</f>
        <v>0</v>
      </c>
      <c r="AA701" s="83">
        <f t="shared" ref="AA701:AA726" si="569">ROUND($K701*AA$2,2)</f>
        <v>0</v>
      </c>
      <c r="AB701" s="83">
        <f>ROUND(IF($Q701="OT",$K701*AB$2,0),2)</f>
        <v>0</v>
      </c>
      <c r="AC701" s="83">
        <f>ROUND(IF($Q701="DBLT",$K701*AC$2,0),2)</f>
        <v>0</v>
      </c>
      <c r="AD701" s="83">
        <f>ROUND(IF($R701="SWING",$K701*AD$2,0),2)</f>
        <v>0</v>
      </c>
      <c r="AE701" s="83">
        <f>ROUND(IF($R701="GRAVE",$K701*AE$2,0),2)</f>
        <v>0</v>
      </c>
      <c r="AF701" s="83">
        <f>ROUND(IF($R701="SPECIAL",$K701*AF$2,0),2)</f>
        <v>0</v>
      </c>
      <c r="AG701" s="83">
        <f>SUM(U701:Z701)</f>
        <v>0</v>
      </c>
      <c r="AH701" s="83">
        <f>SUM(AA701:AF701)</f>
        <v>0</v>
      </c>
      <c r="AI701" s="83">
        <f>SUM(U701:AF701)</f>
        <v>0</v>
      </c>
      <c r="AJ701" s="718">
        <f>SUM(M701,AI701)</f>
        <v>0</v>
      </c>
      <c r="AL701">
        <f>SUM(V701:Z701)</f>
        <v>0</v>
      </c>
      <c r="AM701">
        <f>SUM(AB701:AF701)</f>
        <v>0</v>
      </c>
    </row>
    <row r="702" spans="1:39" ht="15.75" x14ac:dyDescent="0.25">
      <c r="A702" s="561"/>
      <c r="B702" s="561"/>
      <c r="C702" s="561"/>
      <c r="D702" s="672"/>
      <c r="E702" s="209"/>
      <c r="F702" s="209"/>
      <c r="G702" s="209"/>
      <c r="H702" s="176">
        <f t="shared" si="565"/>
        <v>0</v>
      </c>
      <c r="I702" s="209"/>
      <c r="J702" s="209"/>
      <c r="K702" s="176">
        <f t="shared" si="566"/>
        <v>0</v>
      </c>
      <c r="L702" s="209"/>
      <c r="M702" s="177">
        <f t="shared" si="567"/>
        <v>0</v>
      </c>
      <c r="N702" s="1012"/>
      <c r="O702" s="1012"/>
      <c r="P702" s="485"/>
      <c r="Q702" s="778"/>
      <c r="R702" s="778"/>
      <c r="S702" s="785" t="str">
        <f t="shared" ref="S702:S726" si="570">IF(T702="Sheet Metal Takeoff","",IF(R702="","","LOP"))</f>
        <v/>
      </c>
      <c r="T702" s="548" t="str">
        <f t="shared" si="568"/>
        <v>Sheet Metal Takeoff</v>
      </c>
      <c r="U702" s="83">
        <f t="shared" ref="U702:U725" si="571">ROUND(IF($T702="Plumb Takeoff",$H702*U$3,IF($T702="Pipe Takeoff",$H702*U$4,$H702*U$2)),2)</f>
        <v>0</v>
      </c>
      <c r="V702" s="83">
        <f t="shared" ref="V702:V726" si="572">ROUND(IF($T702="Plumb Takeoff",IF($Q702="OT",$H702*V$3,0),IF($T702="Pipe Takeoff",IF($Q702="OT",$H702*V$4,0),IF($Q702="OT",$H702*V$2,0))),2)</f>
        <v>0</v>
      </c>
      <c r="W702" s="83">
        <f t="shared" ref="W702:W726" si="573">ROUND(IF($T702="Plumb Takeoff",IF($Q702="DBLT",$H702*W$3,0),IF($T702="Pipe Takeoff",IF($Q702="DBLT",$H702*W$4,0),IF($Q702="DBLT",$H702*W$2,0))),2)</f>
        <v>0</v>
      </c>
      <c r="X702" s="781">
        <f t="shared" ref="X702:X726" si="574">ROUND(SUM(IF($T702="Plumb Takeoff",IF($R702="SWING",ROUND(SUM($H702)*X$3,2))),IF($T702="Pipe Takeoff",IF($R702="SWING",ROUND(SUM($H702)*X$4,2))),IF($T702="Sheet Metal Takeoff",IF($R702="SWING",ROUND(SUM($H702)*X$2,2)))),2)</f>
        <v>0</v>
      </c>
      <c r="Y702" s="781">
        <f t="shared" ref="Y702:Y726" si="575">ROUND(SUM(IF($T702="Plumb Takeoff",IF($R702="GRAVE",ROUND(SUM($H702)*Y$3,2))),IF($T702="Pipe Takeoff",IF($R702="GRAVE",ROUND(SUM($H702)*Y$4,2))),IF($T702="Sheet Metal Takeoff",IF($R702="GRAVE",ROUND(SUM($H702)*Y$2,2)))),2)</f>
        <v>0</v>
      </c>
      <c r="Z702" s="781">
        <f t="shared" ref="Z702:Z726" si="576">ROUND(SUM(IF($T702="Plumb Takeoff",IF($R702="SPECIAL",ROUND(SUM($H702)*Z$3,2))),IF($T702="Pipe Takeoff",IF($R702="SPECIAL",ROUND(SUM($H702)*Z$4,2))),IF($T702="Sheet Metal Takeoff",IF($R702="SPECIAL",ROUND(SUM($H702)*Z$2,2)))),2)</f>
        <v>0</v>
      </c>
      <c r="AA702" s="83">
        <f t="shared" si="569"/>
        <v>0</v>
      </c>
      <c r="AB702" s="83">
        <f t="shared" ref="AB702:AB726" si="577">ROUND(IF($Q702="OT",$K702*AB$2,0),2)</f>
        <v>0</v>
      </c>
      <c r="AC702" s="83">
        <f t="shared" ref="AC702:AC726" si="578">ROUND(IF($Q702="DBLT",$K702*AC$2,0),2)</f>
        <v>0</v>
      </c>
      <c r="AD702" s="83">
        <f t="shared" ref="AD702:AD726" si="579">ROUND(IF($R702="SWING",$K702*AD$2,0),2)</f>
        <v>0</v>
      </c>
      <c r="AE702" s="83">
        <f t="shared" ref="AE702:AE726" si="580">ROUND(IF($R702="GRAVE",$K702*AE$2,0),2)</f>
        <v>0</v>
      </c>
      <c r="AF702" s="83">
        <f t="shared" ref="AF702:AF726" si="581">ROUND(IF($R702="SPECIAL",$K702*AF$2,0),2)</f>
        <v>0</v>
      </c>
      <c r="AG702" s="83">
        <f t="shared" ref="AG702:AG726" si="582">SUM(U702:Z702)</f>
        <v>0</v>
      </c>
      <c r="AH702" s="83">
        <f t="shared" ref="AH702:AH726" si="583">SUM(AA702:AF702)</f>
        <v>0</v>
      </c>
      <c r="AI702" s="83">
        <f t="shared" ref="AI702:AI726" si="584">SUM(U702:AF702)</f>
        <v>0</v>
      </c>
      <c r="AJ702" s="718">
        <f t="shared" ref="AJ702:AJ726" si="585">SUM(M702,AI702)</f>
        <v>0</v>
      </c>
      <c r="AL702">
        <f t="shared" ref="AL702:AL726" si="586">SUM(V702:Z702)</f>
        <v>0</v>
      </c>
      <c r="AM702">
        <f t="shared" ref="AM702:AM726" si="587">SUM(AB702:AF702)</f>
        <v>0</v>
      </c>
    </row>
    <row r="703" spans="1:39" ht="15.75" x14ac:dyDescent="0.25">
      <c r="A703" s="561"/>
      <c r="B703" s="561"/>
      <c r="C703" s="561"/>
      <c r="D703" s="672"/>
      <c r="E703" s="209"/>
      <c r="F703" s="209"/>
      <c r="G703" s="209"/>
      <c r="H703" s="176">
        <f t="shared" si="565"/>
        <v>0</v>
      </c>
      <c r="I703" s="209"/>
      <c r="J703" s="209"/>
      <c r="K703" s="176">
        <f t="shared" si="566"/>
        <v>0</v>
      </c>
      <c r="L703" s="209"/>
      <c r="M703" s="177">
        <f t="shared" si="567"/>
        <v>0</v>
      </c>
      <c r="N703" s="1012"/>
      <c r="O703" s="1012"/>
      <c r="P703" s="485"/>
      <c r="Q703" s="778"/>
      <c r="R703" s="778"/>
      <c r="S703" s="785" t="str">
        <f t="shared" si="570"/>
        <v/>
      </c>
      <c r="T703" s="548" t="str">
        <f t="shared" si="568"/>
        <v>Sheet Metal Takeoff</v>
      </c>
      <c r="U703" s="83">
        <f t="shared" si="571"/>
        <v>0</v>
      </c>
      <c r="V703" s="83">
        <f t="shared" si="572"/>
        <v>0</v>
      </c>
      <c r="W703" s="83">
        <f t="shared" si="573"/>
        <v>0</v>
      </c>
      <c r="X703" s="781">
        <f t="shared" si="574"/>
        <v>0</v>
      </c>
      <c r="Y703" s="781">
        <f t="shared" si="575"/>
        <v>0</v>
      </c>
      <c r="Z703" s="781">
        <f t="shared" si="576"/>
        <v>0</v>
      </c>
      <c r="AA703" s="83">
        <f t="shared" si="569"/>
        <v>0</v>
      </c>
      <c r="AB703" s="83">
        <f t="shared" si="577"/>
        <v>0</v>
      </c>
      <c r="AC703" s="83">
        <f t="shared" si="578"/>
        <v>0</v>
      </c>
      <c r="AD703" s="83">
        <f t="shared" si="579"/>
        <v>0</v>
      </c>
      <c r="AE703" s="83">
        <f t="shared" si="580"/>
        <v>0</v>
      </c>
      <c r="AF703" s="83">
        <f t="shared" si="581"/>
        <v>0</v>
      </c>
      <c r="AG703" s="83">
        <f t="shared" si="582"/>
        <v>0</v>
      </c>
      <c r="AH703" s="83">
        <f t="shared" si="583"/>
        <v>0</v>
      </c>
      <c r="AI703" s="83">
        <f t="shared" si="584"/>
        <v>0</v>
      </c>
      <c r="AJ703" s="718">
        <f t="shared" si="585"/>
        <v>0</v>
      </c>
      <c r="AL703">
        <f t="shared" si="586"/>
        <v>0</v>
      </c>
      <c r="AM703">
        <f t="shared" si="587"/>
        <v>0</v>
      </c>
    </row>
    <row r="704" spans="1:39" ht="15.75" x14ac:dyDescent="0.25">
      <c r="A704" s="561"/>
      <c r="B704" s="561"/>
      <c r="C704" s="561"/>
      <c r="D704" s="672"/>
      <c r="E704" s="209"/>
      <c r="F704" s="209"/>
      <c r="G704" s="209"/>
      <c r="H704" s="176">
        <f t="shared" si="565"/>
        <v>0</v>
      </c>
      <c r="I704" s="209"/>
      <c r="J704" s="209"/>
      <c r="K704" s="176">
        <f t="shared" si="566"/>
        <v>0</v>
      </c>
      <c r="L704" s="209"/>
      <c r="M704" s="177">
        <f t="shared" si="567"/>
        <v>0</v>
      </c>
      <c r="N704" s="1012"/>
      <c r="O704" s="1012"/>
      <c r="P704" s="485"/>
      <c r="Q704" s="778"/>
      <c r="R704" s="778"/>
      <c r="S704" s="785" t="str">
        <f t="shared" si="570"/>
        <v/>
      </c>
      <c r="T704" s="548" t="str">
        <f t="shared" si="568"/>
        <v>Sheet Metal Takeoff</v>
      </c>
      <c r="U704" s="83">
        <f t="shared" si="571"/>
        <v>0</v>
      </c>
      <c r="V704" s="83">
        <f t="shared" si="572"/>
        <v>0</v>
      </c>
      <c r="W704" s="83">
        <f t="shared" si="573"/>
        <v>0</v>
      </c>
      <c r="X704" s="781">
        <f t="shared" si="574"/>
        <v>0</v>
      </c>
      <c r="Y704" s="781">
        <f t="shared" si="575"/>
        <v>0</v>
      </c>
      <c r="Z704" s="781">
        <f t="shared" si="576"/>
        <v>0</v>
      </c>
      <c r="AA704" s="83">
        <f t="shared" si="569"/>
        <v>0</v>
      </c>
      <c r="AB704" s="83">
        <f t="shared" si="577"/>
        <v>0</v>
      </c>
      <c r="AC704" s="83">
        <f t="shared" si="578"/>
        <v>0</v>
      </c>
      <c r="AD704" s="83">
        <f t="shared" si="579"/>
        <v>0</v>
      </c>
      <c r="AE704" s="83">
        <f t="shared" si="580"/>
        <v>0</v>
      </c>
      <c r="AF704" s="83">
        <f t="shared" si="581"/>
        <v>0</v>
      </c>
      <c r="AG704" s="83">
        <f t="shared" si="582"/>
        <v>0</v>
      </c>
      <c r="AH704" s="83">
        <f t="shared" si="583"/>
        <v>0</v>
      </c>
      <c r="AI704" s="83">
        <f t="shared" si="584"/>
        <v>0</v>
      </c>
      <c r="AJ704" s="718">
        <f t="shared" si="585"/>
        <v>0</v>
      </c>
      <c r="AL704">
        <f t="shared" si="586"/>
        <v>0</v>
      </c>
      <c r="AM704">
        <f t="shared" si="587"/>
        <v>0</v>
      </c>
    </row>
    <row r="705" spans="1:39" ht="15.75" x14ac:dyDescent="0.25">
      <c r="A705" s="561"/>
      <c r="B705" s="561"/>
      <c r="C705" s="561"/>
      <c r="D705" s="672"/>
      <c r="E705" s="209"/>
      <c r="F705" s="209"/>
      <c r="G705" s="209"/>
      <c r="H705" s="176">
        <f t="shared" si="565"/>
        <v>0</v>
      </c>
      <c r="I705" s="209"/>
      <c r="J705" s="209"/>
      <c r="K705" s="176">
        <f t="shared" si="566"/>
        <v>0</v>
      </c>
      <c r="L705" s="209"/>
      <c r="M705" s="177">
        <f t="shared" si="567"/>
        <v>0</v>
      </c>
      <c r="N705" s="1012"/>
      <c r="O705" s="1012"/>
      <c r="P705" s="485"/>
      <c r="Q705" s="778"/>
      <c r="R705" s="778"/>
      <c r="S705" s="785" t="str">
        <f t="shared" si="570"/>
        <v/>
      </c>
      <c r="T705" s="548" t="str">
        <f t="shared" si="568"/>
        <v>Sheet Metal Takeoff</v>
      </c>
      <c r="U705" s="83">
        <f t="shared" si="571"/>
        <v>0</v>
      </c>
      <c r="V705" s="83">
        <f t="shared" si="572"/>
        <v>0</v>
      </c>
      <c r="W705" s="83">
        <f t="shared" si="573"/>
        <v>0</v>
      </c>
      <c r="X705" s="781">
        <f t="shared" si="574"/>
        <v>0</v>
      </c>
      <c r="Y705" s="781">
        <f t="shared" si="575"/>
        <v>0</v>
      </c>
      <c r="Z705" s="781">
        <f t="shared" si="576"/>
        <v>0</v>
      </c>
      <c r="AA705" s="83">
        <f t="shared" si="569"/>
        <v>0</v>
      </c>
      <c r="AB705" s="83">
        <f t="shared" si="577"/>
        <v>0</v>
      </c>
      <c r="AC705" s="83">
        <f t="shared" si="578"/>
        <v>0</v>
      </c>
      <c r="AD705" s="83">
        <f t="shared" si="579"/>
        <v>0</v>
      </c>
      <c r="AE705" s="83">
        <f t="shared" si="580"/>
        <v>0</v>
      </c>
      <c r="AF705" s="83">
        <f t="shared" si="581"/>
        <v>0</v>
      </c>
      <c r="AG705" s="83">
        <f t="shared" si="582"/>
        <v>0</v>
      </c>
      <c r="AH705" s="83">
        <f t="shared" si="583"/>
        <v>0</v>
      </c>
      <c r="AI705" s="83">
        <f t="shared" si="584"/>
        <v>0</v>
      </c>
      <c r="AJ705" s="718">
        <f t="shared" si="585"/>
        <v>0</v>
      </c>
      <c r="AL705">
        <f t="shared" si="586"/>
        <v>0</v>
      </c>
      <c r="AM705">
        <f t="shared" si="587"/>
        <v>0</v>
      </c>
    </row>
    <row r="706" spans="1:39" ht="15.75" x14ac:dyDescent="0.25">
      <c r="A706" s="561"/>
      <c r="B706" s="561"/>
      <c r="C706" s="561"/>
      <c r="D706" s="672"/>
      <c r="E706" s="209"/>
      <c r="F706" s="209"/>
      <c r="G706" s="209"/>
      <c r="H706" s="176">
        <f t="shared" si="565"/>
        <v>0</v>
      </c>
      <c r="I706" s="209"/>
      <c r="J706" s="209"/>
      <c r="K706" s="176">
        <f t="shared" si="566"/>
        <v>0</v>
      </c>
      <c r="L706" s="209"/>
      <c r="M706" s="177">
        <f t="shared" si="567"/>
        <v>0</v>
      </c>
      <c r="N706" s="1012"/>
      <c r="O706" s="1012"/>
      <c r="P706" s="485"/>
      <c r="Q706" s="778"/>
      <c r="R706" s="778"/>
      <c r="S706" s="785" t="str">
        <f t="shared" si="570"/>
        <v/>
      </c>
      <c r="T706" s="548" t="str">
        <f t="shared" si="568"/>
        <v>Sheet Metal Takeoff</v>
      </c>
      <c r="U706" s="83">
        <f t="shared" si="571"/>
        <v>0</v>
      </c>
      <c r="V706" s="83">
        <f t="shared" si="572"/>
        <v>0</v>
      </c>
      <c r="W706" s="83">
        <f t="shared" si="573"/>
        <v>0</v>
      </c>
      <c r="X706" s="781">
        <f t="shared" si="574"/>
        <v>0</v>
      </c>
      <c r="Y706" s="781">
        <f t="shared" si="575"/>
        <v>0</v>
      </c>
      <c r="Z706" s="781">
        <f t="shared" si="576"/>
        <v>0</v>
      </c>
      <c r="AA706" s="83">
        <f t="shared" si="569"/>
        <v>0</v>
      </c>
      <c r="AB706" s="83">
        <f t="shared" si="577"/>
        <v>0</v>
      </c>
      <c r="AC706" s="83">
        <f t="shared" si="578"/>
        <v>0</v>
      </c>
      <c r="AD706" s="83">
        <f t="shared" si="579"/>
        <v>0</v>
      </c>
      <c r="AE706" s="83">
        <f t="shared" si="580"/>
        <v>0</v>
      </c>
      <c r="AF706" s="83">
        <f t="shared" si="581"/>
        <v>0</v>
      </c>
      <c r="AG706" s="83">
        <f t="shared" si="582"/>
        <v>0</v>
      </c>
      <c r="AH706" s="83">
        <f t="shared" si="583"/>
        <v>0</v>
      </c>
      <c r="AI706" s="83">
        <f t="shared" si="584"/>
        <v>0</v>
      </c>
      <c r="AJ706" s="718">
        <f t="shared" si="585"/>
        <v>0</v>
      </c>
      <c r="AL706">
        <f t="shared" si="586"/>
        <v>0</v>
      </c>
      <c r="AM706">
        <f t="shared" si="587"/>
        <v>0</v>
      </c>
    </row>
    <row r="707" spans="1:39" ht="15.75" x14ac:dyDescent="0.25">
      <c r="A707" s="561"/>
      <c r="B707" s="561"/>
      <c r="C707" s="561"/>
      <c r="D707" s="672"/>
      <c r="E707" s="209"/>
      <c r="F707" s="209"/>
      <c r="G707" s="209"/>
      <c r="H707" s="176">
        <f t="shared" si="565"/>
        <v>0</v>
      </c>
      <c r="I707" s="209"/>
      <c r="J707" s="209"/>
      <c r="K707" s="176">
        <f t="shared" si="566"/>
        <v>0</v>
      </c>
      <c r="L707" s="209"/>
      <c r="M707" s="177">
        <f t="shared" si="567"/>
        <v>0</v>
      </c>
      <c r="N707" s="1012"/>
      <c r="O707" s="1012"/>
      <c r="P707" s="485"/>
      <c r="Q707" s="778"/>
      <c r="R707" s="778"/>
      <c r="S707" s="785" t="str">
        <f t="shared" si="570"/>
        <v/>
      </c>
      <c r="T707" s="548" t="str">
        <f t="shared" si="568"/>
        <v>Sheet Metal Takeoff</v>
      </c>
      <c r="U707" s="83">
        <f t="shared" si="571"/>
        <v>0</v>
      </c>
      <c r="V707" s="83">
        <f t="shared" si="572"/>
        <v>0</v>
      </c>
      <c r="W707" s="83">
        <f t="shared" si="573"/>
        <v>0</v>
      </c>
      <c r="X707" s="781">
        <f t="shared" si="574"/>
        <v>0</v>
      </c>
      <c r="Y707" s="781">
        <f t="shared" si="575"/>
        <v>0</v>
      </c>
      <c r="Z707" s="781">
        <f t="shared" si="576"/>
        <v>0</v>
      </c>
      <c r="AA707" s="83">
        <f t="shared" si="569"/>
        <v>0</v>
      </c>
      <c r="AB707" s="83">
        <f t="shared" si="577"/>
        <v>0</v>
      </c>
      <c r="AC707" s="83">
        <f t="shared" si="578"/>
        <v>0</v>
      </c>
      <c r="AD707" s="83">
        <f t="shared" si="579"/>
        <v>0</v>
      </c>
      <c r="AE707" s="83">
        <f t="shared" si="580"/>
        <v>0</v>
      </c>
      <c r="AF707" s="83">
        <f t="shared" si="581"/>
        <v>0</v>
      </c>
      <c r="AG707" s="83">
        <f t="shared" si="582"/>
        <v>0</v>
      </c>
      <c r="AH707" s="83">
        <f t="shared" si="583"/>
        <v>0</v>
      </c>
      <c r="AI707" s="83">
        <f t="shared" si="584"/>
        <v>0</v>
      </c>
      <c r="AJ707" s="718">
        <f t="shared" si="585"/>
        <v>0</v>
      </c>
      <c r="AL707">
        <f t="shared" si="586"/>
        <v>0</v>
      </c>
      <c r="AM707">
        <f t="shared" si="587"/>
        <v>0</v>
      </c>
    </row>
    <row r="708" spans="1:39" ht="15.75" x14ac:dyDescent="0.25">
      <c r="A708" s="561"/>
      <c r="B708" s="561"/>
      <c r="C708" s="561"/>
      <c r="D708" s="672"/>
      <c r="E708" s="209"/>
      <c r="F708" s="209"/>
      <c r="G708" s="209"/>
      <c r="H708" s="176">
        <f t="shared" si="565"/>
        <v>0</v>
      </c>
      <c r="I708" s="209"/>
      <c r="J708" s="209"/>
      <c r="K708" s="176">
        <f t="shared" si="566"/>
        <v>0</v>
      </c>
      <c r="L708" s="209"/>
      <c r="M708" s="177">
        <f t="shared" si="567"/>
        <v>0</v>
      </c>
      <c r="N708" s="1012"/>
      <c r="O708" s="1012"/>
      <c r="P708" s="485"/>
      <c r="Q708" s="778"/>
      <c r="R708" s="778"/>
      <c r="S708" s="785" t="str">
        <f t="shared" si="570"/>
        <v/>
      </c>
      <c r="T708" s="548" t="str">
        <f t="shared" si="568"/>
        <v>Sheet Metal Takeoff</v>
      </c>
      <c r="U708" s="83">
        <f t="shared" si="571"/>
        <v>0</v>
      </c>
      <c r="V708" s="83">
        <f t="shared" si="572"/>
        <v>0</v>
      </c>
      <c r="W708" s="83">
        <f t="shared" si="573"/>
        <v>0</v>
      </c>
      <c r="X708" s="781">
        <f t="shared" si="574"/>
        <v>0</v>
      </c>
      <c r="Y708" s="781">
        <f t="shared" si="575"/>
        <v>0</v>
      </c>
      <c r="Z708" s="781">
        <f t="shared" si="576"/>
        <v>0</v>
      </c>
      <c r="AA708" s="83">
        <f t="shared" si="569"/>
        <v>0</v>
      </c>
      <c r="AB708" s="83">
        <f t="shared" si="577"/>
        <v>0</v>
      </c>
      <c r="AC708" s="83">
        <f t="shared" si="578"/>
        <v>0</v>
      </c>
      <c r="AD708" s="83">
        <f t="shared" si="579"/>
        <v>0</v>
      </c>
      <c r="AE708" s="83">
        <f t="shared" si="580"/>
        <v>0</v>
      </c>
      <c r="AF708" s="83">
        <f t="shared" si="581"/>
        <v>0</v>
      </c>
      <c r="AG708" s="83">
        <f t="shared" si="582"/>
        <v>0</v>
      </c>
      <c r="AH708" s="83">
        <f t="shared" si="583"/>
        <v>0</v>
      </c>
      <c r="AI708" s="83">
        <f t="shared" si="584"/>
        <v>0</v>
      </c>
      <c r="AJ708" s="718">
        <f t="shared" si="585"/>
        <v>0</v>
      </c>
      <c r="AL708">
        <f t="shared" si="586"/>
        <v>0</v>
      </c>
      <c r="AM708">
        <f t="shared" si="587"/>
        <v>0</v>
      </c>
    </row>
    <row r="709" spans="1:39" ht="15.75" x14ac:dyDescent="0.25">
      <c r="A709" s="561"/>
      <c r="B709" s="561"/>
      <c r="C709" s="561"/>
      <c r="D709" s="672"/>
      <c r="E709" s="209"/>
      <c r="F709" s="209"/>
      <c r="G709" s="209"/>
      <c r="H709" s="176">
        <f t="shared" si="565"/>
        <v>0</v>
      </c>
      <c r="I709" s="209"/>
      <c r="J709" s="209"/>
      <c r="K709" s="176">
        <f t="shared" si="566"/>
        <v>0</v>
      </c>
      <c r="L709" s="209"/>
      <c r="M709" s="177">
        <f t="shared" si="567"/>
        <v>0</v>
      </c>
      <c r="N709" s="1012"/>
      <c r="O709" s="1012"/>
      <c r="P709" s="485"/>
      <c r="Q709" s="778"/>
      <c r="R709" s="778"/>
      <c r="S709" s="785" t="str">
        <f t="shared" si="570"/>
        <v/>
      </c>
      <c r="T709" s="548" t="str">
        <f t="shared" si="568"/>
        <v>Sheet Metal Takeoff</v>
      </c>
      <c r="U709" s="83">
        <f t="shared" si="571"/>
        <v>0</v>
      </c>
      <c r="V709" s="83">
        <f t="shared" si="572"/>
        <v>0</v>
      </c>
      <c r="W709" s="83">
        <f t="shared" si="573"/>
        <v>0</v>
      </c>
      <c r="X709" s="781">
        <f t="shared" si="574"/>
        <v>0</v>
      </c>
      <c r="Y709" s="781">
        <f t="shared" si="575"/>
        <v>0</v>
      </c>
      <c r="Z709" s="781">
        <f t="shared" si="576"/>
        <v>0</v>
      </c>
      <c r="AA709" s="83">
        <f t="shared" si="569"/>
        <v>0</v>
      </c>
      <c r="AB709" s="83">
        <f t="shared" si="577"/>
        <v>0</v>
      </c>
      <c r="AC709" s="83">
        <f t="shared" si="578"/>
        <v>0</v>
      </c>
      <c r="AD709" s="83">
        <f t="shared" si="579"/>
        <v>0</v>
      </c>
      <c r="AE709" s="83">
        <f t="shared" si="580"/>
        <v>0</v>
      </c>
      <c r="AF709" s="83">
        <f t="shared" si="581"/>
        <v>0</v>
      </c>
      <c r="AG709" s="83">
        <f t="shared" si="582"/>
        <v>0</v>
      </c>
      <c r="AH709" s="83">
        <f t="shared" si="583"/>
        <v>0</v>
      </c>
      <c r="AI709" s="83">
        <f t="shared" si="584"/>
        <v>0</v>
      </c>
      <c r="AJ709" s="718">
        <f t="shared" si="585"/>
        <v>0</v>
      </c>
      <c r="AL709">
        <f t="shared" si="586"/>
        <v>0</v>
      </c>
      <c r="AM709">
        <f t="shared" si="587"/>
        <v>0</v>
      </c>
    </row>
    <row r="710" spans="1:39" ht="15.75" x14ac:dyDescent="0.25">
      <c r="A710" s="561"/>
      <c r="B710" s="561"/>
      <c r="C710" s="561"/>
      <c r="D710" s="672"/>
      <c r="E710" s="209"/>
      <c r="F710" s="209"/>
      <c r="G710" s="209"/>
      <c r="H710" s="176">
        <f t="shared" si="565"/>
        <v>0</v>
      </c>
      <c r="I710" s="209"/>
      <c r="J710" s="209"/>
      <c r="K710" s="176">
        <f t="shared" si="566"/>
        <v>0</v>
      </c>
      <c r="L710" s="209"/>
      <c r="M710" s="177">
        <f t="shared" si="567"/>
        <v>0</v>
      </c>
      <c r="N710" s="1012"/>
      <c r="O710" s="1012"/>
      <c r="P710" s="485"/>
      <c r="Q710" s="778"/>
      <c r="R710" s="778"/>
      <c r="S710" s="785" t="str">
        <f t="shared" si="570"/>
        <v/>
      </c>
      <c r="T710" s="548" t="str">
        <f t="shared" si="568"/>
        <v>Sheet Metal Takeoff</v>
      </c>
      <c r="U710" s="83">
        <f t="shared" si="571"/>
        <v>0</v>
      </c>
      <c r="V710" s="83">
        <f t="shared" si="572"/>
        <v>0</v>
      </c>
      <c r="W710" s="83">
        <f t="shared" si="573"/>
        <v>0</v>
      </c>
      <c r="X710" s="781">
        <f t="shared" si="574"/>
        <v>0</v>
      </c>
      <c r="Y710" s="781">
        <f t="shared" si="575"/>
        <v>0</v>
      </c>
      <c r="Z710" s="781">
        <f t="shared" si="576"/>
        <v>0</v>
      </c>
      <c r="AA710" s="83">
        <f t="shared" si="569"/>
        <v>0</v>
      </c>
      <c r="AB710" s="83">
        <f t="shared" si="577"/>
        <v>0</v>
      </c>
      <c r="AC710" s="83">
        <f t="shared" si="578"/>
        <v>0</v>
      </c>
      <c r="AD710" s="83">
        <f t="shared" si="579"/>
        <v>0</v>
      </c>
      <c r="AE710" s="83">
        <f t="shared" si="580"/>
        <v>0</v>
      </c>
      <c r="AF710" s="83">
        <f t="shared" si="581"/>
        <v>0</v>
      </c>
      <c r="AG710" s="83">
        <f t="shared" si="582"/>
        <v>0</v>
      </c>
      <c r="AH710" s="83">
        <f t="shared" si="583"/>
        <v>0</v>
      </c>
      <c r="AI710" s="83">
        <f t="shared" si="584"/>
        <v>0</v>
      </c>
      <c r="AJ710" s="718">
        <f t="shared" si="585"/>
        <v>0</v>
      </c>
      <c r="AL710">
        <f t="shared" si="586"/>
        <v>0</v>
      </c>
      <c r="AM710">
        <f t="shared" si="587"/>
        <v>0</v>
      </c>
    </row>
    <row r="711" spans="1:39" ht="15.75" x14ac:dyDescent="0.25">
      <c r="A711" s="561"/>
      <c r="B711" s="561"/>
      <c r="C711" s="561"/>
      <c r="D711" s="672"/>
      <c r="E711" s="209"/>
      <c r="F711" s="209"/>
      <c r="G711" s="209"/>
      <c r="H711" s="176">
        <f t="shared" si="565"/>
        <v>0</v>
      </c>
      <c r="I711" s="209"/>
      <c r="J711" s="209"/>
      <c r="K711" s="176">
        <f t="shared" si="566"/>
        <v>0</v>
      </c>
      <c r="L711" s="209"/>
      <c r="M711" s="177">
        <f t="shared" si="567"/>
        <v>0</v>
      </c>
      <c r="N711" s="1012"/>
      <c r="O711" s="1012"/>
      <c r="P711" s="485"/>
      <c r="Q711" s="778"/>
      <c r="R711" s="778"/>
      <c r="S711" s="785" t="str">
        <f t="shared" si="570"/>
        <v/>
      </c>
      <c r="T711" s="548" t="str">
        <f t="shared" si="568"/>
        <v>Sheet Metal Takeoff</v>
      </c>
      <c r="U711" s="83">
        <f t="shared" si="571"/>
        <v>0</v>
      </c>
      <c r="V711" s="83">
        <f t="shared" si="572"/>
        <v>0</v>
      </c>
      <c r="W711" s="83">
        <f t="shared" si="573"/>
        <v>0</v>
      </c>
      <c r="X711" s="781">
        <f t="shared" si="574"/>
        <v>0</v>
      </c>
      <c r="Y711" s="781">
        <f t="shared" si="575"/>
        <v>0</v>
      </c>
      <c r="Z711" s="781">
        <f t="shared" si="576"/>
        <v>0</v>
      </c>
      <c r="AA711" s="83">
        <f t="shared" si="569"/>
        <v>0</v>
      </c>
      <c r="AB711" s="83">
        <f t="shared" si="577"/>
        <v>0</v>
      </c>
      <c r="AC711" s="83">
        <f t="shared" si="578"/>
        <v>0</v>
      </c>
      <c r="AD711" s="83">
        <f t="shared" si="579"/>
        <v>0</v>
      </c>
      <c r="AE711" s="83">
        <f t="shared" si="580"/>
        <v>0</v>
      </c>
      <c r="AF711" s="83">
        <f t="shared" si="581"/>
        <v>0</v>
      </c>
      <c r="AG711" s="83">
        <f t="shared" si="582"/>
        <v>0</v>
      </c>
      <c r="AH711" s="83">
        <f t="shared" si="583"/>
        <v>0</v>
      </c>
      <c r="AI711" s="83">
        <f t="shared" si="584"/>
        <v>0</v>
      </c>
      <c r="AJ711" s="718">
        <f t="shared" si="585"/>
        <v>0</v>
      </c>
      <c r="AL711">
        <f t="shared" si="586"/>
        <v>0</v>
      </c>
      <c r="AM711">
        <f t="shared" si="587"/>
        <v>0</v>
      </c>
    </row>
    <row r="712" spans="1:39" ht="15.75" x14ac:dyDescent="0.25">
      <c r="A712" s="561"/>
      <c r="B712" s="561"/>
      <c r="C712" s="561"/>
      <c r="D712" s="672"/>
      <c r="E712" s="209"/>
      <c r="F712" s="209"/>
      <c r="G712" s="209"/>
      <c r="H712" s="176">
        <f t="shared" si="565"/>
        <v>0</v>
      </c>
      <c r="I712" s="209"/>
      <c r="J712" s="209"/>
      <c r="K712" s="176">
        <f t="shared" si="566"/>
        <v>0</v>
      </c>
      <c r="L712" s="209"/>
      <c r="M712" s="177">
        <f t="shared" si="567"/>
        <v>0</v>
      </c>
      <c r="N712" s="1012"/>
      <c r="O712" s="1012"/>
      <c r="P712" s="485"/>
      <c r="Q712" s="778"/>
      <c r="R712" s="778"/>
      <c r="S712" s="785" t="str">
        <f t="shared" si="570"/>
        <v/>
      </c>
      <c r="T712" s="548" t="str">
        <f t="shared" si="568"/>
        <v>Sheet Metal Takeoff</v>
      </c>
      <c r="U712" s="83">
        <f t="shared" si="571"/>
        <v>0</v>
      </c>
      <c r="V712" s="83">
        <f t="shared" si="572"/>
        <v>0</v>
      </c>
      <c r="W712" s="83">
        <f t="shared" si="573"/>
        <v>0</v>
      </c>
      <c r="X712" s="781">
        <f t="shared" si="574"/>
        <v>0</v>
      </c>
      <c r="Y712" s="781">
        <f t="shared" si="575"/>
        <v>0</v>
      </c>
      <c r="Z712" s="781">
        <f t="shared" si="576"/>
        <v>0</v>
      </c>
      <c r="AA712" s="83">
        <f t="shared" si="569"/>
        <v>0</v>
      </c>
      <c r="AB712" s="83">
        <f t="shared" si="577"/>
        <v>0</v>
      </c>
      <c r="AC712" s="83">
        <f t="shared" si="578"/>
        <v>0</v>
      </c>
      <c r="AD712" s="83">
        <f t="shared" si="579"/>
        <v>0</v>
      </c>
      <c r="AE712" s="83">
        <f t="shared" si="580"/>
        <v>0</v>
      </c>
      <c r="AF712" s="83">
        <f t="shared" si="581"/>
        <v>0</v>
      </c>
      <c r="AG712" s="83">
        <f t="shared" si="582"/>
        <v>0</v>
      </c>
      <c r="AH712" s="83">
        <f t="shared" si="583"/>
        <v>0</v>
      </c>
      <c r="AI712" s="83">
        <f t="shared" si="584"/>
        <v>0</v>
      </c>
      <c r="AJ712" s="718">
        <f t="shared" si="585"/>
        <v>0</v>
      </c>
      <c r="AL712">
        <f t="shared" si="586"/>
        <v>0</v>
      </c>
      <c r="AM712">
        <f t="shared" si="587"/>
        <v>0</v>
      </c>
    </row>
    <row r="713" spans="1:39" ht="15.75" x14ac:dyDescent="0.25">
      <c r="A713" s="561"/>
      <c r="B713" s="561"/>
      <c r="C713" s="561"/>
      <c r="D713" s="672"/>
      <c r="E713" s="209"/>
      <c r="F713" s="209"/>
      <c r="G713" s="209"/>
      <c r="H713" s="176">
        <f t="shared" si="565"/>
        <v>0</v>
      </c>
      <c r="I713" s="209"/>
      <c r="J713" s="209"/>
      <c r="K713" s="176">
        <f t="shared" si="566"/>
        <v>0</v>
      </c>
      <c r="L713" s="209"/>
      <c r="M713" s="177">
        <f t="shared" si="567"/>
        <v>0</v>
      </c>
      <c r="N713" s="1012"/>
      <c r="O713" s="1012"/>
      <c r="P713" s="485"/>
      <c r="Q713" s="778"/>
      <c r="R713" s="778"/>
      <c r="S713" s="785" t="str">
        <f t="shared" si="570"/>
        <v/>
      </c>
      <c r="T713" s="548" t="str">
        <f t="shared" si="568"/>
        <v>Sheet Metal Takeoff</v>
      </c>
      <c r="U713" s="83">
        <f t="shared" si="571"/>
        <v>0</v>
      </c>
      <c r="V713" s="83">
        <f t="shared" si="572"/>
        <v>0</v>
      </c>
      <c r="W713" s="83">
        <f t="shared" si="573"/>
        <v>0</v>
      </c>
      <c r="X713" s="781">
        <f t="shared" si="574"/>
        <v>0</v>
      </c>
      <c r="Y713" s="781">
        <f t="shared" si="575"/>
        <v>0</v>
      </c>
      <c r="Z713" s="781">
        <f t="shared" si="576"/>
        <v>0</v>
      </c>
      <c r="AA713" s="83">
        <f t="shared" si="569"/>
        <v>0</v>
      </c>
      <c r="AB713" s="83">
        <f t="shared" si="577"/>
        <v>0</v>
      </c>
      <c r="AC713" s="83">
        <f t="shared" si="578"/>
        <v>0</v>
      </c>
      <c r="AD713" s="83">
        <f t="shared" si="579"/>
        <v>0</v>
      </c>
      <c r="AE713" s="83">
        <f t="shared" si="580"/>
        <v>0</v>
      </c>
      <c r="AF713" s="83">
        <f t="shared" si="581"/>
        <v>0</v>
      </c>
      <c r="AG713" s="83">
        <f t="shared" si="582"/>
        <v>0</v>
      </c>
      <c r="AH713" s="83">
        <f t="shared" si="583"/>
        <v>0</v>
      </c>
      <c r="AI713" s="83">
        <f t="shared" si="584"/>
        <v>0</v>
      </c>
      <c r="AJ713" s="718">
        <f t="shared" si="585"/>
        <v>0</v>
      </c>
      <c r="AL713">
        <f t="shared" si="586"/>
        <v>0</v>
      </c>
      <c r="AM713">
        <f t="shared" si="587"/>
        <v>0</v>
      </c>
    </row>
    <row r="714" spans="1:39" ht="15.75" x14ac:dyDescent="0.25">
      <c r="A714" s="561"/>
      <c r="B714" s="561"/>
      <c r="C714" s="561"/>
      <c r="D714" s="672"/>
      <c r="E714" s="209"/>
      <c r="F714" s="209"/>
      <c r="G714" s="209"/>
      <c r="H714" s="176">
        <f t="shared" si="565"/>
        <v>0</v>
      </c>
      <c r="I714" s="209"/>
      <c r="J714" s="209"/>
      <c r="K714" s="176">
        <f t="shared" si="566"/>
        <v>0</v>
      </c>
      <c r="L714" s="209"/>
      <c r="M714" s="177">
        <f t="shared" si="567"/>
        <v>0</v>
      </c>
      <c r="N714" s="1012"/>
      <c r="O714" s="1012"/>
      <c r="P714" s="485"/>
      <c r="Q714" s="778"/>
      <c r="R714" s="778"/>
      <c r="S714" s="785" t="str">
        <f t="shared" si="570"/>
        <v/>
      </c>
      <c r="T714" s="548" t="str">
        <f t="shared" si="568"/>
        <v>Sheet Metal Takeoff</v>
      </c>
      <c r="U714" s="83">
        <f t="shared" si="571"/>
        <v>0</v>
      </c>
      <c r="V714" s="83">
        <f t="shared" si="572"/>
        <v>0</v>
      </c>
      <c r="W714" s="83">
        <f t="shared" si="573"/>
        <v>0</v>
      </c>
      <c r="X714" s="781">
        <f t="shared" si="574"/>
        <v>0</v>
      </c>
      <c r="Y714" s="781">
        <f t="shared" si="575"/>
        <v>0</v>
      </c>
      <c r="Z714" s="781">
        <f t="shared" si="576"/>
        <v>0</v>
      </c>
      <c r="AA714" s="83">
        <f t="shared" si="569"/>
        <v>0</v>
      </c>
      <c r="AB714" s="83">
        <f t="shared" si="577"/>
        <v>0</v>
      </c>
      <c r="AC714" s="83">
        <f t="shared" si="578"/>
        <v>0</v>
      </c>
      <c r="AD714" s="83">
        <f t="shared" si="579"/>
        <v>0</v>
      </c>
      <c r="AE714" s="83">
        <f t="shared" si="580"/>
        <v>0</v>
      </c>
      <c r="AF714" s="83">
        <f t="shared" si="581"/>
        <v>0</v>
      </c>
      <c r="AG714" s="83">
        <f t="shared" si="582"/>
        <v>0</v>
      </c>
      <c r="AH714" s="83">
        <f t="shared" si="583"/>
        <v>0</v>
      </c>
      <c r="AI714" s="83">
        <f t="shared" si="584"/>
        <v>0</v>
      </c>
      <c r="AJ714" s="718">
        <f t="shared" si="585"/>
        <v>0</v>
      </c>
      <c r="AL714">
        <f t="shared" si="586"/>
        <v>0</v>
      </c>
      <c r="AM714">
        <f t="shared" si="587"/>
        <v>0</v>
      </c>
    </row>
    <row r="715" spans="1:39" ht="15.75" x14ac:dyDescent="0.25">
      <c r="A715" s="561"/>
      <c r="B715" s="561"/>
      <c r="C715" s="561"/>
      <c r="D715" s="672"/>
      <c r="E715" s="209"/>
      <c r="F715" s="209"/>
      <c r="G715" s="209"/>
      <c r="H715" s="176">
        <f t="shared" si="565"/>
        <v>0</v>
      </c>
      <c r="I715" s="209"/>
      <c r="J715" s="209"/>
      <c r="K715" s="176">
        <f t="shared" si="566"/>
        <v>0</v>
      </c>
      <c r="L715" s="209"/>
      <c r="M715" s="177">
        <f t="shared" si="567"/>
        <v>0</v>
      </c>
      <c r="N715" s="1012"/>
      <c r="O715" s="1012"/>
      <c r="P715" s="485"/>
      <c r="Q715" s="778"/>
      <c r="R715" s="778"/>
      <c r="S715" s="785" t="str">
        <f t="shared" si="570"/>
        <v/>
      </c>
      <c r="T715" s="548" t="str">
        <f t="shared" si="568"/>
        <v>Sheet Metal Takeoff</v>
      </c>
      <c r="U715" s="83">
        <f t="shared" si="571"/>
        <v>0</v>
      </c>
      <c r="V715" s="83">
        <f t="shared" si="572"/>
        <v>0</v>
      </c>
      <c r="W715" s="83">
        <f t="shared" si="573"/>
        <v>0</v>
      </c>
      <c r="X715" s="781">
        <f t="shared" si="574"/>
        <v>0</v>
      </c>
      <c r="Y715" s="781">
        <f t="shared" si="575"/>
        <v>0</v>
      </c>
      <c r="Z715" s="781">
        <f t="shared" si="576"/>
        <v>0</v>
      </c>
      <c r="AA715" s="83">
        <f t="shared" si="569"/>
        <v>0</v>
      </c>
      <c r="AB715" s="83">
        <f t="shared" si="577"/>
        <v>0</v>
      </c>
      <c r="AC715" s="83">
        <f t="shared" si="578"/>
        <v>0</v>
      </c>
      <c r="AD715" s="83">
        <f t="shared" si="579"/>
        <v>0</v>
      </c>
      <c r="AE715" s="83">
        <f t="shared" si="580"/>
        <v>0</v>
      </c>
      <c r="AF715" s="83">
        <f t="shared" si="581"/>
        <v>0</v>
      </c>
      <c r="AG715" s="83">
        <f t="shared" si="582"/>
        <v>0</v>
      </c>
      <c r="AH715" s="83">
        <f t="shared" si="583"/>
        <v>0</v>
      </c>
      <c r="AI715" s="83">
        <f t="shared" si="584"/>
        <v>0</v>
      </c>
      <c r="AJ715" s="718">
        <f t="shared" si="585"/>
        <v>0</v>
      </c>
      <c r="AL715">
        <f t="shared" si="586"/>
        <v>0</v>
      </c>
      <c r="AM715">
        <f t="shared" si="587"/>
        <v>0</v>
      </c>
    </row>
    <row r="716" spans="1:39" ht="15.75" x14ac:dyDescent="0.25">
      <c r="A716" s="561"/>
      <c r="B716" s="561"/>
      <c r="C716" s="561"/>
      <c r="D716" s="672"/>
      <c r="E716" s="209"/>
      <c r="F716" s="209"/>
      <c r="G716" s="209"/>
      <c r="H716" s="176">
        <f t="shared" si="565"/>
        <v>0</v>
      </c>
      <c r="I716" s="209"/>
      <c r="J716" s="209"/>
      <c r="K716" s="176">
        <f t="shared" si="566"/>
        <v>0</v>
      </c>
      <c r="L716" s="209"/>
      <c r="M716" s="177">
        <f t="shared" si="567"/>
        <v>0</v>
      </c>
      <c r="N716" s="1012"/>
      <c r="O716" s="1012"/>
      <c r="P716" s="485"/>
      <c r="Q716" s="778"/>
      <c r="R716" s="778"/>
      <c r="S716" s="785" t="str">
        <f t="shared" si="570"/>
        <v/>
      </c>
      <c r="T716" s="548" t="str">
        <f t="shared" si="568"/>
        <v>Sheet Metal Takeoff</v>
      </c>
      <c r="U716" s="83">
        <f t="shared" si="571"/>
        <v>0</v>
      </c>
      <c r="V716" s="83">
        <f t="shared" si="572"/>
        <v>0</v>
      </c>
      <c r="W716" s="83">
        <f t="shared" si="573"/>
        <v>0</v>
      </c>
      <c r="X716" s="781">
        <f t="shared" si="574"/>
        <v>0</v>
      </c>
      <c r="Y716" s="781">
        <f t="shared" si="575"/>
        <v>0</v>
      </c>
      <c r="Z716" s="781">
        <f t="shared" si="576"/>
        <v>0</v>
      </c>
      <c r="AA716" s="83">
        <f t="shared" si="569"/>
        <v>0</v>
      </c>
      <c r="AB716" s="83">
        <f t="shared" si="577"/>
        <v>0</v>
      </c>
      <c r="AC716" s="83">
        <f t="shared" si="578"/>
        <v>0</v>
      </c>
      <c r="AD716" s="83">
        <f t="shared" si="579"/>
        <v>0</v>
      </c>
      <c r="AE716" s="83">
        <f t="shared" si="580"/>
        <v>0</v>
      </c>
      <c r="AF716" s="83">
        <f t="shared" si="581"/>
        <v>0</v>
      </c>
      <c r="AG716" s="83">
        <f t="shared" si="582"/>
        <v>0</v>
      </c>
      <c r="AH716" s="83">
        <f t="shared" si="583"/>
        <v>0</v>
      </c>
      <c r="AI716" s="83">
        <f t="shared" si="584"/>
        <v>0</v>
      </c>
      <c r="AJ716" s="718">
        <f t="shared" si="585"/>
        <v>0</v>
      </c>
      <c r="AL716">
        <f t="shared" si="586"/>
        <v>0</v>
      </c>
      <c r="AM716">
        <f t="shared" si="587"/>
        <v>0</v>
      </c>
    </row>
    <row r="717" spans="1:39" ht="15.75" x14ac:dyDescent="0.25">
      <c r="A717" s="561"/>
      <c r="B717" s="561"/>
      <c r="C717" s="561"/>
      <c r="D717" s="672"/>
      <c r="E717" s="209"/>
      <c r="F717" s="209"/>
      <c r="G717" s="209"/>
      <c r="H717" s="176">
        <f t="shared" si="565"/>
        <v>0</v>
      </c>
      <c r="I717" s="209"/>
      <c r="J717" s="209"/>
      <c r="K717" s="176">
        <f t="shared" si="566"/>
        <v>0</v>
      </c>
      <c r="L717" s="209"/>
      <c r="M717" s="177">
        <f t="shared" si="567"/>
        <v>0</v>
      </c>
      <c r="N717" s="1012"/>
      <c r="O717" s="1012"/>
      <c r="P717" s="485"/>
      <c r="Q717" s="778"/>
      <c r="R717" s="778"/>
      <c r="S717" s="785" t="str">
        <f t="shared" si="570"/>
        <v/>
      </c>
      <c r="T717" s="548" t="str">
        <f t="shared" si="568"/>
        <v>Sheet Metal Takeoff</v>
      </c>
      <c r="U717" s="83">
        <f t="shared" si="571"/>
        <v>0</v>
      </c>
      <c r="V717" s="83">
        <f t="shared" si="572"/>
        <v>0</v>
      </c>
      <c r="W717" s="83">
        <f t="shared" si="573"/>
        <v>0</v>
      </c>
      <c r="X717" s="781">
        <f t="shared" si="574"/>
        <v>0</v>
      </c>
      <c r="Y717" s="781">
        <f t="shared" si="575"/>
        <v>0</v>
      </c>
      <c r="Z717" s="781">
        <f t="shared" si="576"/>
        <v>0</v>
      </c>
      <c r="AA717" s="83">
        <f t="shared" si="569"/>
        <v>0</v>
      </c>
      <c r="AB717" s="83">
        <f t="shared" si="577"/>
        <v>0</v>
      </c>
      <c r="AC717" s="83">
        <f t="shared" si="578"/>
        <v>0</v>
      </c>
      <c r="AD717" s="83">
        <f t="shared" si="579"/>
        <v>0</v>
      </c>
      <c r="AE717" s="83">
        <f t="shared" si="580"/>
        <v>0</v>
      </c>
      <c r="AF717" s="83">
        <f t="shared" si="581"/>
        <v>0</v>
      </c>
      <c r="AG717" s="83">
        <f t="shared" si="582"/>
        <v>0</v>
      </c>
      <c r="AH717" s="83">
        <f t="shared" si="583"/>
        <v>0</v>
      </c>
      <c r="AI717" s="83">
        <f t="shared" si="584"/>
        <v>0</v>
      </c>
      <c r="AJ717" s="718">
        <f t="shared" si="585"/>
        <v>0</v>
      </c>
      <c r="AL717">
        <f t="shared" si="586"/>
        <v>0</v>
      </c>
      <c r="AM717">
        <f t="shared" si="587"/>
        <v>0</v>
      </c>
    </row>
    <row r="718" spans="1:39" ht="15.75" x14ac:dyDescent="0.25">
      <c r="A718" s="561"/>
      <c r="B718" s="561"/>
      <c r="C718" s="561"/>
      <c r="D718" s="672"/>
      <c r="E718" s="209"/>
      <c r="F718" s="209"/>
      <c r="G718" s="209"/>
      <c r="H718" s="176">
        <f t="shared" si="565"/>
        <v>0</v>
      </c>
      <c r="I718" s="209"/>
      <c r="J718" s="209"/>
      <c r="K718" s="176">
        <f t="shared" si="566"/>
        <v>0</v>
      </c>
      <c r="L718" s="209"/>
      <c r="M718" s="177">
        <f t="shared" si="567"/>
        <v>0</v>
      </c>
      <c r="N718" s="1012"/>
      <c r="O718" s="1012"/>
      <c r="P718" s="485"/>
      <c r="Q718" s="778"/>
      <c r="R718" s="778"/>
      <c r="S718" s="785" t="str">
        <f t="shared" si="570"/>
        <v/>
      </c>
      <c r="T718" s="548" t="str">
        <f t="shared" si="568"/>
        <v>Sheet Metal Takeoff</v>
      </c>
      <c r="U718" s="83">
        <f t="shared" si="571"/>
        <v>0</v>
      </c>
      <c r="V718" s="83">
        <f t="shared" si="572"/>
        <v>0</v>
      </c>
      <c r="W718" s="83">
        <f t="shared" si="573"/>
        <v>0</v>
      </c>
      <c r="X718" s="781">
        <f t="shared" si="574"/>
        <v>0</v>
      </c>
      <c r="Y718" s="781">
        <f t="shared" si="575"/>
        <v>0</v>
      </c>
      <c r="Z718" s="781">
        <f t="shared" si="576"/>
        <v>0</v>
      </c>
      <c r="AA718" s="83">
        <f t="shared" si="569"/>
        <v>0</v>
      </c>
      <c r="AB718" s="83">
        <f t="shared" si="577"/>
        <v>0</v>
      </c>
      <c r="AC718" s="83">
        <f t="shared" si="578"/>
        <v>0</v>
      </c>
      <c r="AD718" s="83">
        <f t="shared" si="579"/>
        <v>0</v>
      </c>
      <c r="AE718" s="83">
        <f t="shared" si="580"/>
        <v>0</v>
      </c>
      <c r="AF718" s="83">
        <f t="shared" si="581"/>
        <v>0</v>
      </c>
      <c r="AG718" s="83">
        <f t="shared" si="582"/>
        <v>0</v>
      </c>
      <c r="AH718" s="83">
        <f t="shared" si="583"/>
        <v>0</v>
      </c>
      <c r="AI718" s="83">
        <f t="shared" si="584"/>
        <v>0</v>
      </c>
      <c r="AJ718" s="718">
        <f t="shared" si="585"/>
        <v>0</v>
      </c>
      <c r="AL718">
        <f t="shared" si="586"/>
        <v>0</v>
      </c>
      <c r="AM718">
        <f t="shared" si="587"/>
        <v>0</v>
      </c>
    </row>
    <row r="719" spans="1:39" ht="15.75" x14ac:dyDescent="0.25">
      <c r="A719" s="561"/>
      <c r="B719" s="561"/>
      <c r="C719" s="561"/>
      <c r="D719" s="672"/>
      <c r="E719" s="209"/>
      <c r="F719" s="209"/>
      <c r="G719" s="209"/>
      <c r="H719" s="176">
        <f t="shared" si="565"/>
        <v>0</v>
      </c>
      <c r="I719" s="209"/>
      <c r="J719" s="209"/>
      <c r="K719" s="176">
        <f t="shared" si="566"/>
        <v>0</v>
      </c>
      <c r="L719" s="209"/>
      <c r="M719" s="177">
        <f t="shared" si="567"/>
        <v>0</v>
      </c>
      <c r="N719" s="1012"/>
      <c r="O719" s="1012"/>
      <c r="P719" s="485"/>
      <c r="Q719" s="778"/>
      <c r="R719" s="778"/>
      <c r="S719" s="785" t="str">
        <f t="shared" si="570"/>
        <v/>
      </c>
      <c r="T719" s="548" t="str">
        <f t="shared" si="568"/>
        <v>Sheet Metal Takeoff</v>
      </c>
      <c r="U719" s="83">
        <f t="shared" si="571"/>
        <v>0</v>
      </c>
      <c r="V719" s="83">
        <f t="shared" si="572"/>
        <v>0</v>
      </c>
      <c r="W719" s="83">
        <f t="shared" si="573"/>
        <v>0</v>
      </c>
      <c r="X719" s="781">
        <f t="shared" si="574"/>
        <v>0</v>
      </c>
      <c r="Y719" s="781">
        <f t="shared" si="575"/>
        <v>0</v>
      </c>
      <c r="Z719" s="781">
        <f t="shared" si="576"/>
        <v>0</v>
      </c>
      <c r="AA719" s="83">
        <f t="shared" si="569"/>
        <v>0</v>
      </c>
      <c r="AB719" s="83">
        <f t="shared" si="577"/>
        <v>0</v>
      </c>
      <c r="AC719" s="83">
        <f t="shared" si="578"/>
        <v>0</v>
      </c>
      <c r="AD719" s="83">
        <f t="shared" si="579"/>
        <v>0</v>
      </c>
      <c r="AE719" s="83">
        <f t="shared" si="580"/>
        <v>0</v>
      </c>
      <c r="AF719" s="83">
        <f t="shared" si="581"/>
        <v>0</v>
      </c>
      <c r="AG719" s="83">
        <f t="shared" si="582"/>
        <v>0</v>
      </c>
      <c r="AH719" s="83">
        <f t="shared" si="583"/>
        <v>0</v>
      </c>
      <c r="AI719" s="83">
        <f t="shared" si="584"/>
        <v>0</v>
      </c>
      <c r="AJ719" s="718">
        <f t="shared" si="585"/>
        <v>0</v>
      </c>
      <c r="AL719">
        <f t="shared" si="586"/>
        <v>0</v>
      </c>
      <c r="AM719">
        <f t="shared" si="587"/>
        <v>0</v>
      </c>
    </row>
    <row r="720" spans="1:39" ht="15.75" x14ac:dyDescent="0.25">
      <c r="A720" s="561"/>
      <c r="B720" s="561"/>
      <c r="C720" s="561"/>
      <c r="D720" s="672"/>
      <c r="E720" s="209"/>
      <c r="F720" s="209"/>
      <c r="G720" s="209"/>
      <c r="H720" s="176">
        <f t="shared" si="565"/>
        <v>0</v>
      </c>
      <c r="I720" s="209"/>
      <c r="J720" s="209"/>
      <c r="K720" s="176">
        <f t="shared" si="566"/>
        <v>0</v>
      </c>
      <c r="L720" s="209"/>
      <c r="M720" s="177">
        <f t="shared" si="567"/>
        <v>0</v>
      </c>
      <c r="N720" s="1012"/>
      <c r="O720" s="1012"/>
      <c r="P720" s="485"/>
      <c r="Q720" s="778"/>
      <c r="R720" s="778"/>
      <c r="S720" s="785" t="str">
        <f t="shared" si="570"/>
        <v/>
      </c>
      <c r="T720" s="548" t="str">
        <f t="shared" si="568"/>
        <v>Sheet Metal Takeoff</v>
      </c>
      <c r="U720" s="83">
        <f t="shared" si="571"/>
        <v>0</v>
      </c>
      <c r="V720" s="83">
        <f t="shared" si="572"/>
        <v>0</v>
      </c>
      <c r="W720" s="83">
        <f t="shared" si="573"/>
        <v>0</v>
      </c>
      <c r="X720" s="781">
        <f t="shared" si="574"/>
        <v>0</v>
      </c>
      <c r="Y720" s="781">
        <f t="shared" si="575"/>
        <v>0</v>
      </c>
      <c r="Z720" s="781">
        <f t="shared" si="576"/>
        <v>0</v>
      </c>
      <c r="AA720" s="83">
        <f t="shared" si="569"/>
        <v>0</v>
      </c>
      <c r="AB720" s="83">
        <f t="shared" si="577"/>
        <v>0</v>
      </c>
      <c r="AC720" s="83">
        <f t="shared" si="578"/>
        <v>0</v>
      </c>
      <c r="AD720" s="83">
        <f t="shared" si="579"/>
        <v>0</v>
      </c>
      <c r="AE720" s="83">
        <f t="shared" si="580"/>
        <v>0</v>
      </c>
      <c r="AF720" s="83">
        <f t="shared" si="581"/>
        <v>0</v>
      </c>
      <c r="AG720" s="83">
        <f t="shared" si="582"/>
        <v>0</v>
      </c>
      <c r="AH720" s="83">
        <f t="shared" si="583"/>
        <v>0</v>
      </c>
      <c r="AI720" s="83">
        <f t="shared" si="584"/>
        <v>0</v>
      </c>
      <c r="AJ720" s="718">
        <f t="shared" si="585"/>
        <v>0</v>
      </c>
      <c r="AL720">
        <f t="shared" si="586"/>
        <v>0</v>
      </c>
      <c r="AM720">
        <f t="shared" si="587"/>
        <v>0</v>
      </c>
    </row>
    <row r="721" spans="1:39" ht="15.75" x14ac:dyDescent="0.25">
      <c r="A721" s="561"/>
      <c r="B721" s="561"/>
      <c r="C721" s="561"/>
      <c r="D721" s="672"/>
      <c r="E721" s="209"/>
      <c r="F721" s="209"/>
      <c r="G721" s="209"/>
      <c r="H721" s="176">
        <f t="shared" si="565"/>
        <v>0</v>
      </c>
      <c r="I721" s="209"/>
      <c r="J721" s="209"/>
      <c r="K721" s="176">
        <f t="shared" si="566"/>
        <v>0</v>
      </c>
      <c r="L721" s="209"/>
      <c r="M721" s="177">
        <f t="shared" si="567"/>
        <v>0</v>
      </c>
      <c r="N721" s="1012"/>
      <c r="O721" s="1012"/>
      <c r="P721" s="485"/>
      <c r="Q721" s="778"/>
      <c r="R721" s="778"/>
      <c r="S721" s="785" t="str">
        <f t="shared" si="570"/>
        <v/>
      </c>
      <c r="T721" s="548" t="str">
        <f t="shared" si="568"/>
        <v>Sheet Metal Takeoff</v>
      </c>
      <c r="U721" s="83">
        <f t="shared" si="571"/>
        <v>0</v>
      </c>
      <c r="V721" s="83">
        <f t="shared" si="572"/>
        <v>0</v>
      </c>
      <c r="W721" s="83">
        <f t="shared" si="573"/>
        <v>0</v>
      </c>
      <c r="X721" s="781">
        <f t="shared" si="574"/>
        <v>0</v>
      </c>
      <c r="Y721" s="781">
        <f t="shared" si="575"/>
        <v>0</v>
      </c>
      <c r="Z721" s="781">
        <f t="shared" si="576"/>
        <v>0</v>
      </c>
      <c r="AA721" s="83">
        <f t="shared" si="569"/>
        <v>0</v>
      </c>
      <c r="AB721" s="83">
        <f t="shared" si="577"/>
        <v>0</v>
      </c>
      <c r="AC721" s="83">
        <f t="shared" si="578"/>
        <v>0</v>
      </c>
      <c r="AD721" s="83">
        <f t="shared" si="579"/>
        <v>0</v>
      </c>
      <c r="AE721" s="83">
        <f t="shared" si="580"/>
        <v>0</v>
      </c>
      <c r="AF721" s="83">
        <f t="shared" si="581"/>
        <v>0</v>
      </c>
      <c r="AG721" s="83">
        <f t="shared" si="582"/>
        <v>0</v>
      </c>
      <c r="AH721" s="83">
        <f t="shared" si="583"/>
        <v>0</v>
      </c>
      <c r="AI721" s="83">
        <f t="shared" si="584"/>
        <v>0</v>
      </c>
      <c r="AJ721" s="718">
        <f t="shared" si="585"/>
        <v>0</v>
      </c>
      <c r="AL721">
        <f t="shared" si="586"/>
        <v>0</v>
      </c>
      <c r="AM721">
        <f t="shared" si="587"/>
        <v>0</v>
      </c>
    </row>
    <row r="722" spans="1:39" ht="15.75" x14ac:dyDescent="0.25">
      <c r="A722" s="561"/>
      <c r="B722" s="561"/>
      <c r="C722" s="561"/>
      <c r="D722" s="672"/>
      <c r="E722" s="209"/>
      <c r="F722" s="209"/>
      <c r="G722" s="209"/>
      <c r="H722" s="176">
        <f t="shared" si="565"/>
        <v>0</v>
      </c>
      <c r="I722" s="209"/>
      <c r="J722" s="209"/>
      <c r="K722" s="176">
        <f t="shared" si="566"/>
        <v>0</v>
      </c>
      <c r="L722" s="209"/>
      <c r="M722" s="177">
        <f t="shared" si="567"/>
        <v>0</v>
      </c>
      <c r="N722" s="1012"/>
      <c r="O722" s="1012"/>
      <c r="P722" s="485"/>
      <c r="Q722" s="778"/>
      <c r="R722" s="778"/>
      <c r="S722" s="785" t="str">
        <f t="shared" si="570"/>
        <v/>
      </c>
      <c r="T722" s="548" t="str">
        <f t="shared" si="568"/>
        <v>Sheet Metal Takeoff</v>
      </c>
      <c r="U722" s="83">
        <f t="shared" si="571"/>
        <v>0</v>
      </c>
      <c r="V722" s="83">
        <f t="shared" si="572"/>
        <v>0</v>
      </c>
      <c r="W722" s="83">
        <f t="shared" si="573"/>
        <v>0</v>
      </c>
      <c r="X722" s="781">
        <f t="shared" si="574"/>
        <v>0</v>
      </c>
      <c r="Y722" s="781">
        <f t="shared" si="575"/>
        <v>0</v>
      </c>
      <c r="Z722" s="781">
        <f t="shared" si="576"/>
        <v>0</v>
      </c>
      <c r="AA722" s="83">
        <f t="shared" si="569"/>
        <v>0</v>
      </c>
      <c r="AB722" s="83">
        <f t="shared" si="577"/>
        <v>0</v>
      </c>
      <c r="AC722" s="83">
        <f t="shared" si="578"/>
        <v>0</v>
      </c>
      <c r="AD722" s="83">
        <f t="shared" si="579"/>
        <v>0</v>
      </c>
      <c r="AE722" s="83">
        <f t="shared" si="580"/>
        <v>0</v>
      </c>
      <c r="AF722" s="83">
        <f t="shared" si="581"/>
        <v>0</v>
      </c>
      <c r="AG722" s="83">
        <f t="shared" si="582"/>
        <v>0</v>
      </c>
      <c r="AH722" s="83">
        <f t="shared" si="583"/>
        <v>0</v>
      </c>
      <c r="AI722" s="83">
        <f t="shared" si="584"/>
        <v>0</v>
      </c>
      <c r="AJ722" s="718">
        <f t="shared" si="585"/>
        <v>0</v>
      </c>
      <c r="AL722">
        <f t="shared" si="586"/>
        <v>0</v>
      </c>
      <c r="AM722">
        <f t="shared" si="587"/>
        <v>0</v>
      </c>
    </row>
    <row r="723" spans="1:39" ht="15.75" x14ac:dyDescent="0.25">
      <c r="A723" s="561"/>
      <c r="B723" s="561"/>
      <c r="C723" s="561"/>
      <c r="D723" s="672"/>
      <c r="E723" s="209"/>
      <c r="F723" s="209"/>
      <c r="G723" s="209"/>
      <c r="H723" s="176">
        <f t="shared" si="565"/>
        <v>0</v>
      </c>
      <c r="I723" s="209"/>
      <c r="J723" s="209"/>
      <c r="K723" s="176">
        <f t="shared" si="566"/>
        <v>0</v>
      </c>
      <c r="L723" s="209"/>
      <c r="M723" s="177">
        <f t="shared" si="567"/>
        <v>0</v>
      </c>
      <c r="N723" s="1012"/>
      <c r="O723" s="1012"/>
      <c r="P723" s="485"/>
      <c r="Q723" s="778"/>
      <c r="R723" s="778"/>
      <c r="S723" s="785" t="str">
        <f t="shared" si="570"/>
        <v/>
      </c>
      <c r="T723" s="548" t="str">
        <f t="shared" si="568"/>
        <v>Sheet Metal Takeoff</v>
      </c>
      <c r="U723" s="83">
        <f t="shared" si="571"/>
        <v>0</v>
      </c>
      <c r="V723" s="83">
        <f t="shared" si="572"/>
        <v>0</v>
      </c>
      <c r="W723" s="83">
        <f t="shared" si="573"/>
        <v>0</v>
      </c>
      <c r="X723" s="781">
        <f t="shared" si="574"/>
        <v>0</v>
      </c>
      <c r="Y723" s="781">
        <f t="shared" si="575"/>
        <v>0</v>
      </c>
      <c r="Z723" s="781">
        <f t="shared" si="576"/>
        <v>0</v>
      </c>
      <c r="AA723" s="83">
        <f t="shared" si="569"/>
        <v>0</v>
      </c>
      <c r="AB723" s="83">
        <f t="shared" si="577"/>
        <v>0</v>
      </c>
      <c r="AC723" s="83">
        <f t="shared" si="578"/>
        <v>0</v>
      </c>
      <c r="AD723" s="83">
        <f t="shared" si="579"/>
        <v>0</v>
      </c>
      <c r="AE723" s="83">
        <f t="shared" si="580"/>
        <v>0</v>
      </c>
      <c r="AF723" s="83">
        <f t="shared" si="581"/>
        <v>0</v>
      </c>
      <c r="AG723" s="83">
        <f t="shared" si="582"/>
        <v>0</v>
      </c>
      <c r="AH723" s="83">
        <f t="shared" si="583"/>
        <v>0</v>
      </c>
      <c r="AI723" s="83">
        <f t="shared" si="584"/>
        <v>0</v>
      </c>
      <c r="AJ723" s="718">
        <f t="shared" si="585"/>
        <v>0</v>
      </c>
      <c r="AL723">
        <f t="shared" si="586"/>
        <v>0</v>
      </c>
      <c r="AM723">
        <f t="shared" si="587"/>
        <v>0</v>
      </c>
    </row>
    <row r="724" spans="1:39" ht="15.75" x14ac:dyDescent="0.25">
      <c r="A724" s="561"/>
      <c r="B724" s="561"/>
      <c r="C724" s="561"/>
      <c r="D724" s="672"/>
      <c r="E724" s="209"/>
      <c r="F724" s="209"/>
      <c r="G724" s="209"/>
      <c r="H724" s="176">
        <f t="shared" si="565"/>
        <v>0</v>
      </c>
      <c r="I724" s="209"/>
      <c r="J724" s="209"/>
      <c r="K724" s="176">
        <f t="shared" si="566"/>
        <v>0</v>
      </c>
      <c r="L724" s="209"/>
      <c r="M724" s="177">
        <f t="shared" si="567"/>
        <v>0</v>
      </c>
      <c r="N724" s="1012"/>
      <c r="O724" s="1012"/>
      <c r="P724" s="485"/>
      <c r="Q724" s="778"/>
      <c r="R724" s="778"/>
      <c r="S724" s="785" t="str">
        <f t="shared" si="570"/>
        <v/>
      </c>
      <c r="T724" s="548" t="str">
        <f t="shared" si="568"/>
        <v>Sheet Metal Takeoff</v>
      </c>
      <c r="U724" s="83">
        <f t="shared" si="571"/>
        <v>0</v>
      </c>
      <c r="V724" s="83">
        <f t="shared" si="572"/>
        <v>0</v>
      </c>
      <c r="W724" s="83">
        <f t="shared" si="573"/>
        <v>0</v>
      </c>
      <c r="X724" s="781">
        <f t="shared" si="574"/>
        <v>0</v>
      </c>
      <c r="Y724" s="781">
        <f t="shared" si="575"/>
        <v>0</v>
      </c>
      <c r="Z724" s="781">
        <f t="shared" si="576"/>
        <v>0</v>
      </c>
      <c r="AA724" s="83">
        <f t="shared" si="569"/>
        <v>0</v>
      </c>
      <c r="AB724" s="83">
        <f t="shared" si="577"/>
        <v>0</v>
      </c>
      <c r="AC724" s="83">
        <f t="shared" si="578"/>
        <v>0</v>
      </c>
      <c r="AD724" s="83">
        <f t="shared" si="579"/>
        <v>0</v>
      </c>
      <c r="AE724" s="83">
        <f t="shared" si="580"/>
        <v>0</v>
      </c>
      <c r="AF724" s="83">
        <f t="shared" si="581"/>
        <v>0</v>
      </c>
      <c r="AG724" s="83">
        <f t="shared" si="582"/>
        <v>0</v>
      </c>
      <c r="AH724" s="83">
        <f t="shared" si="583"/>
        <v>0</v>
      </c>
      <c r="AI724" s="83">
        <f t="shared" si="584"/>
        <v>0</v>
      </c>
      <c r="AJ724" s="718">
        <f t="shared" si="585"/>
        <v>0</v>
      </c>
      <c r="AL724">
        <f t="shared" si="586"/>
        <v>0</v>
      </c>
      <c r="AM724">
        <f t="shared" si="587"/>
        <v>0</v>
      </c>
    </row>
    <row r="725" spans="1:39" ht="15.75" x14ac:dyDescent="0.25">
      <c r="A725" s="561"/>
      <c r="B725" s="561"/>
      <c r="C725" s="561"/>
      <c r="D725" s="672"/>
      <c r="E725" s="209"/>
      <c r="F725" s="209"/>
      <c r="G725" s="209"/>
      <c r="H725" s="176">
        <f t="shared" si="565"/>
        <v>0</v>
      </c>
      <c r="I725" s="209"/>
      <c r="J725" s="209"/>
      <c r="K725" s="176">
        <f t="shared" si="566"/>
        <v>0</v>
      </c>
      <c r="L725" s="209"/>
      <c r="M725" s="177">
        <f t="shared" si="567"/>
        <v>0</v>
      </c>
      <c r="N725" s="1012"/>
      <c r="O725" s="1012"/>
      <c r="P725" s="485"/>
      <c r="Q725" s="778"/>
      <c r="R725" s="778"/>
      <c r="S725" s="785" t="str">
        <f t="shared" si="570"/>
        <v/>
      </c>
      <c r="T725" s="548" t="str">
        <f t="shared" si="568"/>
        <v>Sheet Metal Takeoff</v>
      </c>
      <c r="U725" s="83">
        <f t="shared" si="571"/>
        <v>0</v>
      </c>
      <c r="V725" s="83">
        <f t="shared" si="572"/>
        <v>0</v>
      </c>
      <c r="W725" s="83">
        <f t="shared" si="573"/>
        <v>0</v>
      </c>
      <c r="X725" s="781">
        <f t="shared" si="574"/>
        <v>0</v>
      </c>
      <c r="Y725" s="781">
        <f t="shared" si="575"/>
        <v>0</v>
      </c>
      <c r="Z725" s="781">
        <f t="shared" si="576"/>
        <v>0</v>
      </c>
      <c r="AA725" s="83">
        <f t="shared" si="569"/>
        <v>0</v>
      </c>
      <c r="AB725" s="83">
        <f t="shared" si="577"/>
        <v>0</v>
      </c>
      <c r="AC725" s="83">
        <f t="shared" si="578"/>
        <v>0</v>
      </c>
      <c r="AD725" s="83">
        <f t="shared" si="579"/>
        <v>0</v>
      </c>
      <c r="AE725" s="83">
        <f t="shared" si="580"/>
        <v>0</v>
      </c>
      <c r="AF725" s="83">
        <f t="shared" si="581"/>
        <v>0</v>
      </c>
      <c r="AG725" s="83">
        <f t="shared" si="582"/>
        <v>0</v>
      </c>
      <c r="AH725" s="83">
        <f t="shared" si="583"/>
        <v>0</v>
      </c>
      <c r="AI725" s="83">
        <f t="shared" si="584"/>
        <v>0</v>
      </c>
      <c r="AJ725" s="718">
        <f t="shared" si="585"/>
        <v>0</v>
      </c>
      <c r="AL725">
        <f t="shared" si="586"/>
        <v>0</v>
      </c>
      <c r="AM725">
        <f t="shared" si="587"/>
        <v>0</v>
      </c>
    </row>
    <row r="726" spans="1:39" ht="15.75" hidden="1" customHeight="1" x14ac:dyDescent="0.25">
      <c r="A726" s="561"/>
      <c r="B726" s="561"/>
      <c r="C726" s="561"/>
      <c r="D726" s="672"/>
      <c r="E726" s="209"/>
      <c r="F726" s="209"/>
      <c r="G726" s="209"/>
      <c r="H726" s="176">
        <f t="shared" si="565"/>
        <v>0</v>
      </c>
      <c r="I726" s="209"/>
      <c r="J726" s="209"/>
      <c r="K726" s="176">
        <f t="shared" si="566"/>
        <v>0</v>
      </c>
      <c r="L726" s="209"/>
      <c r="M726" s="177">
        <f t="shared" si="567"/>
        <v>0</v>
      </c>
      <c r="N726" s="1012"/>
      <c r="O726" s="1012"/>
      <c r="P726" s="485"/>
      <c r="Q726" s="778"/>
      <c r="R726" s="778"/>
      <c r="S726" s="785" t="str">
        <f t="shared" si="570"/>
        <v/>
      </c>
      <c r="T726" s="548" t="str">
        <f t="shared" si="568"/>
        <v>Sheet Metal Takeoff</v>
      </c>
      <c r="U726" s="83">
        <f>ROUND(IF($T726="Plumb Takeoff",$H726*U$3,IF($T726="Pipe Takeoff",$H726*U$4,$H726*U$2)),2)</f>
        <v>0</v>
      </c>
      <c r="V726" s="83">
        <f t="shared" si="572"/>
        <v>0</v>
      </c>
      <c r="W726" s="83">
        <f t="shared" si="573"/>
        <v>0</v>
      </c>
      <c r="X726" s="781">
        <f t="shared" si="574"/>
        <v>0</v>
      </c>
      <c r="Y726" s="781">
        <f t="shared" si="575"/>
        <v>0</v>
      </c>
      <c r="Z726" s="781">
        <f t="shared" si="576"/>
        <v>0</v>
      </c>
      <c r="AA726" s="83">
        <f t="shared" si="569"/>
        <v>0</v>
      </c>
      <c r="AB726" s="83">
        <f t="shared" si="577"/>
        <v>0</v>
      </c>
      <c r="AC726" s="83">
        <f t="shared" si="578"/>
        <v>0</v>
      </c>
      <c r="AD726" s="83">
        <f t="shared" si="579"/>
        <v>0</v>
      </c>
      <c r="AE726" s="83">
        <f t="shared" si="580"/>
        <v>0</v>
      </c>
      <c r="AF726" s="83">
        <f t="shared" si="581"/>
        <v>0</v>
      </c>
      <c r="AG726" s="83">
        <f t="shared" si="582"/>
        <v>0</v>
      </c>
      <c r="AH726" s="83">
        <f t="shared" si="583"/>
        <v>0</v>
      </c>
      <c r="AI726" s="83">
        <f t="shared" si="584"/>
        <v>0</v>
      </c>
      <c r="AJ726" s="718">
        <f t="shared" si="585"/>
        <v>0</v>
      </c>
      <c r="AL726">
        <f t="shared" si="586"/>
        <v>0</v>
      </c>
      <c r="AM726">
        <f t="shared" si="587"/>
        <v>0</v>
      </c>
    </row>
    <row r="727" spans="1:39" ht="15.75" x14ac:dyDescent="0.25">
      <c r="A727" s="551"/>
      <c r="B727" s="551"/>
      <c r="C727" s="551"/>
      <c r="D727" s="673"/>
      <c r="E727" s="552"/>
      <c r="F727" s="553"/>
      <c r="G727" s="553"/>
      <c r="H727" s="181">
        <f>SUM(H701:H726)</f>
        <v>0</v>
      </c>
      <c r="I727" s="182"/>
      <c r="J727" s="182"/>
      <c r="K727" s="181">
        <f>SUM(K701:K726)</f>
        <v>0</v>
      </c>
      <c r="L727" s="182"/>
      <c r="M727" s="177">
        <f>SUM(M701:M726)</f>
        <v>0</v>
      </c>
      <c r="O727" s="486"/>
      <c r="AJ727" s="718"/>
    </row>
    <row r="728" spans="1:39" ht="15.75" thickBot="1" x14ac:dyDescent="0.3">
      <c r="AJ728" s="718"/>
    </row>
    <row r="729" spans="1:39" ht="16.5" thickBot="1" x14ac:dyDescent="0.3">
      <c r="E729" s="678" t="s">
        <v>1122</v>
      </c>
      <c r="F729" s="1017" t="s">
        <v>1630</v>
      </c>
      <c r="G729" s="1018"/>
      <c r="H729" s="344"/>
      <c r="I729" s="1019" t="s">
        <v>1628</v>
      </c>
      <c r="J729" s="1020"/>
      <c r="K729" s="679" t="b">
        <v>0</v>
      </c>
      <c r="AJ729" s="718"/>
    </row>
    <row r="730" spans="1:39" ht="38.25" thickBot="1" x14ac:dyDescent="0.35">
      <c r="A730" s="477" t="s">
        <v>1063</v>
      </c>
      <c r="B730" s="477" t="s">
        <v>348</v>
      </c>
      <c r="C730" s="477" t="s">
        <v>349</v>
      </c>
      <c r="D730" s="666" t="s">
        <v>0</v>
      </c>
      <c r="E730" s="477" t="s">
        <v>1</v>
      </c>
      <c r="F730" s="480" t="s">
        <v>2</v>
      </c>
      <c r="G730" s="480" t="s">
        <v>1123</v>
      </c>
      <c r="H730" s="480" t="s">
        <v>3</v>
      </c>
      <c r="I730" s="483" t="s">
        <v>4</v>
      </c>
      <c r="J730" s="480" t="s">
        <v>1124</v>
      </c>
      <c r="K730" s="680" t="s">
        <v>5</v>
      </c>
      <c r="L730" s="480" t="s">
        <v>6</v>
      </c>
      <c r="M730" s="484" t="s">
        <v>7</v>
      </c>
      <c r="N730" s="1013" t="s">
        <v>1079</v>
      </c>
      <c r="O730" s="1014"/>
      <c r="P730" s="1009" t="s">
        <v>1629</v>
      </c>
      <c r="Q730" s="1009" t="s">
        <v>1147</v>
      </c>
      <c r="R730" s="1009" t="s">
        <v>1792</v>
      </c>
      <c r="T730" s="2"/>
      <c r="AJ730" s="718"/>
    </row>
    <row r="731" spans="1:39" ht="16.5" thickBot="1" x14ac:dyDescent="0.3">
      <c r="A731" s="183"/>
      <c r="B731" s="183"/>
      <c r="C731" s="183"/>
      <c r="D731" s="671"/>
      <c r="E731" s="183"/>
      <c r="F731" s="183"/>
      <c r="G731" s="183"/>
      <c r="H731" s="183"/>
      <c r="I731" s="183"/>
      <c r="J731" s="183"/>
      <c r="K731" s="183"/>
      <c r="L731" s="183"/>
      <c r="M731" s="183"/>
      <c r="N731" s="1015"/>
      <c r="O731" s="1016"/>
      <c r="P731" s="1010" t="s">
        <v>1362</v>
      </c>
      <c r="Q731" s="1010"/>
      <c r="R731" s="1010"/>
      <c r="T731" s="1"/>
      <c r="AJ731" s="718"/>
    </row>
    <row r="732" spans="1:39" ht="15.75" x14ac:dyDescent="0.25">
      <c r="A732" s="561"/>
      <c r="B732" s="561"/>
      <c r="C732" s="561"/>
      <c r="D732" s="672"/>
      <c r="E732" s="209"/>
      <c r="F732" s="209"/>
      <c r="G732" s="209"/>
      <c r="H732" s="176">
        <f t="shared" ref="H732:H757" si="588">IF(SM_ExludeGroup23=TRUE,0,IF(G732="",E732*F732*IF(AND(S732="LOP",R732="SWING"),1+CrewRate_PlumbFitter_SwingLOP,1)*IF(AND(S732="LOP",R732="GRAVE"),1+CrewRate_PlumbFitter_GraveLOP,1)*IF(AND(S732="LOP",R732="SPECIAL"),1+CrewRate_PlumbFitter_SwingLOP,1),E732*F732*G732*IF(AND(S732="LOP",R732="SWING"),1+CrewRate_PlumbFitter_SwingLOP,1)*IF(AND(S732="LOP",R732="GRAVE"),1+CrewRate_PlumbFitter_GraveLOP,1)*IF(AND(S732="LOP",R732="SPECIAL"),1+CrewRate_PlumbFitter_SwingLOP,1)))</f>
        <v>0</v>
      </c>
      <c r="I732" s="209"/>
      <c r="J732" s="209"/>
      <c r="K732" s="176">
        <f t="shared" ref="K732:K757" si="589">IF(SM_ExludeGroup23=TRUE,0,IF(J732="",E732*I732,E732*I732*J732))</f>
        <v>0</v>
      </c>
      <c r="L732" s="209"/>
      <c r="M732" s="177">
        <f t="shared" ref="M732:M757" si="590">IF(SM_ExludeGroup23=TRUE,0,E732*L732)</f>
        <v>0</v>
      </c>
      <c r="N732" s="1012"/>
      <c r="O732" s="1012"/>
      <c r="P732" s="485"/>
      <c r="Q732" s="778"/>
      <c r="R732" s="778"/>
      <c r="S732" s="785" t="str">
        <f>IF(T732="Sheet Metal Takeoff","",IF(R732="","","LOP"))</f>
        <v/>
      </c>
      <c r="T732" s="548" t="str">
        <f t="shared" ref="T732:T757" si="591">IF($F$729="","Sheet Metal Takeoff",$F$729)</f>
        <v>Sheet Metal Takeoff</v>
      </c>
      <c r="U732" s="83">
        <f>ROUND(IF($T732="Plumb Takeoff",$H732*U$3,IF($T732="Pipe Takeoff",$H732*U$4,$H732*U$2)),2)</f>
        <v>0</v>
      </c>
      <c r="V732" s="83">
        <f>ROUND(IF($T732="Plumb Takeoff",IF($Q732="OT",$H732*V$3,0),IF($T732="Pipe Takeoff",IF($Q732="OT",$H732*V$4,0),IF($Q732="OT",$H732*V$2,0))),2)</f>
        <v>0</v>
      </c>
      <c r="W732" s="83">
        <f>ROUND(IF($T732="Plumb Takeoff",IF($Q732="DBLT",$H732*W$3,0),IF($T732="Pipe Takeoff",IF($Q732="DBLT",$H732*W$4,0),IF($Q732="DBLT",$H732*W$2,0))),2)</f>
        <v>0</v>
      </c>
      <c r="X732" s="781">
        <f>ROUND(SUM(IF($T732="Plumb Takeoff",IF($R732="SWING",ROUND(SUM($H732)*X$3,2))),IF($T732="Pipe Takeoff",IF($R732="SWING",ROUND(SUM($H732)*X$4,2))),IF($T732="Sheet Metal Takeoff",IF($R732="SWING",ROUND(SUM($H732)*X$2,2)))),2)</f>
        <v>0</v>
      </c>
      <c r="Y732" s="781">
        <f>ROUND(SUM(IF($T732="Plumb Takeoff",IF($R732="GRAVE",ROUND(SUM($H732)*Y$3,2))),IF($T732="Pipe Takeoff",IF($R732="GRAVE",ROUND(SUM($H732)*Y$4,2))),IF($T732="Sheet Metal Takeoff",IF($R732="GRAVE",ROUND(SUM($H732)*Y$2,2)))),2)</f>
        <v>0</v>
      </c>
      <c r="Z732" s="781">
        <f>ROUND(SUM(IF($T732="Plumb Takeoff",IF($R732="SPECIAL",ROUND(SUM($H732)*Z$3,2))),IF($T732="Pipe Takeoff",IF($R732="SPECIAL",ROUND(SUM($H732)*Z$4,2))),IF($T732="Sheet Metal Takeoff",IF($R732="SPECIAL",ROUND(SUM($H732)*Z$2,2)))),2)</f>
        <v>0</v>
      </c>
      <c r="AA732" s="83">
        <f t="shared" ref="AA732:AA757" si="592">ROUND($K732*AA$2,2)</f>
        <v>0</v>
      </c>
      <c r="AB732" s="83">
        <f>ROUND(IF($Q732="OT",$K732*AB$2,0),2)</f>
        <v>0</v>
      </c>
      <c r="AC732" s="83">
        <f>ROUND(IF($Q732="DBLT",$K732*AC$2,0),2)</f>
        <v>0</v>
      </c>
      <c r="AD732" s="83">
        <f>ROUND(IF($R732="SWING",$K732*AD$2,0),2)</f>
        <v>0</v>
      </c>
      <c r="AE732" s="83">
        <f>ROUND(IF($R732="GRAVE",$K732*AE$2,0),2)</f>
        <v>0</v>
      </c>
      <c r="AF732" s="83">
        <f>ROUND(IF($R732="SPECIAL",$K732*AF$2,0),2)</f>
        <v>0</v>
      </c>
      <c r="AG732" s="83">
        <f>SUM(U732:Z732)</f>
        <v>0</v>
      </c>
      <c r="AH732" s="83">
        <f>SUM(AA732:AF732)</f>
        <v>0</v>
      </c>
      <c r="AI732" s="83">
        <f>SUM(U732:AF732)</f>
        <v>0</v>
      </c>
      <c r="AJ732" s="718">
        <f>SUM(M732,AI732)</f>
        <v>0</v>
      </c>
      <c r="AL732">
        <f>SUM(V732:Z732)</f>
        <v>0</v>
      </c>
      <c r="AM732">
        <f>SUM(AB732:AF732)</f>
        <v>0</v>
      </c>
    </row>
    <row r="733" spans="1:39" ht="15.75" x14ac:dyDescent="0.25">
      <c r="A733" s="561"/>
      <c r="B733" s="561"/>
      <c r="C733" s="561"/>
      <c r="D733" s="672"/>
      <c r="E733" s="209"/>
      <c r="F733" s="209"/>
      <c r="G733" s="209"/>
      <c r="H733" s="176">
        <f t="shared" si="588"/>
        <v>0</v>
      </c>
      <c r="I733" s="209"/>
      <c r="J733" s="209"/>
      <c r="K733" s="176">
        <f t="shared" si="589"/>
        <v>0</v>
      </c>
      <c r="L733" s="209"/>
      <c r="M733" s="177">
        <f t="shared" si="590"/>
        <v>0</v>
      </c>
      <c r="N733" s="1012"/>
      <c r="O733" s="1012"/>
      <c r="P733" s="485"/>
      <c r="Q733" s="778"/>
      <c r="R733" s="778"/>
      <c r="S733" s="785" t="str">
        <f t="shared" ref="S733:S757" si="593">IF(T733="Sheet Metal Takeoff","",IF(R733="","","LOP"))</f>
        <v/>
      </c>
      <c r="T733" s="548" t="str">
        <f t="shared" si="591"/>
        <v>Sheet Metal Takeoff</v>
      </c>
      <c r="U733" s="83">
        <f t="shared" ref="U733:U756" si="594">ROUND(IF($T733="Plumb Takeoff",$H733*U$3,IF($T733="Pipe Takeoff",$H733*U$4,$H733*U$2)),2)</f>
        <v>0</v>
      </c>
      <c r="V733" s="83">
        <f t="shared" ref="V733:V757" si="595">ROUND(IF($T733="Plumb Takeoff",IF($Q733="OT",$H733*V$3,0),IF($T733="Pipe Takeoff",IF($Q733="OT",$H733*V$4,0),IF($Q733="OT",$H733*V$2,0))),2)</f>
        <v>0</v>
      </c>
      <c r="W733" s="83">
        <f t="shared" ref="W733:W757" si="596">ROUND(IF($T733="Plumb Takeoff",IF($Q733="DBLT",$H733*W$3,0),IF($T733="Pipe Takeoff",IF($Q733="DBLT",$H733*W$4,0),IF($Q733="DBLT",$H733*W$2,0))),2)</f>
        <v>0</v>
      </c>
      <c r="X733" s="781">
        <f t="shared" ref="X733:X757" si="597">ROUND(SUM(IF($T733="Plumb Takeoff",IF($R733="SWING",ROUND(SUM($H733)*X$3,2))),IF($T733="Pipe Takeoff",IF($R733="SWING",ROUND(SUM($H733)*X$4,2))),IF($T733="Sheet Metal Takeoff",IF($R733="SWING",ROUND(SUM($H733)*X$2,2)))),2)</f>
        <v>0</v>
      </c>
      <c r="Y733" s="781">
        <f t="shared" ref="Y733:Y757" si="598">ROUND(SUM(IF($T733="Plumb Takeoff",IF($R733="GRAVE",ROUND(SUM($H733)*Y$3,2))),IF($T733="Pipe Takeoff",IF($R733="GRAVE",ROUND(SUM($H733)*Y$4,2))),IF($T733="Sheet Metal Takeoff",IF($R733="GRAVE",ROUND(SUM($H733)*Y$2,2)))),2)</f>
        <v>0</v>
      </c>
      <c r="Z733" s="781">
        <f t="shared" ref="Z733:Z757" si="599">ROUND(SUM(IF($T733="Plumb Takeoff",IF($R733="SPECIAL",ROUND(SUM($H733)*Z$3,2))),IF($T733="Pipe Takeoff",IF($R733="SPECIAL",ROUND(SUM($H733)*Z$4,2))),IF($T733="Sheet Metal Takeoff",IF($R733="SPECIAL",ROUND(SUM($H733)*Z$2,2)))),2)</f>
        <v>0</v>
      </c>
      <c r="AA733" s="83">
        <f t="shared" si="592"/>
        <v>0</v>
      </c>
      <c r="AB733" s="83">
        <f t="shared" ref="AB733:AB757" si="600">ROUND(IF($Q733="OT",$K733*AB$2,0),2)</f>
        <v>0</v>
      </c>
      <c r="AC733" s="83">
        <f t="shared" ref="AC733:AC757" si="601">ROUND(IF($Q733="DBLT",$K733*AC$2,0),2)</f>
        <v>0</v>
      </c>
      <c r="AD733" s="83">
        <f t="shared" ref="AD733:AD757" si="602">ROUND(IF($R733="SWING",$K733*AD$2,0),2)</f>
        <v>0</v>
      </c>
      <c r="AE733" s="83">
        <f t="shared" ref="AE733:AE757" si="603">ROUND(IF($R733="GRAVE",$K733*AE$2,0),2)</f>
        <v>0</v>
      </c>
      <c r="AF733" s="83">
        <f t="shared" ref="AF733:AF757" si="604">ROUND(IF($R733="SPECIAL",$K733*AF$2,0),2)</f>
        <v>0</v>
      </c>
      <c r="AG733" s="83">
        <f t="shared" ref="AG733:AG757" si="605">SUM(U733:Z733)</f>
        <v>0</v>
      </c>
      <c r="AH733" s="83">
        <f t="shared" ref="AH733:AH757" si="606">SUM(AA733:AF733)</f>
        <v>0</v>
      </c>
      <c r="AI733" s="83">
        <f t="shared" ref="AI733:AI757" si="607">SUM(U733:AF733)</f>
        <v>0</v>
      </c>
      <c r="AJ733" s="718">
        <f t="shared" ref="AJ733:AJ757" si="608">SUM(M733,AI733)</f>
        <v>0</v>
      </c>
      <c r="AL733">
        <f t="shared" ref="AL733:AL757" si="609">SUM(V733:Z733)</f>
        <v>0</v>
      </c>
      <c r="AM733">
        <f t="shared" ref="AM733:AM757" si="610">SUM(AB733:AF733)</f>
        <v>0</v>
      </c>
    </row>
    <row r="734" spans="1:39" ht="15.75" x14ac:dyDescent="0.25">
      <c r="A734" s="561"/>
      <c r="B734" s="561"/>
      <c r="C734" s="561"/>
      <c r="D734" s="672"/>
      <c r="E734" s="209"/>
      <c r="F734" s="209"/>
      <c r="G734" s="209"/>
      <c r="H734" s="176">
        <f t="shared" si="588"/>
        <v>0</v>
      </c>
      <c r="I734" s="209"/>
      <c r="J734" s="209"/>
      <c r="K734" s="176">
        <f t="shared" si="589"/>
        <v>0</v>
      </c>
      <c r="L734" s="209"/>
      <c r="M734" s="177">
        <f t="shared" si="590"/>
        <v>0</v>
      </c>
      <c r="N734" s="1012"/>
      <c r="O734" s="1012"/>
      <c r="P734" s="485"/>
      <c r="Q734" s="778"/>
      <c r="R734" s="778"/>
      <c r="S734" s="785" t="str">
        <f t="shared" si="593"/>
        <v/>
      </c>
      <c r="T734" s="548" t="str">
        <f t="shared" si="591"/>
        <v>Sheet Metal Takeoff</v>
      </c>
      <c r="U734" s="83">
        <f t="shared" si="594"/>
        <v>0</v>
      </c>
      <c r="V734" s="83">
        <f t="shared" si="595"/>
        <v>0</v>
      </c>
      <c r="W734" s="83">
        <f t="shared" si="596"/>
        <v>0</v>
      </c>
      <c r="X734" s="781">
        <f t="shared" si="597"/>
        <v>0</v>
      </c>
      <c r="Y734" s="781">
        <f t="shared" si="598"/>
        <v>0</v>
      </c>
      <c r="Z734" s="781">
        <f t="shared" si="599"/>
        <v>0</v>
      </c>
      <c r="AA734" s="83">
        <f t="shared" si="592"/>
        <v>0</v>
      </c>
      <c r="AB734" s="83">
        <f t="shared" si="600"/>
        <v>0</v>
      </c>
      <c r="AC734" s="83">
        <f t="shared" si="601"/>
        <v>0</v>
      </c>
      <c r="AD734" s="83">
        <f t="shared" si="602"/>
        <v>0</v>
      </c>
      <c r="AE734" s="83">
        <f t="shared" si="603"/>
        <v>0</v>
      </c>
      <c r="AF734" s="83">
        <f t="shared" si="604"/>
        <v>0</v>
      </c>
      <c r="AG734" s="83">
        <f t="shared" si="605"/>
        <v>0</v>
      </c>
      <c r="AH734" s="83">
        <f t="shared" si="606"/>
        <v>0</v>
      </c>
      <c r="AI734" s="83">
        <f t="shared" si="607"/>
        <v>0</v>
      </c>
      <c r="AJ734" s="718">
        <f t="shared" si="608"/>
        <v>0</v>
      </c>
      <c r="AL734">
        <f t="shared" si="609"/>
        <v>0</v>
      </c>
      <c r="AM734">
        <f t="shared" si="610"/>
        <v>0</v>
      </c>
    </row>
    <row r="735" spans="1:39" ht="15.75" x14ac:dyDescent="0.25">
      <c r="A735" s="561"/>
      <c r="B735" s="561"/>
      <c r="C735" s="561"/>
      <c r="D735" s="672"/>
      <c r="E735" s="209"/>
      <c r="F735" s="209"/>
      <c r="G735" s="209"/>
      <c r="H735" s="176">
        <f t="shared" si="588"/>
        <v>0</v>
      </c>
      <c r="I735" s="209"/>
      <c r="J735" s="209"/>
      <c r="K735" s="176">
        <f t="shared" si="589"/>
        <v>0</v>
      </c>
      <c r="L735" s="209"/>
      <c r="M735" s="177">
        <f t="shared" si="590"/>
        <v>0</v>
      </c>
      <c r="N735" s="1012"/>
      <c r="O735" s="1012"/>
      <c r="P735" s="485"/>
      <c r="Q735" s="778"/>
      <c r="R735" s="778"/>
      <c r="S735" s="785" t="str">
        <f t="shared" si="593"/>
        <v/>
      </c>
      <c r="T735" s="548" t="str">
        <f t="shared" si="591"/>
        <v>Sheet Metal Takeoff</v>
      </c>
      <c r="U735" s="83">
        <f t="shared" si="594"/>
        <v>0</v>
      </c>
      <c r="V735" s="83">
        <f t="shared" si="595"/>
        <v>0</v>
      </c>
      <c r="W735" s="83">
        <f t="shared" si="596"/>
        <v>0</v>
      </c>
      <c r="X735" s="781">
        <f t="shared" si="597"/>
        <v>0</v>
      </c>
      <c r="Y735" s="781">
        <f t="shared" si="598"/>
        <v>0</v>
      </c>
      <c r="Z735" s="781">
        <f t="shared" si="599"/>
        <v>0</v>
      </c>
      <c r="AA735" s="83">
        <f t="shared" si="592"/>
        <v>0</v>
      </c>
      <c r="AB735" s="83">
        <f t="shared" si="600"/>
        <v>0</v>
      </c>
      <c r="AC735" s="83">
        <f t="shared" si="601"/>
        <v>0</v>
      </c>
      <c r="AD735" s="83">
        <f t="shared" si="602"/>
        <v>0</v>
      </c>
      <c r="AE735" s="83">
        <f t="shared" si="603"/>
        <v>0</v>
      </c>
      <c r="AF735" s="83">
        <f t="shared" si="604"/>
        <v>0</v>
      </c>
      <c r="AG735" s="83">
        <f t="shared" si="605"/>
        <v>0</v>
      </c>
      <c r="AH735" s="83">
        <f t="shared" si="606"/>
        <v>0</v>
      </c>
      <c r="AI735" s="83">
        <f t="shared" si="607"/>
        <v>0</v>
      </c>
      <c r="AJ735" s="718">
        <f t="shared" si="608"/>
        <v>0</v>
      </c>
      <c r="AL735">
        <f t="shared" si="609"/>
        <v>0</v>
      </c>
      <c r="AM735">
        <f t="shared" si="610"/>
        <v>0</v>
      </c>
    </row>
    <row r="736" spans="1:39" ht="15.75" x14ac:dyDescent="0.25">
      <c r="A736" s="561"/>
      <c r="B736" s="561"/>
      <c r="C736" s="561"/>
      <c r="D736" s="672"/>
      <c r="E736" s="209"/>
      <c r="F736" s="209"/>
      <c r="G736" s="209"/>
      <c r="H736" s="176">
        <f t="shared" si="588"/>
        <v>0</v>
      </c>
      <c r="I736" s="209"/>
      <c r="J736" s="209"/>
      <c r="K736" s="176">
        <f t="shared" si="589"/>
        <v>0</v>
      </c>
      <c r="L736" s="209"/>
      <c r="M736" s="177">
        <f t="shared" si="590"/>
        <v>0</v>
      </c>
      <c r="N736" s="1012"/>
      <c r="O736" s="1012"/>
      <c r="P736" s="485"/>
      <c r="Q736" s="778"/>
      <c r="R736" s="778"/>
      <c r="S736" s="785" t="str">
        <f t="shared" si="593"/>
        <v/>
      </c>
      <c r="T736" s="548" t="str">
        <f t="shared" si="591"/>
        <v>Sheet Metal Takeoff</v>
      </c>
      <c r="U736" s="83">
        <f t="shared" si="594"/>
        <v>0</v>
      </c>
      <c r="V736" s="83">
        <f t="shared" si="595"/>
        <v>0</v>
      </c>
      <c r="W736" s="83">
        <f t="shared" si="596"/>
        <v>0</v>
      </c>
      <c r="X736" s="781">
        <f t="shared" si="597"/>
        <v>0</v>
      </c>
      <c r="Y736" s="781">
        <f t="shared" si="598"/>
        <v>0</v>
      </c>
      <c r="Z736" s="781">
        <f t="shared" si="599"/>
        <v>0</v>
      </c>
      <c r="AA736" s="83">
        <f t="shared" si="592"/>
        <v>0</v>
      </c>
      <c r="AB736" s="83">
        <f t="shared" si="600"/>
        <v>0</v>
      </c>
      <c r="AC736" s="83">
        <f t="shared" si="601"/>
        <v>0</v>
      </c>
      <c r="AD736" s="83">
        <f t="shared" si="602"/>
        <v>0</v>
      </c>
      <c r="AE736" s="83">
        <f t="shared" si="603"/>
        <v>0</v>
      </c>
      <c r="AF736" s="83">
        <f t="shared" si="604"/>
        <v>0</v>
      </c>
      <c r="AG736" s="83">
        <f t="shared" si="605"/>
        <v>0</v>
      </c>
      <c r="AH736" s="83">
        <f t="shared" si="606"/>
        <v>0</v>
      </c>
      <c r="AI736" s="83">
        <f t="shared" si="607"/>
        <v>0</v>
      </c>
      <c r="AJ736" s="718">
        <f t="shared" si="608"/>
        <v>0</v>
      </c>
      <c r="AL736">
        <f t="shared" si="609"/>
        <v>0</v>
      </c>
      <c r="AM736">
        <f t="shared" si="610"/>
        <v>0</v>
      </c>
    </row>
    <row r="737" spans="1:39" ht="15.75" x14ac:dyDescent="0.25">
      <c r="A737" s="561"/>
      <c r="B737" s="561"/>
      <c r="C737" s="561"/>
      <c r="D737" s="672"/>
      <c r="E737" s="209"/>
      <c r="F737" s="209"/>
      <c r="G737" s="209"/>
      <c r="H737" s="176">
        <f t="shared" si="588"/>
        <v>0</v>
      </c>
      <c r="I737" s="209"/>
      <c r="J737" s="209"/>
      <c r="K737" s="176">
        <f t="shared" si="589"/>
        <v>0</v>
      </c>
      <c r="L737" s="209"/>
      <c r="M737" s="177">
        <f t="shared" si="590"/>
        <v>0</v>
      </c>
      <c r="N737" s="1012"/>
      <c r="O737" s="1012"/>
      <c r="P737" s="485"/>
      <c r="Q737" s="778"/>
      <c r="R737" s="778"/>
      <c r="S737" s="785" t="str">
        <f t="shared" si="593"/>
        <v/>
      </c>
      <c r="T737" s="548" t="str">
        <f t="shared" si="591"/>
        <v>Sheet Metal Takeoff</v>
      </c>
      <c r="U737" s="83">
        <f t="shared" si="594"/>
        <v>0</v>
      </c>
      <c r="V737" s="83">
        <f t="shared" si="595"/>
        <v>0</v>
      </c>
      <c r="W737" s="83">
        <f t="shared" si="596"/>
        <v>0</v>
      </c>
      <c r="X737" s="781">
        <f t="shared" si="597"/>
        <v>0</v>
      </c>
      <c r="Y737" s="781">
        <f t="shared" si="598"/>
        <v>0</v>
      </c>
      <c r="Z737" s="781">
        <f t="shared" si="599"/>
        <v>0</v>
      </c>
      <c r="AA737" s="83">
        <f t="shared" si="592"/>
        <v>0</v>
      </c>
      <c r="AB737" s="83">
        <f t="shared" si="600"/>
        <v>0</v>
      </c>
      <c r="AC737" s="83">
        <f t="shared" si="601"/>
        <v>0</v>
      </c>
      <c r="AD737" s="83">
        <f t="shared" si="602"/>
        <v>0</v>
      </c>
      <c r="AE737" s="83">
        <f t="shared" si="603"/>
        <v>0</v>
      </c>
      <c r="AF737" s="83">
        <f t="shared" si="604"/>
        <v>0</v>
      </c>
      <c r="AG737" s="83">
        <f t="shared" si="605"/>
        <v>0</v>
      </c>
      <c r="AH737" s="83">
        <f t="shared" si="606"/>
        <v>0</v>
      </c>
      <c r="AI737" s="83">
        <f t="shared" si="607"/>
        <v>0</v>
      </c>
      <c r="AJ737" s="718">
        <f t="shared" si="608"/>
        <v>0</v>
      </c>
      <c r="AL737">
        <f t="shared" si="609"/>
        <v>0</v>
      </c>
      <c r="AM737">
        <f t="shared" si="610"/>
        <v>0</v>
      </c>
    </row>
    <row r="738" spans="1:39" ht="15.75" x14ac:dyDescent="0.25">
      <c r="A738" s="561"/>
      <c r="B738" s="561"/>
      <c r="C738" s="561"/>
      <c r="D738" s="672"/>
      <c r="E738" s="209"/>
      <c r="F738" s="209"/>
      <c r="G738" s="209"/>
      <c r="H738" s="176">
        <f t="shared" si="588"/>
        <v>0</v>
      </c>
      <c r="I738" s="209"/>
      <c r="J738" s="209"/>
      <c r="K738" s="176">
        <f t="shared" si="589"/>
        <v>0</v>
      </c>
      <c r="L738" s="209"/>
      <c r="M738" s="177">
        <f t="shared" si="590"/>
        <v>0</v>
      </c>
      <c r="N738" s="1012"/>
      <c r="O738" s="1012"/>
      <c r="P738" s="485"/>
      <c r="Q738" s="778"/>
      <c r="R738" s="778"/>
      <c r="S738" s="785" t="str">
        <f t="shared" si="593"/>
        <v/>
      </c>
      <c r="T738" s="548" t="str">
        <f t="shared" si="591"/>
        <v>Sheet Metal Takeoff</v>
      </c>
      <c r="U738" s="83">
        <f t="shared" si="594"/>
        <v>0</v>
      </c>
      <c r="V738" s="83">
        <f t="shared" si="595"/>
        <v>0</v>
      </c>
      <c r="W738" s="83">
        <f t="shared" si="596"/>
        <v>0</v>
      </c>
      <c r="X738" s="781">
        <f t="shared" si="597"/>
        <v>0</v>
      </c>
      <c r="Y738" s="781">
        <f t="shared" si="598"/>
        <v>0</v>
      </c>
      <c r="Z738" s="781">
        <f t="shared" si="599"/>
        <v>0</v>
      </c>
      <c r="AA738" s="83">
        <f t="shared" si="592"/>
        <v>0</v>
      </c>
      <c r="AB738" s="83">
        <f t="shared" si="600"/>
        <v>0</v>
      </c>
      <c r="AC738" s="83">
        <f t="shared" si="601"/>
        <v>0</v>
      </c>
      <c r="AD738" s="83">
        <f t="shared" si="602"/>
        <v>0</v>
      </c>
      <c r="AE738" s="83">
        <f t="shared" si="603"/>
        <v>0</v>
      </c>
      <c r="AF738" s="83">
        <f t="shared" si="604"/>
        <v>0</v>
      </c>
      <c r="AG738" s="83">
        <f t="shared" si="605"/>
        <v>0</v>
      </c>
      <c r="AH738" s="83">
        <f t="shared" si="606"/>
        <v>0</v>
      </c>
      <c r="AI738" s="83">
        <f t="shared" si="607"/>
        <v>0</v>
      </c>
      <c r="AJ738" s="718">
        <f t="shared" si="608"/>
        <v>0</v>
      </c>
      <c r="AL738">
        <f t="shared" si="609"/>
        <v>0</v>
      </c>
      <c r="AM738">
        <f t="shared" si="610"/>
        <v>0</v>
      </c>
    </row>
    <row r="739" spans="1:39" ht="15.75" x14ac:dyDescent="0.25">
      <c r="A739" s="561"/>
      <c r="B739" s="561"/>
      <c r="C739" s="561"/>
      <c r="D739" s="672"/>
      <c r="E739" s="209"/>
      <c r="F739" s="209"/>
      <c r="G739" s="209"/>
      <c r="H739" s="176">
        <f t="shared" si="588"/>
        <v>0</v>
      </c>
      <c r="I739" s="209"/>
      <c r="J739" s="209"/>
      <c r="K739" s="176">
        <f t="shared" si="589"/>
        <v>0</v>
      </c>
      <c r="L739" s="209"/>
      <c r="M739" s="177">
        <f t="shared" si="590"/>
        <v>0</v>
      </c>
      <c r="N739" s="1012"/>
      <c r="O739" s="1012"/>
      <c r="P739" s="485"/>
      <c r="Q739" s="778"/>
      <c r="R739" s="778"/>
      <c r="S739" s="785" t="str">
        <f t="shared" si="593"/>
        <v/>
      </c>
      <c r="T739" s="548" t="str">
        <f t="shared" si="591"/>
        <v>Sheet Metal Takeoff</v>
      </c>
      <c r="U739" s="83">
        <f t="shared" si="594"/>
        <v>0</v>
      </c>
      <c r="V739" s="83">
        <f t="shared" si="595"/>
        <v>0</v>
      </c>
      <c r="W739" s="83">
        <f t="shared" si="596"/>
        <v>0</v>
      </c>
      <c r="X739" s="781">
        <f t="shared" si="597"/>
        <v>0</v>
      </c>
      <c r="Y739" s="781">
        <f t="shared" si="598"/>
        <v>0</v>
      </c>
      <c r="Z739" s="781">
        <f t="shared" si="599"/>
        <v>0</v>
      </c>
      <c r="AA739" s="83">
        <f t="shared" si="592"/>
        <v>0</v>
      </c>
      <c r="AB739" s="83">
        <f t="shared" si="600"/>
        <v>0</v>
      </c>
      <c r="AC739" s="83">
        <f t="shared" si="601"/>
        <v>0</v>
      </c>
      <c r="AD739" s="83">
        <f t="shared" si="602"/>
        <v>0</v>
      </c>
      <c r="AE739" s="83">
        <f t="shared" si="603"/>
        <v>0</v>
      </c>
      <c r="AF739" s="83">
        <f t="shared" si="604"/>
        <v>0</v>
      </c>
      <c r="AG739" s="83">
        <f t="shared" si="605"/>
        <v>0</v>
      </c>
      <c r="AH739" s="83">
        <f t="shared" si="606"/>
        <v>0</v>
      </c>
      <c r="AI739" s="83">
        <f t="shared" si="607"/>
        <v>0</v>
      </c>
      <c r="AJ739" s="718">
        <f t="shared" si="608"/>
        <v>0</v>
      </c>
      <c r="AL739">
        <f t="shared" si="609"/>
        <v>0</v>
      </c>
      <c r="AM739">
        <f t="shared" si="610"/>
        <v>0</v>
      </c>
    </row>
    <row r="740" spans="1:39" ht="15.75" x14ac:dyDescent="0.25">
      <c r="A740" s="561"/>
      <c r="B740" s="561"/>
      <c r="C740" s="561"/>
      <c r="D740" s="672"/>
      <c r="E740" s="209"/>
      <c r="F740" s="209"/>
      <c r="G740" s="209"/>
      <c r="H740" s="176">
        <f t="shared" si="588"/>
        <v>0</v>
      </c>
      <c r="I740" s="209"/>
      <c r="J740" s="209"/>
      <c r="K740" s="176">
        <f t="shared" si="589"/>
        <v>0</v>
      </c>
      <c r="L740" s="209"/>
      <c r="M740" s="177">
        <f t="shared" si="590"/>
        <v>0</v>
      </c>
      <c r="N740" s="1012"/>
      <c r="O740" s="1012"/>
      <c r="P740" s="485"/>
      <c r="Q740" s="778"/>
      <c r="R740" s="778"/>
      <c r="S740" s="785" t="str">
        <f t="shared" si="593"/>
        <v/>
      </c>
      <c r="T740" s="548" t="str">
        <f t="shared" si="591"/>
        <v>Sheet Metal Takeoff</v>
      </c>
      <c r="U740" s="83">
        <f t="shared" si="594"/>
        <v>0</v>
      </c>
      <c r="V740" s="83">
        <f t="shared" si="595"/>
        <v>0</v>
      </c>
      <c r="W740" s="83">
        <f t="shared" si="596"/>
        <v>0</v>
      </c>
      <c r="X740" s="781">
        <f t="shared" si="597"/>
        <v>0</v>
      </c>
      <c r="Y740" s="781">
        <f t="shared" si="598"/>
        <v>0</v>
      </c>
      <c r="Z740" s="781">
        <f t="shared" si="599"/>
        <v>0</v>
      </c>
      <c r="AA740" s="83">
        <f t="shared" si="592"/>
        <v>0</v>
      </c>
      <c r="AB740" s="83">
        <f t="shared" si="600"/>
        <v>0</v>
      </c>
      <c r="AC740" s="83">
        <f t="shared" si="601"/>
        <v>0</v>
      </c>
      <c r="AD740" s="83">
        <f t="shared" si="602"/>
        <v>0</v>
      </c>
      <c r="AE740" s="83">
        <f t="shared" si="603"/>
        <v>0</v>
      </c>
      <c r="AF740" s="83">
        <f t="shared" si="604"/>
        <v>0</v>
      </c>
      <c r="AG740" s="83">
        <f t="shared" si="605"/>
        <v>0</v>
      </c>
      <c r="AH740" s="83">
        <f t="shared" si="606"/>
        <v>0</v>
      </c>
      <c r="AI740" s="83">
        <f t="shared" si="607"/>
        <v>0</v>
      </c>
      <c r="AJ740" s="718">
        <f t="shared" si="608"/>
        <v>0</v>
      </c>
      <c r="AL740">
        <f t="shared" si="609"/>
        <v>0</v>
      </c>
      <c r="AM740">
        <f t="shared" si="610"/>
        <v>0</v>
      </c>
    </row>
    <row r="741" spans="1:39" ht="15.75" x14ac:dyDescent="0.25">
      <c r="A741" s="561"/>
      <c r="B741" s="561"/>
      <c r="C741" s="561"/>
      <c r="D741" s="672"/>
      <c r="E741" s="209"/>
      <c r="F741" s="209"/>
      <c r="G741" s="209"/>
      <c r="H741" s="176">
        <f t="shared" si="588"/>
        <v>0</v>
      </c>
      <c r="I741" s="209"/>
      <c r="J741" s="209"/>
      <c r="K741" s="176">
        <f t="shared" si="589"/>
        <v>0</v>
      </c>
      <c r="L741" s="209"/>
      <c r="M741" s="177">
        <f t="shared" si="590"/>
        <v>0</v>
      </c>
      <c r="N741" s="1012"/>
      <c r="O741" s="1012"/>
      <c r="P741" s="485"/>
      <c r="Q741" s="778"/>
      <c r="R741" s="778"/>
      <c r="S741" s="785" t="str">
        <f t="shared" si="593"/>
        <v/>
      </c>
      <c r="T741" s="548" t="str">
        <f t="shared" si="591"/>
        <v>Sheet Metal Takeoff</v>
      </c>
      <c r="U741" s="83">
        <f t="shared" si="594"/>
        <v>0</v>
      </c>
      <c r="V741" s="83">
        <f t="shared" si="595"/>
        <v>0</v>
      </c>
      <c r="W741" s="83">
        <f t="shared" si="596"/>
        <v>0</v>
      </c>
      <c r="X741" s="781">
        <f t="shared" si="597"/>
        <v>0</v>
      </c>
      <c r="Y741" s="781">
        <f t="shared" si="598"/>
        <v>0</v>
      </c>
      <c r="Z741" s="781">
        <f t="shared" si="599"/>
        <v>0</v>
      </c>
      <c r="AA741" s="83">
        <f t="shared" si="592"/>
        <v>0</v>
      </c>
      <c r="AB741" s="83">
        <f t="shared" si="600"/>
        <v>0</v>
      </c>
      <c r="AC741" s="83">
        <f t="shared" si="601"/>
        <v>0</v>
      </c>
      <c r="AD741" s="83">
        <f t="shared" si="602"/>
        <v>0</v>
      </c>
      <c r="AE741" s="83">
        <f t="shared" si="603"/>
        <v>0</v>
      </c>
      <c r="AF741" s="83">
        <f t="shared" si="604"/>
        <v>0</v>
      </c>
      <c r="AG741" s="83">
        <f t="shared" si="605"/>
        <v>0</v>
      </c>
      <c r="AH741" s="83">
        <f t="shared" si="606"/>
        <v>0</v>
      </c>
      <c r="AI741" s="83">
        <f t="shared" si="607"/>
        <v>0</v>
      </c>
      <c r="AJ741" s="718">
        <f t="shared" si="608"/>
        <v>0</v>
      </c>
      <c r="AL741">
        <f t="shared" si="609"/>
        <v>0</v>
      </c>
      <c r="AM741">
        <f t="shared" si="610"/>
        <v>0</v>
      </c>
    </row>
    <row r="742" spans="1:39" ht="15.75" x14ac:dyDescent="0.25">
      <c r="A742" s="561"/>
      <c r="B742" s="561"/>
      <c r="C742" s="561"/>
      <c r="D742" s="672"/>
      <c r="E742" s="209"/>
      <c r="F742" s="209"/>
      <c r="G742" s="209"/>
      <c r="H742" s="176">
        <f t="shared" si="588"/>
        <v>0</v>
      </c>
      <c r="I742" s="209"/>
      <c r="J742" s="209"/>
      <c r="K742" s="176">
        <f t="shared" si="589"/>
        <v>0</v>
      </c>
      <c r="L742" s="209"/>
      <c r="M742" s="177">
        <f t="shared" si="590"/>
        <v>0</v>
      </c>
      <c r="N742" s="1012"/>
      <c r="O742" s="1012"/>
      <c r="P742" s="485"/>
      <c r="Q742" s="778"/>
      <c r="R742" s="778"/>
      <c r="S742" s="785" t="str">
        <f t="shared" si="593"/>
        <v/>
      </c>
      <c r="T742" s="548" t="str">
        <f t="shared" si="591"/>
        <v>Sheet Metal Takeoff</v>
      </c>
      <c r="U742" s="83">
        <f t="shared" si="594"/>
        <v>0</v>
      </c>
      <c r="V742" s="83">
        <f t="shared" si="595"/>
        <v>0</v>
      </c>
      <c r="W742" s="83">
        <f t="shared" si="596"/>
        <v>0</v>
      </c>
      <c r="X742" s="781">
        <f t="shared" si="597"/>
        <v>0</v>
      </c>
      <c r="Y742" s="781">
        <f t="shared" si="598"/>
        <v>0</v>
      </c>
      <c r="Z742" s="781">
        <f t="shared" si="599"/>
        <v>0</v>
      </c>
      <c r="AA742" s="83">
        <f t="shared" si="592"/>
        <v>0</v>
      </c>
      <c r="AB742" s="83">
        <f t="shared" si="600"/>
        <v>0</v>
      </c>
      <c r="AC742" s="83">
        <f t="shared" si="601"/>
        <v>0</v>
      </c>
      <c r="AD742" s="83">
        <f t="shared" si="602"/>
        <v>0</v>
      </c>
      <c r="AE742" s="83">
        <f t="shared" si="603"/>
        <v>0</v>
      </c>
      <c r="AF742" s="83">
        <f t="shared" si="604"/>
        <v>0</v>
      </c>
      <c r="AG742" s="83">
        <f t="shared" si="605"/>
        <v>0</v>
      </c>
      <c r="AH742" s="83">
        <f t="shared" si="606"/>
        <v>0</v>
      </c>
      <c r="AI742" s="83">
        <f t="shared" si="607"/>
        <v>0</v>
      </c>
      <c r="AJ742" s="718">
        <f t="shared" si="608"/>
        <v>0</v>
      </c>
      <c r="AL742">
        <f t="shared" si="609"/>
        <v>0</v>
      </c>
      <c r="AM742">
        <f t="shared" si="610"/>
        <v>0</v>
      </c>
    </row>
    <row r="743" spans="1:39" ht="15.75" x14ac:dyDescent="0.25">
      <c r="A743" s="561"/>
      <c r="B743" s="561"/>
      <c r="C743" s="561"/>
      <c r="D743" s="672"/>
      <c r="E743" s="209"/>
      <c r="F743" s="209"/>
      <c r="G743" s="209"/>
      <c r="H743" s="176">
        <f t="shared" si="588"/>
        <v>0</v>
      </c>
      <c r="I743" s="209"/>
      <c r="J743" s="209"/>
      <c r="K743" s="176">
        <f t="shared" si="589"/>
        <v>0</v>
      </c>
      <c r="L743" s="209"/>
      <c r="M743" s="177">
        <f t="shared" si="590"/>
        <v>0</v>
      </c>
      <c r="N743" s="1012"/>
      <c r="O743" s="1012"/>
      <c r="P743" s="485"/>
      <c r="Q743" s="778"/>
      <c r="R743" s="778"/>
      <c r="S743" s="785" t="str">
        <f t="shared" si="593"/>
        <v/>
      </c>
      <c r="T743" s="548" t="str">
        <f t="shared" si="591"/>
        <v>Sheet Metal Takeoff</v>
      </c>
      <c r="U743" s="83">
        <f t="shared" si="594"/>
        <v>0</v>
      </c>
      <c r="V743" s="83">
        <f t="shared" si="595"/>
        <v>0</v>
      </c>
      <c r="W743" s="83">
        <f t="shared" si="596"/>
        <v>0</v>
      </c>
      <c r="X743" s="781">
        <f t="shared" si="597"/>
        <v>0</v>
      </c>
      <c r="Y743" s="781">
        <f t="shared" si="598"/>
        <v>0</v>
      </c>
      <c r="Z743" s="781">
        <f t="shared" si="599"/>
        <v>0</v>
      </c>
      <c r="AA743" s="83">
        <f t="shared" si="592"/>
        <v>0</v>
      </c>
      <c r="AB743" s="83">
        <f t="shared" si="600"/>
        <v>0</v>
      </c>
      <c r="AC743" s="83">
        <f t="shared" si="601"/>
        <v>0</v>
      </c>
      <c r="AD743" s="83">
        <f t="shared" si="602"/>
        <v>0</v>
      </c>
      <c r="AE743" s="83">
        <f t="shared" si="603"/>
        <v>0</v>
      </c>
      <c r="AF743" s="83">
        <f t="shared" si="604"/>
        <v>0</v>
      </c>
      <c r="AG743" s="83">
        <f t="shared" si="605"/>
        <v>0</v>
      </c>
      <c r="AH743" s="83">
        <f t="shared" si="606"/>
        <v>0</v>
      </c>
      <c r="AI743" s="83">
        <f t="shared" si="607"/>
        <v>0</v>
      </c>
      <c r="AJ743" s="718">
        <f t="shared" si="608"/>
        <v>0</v>
      </c>
      <c r="AL743">
        <f t="shared" si="609"/>
        <v>0</v>
      </c>
      <c r="AM743">
        <f t="shared" si="610"/>
        <v>0</v>
      </c>
    </row>
    <row r="744" spans="1:39" ht="15.75" x14ac:dyDescent="0.25">
      <c r="A744" s="561"/>
      <c r="B744" s="561"/>
      <c r="C744" s="561"/>
      <c r="D744" s="672"/>
      <c r="E744" s="209"/>
      <c r="F744" s="209"/>
      <c r="G744" s="209"/>
      <c r="H744" s="176">
        <f t="shared" si="588"/>
        <v>0</v>
      </c>
      <c r="I744" s="209"/>
      <c r="J744" s="209"/>
      <c r="K744" s="176">
        <f t="shared" si="589"/>
        <v>0</v>
      </c>
      <c r="L744" s="209"/>
      <c r="M744" s="177">
        <f t="shared" si="590"/>
        <v>0</v>
      </c>
      <c r="N744" s="1012"/>
      <c r="O744" s="1012"/>
      <c r="P744" s="485"/>
      <c r="Q744" s="778"/>
      <c r="R744" s="778"/>
      <c r="S744" s="785" t="str">
        <f t="shared" si="593"/>
        <v/>
      </c>
      <c r="T744" s="548" t="str">
        <f t="shared" si="591"/>
        <v>Sheet Metal Takeoff</v>
      </c>
      <c r="U744" s="83">
        <f t="shared" si="594"/>
        <v>0</v>
      </c>
      <c r="V744" s="83">
        <f t="shared" si="595"/>
        <v>0</v>
      </c>
      <c r="W744" s="83">
        <f t="shared" si="596"/>
        <v>0</v>
      </c>
      <c r="X744" s="781">
        <f t="shared" si="597"/>
        <v>0</v>
      </c>
      <c r="Y744" s="781">
        <f t="shared" si="598"/>
        <v>0</v>
      </c>
      <c r="Z744" s="781">
        <f t="shared" si="599"/>
        <v>0</v>
      </c>
      <c r="AA744" s="83">
        <f t="shared" si="592"/>
        <v>0</v>
      </c>
      <c r="AB744" s="83">
        <f t="shared" si="600"/>
        <v>0</v>
      </c>
      <c r="AC744" s="83">
        <f t="shared" si="601"/>
        <v>0</v>
      </c>
      <c r="AD744" s="83">
        <f t="shared" si="602"/>
        <v>0</v>
      </c>
      <c r="AE744" s="83">
        <f t="shared" si="603"/>
        <v>0</v>
      </c>
      <c r="AF744" s="83">
        <f t="shared" si="604"/>
        <v>0</v>
      </c>
      <c r="AG744" s="83">
        <f t="shared" si="605"/>
        <v>0</v>
      </c>
      <c r="AH744" s="83">
        <f t="shared" si="606"/>
        <v>0</v>
      </c>
      <c r="AI744" s="83">
        <f t="shared" si="607"/>
        <v>0</v>
      </c>
      <c r="AJ744" s="718">
        <f t="shared" si="608"/>
        <v>0</v>
      </c>
      <c r="AL744">
        <f t="shared" si="609"/>
        <v>0</v>
      </c>
      <c r="AM744">
        <f t="shared" si="610"/>
        <v>0</v>
      </c>
    </row>
    <row r="745" spans="1:39" ht="15.75" x14ac:dyDescent="0.25">
      <c r="A745" s="561"/>
      <c r="B745" s="561"/>
      <c r="C745" s="561"/>
      <c r="D745" s="672"/>
      <c r="E745" s="209"/>
      <c r="F745" s="209"/>
      <c r="G745" s="209"/>
      <c r="H745" s="176">
        <f t="shared" si="588"/>
        <v>0</v>
      </c>
      <c r="I745" s="209"/>
      <c r="J745" s="209"/>
      <c r="K745" s="176">
        <f t="shared" si="589"/>
        <v>0</v>
      </c>
      <c r="L745" s="209"/>
      <c r="M745" s="177">
        <f t="shared" si="590"/>
        <v>0</v>
      </c>
      <c r="N745" s="1012"/>
      <c r="O745" s="1012"/>
      <c r="P745" s="485"/>
      <c r="Q745" s="778"/>
      <c r="R745" s="778"/>
      <c r="S745" s="785" t="str">
        <f t="shared" si="593"/>
        <v/>
      </c>
      <c r="T745" s="548" t="str">
        <f t="shared" si="591"/>
        <v>Sheet Metal Takeoff</v>
      </c>
      <c r="U745" s="83">
        <f t="shared" si="594"/>
        <v>0</v>
      </c>
      <c r="V745" s="83">
        <f t="shared" si="595"/>
        <v>0</v>
      </c>
      <c r="W745" s="83">
        <f t="shared" si="596"/>
        <v>0</v>
      </c>
      <c r="X745" s="781">
        <f t="shared" si="597"/>
        <v>0</v>
      </c>
      <c r="Y745" s="781">
        <f t="shared" si="598"/>
        <v>0</v>
      </c>
      <c r="Z745" s="781">
        <f t="shared" si="599"/>
        <v>0</v>
      </c>
      <c r="AA745" s="83">
        <f t="shared" si="592"/>
        <v>0</v>
      </c>
      <c r="AB745" s="83">
        <f t="shared" si="600"/>
        <v>0</v>
      </c>
      <c r="AC745" s="83">
        <f t="shared" si="601"/>
        <v>0</v>
      </c>
      <c r="AD745" s="83">
        <f t="shared" si="602"/>
        <v>0</v>
      </c>
      <c r="AE745" s="83">
        <f t="shared" si="603"/>
        <v>0</v>
      </c>
      <c r="AF745" s="83">
        <f t="shared" si="604"/>
        <v>0</v>
      </c>
      <c r="AG745" s="83">
        <f t="shared" si="605"/>
        <v>0</v>
      </c>
      <c r="AH745" s="83">
        <f t="shared" si="606"/>
        <v>0</v>
      </c>
      <c r="AI745" s="83">
        <f t="shared" si="607"/>
        <v>0</v>
      </c>
      <c r="AJ745" s="718">
        <f t="shared" si="608"/>
        <v>0</v>
      </c>
      <c r="AL745">
        <f t="shared" si="609"/>
        <v>0</v>
      </c>
      <c r="AM745">
        <f t="shared" si="610"/>
        <v>0</v>
      </c>
    </row>
    <row r="746" spans="1:39" ht="15.75" x14ac:dyDescent="0.25">
      <c r="A746" s="561"/>
      <c r="B746" s="561"/>
      <c r="C746" s="561"/>
      <c r="D746" s="672"/>
      <c r="E746" s="209"/>
      <c r="F746" s="209"/>
      <c r="G746" s="209"/>
      <c r="H746" s="176">
        <f t="shared" si="588"/>
        <v>0</v>
      </c>
      <c r="I746" s="209"/>
      <c r="J746" s="209"/>
      <c r="K746" s="176">
        <f t="shared" si="589"/>
        <v>0</v>
      </c>
      <c r="L746" s="209"/>
      <c r="M746" s="177">
        <f t="shared" si="590"/>
        <v>0</v>
      </c>
      <c r="N746" s="1012"/>
      <c r="O746" s="1012"/>
      <c r="P746" s="485"/>
      <c r="Q746" s="778"/>
      <c r="R746" s="778"/>
      <c r="S746" s="785" t="str">
        <f t="shared" si="593"/>
        <v/>
      </c>
      <c r="T746" s="548" t="str">
        <f t="shared" si="591"/>
        <v>Sheet Metal Takeoff</v>
      </c>
      <c r="U746" s="83">
        <f t="shared" si="594"/>
        <v>0</v>
      </c>
      <c r="V746" s="83">
        <f t="shared" si="595"/>
        <v>0</v>
      </c>
      <c r="W746" s="83">
        <f t="shared" si="596"/>
        <v>0</v>
      </c>
      <c r="X746" s="781">
        <f t="shared" si="597"/>
        <v>0</v>
      </c>
      <c r="Y746" s="781">
        <f t="shared" si="598"/>
        <v>0</v>
      </c>
      <c r="Z746" s="781">
        <f t="shared" si="599"/>
        <v>0</v>
      </c>
      <c r="AA746" s="83">
        <f t="shared" si="592"/>
        <v>0</v>
      </c>
      <c r="AB746" s="83">
        <f t="shared" si="600"/>
        <v>0</v>
      </c>
      <c r="AC746" s="83">
        <f t="shared" si="601"/>
        <v>0</v>
      </c>
      <c r="AD746" s="83">
        <f t="shared" si="602"/>
        <v>0</v>
      </c>
      <c r="AE746" s="83">
        <f t="shared" si="603"/>
        <v>0</v>
      </c>
      <c r="AF746" s="83">
        <f t="shared" si="604"/>
        <v>0</v>
      </c>
      <c r="AG746" s="83">
        <f t="shared" si="605"/>
        <v>0</v>
      </c>
      <c r="AH746" s="83">
        <f t="shared" si="606"/>
        <v>0</v>
      </c>
      <c r="AI746" s="83">
        <f t="shared" si="607"/>
        <v>0</v>
      </c>
      <c r="AJ746" s="718">
        <f t="shared" si="608"/>
        <v>0</v>
      </c>
      <c r="AL746">
        <f t="shared" si="609"/>
        <v>0</v>
      </c>
      <c r="AM746">
        <f t="shared" si="610"/>
        <v>0</v>
      </c>
    </row>
    <row r="747" spans="1:39" ht="15.75" x14ac:dyDescent="0.25">
      <c r="A747" s="561"/>
      <c r="B747" s="561"/>
      <c r="C747" s="561"/>
      <c r="D747" s="672"/>
      <c r="E747" s="209"/>
      <c r="F747" s="209"/>
      <c r="G747" s="209"/>
      <c r="H747" s="176">
        <f t="shared" si="588"/>
        <v>0</v>
      </c>
      <c r="I747" s="209"/>
      <c r="J747" s="209"/>
      <c r="K747" s="176">
        <f t="shared" si="589"/>
        <v>0</v>
      </c>
      <c r="L747" s="209"/>
      <c r="M747" s="177">
        <f t="shared" si="590"/>
        <v>0</v>
      </c>
      <c r="N747" s="1012"/>
      <c r="O747" s="1012"/>
      <c r="P747" s="485"/>
      <c r="Q747" s="778"/>
      <c r="R747" s="778"/>
      <c r="S747" s="785" t="str">
        <f t="shared" si="593"/>
        <v/>
      </c>
      <c r="T747" s="548" t="str">
        <f t="shared" si="591"/>
        <v>Sheet Metal Takeoff</v>
      </c>
      <c r="U747" s="83">
        <f t="shared" si="594"/>
        <v>0</v>
      </c>
      <c r="V747" s="83">
        <f t="shared" si="595"/>
        <v>0</v>
      </c>
      <c r="W747" s="83">
        <f t="shared" si="596"/>
        <v>0</v>
      </c>
      <c r="X747" s="781">
        <f t="shared" si="597"/>
        <v>0</v>
      </c>
      <c r="Y747" s="781">
        <f t="shared" si="598"/>
        <v>0</v>
      </c>
      <c r="Z747" s="781">
        <f t="shared" si="599"/>
        <v>0</v>
      </c>
      <c r="AA747" s="83">
        <f t="shared" si="592"/>
        <v>0</v>
      </c>
      <c r="AB747" s="83">
        <f t="shared" si="600"/>
        <v>0</v>
      </c>
      <c r="AC747" s="83">
        <f t="shared" si="601"/>
        <v>0</v>
      </c>
      <c r="AD747" s="83">
        <f t="shared" si="602"/>
        <v>0</v>
      </c>
      <c r="AE747" s="83">
        <f t="shared" si="603"/>
        <v>0</v>
      </c>
      <c r="AF747" s="83">
        <f t="shared" si="604"/>
        <v>0</v>
      </c>
      <c r="AG747" s="83">
        <f t="shared" si="605"/>
        <v>0</v>
      </c>
      <c r="AH747" s="83">
        <f t="shared" si="606"/>
        <v>0</v>
      </c>
      <c r="AI747" s="83">
        <f t="shared" si="607"/>
        <v>0</v>
      </c>
      <c r="AJ747" s="718">
        <f t="shared" si="608"/>
        <v>0</v>
      </c>
      <c r="AL747">
        <f t="shared" si="609"/>
        <v>0</v>
      </c>
      <c r="AM747">
        <f t="shared" si="610"/>
        <v>0</v>
      </c>
    </row>
    <row r="748" spans="1:39" ht="15.75" x14ac:dyDescent="0.25">
      <c r="A748" s="561"/>
      <c r="B748" s="561"/>
      <c r="C748" s="561"/>
      <c r="D748" s="672"/>
      <c r="E748" s="209"/>
      <c r="F748" s="209"/>
      <c r="G748" s="209"/>
      <c r="H748" s="176">
        <f t="shared" si="588"/>
        <v>0</v>
      </c>
      <c r="I748" s="209"/>
      <c r="J748" s="209"/>
      <c r="K748" s="176">
        <f t="shared" si="589"/>
        <v>0</v>
      </c>
      <c r="L748" s="209"/>
      <c r="M748" s="177">
        <f t="shared" si="590"/>
        <v>0</v>
      </c>
      <c r="N748" s="1012"/>
      <c r="O748" s="1012"/>
      <c r="P748" s="485"/>
      <c r="Q748" s="778"/>
      <c r="R748" s="778"/>
      <c r="S748" s="785" t="str">
        <f t="shared" si="593"/>
        <v/>
      </c>
      <c r="T748" s="548" t="str">
        <f t="shared" si="591"/>
        <v>Sheet Metal Takeoff</v>
      </c>
      <c r="U748" s="83">
        <f t="shared" si="594"/>
        <v>0</v>
      </c>
      <c r="V748" s="83">
        <f t="shared" si="595"/>
        <v>0</v>
      </c>
      <c r="W748" s="83">
        <f t="shared" si="596"/>
        <v>0</v>
      </c>
      <c r="X748" s="781">
        <f t="shared" si="597"/>
        <v>0</v>
      </c>
      <c r="Y748" s="781">
        <f t="shared" si="598"/>
        <v>0</v>
      </c>
      <c r="Z748" s="781">
        <f t="shared" si="599"/>
        <v>0</v>
      </c>
      <c r="AA748" s="83">
        <f t="shared" si="592"/>
        <v>0</v>
      </c>
      <c r="AB748" s="83">
        <f t="shared" si="600"/>
        <v>0</v>
      </c>
      <c r="AC748" s="83">
        <f t="shared" si="601"/>
        <v>0</v>
      </c>
      <c r="AD748" s="83">
        <f t="shared" si="602"/>
        <v>0</v>
      </c>
      <c r="AE748" s="83">
        <f t="shared" si="603"/>
        <v>0</v>
      </c>
      <c r="AF748" s="83">
        <f t="shared" si="604"/>
        <v>0</v>
      </c>
      <c r="AG748" s="83">
        <f t="shared" si="605"/>
        <v>0</v>
      </c>
      <c r="AH748" s="83">
        <f t="shared" si="606"/>
        <v>0</v>
      </c>
      <c r="AI748" s="83">
        <f t="shared" si="607"/>
        <v>0</v>
      </c>
      <c r="AJ748" s="718">
        <f t="shared" si="608"/>
        <v>0</v>
      </c>
      <c r="AL748">
        <f t="shared" si="609"/>
        <v>0</v>
      </c>
      <c r="AM748">
        <f t="shared" si="610"/>
        <v>0</v>
      </c>
    </row>
    <row r="749" spans="1:39" ht="15.75" x14ac:dyDescent="0.25">
      <c r="A749" s="561"/>
      <c r="B749" s="561"/>
      <c r="C749" s="561"/>
      <c r="D749" s="672"/>
      <c r="E749" s="209"/>
      <c r="F749" s="209"/>
      <c r="G749" s="209"/>
      <c r="H749" s="176">
        <f t="shared" si="588"/>
        <v>0</v>
      </c>
      <c r="I749" s="209"/>
      <c r="J749" s="209"/>
      <c r="K749" s="176">
        <f t="shared" si="589"/>
        <v>0</v>
      </c>
      <c r="L749" s="209"/>
      <c r="M749" s="177">
        <f t="shared" si="590"/>
        <v>0</v>
      </c>
      <c r="N749" s="1012"/>
      <c r="O749" s="1012"/>
      <c r="P749" s="485"/>
      <c r="Q749" s="778"/>
      <c r="R749" s="778"/>
      <c r="S749" s="785" t="str">
        <f t="shared" si="593"/>
        <v/>
      </c>
      <c r="T749" s="548" t="str">
        <f t="shared" si="591"/>
        <v>Sheet Metal Takeoff</v>
      </c>
      <c r="U749" s="83">
        <f t="shared" si="594"/>
        <v>0</v>
      </c>
      <c r="V749" s="83">
        <f t="shared" si="595"/>
        <v>0</v>
      </c>
      <c r="W749" s="83">
        <f t="shared" si="596"/>
        <v>0</v>
      </c>
      <c r="X749" s="781">
        <f t="shared" si="597"/>
        <v>0</v>
      </c>
      <c r="Y749" s="781">
        <f t="shared" si="598"/>
        <v>0</v>
      </c>
      <c r="Z749" s="781">
        <f t="shared" si="599"/>
        <v>0</v>
      </c>
      <c r="AA749" s="83">
        <f t="shared" si="592"/>
        <v>0</v>
      </c>
      <c r="AB749" s="83">
        <f t="shared" si="600"/>
        <v>0</v>
      </c>
      <c r="AC749" s="83">
        <f t="shared" si="601"/>
        <v>0</v>
      </c>
      <c r="AD749" s="83">
        <f t="shared" si="602"/>
        <v>0</v>
      </c>
      <c r="AE749" s="83">
        <f t="shared" si="603"/>
        <v>0</v>
      </c>
      <c r="AF749" s="83">
        <f t="shared" si="604"/>
        <v>0</v>
      </c>
      <c r="AG749" s="83">
        <f t="shared" si="605"/>
        <v>0</v>
      </c>
      <c r="AH749" s="83">
        <f t="shared" si="606"/>
        <v>0</v>
      </c>
      <c r="AI749" s="83">
        <f t="shared" si="607"/>
        <v>0</v>
      </c>
      <c r="AJ749" s="718">
        <f t="shared" si="608"/>
        <v>0</v>
      </c>
      <c r="AL749">
        <f t="shared" si="609"/>
        <v>0</v>
      </c>
      <c r="AM749">
        <f t="shared" si="610"/>
        <v>0</v>
      </c>
    </row>
    <row r="750" spans="1:39" ht="15.75" x14ac:dyDescent="0.25">
      <c r="A750" s="561"/>
      <c r="B750" s="561"/>
      <c r="C750" s="561"/>
      <c r="D750" s="672"/>
      <c r="E750" s="209"/>
      <c r="F750" s="209"/>
      <c r="G750" s="209"/>
      <c r="H750" s="176">
        <f t="shared" si="588"/>
        <v>0</v>
      </c>
      <c r="I750" s="209"/>
      <c r="J750" s="209"/>
      <c r="K750" s="176">
        <f t="shared" si="589"/>
        <v>0</v>
      </c>
      <c r="L750" s="209"/>
      <c r="M750" s="177">
        <f t="shared" si="590"/>
        <v>0</v>
      </c>
      <c r="N750" s="1012"/>
      <c r="O750" s="1012"/>
      <c r="P750" s="485"/>
      <c r="Q750" s="778"/>
      <c r="R750" s="778"/>
      <c r="S750" s="785" t="str">
        <f t="shared" si="593"/>
        <v/>
      </c>
      <c r="T750" s="548" t="str">
        <f t="shared" si="591"/>
        <v>Sheet Metal Takeoff</v>
      </c>
      <c r="U750" s="83">
        <f t="shared" si="594"/>
        <v>0</v>
      </c>
      <c r="V750" s="83">
        <f t="shared" si="595"/>
        <v>0</v>
      </c>
      <c r="W750" s="83">
        <f t="shared" si="596"/>
        <v>0</v>
      </c>
      <c r="X750" s="781">
        <f t="shared" si="597"/>
        <v>0</v>
      </c>
      <c r="Y750" s="781">
        <f t="shared" si="598"/>
        <v>0</v>
      </c>
      <c r="Z750" s="781">
        <f t="shared" si="599"/>
        <v>0</v>
      </c>
      <c r="AA750" s="83">
        <f t="shared" si="592"/>
        <v>0</v>
      </c>
      <c r="AB750" s="83">
        <f t="shared" si="600"/>
        <v>0</v>
      </c>
      <c r="AC750" s="83">
        <f t="shared" si="601"/>
        <v>0</v>
      </c>
      <c r="AD750" s="83">
        <f t="shared" si="602"/>
        <v>0</v>
      </c>
      <c r="AE750" s="83">
        <f t="shared" si="603"/>
        <v>0</v>
      </c>
      <c r="AF750" s="83">
        <f t="shared" si="604"/>
        <v>0</v>
      </c>
      <c r="AG750" s="83">
        <f t="shared" si="605"/>
        <v>0</v>
      </c>
      <c r="AH750" s="83">
        <f t="shared" si="606"/>
        <v>0</v>
      </c>
      <c r="AI750" s="83">
        <f t="shared" si="607"/>
        <v>0</v>
      </c>
      <c r="AJ750" s="718">
        <f t="shared" si="608"/>
        <v>0</v>
      </c>
      <c r="AL750">
        <f t="shared" si="609"/>
        <v>0</v>
      </c>
      <c r="AM750">
        <f t="shared" si="610"/>
        <v>0</v>
      </c>
    </row>
    <row r="751" spans="1:39" ht="15.75" x14ac:dyDescent="0.25">
      <c r="A751" s="561"/>
      <c r="B751" s="561"/>
      <c r="C751" s="561"/>
      <c r="D751" s="672"/>
      <c r="E751" s="209"/>
      <c r="F751" s="209"/>
      <c r="G751" s="209"/>
      <c r="H751" s="176">
        <f t="shared" si="588"/>
        <v>0</v>
      </c>
      <c r="I751" s="209"/>
      <c r="J751" s="209"/>
      <c r="K751" s="176">
        <f t="shared" si="589"/>
        <v>0</v>
      </c>
      <c r="L751" s="209"/>
      <c r="M751" s="177">
        <f t="shared" si="590"/>
        <v>0</v>
      </c>
      <c r="N751" s="1012"/>
      <c r="O751" s="1012"/>
      <c r="P751" s="485"/>
      <c r="Q751" s="778"/>
      <c r="R751" s="778"/>
      <c r="S751" s="785" t="str">
        <f t="shared" si="593"/>
        <v/>
      </c>
      <c r="T751" s="548" t="str">
        <f t="shared" si="591"/>
        <v>Sheet Metal Takeoff</v>
      </c>
      <c r="U751" s="83">
        <f t="shared" si="594"/>
        <v>0</v>
      </c>
      <c r="V751" s="83">
        <f t="shared" si="595"/>
        <v>0</v>
      </c>
      <c r="W751" s="83">
        <f t="shared" si="596"/>
        <v>0</v>
      </c>
      <c r="X751" s="781">
        <f t="shared" si="597"/>
        <v>0</v>
      </c>
      <c r="Y751" s="781">
        <f t="shared" si="598"/>
        <v>0</v>
      </c>
      <c r="Z751" s="781">
        <f t="shared" si="599"/>
        <v>0</v>
      </c>
      <c r="AA751" s="83">
        <f t="shared" si="592"/>
        <v>0</v>
      </c>
      <c r="AB751" s="83">
        <f t="shared" si="600"/>
        <v>0</v>
      </c>
      <c r="AC751" s="83">
        <f t="shared" si="601"/>
        <v>0</v>
      </c>
      <c r="AD751" s="83">
        <f t="shared" si="602"/>
        <v>0</v>
      </c>
      <c r="AE751" s="83">
        <f t="shared" si="603"/>
        <v>0</v>
      </c>
      <c r="AF751" s="83">
        <f t="shared" si="604"/>
        <v>0</v>
      </c>
      <c r="AG751" s="83">
        <f t="shared" si="605"/>
        <v>0</v>
      </c>
      <c r="AH751" s="83">
        <f t="shared" si="606"/>
        <v>0</v>
      </c>
      <c r="AI751" s="83">
        <f t="shared" si="607"/>
        <v>0</v>
      </c>
      <c r="AJ751" s="718">
        <f t="shared" si="608"/>
        <v>0</v>
      </c>
      <c r="AL751">
        <f t="shared" si="609"/>
        <v>0</v>
      </c>
      <c r="AM751">
        <f t="shared" si="610"/>
        <v>0</v>
      </c>
    </row>
    <row r="752" spans="1:39" ht="15.75" x14ac:dyDescent="0.25">
      <c r="A752" s="561"/>
      <c r="B752" s="561"/>
      <c r="C752" s="561"/>
      <c r="D752" s="672"/>
      <c r="E752" s="209"/>
      <c r="F752" s="209"/>
      <c r="G752" s="209"/>
      <c r="H752" s="176">
        <f t="shared" si="588"/>
        <v>0</v>
      </c>
      <c r="I752" s="209"/>
      <c r="J752" s="209"/>
      <c r="K752" s="176">
        <f t="shared" si="589"/>
        <v>0</v>
      </c>
      <c r="L752" s="209"/>
      <c r="M752" s="177">
        <f t="shared" si="590"/>
        <v>0</v>
      </c>
      <c r="N752" s="1012"/>
      <c r="O752" s="1012"/>
      <c r="P752" s="485"/>
      <c r="Q752" s="778"/>
      <c r="R752" s="778"/>
      <c r="S752" s="785" t="str">
        <f t="shared" si="593"/>
        <v/>
      </c>
      <c r="T752" s="548" t="str">
        <f t="shared" si="591"/>
        <v>Sheet Metal Takeoff</v>
      </c>
      <c r="U752" s="83">
        <f t="shared" si="594"/>
        <v>0</v>
      </c>
      <c r="V752" s="83">
        <f t="shared" si="595"/>
        <v>0</v>
      </c>
      <c r="W752" s="83">
        <f t="shared" si="596"/>
        <v>0</v>
      </c>
      <c r="X752" s="781">
        <f t="shared" si="597"/>
        <v>0</v>
      </c>
      <c r="Y752" s="781">
        <f t="shared" si="598"/>
        <v>0</v>
      </c>
      <c r="Z752" s="781">
        <f t="shared" si="599"/>
        <v>0</v>
      </c>
      <c r="AA752" s="83">
        <f t="shared" si="592"/>
        <v>0</v>
      </c>
      <c r="AB752" s="83">
        <f t="shared" si="600"/>
        <v>0</v>
      </c>
      <c r="AC752" s="83">
        <f t="shared" si="601"/>
        <v>0</v>
      </c>
      <c r="AD752" s="83">
        <f t="shared" si="602"/>
        <v>0</v>
      </c>
      <c r="AE752" s="83">
        <f t="shared" si="603"/>
        <v>0</v>
      </c>
      <c r="AF752" s="83">
        <f t="shared" si="604"/>
        <v>0</v>
      </c>
      <c r="AG752" s="83">
        <f t="shared" si="605"/>
        <v>0</v>
      </c>
      <c r="AH752" s="83">
        <f t="shared" si="606"/>
        <v>0</v>
      </c>
      <c r="AI752" s="83">
        <f t="shared" si="607"/>
        <v>0</v>
      </c>
      <c r="AJ752" s="718">
        <f t="shared" si="608"/>
        <v>0</v>
      </c>
      <c r="AL752">
        <f t="shared" si="609"/>
        <v>0</v>
      </c>
      <c r="AM752">
        <f t="shared" si="610"/>
        <v>0</v>
      </c>
    </row>
    <row r="753" spans="1:39" ht="15.75" x14ac:dyDescent="0.25">
      <c r="A753" s="561"/>
      <c r="B753" s="561"/>
      <c r="C753" s="561"/>
      <c r="D753" s="672"/>
      <c r="E753" s="209"/>
      <c r="F753" s="209"/>
      <c r="G753" s="209"/>
      <c r="H753" s="176">
        <f t="shared" si="588"/>
        <v>0</v>
      </c>
      <c r="I753" s="209"/>
      <c r="J753" s="209"/>
      <c r="K753" s="176">
        <f t="shared" si="589"/>
        <v>0</v>
      </c>
      <c r="L753" s="209"/>
      <c r="M753" s="177">
        <f t="shared" si="590"/>
        <v>0</v>
      </c>
      <c r="N753" s="1012"/>
      <c r="O753" s="1012"/>
      <c r="P753" s="485"/>
      <c r="Q753" s="778"/>
      <c r="R753" s="778"/>
      <c r="S753" s="785" t="str">
        <f t="shared" si="593"/>
        <v/>
      </c>
      <c r="T753" s="548" t="str">
        <f t="shared" si="591"/>
        <v>Sheet Metal Takeoff</v>
      </c>
      <c r="U753" s="83">
        <f t="shared" si="594"/>
        <v>0</v>
      </c>
      <c r="V753" s="83">
        <f t="shared" si="595"/>
        <v>0</v>
      </c>
      <c r="W753" s="83">
        <f t="shared" si="596"/>
        <v>0</v>
      </c>
      <c r="X753" s="781">
        <f t="shared" si="597"/>
        <v>0</v>
      </c>
      <c r="Y753" s="781">
        <f t="shared" si="598"/>
        <v>0</v>
      </c>
      <c r="Z753" s="781">
        <f t="shared" si="599"/>
        <v>0</v>
      </c>
      <c r="AA753" s="83">
        <f t="shared" si="592"/>
        <v>0</v>
      </c>
      <c r="AB753" s="83">
        <f t="shared" si="600"/>
        <v>0</v>
      </c>
      <c r="AC753" s="83">
        <f t="shared" si="601"/>
        <v>0</v>
      </c>
      <c r="AD753" s="83">
        <f t="shared" si="602"/>
        <v>0</v>
      </c>
      <c r="AE753" s="83">
        <f t="shared" si="603"/>
        <v>0</v>
      </c>
      <c r="AF753" s="83">
        <f t="shared" si="604"/>
        <v>0</v>
      </c>
      <c r="AG753" s="83">
        <f t="shared" si="605"/>
        <v>0</v>
      </c>
      <c r="AH753" s="83">
        <f t="shared" si="606"/>
        <v>0</v>
      </c>
      <c r="AI753" s="83">
        <f t="shared" si="607"/>
        <v>0</v>
      </c>
      <c r="AJ753" s="718">
        <f t="shared" si="608"/>
        <v>0</v>
      </c>
      <c r="AL753">
        <f t="shared" si="609"/>
        <v>0</v>
      </c>
      <c r="AM753">
        <f t="shared" si="610"/>
        <v>0</v>
      </c>
    </row>
    <row r="754" spans="1:39" ht="15.75" x14ac:dyDescent="0.25">
      <c r="A754" s="561"/>
      <c r="B754" s="561"/>
      <c r="C754" s="561"/>
      <c r="D754" s="672"/>
      <c r="E754" s="209"/>
      <c r="F754" s="209"/>
      <c r="G754" s="209"/>
      <c r="H754" s="176">
        <f t="shared" si="588"/>
        <v>0</v>
      </c>
      <c r="I754" s="209"/>
      <c r="J754" s="209"/>
      <c r="K754" s="176">
        <f t="shared" si="589"/>
        <v>0</v>
      </c>
      <c r="L754" s="209"/>
      <c r="M754" s="177">
        <f t="shared" si="590"/>
        <v>0</v>
      </c>
      <c r="N754" s="1012"/>
      <c r="O754" s="1012"/>
      <c r="P754" s="485"/>
      <c r="Q754" s="778"/>
      <c r="R754" s="778"/>
      <c r="S754" s="785" t="str">
        <f t="shared" si="593"/>
        <v/>
      </c>
      <c r="T754" s="548" t="str">
        <f t="shared" si="591"/>
        <v>Sheet Metal Takeoff</v>
      </c>
      <c r="U754" s="83">
        <f t="shared" si="594"/>
        <v>0</v>
      </c>
      <c r="V754" s="83">
        <f t="shared" si="595"/>
        <v>0</v>
      </c>
      <c r="W754" s="83">
        <f t="shared" si="596"/>
        <v>0</v>
      </c>
      <c r="X754" s="781">
        <f t="shared" si="597"/>
        <v>0</v>
      </c>
      <c r="Y754" s="781">
        <f t="shared" si="598"/>
        <v>0</v>
      </c>
      <c r="Z754" s="781">
        <f t="shared" si="599"/>
        <v>0</v>
      </c>
      <c r="AA754" s="83">
        <f t="shared" si="592"/>
        <v>0</v>
      </c>
      <c r="AB754" s="83">
        <f t="shared" si="600"/>
        <v>0</v>
      </c>
      <c r="AC754" s="83">
        <f t="shared" si="601"/>
        <v>0</v>
      </c>
      <c r="AD754" s="83">
        <f t="shared" si="602"/>
        <v>0</v>
      </c>
      <c r="AE754" s="83">
        <f t="shared" si="603"/>
        <v>0</v>
      </c>
      <c r="AF754" s="83">
        <f t="shared" si="604"/>
        <v>0</v>
      </c>
      <c r="AG754" s="83">
        <f t="shared" si="605"/>
        <v>0</v>
      </c>
      <c r="AH754" s="83">
        <f t="shared" si="606"/>
        <v>0</v>
      </c>
      <c r="AI754" s="83">
        <f t="shared" si="607"/>
        <v>0</v>
      </c>
      <c r="AJ754" s="718">
        <f t="shared" si="608"/>
        <v>0</v>
      </c>
      <c r="AL754">
        <f t="shared" si="609"/>
        <v>0</v>
      </c>
      <c r="AM754">
        <f t="shared" si="610"/>
        <v>0</v>
      </c>
    </row>
    <row r="755" spans="1:39" ht="15.75" x14ac:dyDescent="0.25">
      <c r="A755" s="561"/>
      <c r="B755" s="561"/>
      <c r="C755" s="561"/>
      <c r="D755" s="672"/>
      <c r="E755" s="209"/>
      <c r="F755" s="209"/>
      <c r="G755" s="209"/>
      <c r="H755" s="176">
        <f t="shared" si="588"/>
        <v>0</v>
      </c>
      <c r="I755" s="209"/>
      <c r="J755" s="209"/>
      <c r="K755" s="176">
        <f t="shared" si="589"/>
        <v>0</v>
      </c>
      <c r="L755" s="209"/>
      <c r="M755" s="177">
        <f t="shared" si="590"/>
        <v>0</v>
      </c>
      <c r="N755" s="1012"/>
      <c r="O755" s="1012"/>
      <c r="P755" s="485"/>
      <c r="Q755" s="778"/>
      <c r="R755" s="778"/>
      <c r="S755" s="785" t="str">
        <f t="shared" si="593"/>
        <v/>
      </c>
      <c r="T755" s="548" t="str">
        <f t="shared" si="591"/>
        <v>Sheet Metal Takeoff</v>
      </c>
      <c r="U755" s="83">
        <f t="shared" si="594"/>
        <v>0</v>
      </c>
      <c r="V755" s="83">
        <f t="shared" si="595"/>
        <v>0</v>
      </c>
      <c r="W755" s="83">
        <f t="shared" si="596"/>
        <v>0</v>
      </c>
      <c r="X755" s="781">
        <f t="shared" si="597"/>
        <v>0</v>
      </c>
      <c r="Y755" s="781">
        <f t="shared" si="598"/>
        <v>0</v>
      </c>
      <c r="Z755" s="781">
        <f t="shared" si="599"/>
        <v>0</v>
      </c>
      <c r="AA755" s="83">
        <f t="shared" si="592"/>
        <v>0</v>
      </c>
      <c r="AB755" s="83">
        <f t="shared" si="600"/>
        <v>0</v>
      </c>
      <c r="AC755" s="83">
        <f t="shared" si="601"/>
        <v>0</v>
      </c>
      <c r="AD755" s="83">
        <f t="shared" si="602"/>
        <v>0</v>
      </c>
      <c r="AE755" s="83">
        <f t="shared" si="603"/>
        <v>0</v>
      </c>
      <c r="AF755" s="83">
        <f t="shared" si="604"/>
        <v>0</v>
      </c>
      <c r="AG755" s="83">
        <f t="shared" si="605"/>
        <v>0</v>
      </c>
      <c r="AH755" s="83">
        <f t="shared" si="606"/>
        <v>0</v>
      </c>
      <c r="AI755" s="83">
        <f t="shared" si="607"/>
        <v>0</v>
      </c>
      <c r="AJ755" s="718">
        <f t="shared" si="608"/>
        <v>0</v>
      </c>
      <c r="AL755">
        <f t="shared" si="609"/>
        <v>0</v>
      </c>
      <c r="AM755">
        <f t="shared" si="610"/>
        <v>0</v>
      </c>
    </row>
    <row r="756" spans="1:39" ht="15.75" x14ac:dyDescent="0.25">
      <c r="A756" s="561"/>
      <c r="B756" s="561"/>
      <c r="C756" s="561"/>
      <c r="D756" s="672"/>
      <c r="E756" s="209"/>
      <c r="F756" s="209"/>
      <c r="G756" s="209"/>
      <c r="H756" s="176">
        <f t="shared" si="588"/>
        <v>0</v>
      </c>
      <c r="I756" s="209"/>
      <c r="J756" s="209"/>
      <c r="K756" s="176">
        <f t="shared" si="589"/>
        <v>0</v>
      </c>
      <c r="L756" s="209"/>
      <c r="M756" s="177">
        <f t="shared" si="590"/>
        <v>0</v>
      </c>
      <c r="N756" s="1012"/>
      <c r="O756" s="1012"/>
      <c r="P756" s="485"/>
      <c r="Q756" s="778"/>
      <c r="R756" s="778"/>
      <c r="S756" s="785" t="str">
        <f t="shared" si="593"/>
        <v/>
      </c>
      <c r="T756" s="548" t="str">
        <f t="shared" si="591"/>
        <v>Sheet Metal Takeoff</v>
      </c>
      <c r="U756" s="83">
        <f t="shared" si="594"/>
        <v>0</v>
      </c>
      <c r="V756" s="83">
        <f t="shared" si="595"/>
        <v>0</v>
      </c>
      <c r="W756" s="83">
        <f t="shared" si="596"/>
        <v>0</v>
      </c>
      <c r="X756" s="781">
        <f t="shared" si="597"/>
        <v>0</v>
      </c>
      <c r="Y756" s="781">
        <f t="shared" si="598"/>
        <v>0</v>
      </c>
      <c r="Z756" s="781">
        <f t="shared" si="599"/>
        <v>0</v>
      </c>
      <c r="AA756" s="83">
        <f t="shared" si="592"/>
        <v>0</v>
      </c>
      <c r="AB756" s="83">
        <f t="shared" si="600"/>
        <v>0</v>
      </c>
      <c r="AC756" s="83">
        <f t="shared" si="601"/>
        <v>0</v>
      </c>
      <c r="AD756" s="83">
        <f t="shared" si="602"/>
        <v>0</v>
      </c>
      <c r="AE756" s="83">
        <f t="shared" si="603"/>
        <v>0</v>
      </c>
      <c r="AF756" s="83">
        <f t="shared" si="604"/>
        <v>0</v>
      </c>
      <c r="AG756" s="83">
        <f t="shared" si="605"/>
        <v>0</v>
      </c>
      <c r="AH756" s="83">
        <f t="shared" si="606"/>
        <v>0</v>
      </c>
      <c r="AI756" s="83">
        <f t="shared" si="607"/>
        <v>0</v>
      </c>
      <c r="AJ756" s="718">
        <f t="shared" si="608"/>
        <v>0</v>
      </c>
      <c r="AL756">
        <f t="shared" si="609"/>
        <v>0</v>
      </c>
      <c r="AM756">
        <f t="shared" si="610"/>
        <v>0</v>
      </c>
    </row>
    <row r="757" spans="1:39" ht="15.75" hidden="1" customHeight="1" x14ac:dyDescent="0.25">
      <c r="A757" s="561"/>
      <c r="B757" s="561"/>
      <c r="C757" s="561"/>
      <c r="D757" s="672"/>
      <c r="E757" s="209"/>
      <c r="F757" s="209"/>
      <c r="G757" s="209"/>
      <c r="H757" s="176">
        <f t="shared" si="588"/>
        <v>0</v>
      </c>
      <c r="I757" s="209"/>
      <c r="J757" s="209"/>
      <c r="K757" s="176">
        <f t="shared" si="589"/>
        <v>0</v>
      </c>
      <c r="L757" s="209"/>
      <c r="M757" s="177">
        <f t="shared" si="590"/>
        <v>0</v>
      </c>
      <c r="N757" s="1012"/>
      <c r="O757" s="1012"/>
      <c r="P757" s="485"/>
      <c r="Q757" s="778"/>
      <c r="R757" s="778"/>
      <c r="S757" s="785" t="str">
        <f t="shared" si="593"/>
        <v/>
      </c>
      <c r="T757" s="548" t="str">
        <f t="shared" si="591"/>
        <v>Sheet Metal Takeoff</v>
      </c>
      <c r="U757" s="83">
        <f>ROUND(IF($T757="Plumb Takeoff",$H757*U$3,IF($T757="Pipe Takeoff",$H757*U$4,$H757*U$2)),2)</f>
        <v>0</v>
      </c>
      <c r="V757" s="83">
        <f t="shared" si="595"/>
        <v>0</v>
      </c>
      <c r="W757" s="83">
        <f t="shared" si="596"/>
        <v>0</v>
      </c>
      <c r="X757" s="781">
        <f t="shared" si="597"/>
        <v>0</v>
      </c>
      <c r="Y757" s="781">
        <f t="shared" si="598"/>
        <v>0</v>
      </c>
      <c r="Z757" s="781">
        <f t="shared" si="599"/>
        <v>0</v>
      </c>
      <c r="AA757" s="83">
        <f t="shared" si="592"/>
        <v>0</v>
      </c>
      <c r="AB757" s="83">
        <f t="shared" si="600"/>
        <v>0</v>
      </c>
      <c r="AC757" s="83">
        <f t="shared" si="601"/>
        <v>0</v>
      </c>
      <c r="AD757" s="83">
        <f t="shared" si="602"/>
        <v>0</v>
      </c>
      <c r="AE757" s="83">
        <f t="shared" si="603"/>
        <v>0</v>
      </c>
      <c r="AF757" s="83">
        <f t="shared" si="604"/>
        <v>0</v>
      </c>
      <c r="AG757" s="83">
        <f t="shared" si="605"/>
        <v>0</v>
      </c>
      <c r="AH757" s="83">
        <f t="shared" si="606"/>
        <v>0</v>
      </c>
      <c r="AI757" s="83">
        <f t="shared" si="607"/>
        <v>0</v>
      </c>
      <c r="AJ757" s="718">
        <f t="shared" si="608"/>
        <v>0</v>
      </c>
      <c r="AL757">
        <f t="shared" si="609"/>
        <v>0</v>
      </c>
      <c r="AM757">
        <f t="shared" si="610"/>
        <v>0</v>
      </c>
    </row>
    <row r="758" spans="1:39" ht="15.75" x14ac:dyDescent="0.25">
      <c r="A758" s="551"/>
      <c r="B758" s="551"/>
      <c r="C758" s="551"/>
      <c r="D758" s="673"/>
      <c r="E758" s="552"/>
      <c r="F758" s="553"/>
      <c r="G758" s="553"/>
      <c r="H758" s="181">
        <f>SUM(H732:H757)</f>
        <v>0</v>
      </c>
      <c r="I758" s="182"/>
      <c r="J758" s="182"/>
      <c r="K758" s="181">
        <f>SUM(K732:K757)</f>
        <v>0</v>
      </c>
      <c r="L758" s="182"/>
      <c r="M758" s="177">
        <f>SUM(M732:M757)</f>
        <v>0</v>
      </c>
      <c r="O758" s="486"/>
      <c r="AJ758" s="718"/>
    </row>
    <row r="759" spans="1:39" ht="15.75" thickBot="1" x14ac:dyDescent="0.3">
      <c r="AJ759" s="718"/>
    </row>
    <row r="760" spans="1:39" ht="16.5" thickBot="1" x14ac:dyDescent="0.3">
      <c r="E760" s="678" t="s">
        <v>1122</v>
      </c>
      <c r="F760" s="1017" t="s">
        <v>1630</v>
      </c>
      <c r="G760" s="1018"/>
      <c r="H760" s="344"/>
      <c r="I760" s="1019" t="s">
        <v>1628</v>
      </c>
      <c r="J760" s="1020"/>
      <c r="K760" s="679" t="b">
        <v>0</v>
      </c>
      <c r="AJ760" s="718"/>
    </row>
    <row r="761" spans="1:39" ht="38.25" thickBot="1" x14ac:dyDescent="0.35">
      <c r="A761" s="477" t="s">
        <v>1063</v>
      </c>
      <c r="B761" s="477" t="s">
        <v>348</v>
      </c>
      <c r="C761" s="477" t="s">
        <v>349</v>
      </c>
      <c r="D761" s="666" t="s">
        <v>0</v>
      </c>
      <c r="E761" s="477" t="s">
        <v>1</v>
      </c>
      <c r="F761" s="480" t="s">
        <v>2</v>
      </c>
      <c r="G761" s="480" t="s">
        <v>1123</v>
      </c>
      <c r="H761" s="480" t="s">
        <v>3</v>
      </c>
      <c r="I761" s="483" t="s">
        <v>4</v>
      </c>
      <c r="J761" s="480" t="s">
        <v>1124</v>
      </c>
      <c r="K761" s="680" t="s">
        <v>5</v>
      </c>
      <c r="L761" s="480" t="s">
        <v>6</v>
      </c>
      <c r="M761" s="484" t="s">
        <v>7</v>
      </c>
      <c r="N761" s="1013" t="s">
        <v>1079</v>
      </c>
      <c r="O761" s="1014"/>
      <c r="P761" s="1009" t="s">
        <v>1629</v>
      </c>
      <c r="Q761" s="1009" t="s">
        <v>1147</v>
      </c>
      <c r="R761" s="1009" t="s">
        <v>1792</v>
      </c>
      <c r="T761" s="2"/>
      <c r="AJ761" s="718"/>
    </row>
    <row r="762" spans="1:39" ht="16.5" thickBot="1" x14ac:dyDescent="0.3">
      <c r="A762" s="183"/>
      <c r="B762" s="183"/>
      <c r="C762" s="183"/>
      <c r="D762" s="671"/>
      <c r="E762" s="183"/>
      <c r="F762" s="183"/>
      <c r="G762" s="183"/>
      <c r="H762" s="183"/>
      <c r="I762" s="183"/>
      <c r="J762" s="183"/>
      <c r="K762" s="183"/>
      <c r="L762" s="183"/>
      <c r="M762" s="183"/>
      <c r="N762" s="1015"/>
      <c r="O762" s="1016"/>
      <c r="P762" s="1010" t="s">
        <v>1362</v>
      </c>
      <c r="Q762" s="1010"/>
      <c r="R762" s="1010"/>
      <c r="T762" s="1"/>
      <c r="AJ762" s="718"/>
    </row>
    <row r="763" spans="1:39" ht="15.75" x14ac:dyDescent="0.25">
      <c r="A763" s="561"/>
      <c r="B763" s="561"/>
      <c r="C763" s="561"/>
      <c r="D763" s="672"/>
      <c r="E763" s="209"/>
      <c r="F763" s="209"/>
      <c r="G763" s="209"/>
      <c r="H763" s="176">
        <f t="shared" ref="H763:H788" si="611">IF(SM_ExludeGroup24=TRUE,0,IF(G763="",E763*F763*IF(AND(S763="LOP",R763="SWING"),1+CrewRate_PlumbFitter_SwingLOP,1)*IF(AND(S763="LOP",R763="GRAVE"),1+CrewRate_PlumbFitter_GraveLOP,1)*IF(AND(S763="LOP",R763="SPECIAL"),1+CrewRate_PlumbFitter_SwingLOP,1),E763*F763*G763*IF(AND(S763="LOP",R763="SWING"),1+CrewRate_PlumbFitter_SwingLOP,1)*IF(AND(S763="LOP",R763="GRAVE"),1+CrewRate_PlumbFitter_GraveLOP,1)*IF(AND(S763="LOP",R763="SPECIAL"),1+CrewRate_PlumbFitter_SwingLOP,1)))</f>
        <v>0</v>
      </c>
      <c r="I763" s="209"/>
      <c r="J763" s="209"/>
      <c r="K763" s="176">
        <f t="shared" ref="K763:K788" si="612">IF(SM_ExludeGroup24=TRUE,0,IF(J763="",E763*I763,E763*I763*J763))</f>
        <v>0</v>
      </c>
      <c r="L763" s="209"/>
      <c r="M763" s="177">
        <f t="shared" ref="M763:M788" si="613">IF(SM_ExludeGroup24=TRUE,0,E763*L763)</f>
        <v>0</v>
      </c>
      <c r="N763" s="1012"/>
      <c r="O763" s="1012"/>
      <c r="P763" s="485"/>
      <c r="Q763" s="778"/>
      <c r="R763" s="778"/>
      <c r="S763" s="785" t="str">
        <f>IF(T763="Sheet Metal Takeoff","",IF(R763="","","LOP"))</f>
        <v/>
      </c>
      <c r="T763" s="548" t="str">
        <f t="shared" ref="T763:T788" si="614">IF($F$760="","Sheet Metal Takeoff",$F$760)</f>
        <v>Sheet Metal Takeoff</v>
      </c>
      <c r="U763" s="83">
        <f>ROUND(IF($T763="Plumb Takeoff",$H763*U$3,IF($T763="Pipe Takeoff",$H763*U$4,$H763*U$2)),2)</f>
        <v>0</v>
      </c>
      <c r="V763" s="83">
        <f>ROUND(IF($T763="Plumb Takeoff",IF($Q763="OT",$H763*V$3,0),IF($T763="Pipe Takeoff",IF($Q763="OT",$H763*V$4,0),IF($Q763="OT",$H763*V$2,0))),2)</f>
        <v>0</v>
      </c>
      <c r="W763" s="83">
        <f>ROUND(IF($T763="Plumb Takeoff",IF($Q763="DBLT",$H763*W$3,0),IF($T763="Pipe Takeoff",IF($Q763="DBLT",$H763*W$4,0),IF($Q763="DBLT",$H763*W$2,0))),2)</f>
        <v>0</v>
      </c>
      <c r="X763" s="781">
        <f>ROUND(SUM(IF($T763="Plumb Takeoff",IF($R763="SWING",ROUND(SUM($H763)*X$3,2))),IF($T763="Pipe Takeoff",IF($R763="SWING",ROUND(SUM($H763)*X$4,2))),IF($T763="Sheet Metal Takeoff",IF($R763="SWING",ROUND(SUM($H763)*X$2,2)))),2)</f>
        <v>0</v>
      </c>
      <c r="Y763" s="781">
        <f>ROUND(SUM(IF($T763="Plumb Takeoff",IF($R763="GRAVE",ROUND(SUM($H763)*Y$3,2))),IF($T763="Pipe Takeoff",IF($R763="GRAVE",ROUND(SUM($H763)*Y$4,2))),IF($T763="Sheet Metal Takeoff",IF($R763="GRAVE",ROUND(SUM($H763)*Y$2,2)))),2)</f>
        <v>0</v>
      </c>
      <c r="Z763" s="781">
        <f>ROUND(SUM(IF($T763="Plumb Takeoff",IF($R763="SPECIAL",ROUND(SUM($H763)*Z$3,2))),IF($T763="Pipe Takeoff",IF($R763="SPECIAL",ROUND(SUM($H763)*Z$4,2))),IF($T763="Sheet Metal Takeoff",IF($R763="SPECIAL",ROUND(SUM($H763)*Z$2,2)))),2)</f>
        <v>0</v>
      </c>
      <c r="AA763" s="83">
        <f t="shared" ref="AA763:AA788" si="615">ROUND($K763*AA$2,2)</f>
        <v>0</v>
      </c>
      <c r="AB763" s="83">
        <f>ROUND(IF($Q763="OT",$K763*AB$2,0),2)</f>
        <v>0</v>
      </c>
      <c r="AC763" s="83">
        <f>ROUND(IF($Q763="DBLT",$K763*AC$2,0),2)</f>
        <v>0</v>
      </c>
      <c r="AD763" s="83">
        <f>ROUND(IF($R763="SWING",$K763*AD$2,0),2)</f>
        <v>0</v>
      </c>
      <c r="AE763" s="83">
        <f>ROUND(IF($R763="GRAVE",$K763*AE$2,0),2)</f>
        <v>0</v>
      </c>
      <c r="AF763" s="83">
        <f>ROUND(IF($R763="SPECIAL",$K763*AF$2,0),2)</f>
        <v>0</v>
      </c>
      <c r="AG763" s="83">
        <f>SUM(U763:Z763)</f>
        <v>0</v>
      </c>
      <c r="AH763" s="83">
        <f>SUM(AA763:AF763)</f>
        <v>0</v>
      </c>
      <c r="AI763" s="83">
        <f>SUM(U763:AF763)</f>
        <v>0</v>
      </c>
      <c r="AJ763" s="718">
        <f>SUM(M763,AI763)</f>
        <v>0</v>
      </c>
      <c r="AL763">
        <f>SUM(V763:Z763)</f>
        <v>0</v>
      </c>
      <c r="AM763">
        <f>SUM(AB763:AF763)</f>
        <v>0</v>
      </c>
    </row>
    <row r="764" spans="1:39" ht="15.75" x14ac:dyDescent="0.25">
      <c r="A764" s="561"/>
      <c r="B764" s="561"/>
      <c r="C764" s="561"/>
      <c r="D764" s="672"/>
      <c r="E764" s="209"/>
      <c r="F764" s="209"/>
      <c r="G764" s="209"/>
      <c r="H764" s="176">
        <f t="shared" si="611"/>
        <v>0</v>
      </c>
      <c r="I764" s="209"/>
      <c r="J764" s="209"/>
      <c r="K764" s="176">
        <f t="shared" si="612"/>
        <v>0</v>
      </c>
      <c r="L764" s="209"/>
      <c r="M764" s="177">
        <f t="shared" si="613"/>
        <v>0</v>
      </c>
      <c r="N764" s="1012"/>
      <c r="O764" s="1012"/>
      <c r="P764" s="485"/>
      <c r="Q764" s="778"/>
      <c r="R764" s="778"/>
      <c r="S764" s="785" t="str">
        <f t="shared" ref="S764:S788" si="616">IF(T764="Sheet Metal Takeoff","",IF(R764="","","LOP"))</f>
        <v/>
      </c>
      <c r="T764" s="548" t="str">
        <f t="shared" si="614"/>
        <v>Sheet Metal Takeoff</v>
      </c>
      <c r="U764" s="83">
        <f t="shared" ref="U764:U787" si="617">ROUND(IF($T764="Plumb Takeoff",$H764*U$3,IF($T764="Pipe Takeoff",$H764*U$4,$H764*U$2)),2)</f>
        <v>0</v>
      </c>
      <c r="V764" s="83">
        <f t="shared" ref="V764:V788" si="618">ROUND(IF($T764="Plumb Takeoff",IF($Q764="OT",$H764*V$3,0),IF($T764="Pipe Takeoff",IF($Q764="OT",$H764*V$4,0),IF($Q764="OT",$H764*V$2,0))),2)</f>
        <v>0</v>
      </c>
      <c r="W764" s="83">
        <f t="shared" ref="W764:W788" si="619">ROUND(IF($T764="Plumb Takeoff",IF($Q764="DBLT",$H764*W$3,0),IF($T764="Pipe Takeoff",IF($Q764="DBLT",$H764*W$4,0),IF($Q764="DBLT",$H764*W$2,0))),2)</f>
        <v>0</v>
      </c>
      <c r="X764" s="781">
        <f t="shared" ref="X764:X788" si="620">ROUND(SUM(IF($T764="Plumb Takeoff",IF($R764="SWING",ROUND(SUM($H764)*X$3,2))),IF($T764="Pipe Takeoff",IF($R764="SWING",ROUND(SUM($H764)*X$4,2))),IF($T764="Sheet Metal Takeoff",IF($R764="SWING",ROUND(SUM($H764)*X$2,2)))),2)</f>
        <v>0</v>
      </c>
      <c r="Y764" s="781">
        <f t="shared" ref="Y764:Y788" si="621">ROUND(SUM(IF($T764="Plumb Takeoff",IF($R764="GRAVE",ROUND(SUM($H764)*Y$3,2))),IF($T764="Pipe Takeoff",IF($R764="GRAVE",ROUND(SUM($H764)*Y$4,2))),IF($T764="Sheet Metal Takeoff",IF($R764="GRAVE",ROUND(SUM($H764)*Y$2,2)))),2)</f>
        <v>0</v>
      </c>
      <c r="Z764" s="781">
        <f t="shared" ref="Z764:Z788" si="622">ROUND(SUM(IF($T764="Plumb Takeoff",IF($R764="SPECIAL",ROUND(SUM($H764)*Z$3,2))),IF($T764="Pipe Takeoff",IF($R764="SPECIAL",ROUND(SUM($H764)*Z$4,2))),IF($T764="Sheet Metal Takeoff",IF($R764="SPECIAL",ROUND(SUM($H764)*Z$2,2)))),2)</f>
        <v>0</v>
      </c>
      <c r="AA764" s="83">
        <f t="shared" si="615"/>
        <v>0</v>
      </c>
      <c r="AB764" s="83">
        <f t="shared" ref="AB764:AB788" si="623">ROUND(IF($Q764="OT",$K764*AB$2,0),2)</f>
        <v>0</v>
      </c>
      <c r="AC764" s="83">
        <f t="shared" ref="AC764:AC788" si="624">ROUND(IF($Q764="DBLT",$K764*AC$2,0),2)</f>
        <v>0</v>
      </c>
      <c r="AD764" s="83">
        <f t="shared" ref="AD764:AD788" si="625">ROUND(IF($R764="SWING",$K764*AD$2,0),2)</f>
        <v>0</v>
      </c>
      <c r="AE764" s="83">
        <f t="shared" ref="AE764:AE788" si="626">ROUND(IF($R764="GRAVE",$K764*AE$2,0),2)</f>
        <v>0</v>
      </c>
      <c r="AF764" s="83">
        <f t="shared" ref="AF764:AF788" si="627">ROUND(IF($R764="SPECIAL",$K764*AF$2,0),2)</f>
        <v>0</v>
      </c>
      <c r="AG764" s="83">
        <f t="shared" ref="AG764:AG788" si="628">SUM(U764:Z764)</f>
        <v>0</v>
      </c>
      <c r="AH764" s="83">
        <f t="shared" ref="AH764:AH788" si="629">SUM(AA764:AF764)</f>
        <v>0</v>
      </c>
      <c r="AI764" s="83">
        <f t="shared" ref="AI764:AI788" si="630">SUM(U764:AF764)</f>
        <v>0</v>
      </c>
      <c r="AJ764" s="718">
        <f t="shared" ref="AJ764:AJ788" si="631">SUM(M764,AI764)</f>
        <v>0</v>
      </c>
      <c r="AL764">
        <f t="shared" ref="AL764:AL788" si="632">SUM(V764:Z764)</f>
        <v>0</v>
      </c>
      <c r="AM764">
        <f t="shared" ref="AM764:AM788" si="633">SUM(AB764:AF764)</f>
        <v>0</v>
      </c>
    </row>
    <row r="765" spans="1:39" ht="15.75" x14ac:dyDescent="0.25">
      <c r="A765" s="561"/>
      <c r="B765" s="561"/>
      <c r="C765" s="561"/>
      <c r="D765" s="672"/>
      <c r="E765" s="209"/>
      <c r="F765" s="209"/>
      <c r="G765" s="209"/>
      <c r="H765" s="176">
        <f t="shared" si="611"/>
        <v>0</v>
      </c>
      <c r="I765" s="209"/>
      <c r="J765" s="209"/>
      <c r="K765" s="176">
        <f t="shared" si="612"/>
        <v>0</v>
      </c>
      <c r="L765" s="209"/>
      <c r="M765" s="177">
        <f t="shared" si="613"/>
        <v>0</v>
      </c>
      <c r="N765" s="1012"/>
      <c r="O765" s="1012"/>
      <c r="P765" s="485"/>
      <c r="Q765" s="778"/>
      <c r="R765" s="778"/>
      <c r="S765" s="785" t="str">
        <f t="shared" si="616"/>
        <v/>
      </c>
      <c r="T765" s="548" t="str">
        <f t="shared" si="614"/>
        <v>Sheet Metal Takeoff</v>
      </c>
      <c r="U765" s="83">
        <f t="shared" si="617"/>
        <v>0</v>
      </c>
      <c r="V765" s="83">
        <f t="shared" si="618"/>
        <v>0</v>
      </c>
      <c r="W765" s="83">
        <f t="shared" si="619"/>
        <v>0</v>
      </c>
      <c r="X765" s="781">
        <f t="shared" si="620"/>
        <v>0</v>
      </c>
      <c r="Y765" s="781">
        <f t="shared" si="621"/>
        <v>0</v>
      </c>
      <c r="Z765" s="781">
        <f t="shared" si="622"/>
        <v>0</v>
      </c>
      <c r="AA765" s="83">
        <f t="shared" si="615"/>
        <v>0</v>
      </c>
      <c r="AB765" s="83">
        <f t="shared" si="623"/>
        <v>0</v>
      </c>
      <c r="AC765" s="83">
        <f t="shared" si="624"/>
        <v>0</v>
      </c>
      <c r="AD765" s="83">
        <f t="shared" si="625"/>
        <v>0</v>
      </c>
      <c r="AE765" s="83">
        <f t="shared" si="626"/>
        <v>0</v>
      </c>
      <c r="AF765" s="83">
        <f t="shared" si="627"/>
        <v>0</v>
      </c>
      <c r="AG765" s="83">
        <f t="shared" si="628"/>
        <v>0</v>
      </c>
      <c r="AH765" s="83">
        <f t="shared" si="629"/>
        <v>0</v>
      </c>
      <c r="AI765" s="83">
        <f t="shared" si="630"/>
        <v>0</v>
      </c>
      <c r="AJ765" s="718">
        <f t="shared" si="631"/>
        <v>0</v>
      </c>
      <c r="AL765">
        <f t="shared" si="632"/>
        <v>0</v>
      </c>
      <c r="AM765">
        <f t="shared" si="633"/>
        <v>0</v>
      </c>
    </row>
    <row r="766" spans="1:39" ht="15.75" x14ac:dyDescent="0.25">
      <c r="A766" s="561"/>
      <c r="B766" s="561"/>
      <c r="C766" s="561"/>
      <c r="D766" s="672"/>
      <c r="E766" s="209"/>
      <c r="F766" s="209"/>
      <c r="G766" s="209"/>
      <c r="H766" s="176">
        <f t="shared" si="611"/>
        <v>0</v>
      </c>
      <c r="I766" s="209"/>
      <c r="J766" s="209"/>
      <c r="K766" s="176">
        <f t="shared" si="612"/>
        <v>0</v>
      </c>
      <c r="L766" s="209"/>
      <c r="M766" s="177">
        <f t="shared" si="613"/>
        <v>0</v>
      </c>
      <c r="N766" s="1012"/>
      <c r="O766" s="1012"/>
      <c r="P766" s="485"/>
      <c r="Q766" s="778"/>
      <c r="R766" s="778"/>
      <c r="S766" s="785" t="str">
        <f t="shared" si="616"/>
        <v/>
      </c>
      <c r="T766" s="548" t="str">
        <f t="shared" si="614"/>
        <v>Sheet Metal Takeoff</v>
      </c>
      <c r="U766" s="83">
        <f t="shared" si="617"/>
        <v>0</v>
      </c>
      <c r="V766" s="83">
        <f t="shared" si="618"/>
        <v>0</v>
      </c>
      <c r="W766" s="83">
        <f t="shared" si="619"/>
        <v>0</v>
      </c>
      <c r="X766" s="781">
        <f t="shared" si="620"/>
        <v>0</v>
      </c>
      <c r="Y766" s="781">
        <f t="shared" si="621"/>
        <v>0</v>
      </c>
      <c r="Z766" s="781">
        <f t="shared" si="622"/>
        <v>0</v>
      </c>
      <c r="AA766" s="83">
        <f t="shared" si="615"/>
        <v>0</v>
      </c>
      <c r="AB766" s="83">
        <f t="shared" si="623"/>
        <v>0</v>
      </c>
      <c r="AC766" s="83">
        <f t="shared" si="624"/>
        <v>0</v>
      </c>
      <c r="AD766" s="83">
        <f t="shared" si="625"/>
        <v>0</v>
      </c>
      <c r="AE766" s="83">
        <f t="shared" si="626"/>
        <v>0</v>
      </c>
      <c r="AF766" s="83">
        <f t="shared" si="627"/>
        <v>0</v>
      </c>
      <c r="AG766" s="83">
        <f t="shared" si="628"/>
        <v>0</v>
      </c>
      <c r="AH766" s="83">
        <f t="shared" si="629"/>
        <v>0</v>
      </c>
      <c r="AI766" s="83">
        <f t="shared" si="630"/>
        <v>0</v>
      </c>
      <c r="AJ766" s="718">
        <f t="shared" si="631"/>
        <v>0</v>
      </c>
      <c r="AL766">
        <f t="shared" si="632"/>
        <v>0</v>
      </c>
      <c r="AM766">
        <f t="shared" si="633"/>
        <v>0</v>
      </c>
    </row>
    <row r="767" spans="1:39" ht="15.75" x14ac:dyDescent="0.25">
      <c r="A767" s="561"/>
      <c r="B767" s="561"/>
      <c r="C767" s="561"/>
      <c r="D767" s="672"/>
      <c r="E767" s="209"/>
      <c r="F767" s="209"/>
      <c r="G767" s="209"/>
      <c r="H767" s="176">
        <f t="shared" si="611"/>
        <v>0</v>
      </c>
      <c r="I767" s="209"/>
      <c r="J767" s="209"/>
      <c r="K767" s="176">
        <f t="shared" si="612"/>
        <v>0</v>
      </c>
      <c r="L767" s="209"/>
      <c r="M767" s="177">
        <f t="shared" si="613"/>
        <v>0</v>
      </c>
      <c r="N767" s="1012"/>
      <c r="O767" s="1012"/>
      <c r="P767" s="485"/>
      <c r="Q767" s="778"/>
      <c r="R767" s="778"/>
      <c r="S767" s="785" t="str">
        <f t="shared" si="616"/>
        <v/>
      </c>
      <c r="T767" s="548" t="str">
        <f t="shared" si="614"/>
        <v>Sheet Metal Takeoff</v>
      </c>
      <c r="U767" s="83">
        <f t="shared" si="617"/>
        <v>0</v>
      </c>
      <c r="V767" s="83">
        <f t="shared" si="618"/>
        <v>0</v>
      </c>
      <c r="W767" s="83">
        <f t="shared" si="619"/>
        <v>0</v>
      </c>
      <c r="X767" s="781">
        <f t="shared" si="620"/>
        <v>0</v>
      </c>
      <c r="Y767" s="781">
        <f t="shared" si="621"/>
        <v>0</v>
      </c>
      <c r="Z767" s="781">
        <f t="shared" si="622"/>
        <v>0</v>
      </c>
      <c r="AA767" s="83">
        <f t="shared" si="615"/>
        <v>0</v>
      </c>
      <c r="AB767" s="83">
        <f t="shared" si="623"/>
        <v>0</v>
      </c>
      <c r="AC767" s="83">
        <f t="shared" si="624"/>
        <v>0</v>
      </c>
      <c r="AD767" s="83">
        <f t="shared" si="625"/>
        <v>0</v>
      </c>
      <c r="AE767" s="83">
        <f t="shared" si="626"/>
        <v>0</v>
      </c>
      <c r="AF767" s="83">
        <f t="shared" si="627"/>
        <v>0</v>
      </c>
      <c r="AG767" s="83">
        <f t="shared" si="628"/>
        <v>0</v>
      </c>
      <c r="AH767" s="83">
        <f t="shared" si="629"/>
        <v>0</v>
      </c>
      <c r="AI767" s="83">
        <f t="shared" si="630"/>
        <v>0</v>
      </c>
      <c r="AJ767" s="718">
        <f t="shared" si="631"/>
        <v>0</v>
      </c>
      <c r="AL767">
        <f t="shared" si="632"/>
        <v>0</v>
      </c>
      <c r="AM767">
        <f t="shared" si="633"/>
        <v>0</v>
      </c>
    </row>
    <row r="768" spans="1:39" ht="15.75" x14ac:dyDescent="0.25">
      <c r="A768" s="561"/>
      <c r="B768" s="561"/>
      <c r="C768" s="561"/>
      <c r="D768" s="672"/>
      <c r="E768" s="209"/>
      <c r="F768" s="209"/>
      <c r="G768" s="209"/>
      <c r="H768" s="176">
        <f t="shared" si="611"/>
        <v>0</v>
      </c>
      <c r="I768" s="209"/>
      <c r="J768" s="209"/>
      <c r="K768" s="176">
        <f t="shared" si="612"/>
        <v>0</v>
      </c>
      <c r="L768" s="209"/>
      <c r="M768" s="177">
        <f t="shared" si="613"/>
        <v>0</v>
      </c>
      <c r="N768" s="1012"/>
      <c r="O768" s="1012"/>
      <c r="P768" s="485"/>
      <c r="Q768" s="778"/>
      <c r="R768" s="778"/>
      <c r="S768" s="785" t="str">
        <f t="shared" si="616"/>
        <v/>
      </c>
      <c r="T768" s="548" t="str">
        <f t="shared" si="614"/>
        <v>Sheet Metal Takeoff</v>
      </c>
      <c r="U768" s="83">
        <f t="shared" si="617"/>
        <v>0</v>
      </c>
      <c r="V768" s="83">
        <f t="shared" si="618"/>
        <v>0</v>
      </c>
      <c r="W768" s="83">
        <f t="shared" si="619"/>
        <v>0</v>
      </c>
      <c r="X768" s="781">
        <f t="shared" si="620"/>
        <v>0</v>
      </c>
      <c r="Y768" s="781">
        <f t="shared" si="621"/>
        <v>0</v>
      </c>
      <c r="Z768" s="781">
        <f t="shared" si="622"/>
        <v>0</v>
      </c>
      <c r="AA768" s="83">
        <f t="shared" si="615"/>
        <v>0</v>
      </c>
      <c r="AB768" s="83">
        <f t="shared" si="623"/>
        <v>0</v>
      </c>
      <c r="AC768" s="83">
        <f t="shared" si="624"/>
        <v>0</v>
      </c>
      <c r="AD768" s="83">
        <f t="shared" si="625"/>
        <v>0</v>
      </c>
      <c r="AE768" s="83">
        <f t="shared" si="626"/>
        <v>0</v>
      </c>
      <c r="AF768" s="83">
        <f t="shared" si="627"/>
        <v>0</v>
      </c>
      <c r="AG768" s="83">
        <f t="shared" si="628"/>
        <v>0</v>
      </c>
      <c r="AH768" s="83">
        <f t="shared" si="629"/>
        <v>0</v>
      </c>
      <c r="AI768" s="83">
        <f t="shared" si="630"/>
        <v>0</v>
      </c>
      <c r="AJ768" s="718">
        <f t="shared" si="631"/>
        <v>0</v>
      </c>
      <c r="AL768">
        <f t="shared" si="632"/>
        <v>0</v>
      </c>
      <c r="AM768">
        <f t="shared" si="633"/>
        <v>0</v>
      </c>
    </row>
    <row r="769" spans="1:39" ht="15.75" x14ac:dyDescent="0.25">
      <c r="A769" s="561"/>
      <c r="B769" s="561"/>
      <c r="C769" s="561"/>
      <c r="D769" s="672"/>
      <c r="E769" s="209"/>
      <c r="F769" s="209"/>
      <c r="G769" s="209"/>
      <c r="H769" s="176">
        <f t="shared" si="611"/>
        <v>0</v>
      </c>
      <c r="I769" s="209"/>
      <c r="J769" s="209"/>
      <c r="K769" s="176">
        <f t="shared" si="612"/>
        <v>0</v>
      </c>
      <c r="L769" s="209"/>
      <c r="M769" s="177">
        <f t="shared" si="613"/>
        <v>0</v>
      </c>
      <c r="N769" s="1012"/>
      <c r="O769" s="1012"/>
      <c r="P769" s="485"/>
      <c r="Q769" s="778"/>
      <c r="R769" s="778"/>
      <c r="S769" s="785" t="str">
        <f t="shared" si="616"/>
        <v/>
      </c>
      <c r="T769" s="548" t="str">
        <f t="shared" si="614"/>
        <v>Sheet Metal Takeoff</v>
      </c>
      <c r="U769" s="83">
        <f t="shared" si="617"/>
        <v>0</v>
      </c>
      <c r="V769" s="83">
        <f t="shared" si="618"/>
        <v>0</v>
      </c>
      <c r="W769" s="83">
        <f t="shared" si="619"/>
        <v>0</v>
      </c>
      <c r="X769" s="781">
        <f t="shared" si="620"/>
        <v>0</v>
      </c>
      <c r="Y769" s="781">
        <f t="shared" si="621"/>
        <v>0</v>
      </c>
      <c r="Z769" s="781">
        <f t="shared" si="622"/>
        <v>0</v>
      </c>
      <c r="AA769" s="83">
        <f t="shared" si="615"/>
        <v>0</v>
      </c>
      <c r="AB769" s="83">
        <f t="shared" si="623"/>
        <v>0</v>
      </c>
      <c r="AC769" s="83">
        <f t="shared" si="624"/>
        <v>0</v>
      </c>
      <c r="AD769" s="83">
        <f t="shared" si="625"/>
        <v>0</v>
      </c>
      <c r="AE769" s="83">
        <f t="shared" si="626"/>
        <v>0</v>
      </c>
      <c r="AF769" s="83">
        <f t="shared" si="627"/>
        <v>0</v>
      </c>
      <c r="AG769" s="83">
        <f t="shared" si="628"/>
        <v>0</v>
      </c>
      <c r="AH769" s="83">
        <f t="shared" si="629"/>
        <v>0</v>
      </c>
      <c r="AI769" s="83">
        <f t="shared" si="630"/>
        <v>0</v>
      </c>
      <c r="AJ769" s="718">
        <f t="shared" si="631"/>
        <v>0</v>
      </c>
      <c r="AL769">
        <f t="shared" si="632"/>
        <v>0</v>
      </c>
      <c r="AM769">
        <f t="shared" si="633"/>
        <v>0</v>
      </c>
    </row>
    <row r="770" spans="1:39" ht="15.75" x14ac:dyDescent="0.25">
      <c r="A770" s="561"/>
      <c r="B770" s="561"/>
      <c r="C770" s="561"/>
      <c r="D770" s="672"/>
      <c r="E770" s="209"/>
      <c r="F770" s="209"/>
      <c r="G770" s="209"/>
      <c r="H770" s="176">
        <f t="shared" si="611"/>
        <v>0</v>
      </c>
      <c r="I770" s="209"/>
      <c r="J770" s="209"/>
      <c r="K770" s="176">
        <f t="shared" si="612"/>
        <v>0</v>
      </c>
      <c r="L770" s="209"/>
      <c r="M770" s="177">
        <f t="shared" si="613"/>
        <v>0</v>
      </c>
      <c r="N770" s="1012"/>
      <c r="O770" s="1012"/>
      <c r="P770" s="485"/>
      <c r="Q770" s="778"/>
      <c r="R770" s="778"/>
      <c r="S770" s="785" t="str">
        <f t="shared" si="616"/>
        <v/>
      </c>
      <c r="T770" s="548" t="str">
        <f t="shared" si="614"/>
        <v>Sheet Metal Takeoff</v>
      </c>
      <c r="U770" s="83">
        <f t="shared" si="617"/>
        <v>0</v>
      </c>
      <c r="V770" s="83">
        <f t="shared" si="618"/>
        <v>0</v>
      </c>
      <c r="W770" s="83">
        <f t="shared" si="619"/>
        <v>0</v>
      </c>
      <c r="X770" s="781">
        <f t="shared" si="620"/>
        <v>0</v>
      </c>
      <c r="Y770" s="781">
        <f t="shared" si="621"/>
        <v>0</v>
      </c>
      <c r="Z770" s="781">
        <f t="shared" si="622"/>
        <v>0</v>
      </c>
      <c r="AA770" s="83">
        <f t="shared" si="615"/>
        <v>0</v>
      </c>
      <c r="AB770" s="83">
        <f t="shared" si="623"/>
        <v>0</v>
      </c>
      <c r="AC770" s="83">
        <f t="shared" si="624"/>
        <v>0</v>
      </c>
      <c r="AD770" s="83">
        <f t="shared" si="625"/>
        <v>0</v>
      </c>
      <c r="AE770" s="83">
        <f t="shared" si="626"/>
        <v>0</v>
      </c>
      <c r="AF770" s="83">
        <f t="shared" si="627"/>
        <v>0</v>
      </c>
      <c r="AG770" s="83">
        <f t="shared" si="628"/>
        <v>0</v>
      </c>
      <c r="AH770" s="83">
        <f t="shared" si="629"/>
        <v>0</v>
      </c>
      <c r="AI770" s="83">
        <f t="shared" si="630"/>
        <v>0</v>
      </c>
      <c r="AJ770" s="718">
        <f t="shared" si="631"/>
        <v>0</v>
      </c>
      <c r="AL770">
        <f t="shared" si="632"/>
        <v>0</v>
      </c>
      <c r="AM770">
        <f t="shared" si="633"/>
        <v>0</v>
      </c>
    </row>
    <row r="771" spans="1:39" ht="15.75" x14ac:dyDescent="0.25">
      <c r="A771" s="561"/>
      <c r="B771" s="561"/>
      <c r="C771" s="561"/>
      <c r="D771" s="672"/>
      <c r="E771" s="209"/>
      <c r="F771" s="209"/>
      <c r="G771" s="209"/>
      <c r="H771" s="176">
        <f t="shared" si="611"/>
        <v>0</v>
      </c>
      <c r="I771" s="209"/>
      <c r="J771" s="209"/>
      <c r="K771" s="176">
        <f t="shared" si="612"/>
        <v>0</v>
      </c>
      <c r="L771" s="209"/>
      <c r="M771" s="177">
        <f t="shared" si="613"/>
        <v>0</v>
      </c>
      <c r="N771" s="1012"/>
      <c r="O771" s="1012"/>
      <c r="P771" s="485"/>
      <c r="Q771" s="778"/>
      <c r="R771" s="778"/>
      <c r="S771" s="785" t="str">
        <f t="shared" si="616"/>
        <v/>
      </c>
      <c r="T771" s="548" t="str">
        <f t="shared" si="614"/>
        <v>Sheet Metal Takeoff</v>
      </c>
      <c r="U771" s="83">
        <f t="shared" si="617"/>
        <v>0</v>
      </c>
      <c r="V771" s="83">
        <f t="shared" si="618"/>
        <v>0</v>
      </c>
      <c r="W771" s="83">
        <f t="shared" si="619"/>
        <v>0</v>
      </c>
      <c r="X771" s="781">
        <f t="shared" si="620"/>
        <v>0</v>
      </c>
      <c r="Y771" s="781">
        <f t="shared" si="621"/>
        <v>0</v>
      </c>
      <c r="Z771" s="781">
        <f t="shared" si="622"/>
        <v>0</v>
      </c>
      <c r="AA771" s="83">
        <f t="shared" si="615"/>
        <v>0</v>
      </c>
      <c r="AB771" s="83">
        <f t="shared" si="623"/>
        <v>0</v>
      </c>
      <c r="AC771" s="83">
        <f t="shared" si="624"/>
        <v>0</v>
      </c>
      <c r="AD771" s="83">
        <f t="shared" si="625"/>
        <v>0</v>
      </c>
      <c r="AE771" s="83">
        <f t="shared" si="626"/>
        <v>0</v>
      </c>
      <c r="AF771" s="83">
        <f t="shared" si="627"/>
        <v>0</v>
      </c>
      <c r="AG771" s="83">
        <f t="shared" si="628"/>
        <v>0</v>
      </c>
      <c r="AH771" s="83">
        <f t="shared" si="629"/>
        <v>0</v>
      </c>
      <c r="AI771" s="83">
        <f t="shared" si="630"/>
        <v>0</v>
      </c>
      <c r="AJ771" s="718">
        <f t="shared" si="631"/>
        <v>0</v>
      </c>
      <c r="AL771">
        <f t="shared" si="632"/>
        <v>0</v>
      </c>
      <c r="AM771">
        <f t="shared" si="633"/>
        <v>0</v>
      </c>
    </row>
    <row r="772" spans="1:39" ht="15.75" x14ac:dyDescent="0.25">
      <c r="A772" s="561"/>
      <c r="B772" s="561"/>
      <c r="C772" s="561"/>
      <c r="D772" s="672"/>
      <c r="E772" s="209"/>
      <c r="F772" s="209"/>
      <c r="G772" s="209"/>
      <c r="H772" s="176">
        <f t="shared" si="611"/>
        <v>0</v>
      </c>
      <c r="I772" s="209"/>
      <c r="J772" s="209"/>
      <c r="K772" s="176">
        <f t="shared" si="612"/>
        <v>0</v>
      </c>
      <c r="L772" s="209"/>
      <c r="M772" s="177">
        <f t="shared" si="613"/>
        <v>0</v>
      </c>
      <c r="N772" s="1012"/>
      <c r="O772" s="1012"/>
      <c r="P772" s="485"/>
      <c r="Q772" s="778"/>
      <c r="R772" s="778"/>
      <c r="S772" s="785" t="str">
        <f t="shared" si="616"/>
        <v/>
      </c>
      <c r="T772" s="548" t="str">
        <f t="shared" si="614"/>
        <v>Sheet Metal Takeoff</v>
      </c>
      <c r="U772" s="83">
        <f t="shared" si="617"/>
        <v>0</v>
      </c>
      <c r="V772" s="83">
        <f t="shared" si="618"/>
        <v>0</v>
      </c>
      <c r="W772" s="83">
        <f t="shared" si="619"/>
        <v>0</v>
      </c>
      <c r="X772" s="781">
        <f t="shared" si="620"/>
        <v>0</v>
      </c>
      <c r="Y772" s="781">
        <f t="shared" si="621"/>
        <v>0</v>
      </c>
      <c r="Z772" s="781">
        <f t="shared" si="622"/>
        <v>0</v>
      </c>
      <c r="AA772" s="83">
        <f t="shared" si="615"/>
        <v>0</v>
      </c>
      <c r="AB772" s="83">
        <f t="shared" si="623"/>
        <v>0</v>
      </c>
      <c r="AC772" s="83">
        <f t="shared" si="624"/>
        <v>0</v>
      </c>
      <c r="AD772" s="83">
        <f t="shared" si="625"/>
        <v>0</v>
      </c>
      <c r="AE772" s="83">
        <f t="shared" si="626"/>
        <v>0</v>
      </c>
      <c r="AF772" s="83">
        <f t="shared" si="627"/>
        <v>0</v>
      </c>
      <c r="AG772" s="83">
        <f t="shared" si="628"/>
        <v>0</v>
      </c>
      <c r="AH772" s="83">
        <f t="shared" si="629"/>
        <v>0</v>
      </c>
      <c r="AI772" s="83">
        <f t="shared" si="630"/>
        <v>0</v>
      </c>
      <c r="AJ772" s="718">
        <f t="shared" si="631"/>
        <v>0</v>
      </c>
      <c r="AL772">
        <f t="shared" si="632"/>
        <v>0</v>
      </c>
      <c r="AM772">
        <f t="shared" si="633"/>
        <v>0</v>
      </c>
    </row>
    <row r="773" spans="1:39" ht="15.75" x14ac:dyDescent="0.25">
      <c r="A773" s="561"/>
      <c r="B773" s="561"/>
      <c r="C773" s="561"/>
      <c r="D773" s="672"/>
      <c r="E773" s="209"/>
      <c r="F773" s="209"/>
      <c r="G773" s="209"/>
      <c r="H773" s="176">
        <f t="shared" si="611"/>
        <v>0</v>
      </c>
      <c r="I773" s="209"/>
      <c r="J773" s="209"/>
      <c r="K773" s="176">
        <f t="shared" si="612"/>
        <v>0</v>
      </c>
      <c r="L773" s="209"/>
      <c r="M773" s="177">
        <f t="shared" si="613"/>
        <v>0</v>
      </c>
      <c r="N773" s="1012"/>
      <c r="O773" s="1012"/>
      <c r="P773" s="485"/>
      <c r="Q773" s="778"/>
      <c r="R773" s="778"/>
      <c r="S773" s="785" t="str">
        <f t="shared" si="616"/>
        <v/>
      </c>
      <c r="T773" s="548" t="str">
        <f t="shared" si="614"/>
        <v>Sheet Metal Takeoff</v>
      </c>
      <c r="U773" s="83">
        <f t="shared" si="617"/>
        <v>0</v>
      </c>
      <c r="V773" s="83">
        <f t="shared" si="618"/>
        <v>0</v>
      </c>
      <c r="W773" s="83">
        <f t="shared" si="619"/>
        <v>0</v>
      </c>
      <c r="X773" s="781">
        <f t="shared" si="620"/>
        <v>0</v>
      </c>
      <c r="Y773" s="781">
        <f t="shared" si="621"/>
        <v>0</v>
      </c>
      <c r="Z773" s="781">
        <f t="shared" si="622"/>
        <v>0</v>
      </c>
      <c r="AA773" s="83">
        <f t="shared" si="615"/>
        <v>0</v>
      </c>
      <c r="AB773" s="83">
        <f t="shared" si="623"/>
        <v>0</v>
      </c>
      <c r="AC773" s="83">
        <f t="shared" si="624"/>
        <v>0</v>
      </c>
      <c r="AD773" s="83">
        <f t="shared" si="625"/>
        <v>0</v>
      </c>
      <c r="AE773" s="83">
        <f t="shared" si="626"/>
        <v>0</v>
      </c>
      <c r="AF773" s="83">
        <f t="shared" si="627"/>
        <v>0</v>
      </c>
      <c r="AG773" s="83">
        <f t="shared" si="628"/>
        <v>0</v>
      </c>
      <c r="AH773" s="83">
        <f t="shared" si="629"/>
        <v>0</v>
      </c>
      <c r="AI773" s="83">
        <f t="shared" si="630"/>
        <v>0</v>
      </c>
      <c r="AJ773" s="718">
        <f t="shared" si="631"/>
        <v>0</v>
      </c>
      <c r="AL773">
        <f t="shared" si="632"/>
        <v>0</v>
      </c>
      <c r="AM773">
        <f t="shared" si="633"/>
        <v>0</v>
      </c>
    </row>
    <row r="774" spans="1:39" ht="15.75" x14ac:dyDescent="0.25">
      <c r="A774" s="561"/>
      <c r="B774" s="561"/>
      <c r="C774" s="561"/>
      <c r="D774" s="672"/>
      <c r="E774" s="209"/>
      <c r="F774" s="209"/>
      <c r="G774" s="209"/>
      <c r="H774" s="176">
        <f t="shared" si="611"/>
        <v>0</v>
      </c>
      <c r="I774" s="209"/>
      <c r="J774" s="209"/>
      <c r="K774" s="176">
        <f t="shared" si="612"/>
        <v>0</v>
      </c>
      <c r="L774" s="209"/>
      <c r="M774" s="177">
        <f t="shared" si="613"/>
        <v>0</v>
      </c>
      <c r="N774" s="1012"/>
      <c r="O774" s="1012"/>
      <c r="P774" s="485"/>
      <c r="Q774" s="778"/>
      <c r="R774" s="778"/>
      <c r="S774" s="785" t="str">
        <f t="shared" si="616"/>
        <v/>
      </c>
      <c r="T774" s="548" t="str">
        <f t="shared" si="614"/>
        <v>Sheet Metal Takeoff</v>
      </c>
      <c r="U774" s="83">
        <f t="shared" si="617"/>
        <v>0</v>
      </c>
      <c r="V774" s="83">
        <f t="shared" si="618"/>
        <v>0</v>
      </c>
      <c r="W774" s="83">
        <f t="shared" si="619"/>
        <v>0</v>
      </c>
      <c r="X774" s="781">
        <f t="shared" si="620"/>
        <v>0</v>
      </c>
      <c r="Y774" s="781">
        <f t="shared" si="621"/>
        <v>0</v>
      </c>
      <c r="Z774" s="781">
        <f t="shared" si="622"/>
        <v>0</v>
      </c>
      <c r="AA774" s="83">
        <f t="shared" si="615"/>
        <v>0</v>
      </c>
      <c r="AB774" s="83">
        <f t="shared" si="623"/>
        <v>0</v>
      </c>
      <c r="AC774" s="83">
        <f t="shared" si="624"/>
        <v>0</v>
      </c>
      <c r="AD774" s="83">
        <f t="shared" si="625"/>
        <v>0</v>
      </c>
      <c r="AE774" s="83">
        <f t="shared" si="626"/>
        <v>0</v>
      </c>
      <c r="AF774" s="83">
        <f t="shared" si="627"/>
        <v>0</v>
      </c>
      <c r="AG774" s="83">
        <f t="shared" si="628"/>
        <v>0</v>
      </c>
      <c r="AH774" s="83">
        <f t="shared" si="629"/>
        <v>0</v>
      </c>
      <c r="AI774" s="83">
        <f t="shared" si="630"/>
        <v>0</v>
      </c>
      <c r="AJ774" s="718">
        <f t="shared" si="631"/>
        <v>0</v>
      </c>
      <c r="AL774">
        <f t="shared" si="632"/>
        <v>0</v>
      </c>
      <c r="AM774">
        <f t="shared" si="633"/>
        <v>0</v>
      </c>
    </row>
    <row r="775" spans="1:39" ht="15.75" x14ac:dyDescent="0.25">
      <c r="A775" s="561"/>
      <c r="B775" s="561"/>
      <c r="C775" s="561"/>
      <c r="D775" s="672"/>
      <c r="E775" s="209"/>
      <c r="F775" s="209"/>
      <c r="G775" s="209"/>
      <c r="H775" s="176">
        <f t="shared" si="611"/>
        <v>0</v>
      </c>
      <c r="I775" s="209"/>
      <c r="J775" s="209"/>
      <c r="K775" s="176">
        <f t="shared" si="612"/>
        <v>0</v>
      </c>
      <c r="L775" s="209"/>
      <c r="M775" s="177">
        <f t="shared" si="613"/>
        <v>0</v>
      </c>
      <c r="N775" s="1012"/>
      <c r="O775" s="1012"/>
      <c r="P775" s="485"/>
      <c r="Q775" s="778"/>
      <c r="R775" s="778"/>
      <c r="S775" s="785" t="str">
        <f t="shared" si="616"/>
        <v/>
      </c>
      <c r="T775" s="548" t="str">
        <f t="shared" si="614"/>
        <v>Sheet Metal Takeoff</v>
      </c>
      <c r="U775" s="83">
        <f t="shared" si="617"/>
        <v>0</v>
      </c>
      <c r="V775" s="83">
        <f t="shared" si="618"/>
        <v>0</v>
      </c>
      <c r="W775" s="83">
        <f t="shared" si="619"/>
        <v>0</v>
      </c>
      <c r="X775" s="781">
        <f t="shared" si="620"/>
        <v>0</v>
      </c>
      <c r="Y775" s="781">
        <f t="shared" si="621"/>
        <v>0</v>
      </c>
      <c r="Z775" s="781">
        <f t="shared" si="622"/>
        <v>0</v>
      </c>
      <c r="AA775" s="83">
        <f t="shared" si="615"/>
        <v>0</v>
      </c>
      <c r="AB775" s="83">
        <f t="shared" si="623"/>
        <v>0</v>
      </c>
      <c r="AC775" s="83">
        <f t="shared" si="624"/>
        <v>0</v>
      </c>
      <c r="AD775" s="83">
        <f t="shared" si="625"/>
        <v>0</v>
      </c>
      <c r="AE775" s="83">
        <f t="shared" si="626"/>
        <v>0</v>
      </c>
      <c r="AF775" s="83">
        <f t="shared" si="627"/>
        <v>0</v>
      </c>
      <c r="AG775" s="83">
        <f t="shared" si="628"/>
        <v>0</v>
      </c>
      <c r="AH775" s="83">
        <f t="shared" si="629"/>
        <v>0</v>
      </c>
      <c r="AI775" s="83">
        <f t="shared" si="630"/>
        <v>0</v>
      </c>
      <c r="AJ775" s="718">
        <f t="shared" si="631"/>
        <v>0</v>
      </c>
      <c r="AL775">
        <f t="shared" si="632"/>
        <v>0</v>
      </c>
      <c r="AM775">
        <f t="shared" si="633"/>
        <v>0</v>
      </c>
    </row>
    <row r="776" spans="1:39" ht="15.75" x14ac:dyDescent="0.25">
      <c r="A776" s="561"/>
      <c r="B776" s="561"/>
      <c r="C776" s="561"/>
      <c r="D776" s="672"/>
      <c r="E776" s="209"/>
      <c r="F776" s="209"/>
      <c r="G776" s="209"/>
      <c r="H776" s="176">
        <f t="shared" si="611"/>
        <v>0</v>
      </c>
      <c r="I776" s="209"/>
      <c r="J776" s="209"/>
      <c r="K776" s="176">
        <f t="shared" si="612"/>
        <v>0</v>
      </c>
      <c r="L776" s="209"/>
      <c r="M776" s="177">
        <f t="shared" si="613"/>
        <v>0</v>
      </c>
      <c r="N776" s="1012"/>
      <c r="O776" s="1012"/>
      <c r="P776" s="485"/>
      <c r="Q776" s="778"/>
      <c r="R776" s="778"/>
      <c r="S776" s="785" t="str">
        <f t="shared" si="616"/>
        <v/>
      </c>
      <c r="T776" s="548" t="str">
        <f t="shared" si="614"/>
        <v>Sheet Metal Takeoff</v>
      </c>
      <c r="U776" s="83">
        <f t="shared" si="617"/>
        <v>0</v>
      </c>
      <c r="V776" s="83">
        <f t="shared" si="618"/>
        <v>0</v>
      </c>
      <c r="W776" s="83">
        <f t="shared" si="619"/>
        <v>0</v>
      </c>
      <c r="X776" s="781">
        <f t="shared" si="620"/>
        <v>0</v>
      </c>
      <c r="Y776" s="781">
        <f t="shared" si="621"/>
        <v>0</v>
      </c>
      <c r="Z776" s="781">
        <f t="shared" si="622"/>
        <v>0</v>
      </c>
      <c r="AA776" s="83">
        <f t="shared" si="615"/>
        <v>0</v>
      </c>
      <c r="AB776" s="83">
        <f t="shared" si="623"/>
        <v>0</v>
      </c>
      <c r="AC776" s="83">
        <f t="shared" si="624"/>
        <v>0</v>
      </c>
      <c r="AD776" s="83">
        <f t="shared" si="625"/>
        <v>0</v>
      </c>
      <c r="AE776" s="83">
        <f t="shared" si="626"/>
        <v>0</v>
      </c>
      <c r="AF776" s="83">
        <f t="shared" si="627"/>
        <v>0</v>
      </c>
      <c r="AG776" s="83">
        <f t="shared" si="628"/>
        <v>0</v>
      </c>
      <c r="AH776" s="83">
        <f t="shared" si="629"/>
        <v>0</v>
      </c>
      <c r="AI776" s="83">
        <f t="shared" si="630"/>
        <v>0</v>
      </c>
      <c r="AJ776" s="718">
        <f t="shared" si="631"/>
        <v>0</v>
      </c>
      <c r="AL776">
        <f t="shared" si="632"/>
        <v>0</v>
      </c>
      <c r="AM776">
        <f t="shared" si="633"/>
        <v>0</v>
      </c>
    </row>
    <row r="777" spans="1:39" ht="15.75" x14ac:dyDescent="0.25">
      <c r="A777" s="561"/>
      <c r="B777" s="561"/>
      <c r="C777" s="561"/>
      <c r="D777" s="672"/>
      <c r="E777" s="209"/>
      <c r="F777" s="209"/>
      <c r="G777" s="209"/>
      <c r="H777" s="176">
        <f t="shared" si="611"/>
        <v>0</v>
      </c>
      <c r="I777" s="209"/>
      <c r="J777" s="209"/>
      <c r="K777" s="176">
        <f t="shared" si="612"/>
        <v>0</v>
      </c>
      <c r="L777" s="209"/>
      <c r="M777" s="177">
        <f t="shared" si="613"/>
        <v>0</v>
      </c>
      <c r="N777" s="1012"/>
      <c r="O777" s="1012"/>
      <c r="P777" s="485"/>
      <c r="Q777" s="778"/>
      <c r="R777" s="778"/>
      <c r="S777" s="785" t="str">
        <f t="shared" si="616"/>
        <v/>
      </c>
      <c r="T777" s="548" t="str">
        <f t="shared" si="614"/>
        <v>Sheet Metal Takeoff</v>
      </c>
      <c r="U777" s="83">
        <f t="shared" si="617"/>
        <v>0</v>
      </c>
      <c r="V777" s="83">
        <f t="shared" si="618"/>
        <v>0</v>
      </c>
      <c r="W777" s="83">
        <f t="shared" si="619"/>
        <v>0</v>
      </c>
      <c r="X777" s="781">
        <f t="shared" si="620"/>
        <v>0</v>
      </c>
      <c r="Y777" s="781">
        <f t="shared" si="621"/>
        <v>0</v>
      </c>
      <c r="Z777" s="781">
        <f t="shared" si="622"/>
        <v>0</v>
      </c>
      <c r="AA777" s="83">
        <f t="shared" si="615"/>
        <v>0</v>
      </c>
      <c r="AB777" s="83">
        <f t="shared" si="623"/>
        <v>0</v>
      </c>
      <c r="AC777" s="83">
        <f t="shared" si="624"/>
        <v>0</v>
      </c>
      <c r="AD777" s="83">
        <f t="shared" si="625"/>
        <v>0</v>
      </c>
      <c r="AE777" s="83">
        <f t="shared" si="626"/>
        <v>0</v>
      </c>
      <c r="AF777" s="83">
        <f t="shared" si="627"/>
        <v>0</v>
      </c>
      <c r="AG777" s="83">
        <f t="shared" si="628"/>
        <v>0</v>
      </c>
      <c r="AH777" s="83">
        <f t="shared" si="629"/>
        <v>0</v>
      </c>
      <c r="AI777" s="83">
        <f t="shared" si="630"/>
        <v>0</v>
      </c>
      <c r="AJ777" s="718">
        <f t="shared" si="631"/>
        <v>0</v>
      </c>
      <c r="AL777">
        <f t="shared" si="632"/>
        <v>0</v>
      </c>
      <c r="AM777">
        <f t="shared" si="633"/>
        <v>0</v>
      </c>
    </row>
    <row r="778" spans="1:39" ht="15.75" x14ac:dyDescent="0.25">
      <c r="A778" s="561"/>
      <c r="B778" s="561"/>
      <c r="C778" s="561"/>
      <c r="D778" s="672"/>
      <c r="E778" s="209"/>
      <c r="F778" s="209"/>
      <c r="G778" s="209"/>
      <c r="H778" s="176">
        <f t="shared" si="611"/>
        <v>0</v>
      </c>
      <c r="I778" s="209"/>
      <c r="J778" s="209"/>
      <c r="K778" s="176">
        <f t="shared" si="612"/>
        <v>0</v>
      </c>
      <c r="L778" s="209"/>
      <c r="M778" s="177">
        <f t="shared" si="613"/>
        <v>0</v>
      </c>
      <c r="N778" s="1012"/>
      <c r="O778" s="1012"/>
      <c r="P778" s="485"/>
      <c r="Q778" s="778"/>
      <c r="R778" s="778"/>
      <c r="S778" s="785" t="str">
        <f t="shared" si="616"/>
        <v/>
      </c>
      <c r="T778" s="548" t="str">
        <f t="shared" si="614"/>
        <v>Sheet Metal Takeoff</v>
      </c>
      <c r="U778" s="83">
        <f t="shared" si="617"/>
        <v>0</v>
      </c>
      <c r="V778" s="83">
        <f t="shared" si="618"/>
        <v>0</v>
      </c>
      <c r="W778" s="83">
        <f t="shared" si="619"/>
        <v>0</v>
      </c>
      <c r="X778" s="781">
        <f t="shared" si="620"/>
        <v>0</v>
      </c>
      <c r="Y778" s="781">
        <f t="shared" si="621"/>
        <v>0</v>
      </c>
      <c r="Z778" s="781">
        <f t="shared" si="622"/>
        <v>0</v>
      </c>
      <c r="AA778" s="83">
        <f t="shared" si="615"/>
        <v>0</v>
      </c>
      <c r="AB778" s="83">
        <f t="shared" si="623"/>
        <v>0</v>
      </c>
      <c r="AC778" s="83">
        <f t="shared" si="624"/>
        <v>0</v>
      </c>
      <c r="AD778" s="83">
        <f t="shared" si="625"/>
        <v>0</v>
      </c>
      <c r="AE778" s="83">
        <f t="shared" si="626"/>
        <v>0</v>
      </c>
      <c r="AF778" s="83">
        <f t="shared" si="627"/>
        <v>0</v>
      </c>
      <c r="AG778" s="83">
        <f t="shared" si="628"/>
        <v>0</v>
      </c>
      <c r="AH778" s="83">
        <f t="shared" si="629"/>
        <v>0</v>
      </c>
      <c r="AI778" s="83">
        <f t="shared" si="630"/>
        <v>0</v>
      </c>
      <c r="AJ778" s="718">
        <f t="shared" si="631"/>
        <v>0</v>
      </c>
      <c r="AL778">
        <f t="shared" si="632"/>
        <v>0</v>
      </c>
      <c r="AM778">
        <f t="shared" si="633"/>
        <v>0</v>
      </c>
    </row>
    <row r="779" spans="1:39" ht="15.75" x14ac:dyDescent="0.25">
      <c r="A779" s="561"/>
      <c r="B779" s="561"/>
      <c r="C779" s="561"/>
      <c r="D779" s="672"/>
      <c r="E779" s="209"/>
      <c r="F779" s="209"/>
      <c r="G779" s="209"/>
      <c r="H779" s="176">
        <f t="shared" si="611"/>
        <v>0</v>
      </c>
      <c r="I779" s="209"/>
      <c r="J779" s="209"/>
      <c r="K779" s="176">
        <f t="shared" si="612"/>
        <v>0</v>
      </c>
      <c r="L779" s="209"/>
      <c r="M779" s="177">
        <f t="shared" si="613"/>
        <v>0</v>
      </c>
      <c r="N779" s="1012"/>
      <c r="O779" s="1012"/>
      <c r="P779" s="485"/>
      <c r="Q779" s="778"/>
      <c r="R779" s="778"/>
      <c r="S779" s="785" t="str">
        <f t="shared" si="616"/>
        <v/>
      </c>
      <c r="T779" s="548" t="str">
        <f t="shared" si="614"/>
        <v>Sheet Metal Takeoff</v>
      </c>
      <c r="U779" s="83">
        <f t="shared" si="617"/>
        <v>0</v>
      </c>
      <c r="V779" s="83">
        <f t="shared" si="618"/>
        <v>0</v>
      </c>
      <c r="W779" s="83">
        <f t="shared" si="619"/>
        <v>0</v>
      </c>
      <c r="X779" s="781">
        <f t="shared" si="620"/>
        <v>0</v>
      </c>
      <c r="Y779" s="781">
        <f t="shared" si="621"/>
        <v>0</v>
      </c>
      <c r="Z779" s="781">
        <f t="shared" si="622"/>
        <v>0</v>
      </c>
      <c r="AA779" s="83">
        <f t="shared" si="615"/>
        <v>0</v>
      </c>
      <c r="AB779" s="83">
        <f t="shared" si="623"/>
        <v>0</v>
      </c>
      <c r="AC779" s="83">
        <f t="shared" si="624"/>
        <v>0</v>
      </c>
      <c r="AD779" s="83">
        <f t="shared" si="625"/>
        <v>0</v>
      </c>
      <c r="AE779" s="83">
        <f t="shared" si="626"/>
        <v>0</v>
      </c>
      <c r="AF779" s="83">
        <f t="shared" si="627"/>
        <v>0</v>
      </c>
      <c r="AG779" s="83">
        <f t="shared" si="628"/>
        <v>0</v>
      </c>
      <c r="AH779" s="83">
        <f t="shared" si="629"/>
        <v>0</v>
      </c>
      <c r="AI779" s="83">
        <f t="shared" si="630"/>
        <v>0</v>
      </c>
      <c r="AJ779" s="718">
        <f t="shared" si="631"/>
        <v>0</v>
      </c>
      <c r="AL779">
        <f t="shared" si="632"/>
        <v>0</v>
      </c>
      <c r="AM779">
        <f t="shared" si="633"/>
        <v>0</v>
      </c>
    </row>
    <row r="780" spans="1:39" ht="15.75" x14ac:dyDescent="0.25">
      <c r="A780" s="561"/>
      <c r="B780" s="561"/>
      <c r="C780" s="561"/>
      <c r="D780" s="672"/>
      <c r="E780" s="209"/>
      <c r="F780" s="209"/>
      <c r="G780" s="209"/>
      <c r="H780" s="176">
        <f t="shared" si="611"/>
        <v>0</v>
      </c>
      <c r="I780" s="209"/>
      <c r="J780" s="209"/>
      <c r="K780" s="176">
        <f t="shared" si="612"/>
        <v>0</v>
      </c>
      <c r="L780" s="209"/>
      <c r="M780" s="177">
        <f t="shared" si="613"/>
        <v>0</v>
      </c>
      <c r="N780" s="1012"/>
      <c r="O780" s="1012"/>
      <c r="P780" s="485"/>
      <c r="Q780" s="778"/>
      <c r="R780" s="778"/>
      <c r="S780" s="785" t="str">
        <f t="shared" si="616"/>
        <v/>
      </c>
      <c r="T780" s="548" t="str">
        <f t="shared" si="614"/>
        <v>Sheet Metal Takeoff</v>
      </c>
      <c r="U780" s="83">
        <f t="shared" si="617"/>
        <v>0</v>
      </c>
      <c r="V780" s="83">
        <f t="shared" si="618"/>
        <v>0</v>
      </c>
      <c r="W780" s="83">
        <f t="shared" si="619"/>
        <v>0</v>
      </c>
      <c r="X780" s="781">
        <f t="shared" si="620"/>
        <v>0</v>
      </c>
      <c r="Y780" s="781">
        <f t="shared" si="621"/>
        <v>0</v>
      </c>
      <c r="Z780" s="781">
        <f t="shared" si="622"/>
        <v>0</v>
      </c>
      <c r="AA780" s="83">
        <f t="shared" si="615"/>
        <v>0</v>
      </c>
      <c r="AB780" s="83">
        <f t="shared" si="623"/>
        <v>0</v>
      </c>
      <c r="AC780" s="83">
        <f t="shared" si="624"/>
        <v>0</v>
      </c>
      <c r="AD780" s="83">
        <f t="shared" si="625"/>
        <v>0</v>
      </c>
      <c r="AE780" s="83">
        <f t="shared" si="626"/>
        <v>0</v>
      </c>
      <c r="AF780" s="83">
        <f t="shared" si="627"/>
        <v>0</v>
      </c>
      <c r="AG780" s="83">
        <f t="shared" si="628"/>
        <v>0</v>
      </c>
      <c r="AH780" s="83">
        <f t="shared" si="629"/>
        <v>0</v>
      </c>
      <c r="AI780" s="83">
        <f t="shared" si="630"/>
        <v>0</v>
      </c>
      <c r="AJ780" s="718">
        <f t="shared" si="631"/>
        <v>0</v>
      </c>
      <c r="AL780">
        <f t="shared" si="632"/>
        <v>0</v>
      </c>
      <c r="AM780">
        <f t="shared" si="633"/>
        <v>0</v>
      </c>
    </row>
    <row r="781" spans="1:39" ht="15.75" x14ac:dyDescent="0.25">
      <c r="A781" s="561"/>
      <c r="B781" s="561"/>
      <c r="C781" s="561"/>
      <c r="D781" s="672"/>
      <c r="E781" s="209"/>
      <c r="F781" s="209"/>
      <c r="G781" s="209"/>
      <c r="H781" s="176">
        <f t="shared" si="611"/>
        <v>0</v>
      </c>
      <c r="I781" s="209"/>
      <c r="J781" s="209"/>
      <c r="K781" s="176">
        <f t="shared" si="612"/>
        <v>0</v>
      </c>
      <c r="L781" s="209"/>
      <c r="M781" s="177">
        <f t="shared" si="613"/>
        <v>0</v>
      </c>
      <c r="N781" s="1012"/>
      <c r="O781" s="1012"/>
      <c r="P781" s="485"/>
      <c r="Q781" s="778"/>
      <c r="R781" s="778"/>
      <c r="S781" s="785" t="str">
        <f t="shared" si="616"/>
        <v/>
      </c>
      <c r="T781" s="548" t="str">
        <f t="shared" si="614"/>
        <v>Sheet Metal Takeoff</v>
      </c>
      <c r="U781" s="83">
        <f t="shared" si="617"/>
        <v>0</v>
      </c>
      <c r="V781" s="83">
        <f t="shared" si="618"/>
        <v>0</v>
      </c>
      <c r="W781" s="83">
        <f t="shared" si="619"/>
        <v>0</v>
      </c>
      <c r="X781" s="781">
        <f t="shared" si="620"/>
        <v>0</v>
      </c>
      <c r="Y781" s="781">
        <f t="shared" si="621"/>
        <v>0</v>
      </c>
      <c r="Z781" s="781">
        <f t="shared" si="622"/>
        <v>0</v>
      </c>
      <c r="AA781" s="83">
        <f t="shared" si="615"/>
        <v>0</v>
      </c>
      <c r="AB781" s="83">
        <f t="shared" si="623"/>
        <v>0</v>
      </c>
      <c r="AC781" s="83">
        <f t="shared" si="624"/>
        <v>0</v>
      </c>
      <c r="AD781" s="83">
        <f t="shared" si="625"/>
        <v>0</v>
      </c>
      <c r="AE781" s="83">
        <f t="shared" si="626"/>
        <v>0</v>
      </c>
      <c r="AF781" s="83">
        <f t="shared" si="627"/>
        <v>0</v>
      </c>
      <c r="AG781" s="83">
        <f t="shared" si="628"/>
        <v>0</v>
      </c>
      <c r="AH781" s="83">
        <f t="shared" si="629"/>
        <v>0</v>
      </c>
      <c r="AI781" s="83">
        <f t="shared" si="630"/>
        <v>0</v>
      </c>
      <c r="AJ781" s="718">
        <f t="shared" si="631"/>
        <v>0</v>
      </c>
      <c r="AL781">
        <f t="shared" si="632"/>
        <v>0</v>
      </c>
      <c r="AM781">
        <f t="shared" si="633"/>
        <v>0</v>
      </c>
    </row>
    <row r="782" spans="1:39" ht="15.75" x14ac:dyDescent="0.25">
      <c r="A782" s="561"/>
      <c r="B782" s="561"/>
      <c r="C782" s="561"/>
      <c r="D782" s="672"/>
      <c r="E782" s="209"/>
      <c r="F782" s="209"/>
      <c r="G782" s="209"/>
      <c r="H782" s="176">
        <f t="shared" si="611"/>
        <v>0</v>
      </c>
      <c r="I782" s="209"/>
      <c r="J782" s="209"/>
      <c r="K782" s="176">
        <f t="shared" si="612"/>
        <v>0</v>
      </c>
      <c r="L782" s="209"/>
      <c r="M782" s="177">
        <f t="shared" si="613"/>
        <v>0</v>
      </c>
      <c r="N782" s="1012"/>
      <c r="O782" s="1012"/>
      <c r="P782" s="485"/>
      <c r="Q782" s="778"/>
      <c r="R782" s="778"/>
      <c r="S782" s="785" t="str">
        <f t="shared" si="616"/>
        <v/>
      </c>
      <c r="T782" s="548" t="str">
        <f t="shared" si="614"/>
        <v>Sheet Metal Takeoff</v>
      </c>
      <c r="U782" s="83">
        <f t="shared" si="617"/>
        <v>0</v>
      </c>
      <c r="V782" s="83">
        <f t="shared" si="618"/>
        <v>0</v>
      </c>
      <c r="W782" s="83">
        <f t="shared" si="619"/>
        <v>0</v>
      </c>
      <c r="X782" s="781">
        <f t="shared" si="620"/>
        <v>0</v>
      </c>
      <c r="Y782" s="781">
        <f t="shared" si="621"/>
        <v>0</v>
      </c>
      <c r="Z782" s="781">
        <f t="shared" si="622"/>
        <v>0</v>
      </c>
      <c r="AA782" s="83">
        <f t="shared" si="615"/>
        <v>0</v>
      </c>
      <c r="AB782" s="83">
        <f t="shared" si="623"/>
        <v>0</v>
      </c>
      <c r="AC782" s="83">
        <f t="shared" si="624"/>
        <v>0</v>
      </c>
      <c r="AD782" s="83">
        <f t="shared" si="625"/>
        <v>0</v>
      </c>
      <c r="AE782" s="83">
        <f t="shared" si="626"/>
        <v>0</v>
      </c>
      <c r="AF782" s="83">
        <f t="shared" si="627"/>
        <v>0</v>
      </c>
      <c r="AG782" s="83">
        <f t="shared" si="628"/>
        <v>0</v>
      </c>
      <c r="AH782" s="83">
        <f t="shared" si="629"/>
        <v>0</v>
      </c>
      <c r="AI782" s="83">
        <f t="shared" si="630"/>
        <v>0</v>
      </c>
      <c r="AJ782" s="718">
        <f t="shared" si="631"/>
        <v>0</v>
      </c>
      <c r="AL782">
        <f t="shared" si="632"/>
        <v>0</v>
      </c>
      <c r="AM782">
        <f t="shared" si="633"/>
        <v>0</v>
      </c>
    </row>
    <row r="783" spans="1:39" ht="15.75" x14ac:dyDescent="0.25">
      <c r="A783" s="561"/>
      <c r="B783" s="561"/>
      <c r="C783" s="561"/>
      <c r="D783" s="672"/>
      <c r="E783" s="209"/>
      <c r="F783" s="209"/>
      <c r="G783" s="209"/>
      <c r="H783" s="176">
        <f t="shared" si="611"/>
        <v>0</v>
      </c>
      <c r="I783" s="209"/>
      <c r="J783" s="209"/>
      <c r="K783" s="176">
        <f t="shared" si="612"/>
        <v>0</v>
      </c>
      <c r="L783" s="209"/>
      <c r="M783" s="177">
        <f t="shared" si="613"/>
        <v>0</v>
      </c>
      <c r="N783" s="1012"/>
      <c r="O783" s="1012"/>
      <c r="P783" s="485"/>
      <c r="Q783" s="778"/>
      <c r="R783" s="778"/>
      <c r="S783" s="785" t="str">
        <f t="shared" si="616"/>
        <v/>
      </c>
      <c r="T783" s="548" t="str">
        <f t="shared" si="614"/>
        <v>Sheet Metal Takeoff</v>
      </c>
      <c r="U783" s="83">
        <f t="shared" si="617"/>
        <v>0</v>
      </c>
      <c r="V783" s="83">
        <f t="shared" si="618"/>
        <v>0</v>
      </c>
      <c r="W783" s="83">
        <f t="shared" si="619"/>
        <v>0</v>
      </c>
      <c r="X783" s="781">
        <f t="shared" si="620"/>
        <v>0</v>
      </c>
      <c r="Y783" s="781">
        <f t="shared" si="621"/>
        <v>0</v>
      </c>
      <c r="Z783" s="781">
        <f t="shared" si="622"/>
        <v>0</v>
      </c>
      <c r="AA783" s="83">
        <f t="shared" si="615"/>
        <v>0</v>
      </c>
      <c r="AB783" s="83">
        <f t="shared" si="623"/>
        <v>0</v>
      </c>
      <c r="AC783" s="83">
        <f t="shared" si="624"/>
        <v>0</v>
      </c>
      <c r="AD783" s="83">
        <f t="shared" si="625"/>
        <v>0</v>
      </c>
      <c r="AE783" s="83">
        <f t="shared" si="626"/>
        <v>0</v>
      </c>
      <c r="AF783" s="83">
        <f t="shared" si="627"/>
        <v>0</v>
      </c>
      <c r="AG783" s="83">
        <f t="shared" si="628"/>
        <v>0</v>
      </c>
      <c r="AH783" s="83">
        <f t="shared" si="629"/>
        <v>0</v>
      </c>
      <c r="AI783" s="83">
        <f t="shared" si="630"/>
        <v>0</v>
      </c>
      <c r="AJ783" s="718">
        <f t="shared" si="631"/>
        <v>0</v>
      </c>
      <c r="AL783">
        <f t="shared" si="632"/>
        <v>0</v>
      </c>
      <c r="AM783">
        <f t="shared" si="633"/>
        <v>0</v>
      </c>
    </row>
    <row r="784" spans="1:39" ht="15.75" x14ac:dyDescent="0.25">
      <c r="A784" s="561"/>
      <c r="B784" s="561"/>
      <c r="C784" s="561"/>
      <c r="D784" s="672"/>
      <c r="E784" s="209"/>
      <c r="F784" s="209"/>
      <c r="G784" s="209"/>
      <c r="H784" s="176">
        <f t="shared" si="611"/>
        <v>0</v>
      </c>
      <c r="I784" s="209"/>
      <c r="J784" s="209"/>
      <c r="K784" s="176">
        <f t="shared" si="612"/>
        <v>0</v>
      </c>
      <c r="L784" s="209"/>
      <c r="M784" s="177">
        <f t="shared" si="613"/>
        <v>0</v>
      </c>
      <c r="N784" s="1012"/>
      <c r="O784" s="1012"/>
      <c r="P784" s="485"/>
      <c r="Q784" s="778"/>
      <c r="R784" s="778"/>
      <c r="S784" s="785" t="str">
        <f t="shared" si="616"/>
        <v/>
      </c>
      <c r="T784" s="548" t="str">
        <f t="shared" si="614"/>
        <v>Sheet Metal Takeoff</v>
      </c>
      <c r="U784" s="83">
        <f t="shared" si="617"/>
        <v>0</v>
      </c>
      <c r="V784" s="83">
        <f t="shared" si="618"/>
        <v>0</v>
      </c>
      <c r="W784" s="83">
        <f t="shared" si="619"/>
        <v>0</v>
      </c>
      <c r="X784" s="781">
        <f t="shared" si="620"/>
        <v>0</v>
      </c>
      <c r="Y784" s="781">
        <f t="shared" si="621"/>
        <v>0</v>
      </c>
      <c r="Z784" s="781">
        <f t="shared" si="622"/>
        <v>0</v>
      </c>
      <c r="AA784" s="83">
        <f t="shared" si="615"/>
        <v>0</v>
      </c>
      <c r="AB784" s="83">
        <f t="shared" si="623"/>
        <v>0</v>
      </c>
      <c r="AC784" s="83">
        <f t="shared" si="624"/>
        <v>0</v>
      </c>
      <c r="AD784" s="83">
        <f t="shared" si="625"/>
        <v>0</v>
      </c>
      <c r="AE784" s="83">
        <f t="shared" si="626"/>
        <v>0</v>
      </c>
      <c r="AF784" s="83">
        <f t="shared" si="627"/>
        <v>0</v>
      </c>
      <c r="AG784" s="83">
        <f t="shared" si="628"/>
        <v>0</v>
      </c>
      <c r="AH784" s="83">
        <f t="shared" si="629"/>
        <v>0</v>
      </c>
      <c r="AI784" s="83">
        <f t="shared" si="630"/>
        <v>0</v>
      </c>
      <c r="AJ784" s="718">
        <f t="shared" si="631"/>
        <v>0</v>
      </c>
      <c r="AL784">
        <f t="shared" si="632"/>
        <v>0</v>
      </c>
      <c r="AM784">
        <f t="shared" si="633"/>
        <v>0</v>
      </c>
    </row>
    <row r="785" spans="1:39" ht="15.75" x14ac:dyDescent="0.25">
      <c r="A785" s="561"/>
      <c r="B785" s="561"/>
      <c r="C785" s="561"/>
      <c r="D785" s="672"/>
      <c r="E785" s="209"/>
      <c r="F785" s="209"/>
      <c r="G785" s="209"/>
      <c r="H785" s="176">
        <f t="shared" si="611"/>
        <v>0</v>
      </c>
      <c r="I785" s="209"/>
      <c r="J785" s="209"/>
      <c r="K785" s="176">
        <f t="shared" si="612"/>
        <v>0</v>
      </c>
      <c r="L785" s="209"/>
      <c r="M785" s="177">
        <f t="shared" si="613"/>
        <v>0</v>
      </c>
      <c r="N785" s="1012"/>
      <c r="O785" s="1012"/>
      <c r="P785" s="485"/>
      <c r="Q785" s="778"/>
      <c r="R785" s="778"/>
      <c r="S785" s="785" t="str">
        <f t="shared" si="616"/>
        <v/>
      </c>
      <c r="T785" s="548" t="str">
        <f t="shared" si="614"/>
        <v>Sheet Metal Takeoff</v>
      </c>
      <c r="U785" s="83">
        <f t="shared" si="617"/>
        <v>0</v>
      </c>
      <c r="V785" s="83">
        <f t="shared" si="618"/>
        <v>0</v>
      </c>
      <c r="W785" s="83">
        <f t="shared" si="619"/>
        <v>0</v>
      </c>
      <c r="X785" s="781">
        <f t="shared" si="620"/>
        <v>0</v>
      </c>
      <c r="Y785" s="781">
        <f t="shared" si="621"/>
        <v>0</v>
      </c>
      <c r="Z785" s="781">
        <f t="shared" si="622"/>
        <v>0</v>
      </c>
      <c r="AA785" s="83">
        <f t="shared" si="615"/>
        <v>0</v>
      </c>
      <c r="AB785" s="83">
        <f t="shared" si="623"/>
        <v>0</v>
      </c>
      <c r="AC785" s="83">
        <f t="shared" si="624"/>
        <v>0</v>
      </c>
      <c r="AD785" s="83">
        <f t="shared" si="625"/>
        <v>0</v>
      </c>
      <c r="AE785" s="83">
        <f t="shared" si="626"/>
        <v>0</v>
      </c>
      <c r="AF785" s="83">
        <f t="shared" si="627"/>
        <v>0</v>
      </c>
      <c r="AG785" s="83">
        <f t="shared" si="628"/>
        <v>0</v>
      </c>
      <c r="AH785" s="83">
        <f t="shared" si="629"/>
        <v>0</v>
      </c>
      <c r="AI785" s="83">
        <f t="shared" si="630"/>
        <v>0</v>
      </c>
      <c r="AJ785" s="718">
        <f t="shared" si="631"/>
        <v>0</v>
      </c>
      <c r="AL785">
        <f t="shared" si="632"/>
        <v>0</v>
      </c>
      <c r="AM785">
        <f t="shared" si="633"/>
        <v>0</v>
      </c>
    </row>
    <row r="786" spans="1:39" ht="15.75" x14ac:dyDescent="0.25">
      <c r="A786" s="561"/>
      <c r="B786" s="561"/>
      <c r="C786" s="561"/>
      <c r="D786" s="672"/>
      <c r="E786" s="209"/>
      <c r="F786" s="209"/>
      <c r="G786" s="209"/>
      <c r="H786" s="176">
        <f t="shared" si="611"/>
        <v>0</v>
      </c>
      <c r="I786" s="209"/>
      <c r="J786" s="209"/>
      <c r="K786" s="176">
        <f t="shared" si="612"/>
        <v>0</v>
      </c>
      <c r="L786" s="209"/>
      <c r="M786" s="177">
        <f t="shared" si="613"/>
        <v>0</v>
      </c>
      <c r="N786" s="1012"/>
      <c r="O786" s="1012"/>
      <c r="P786" s="485"/>
      <c r="Q786" s="778"/>
      <c r="R786" s="778"/>
      <c r="S786" s="785" t="str">
        <f t="shared" si="616"/>
        <v/>
      </c>
      <c r="T786" s="548" t="str">
        <f t="shared" si="614"/>
        <v>Sheet Metal Takeoff</v>
      </c>
      <c r="U786" s="83">
        <f t="shared" si="617"/>
        <v>0</v>
      </c>
      <c r="V786" s="83">
        <f t="shared" si="618"/>
        <v>0</v>
      </c>
      <c r="W786" s="83">
        <f t="shared" si="619"/>
        <v>0</v>
      </c>
      <c r="X786" s="781">
        <f t="shared" si="620"/>
        <v>0</v>
      </c>
      <c r="Y786" s="781">
        <f t="shared" si="621"/>
        <v>0</v>
      </c>
      <c r="Z786" s="781">
        <f t="shared" si="622"/>
        <v>0</v>
      </c>
      <c r="AA786" s="83">
        <f t="shared" si="615"/>
        <v>0</v>
      </c>
      <c r="AB786" s="83">
        <f t="shared" si="623"/>
        <v>0</v>
      </c>
      <c r="AC786" s="83">
        <f t="shared" si="624"/>
        <v>0</v>
      </c>
      <c r="AD786" s="83">
        <f t="shared" si="625"/>
        <v>0</v>
      </c>
      <c r="AE786" s="83">
        <f t="shared" si="626"/>
        <v>0</v>
      </c>
      <c r="AF786" s="83">
        <f t="shared" si="627"/>
        <v>0</v>
      </c>
      <c r="AG786" s="83">
        <f t="shared" si="628"/>
        <v>0</v>
      </c>
      <c r="AH786" s="83">
        <f t="shared" si="629"/>
        <v>0</v>
      </c>
      <c r="AI786" s="83">
        <f t="shared" si="630"/>
        <v>0</v>
      </c>
      <c r="AJ786" s="718">
        <f t="shared" si="631"/>
        <v>0</v>
      </c>
      <c r="AL786">
        <f t="shared" si="632"/>
        <v>0</v>
      </c>
      <c r="AM786">
        <f t="shared" si="633"/>
        <v>0</v>
      </c>
    </row>
    <row r="787" spans="1:39" ht="15.75" x14ac:dyDescent="0.25">
      <c r="A787" s="561"/>
      <c r="B787" s="561"/>
      <c r="C787" s="561"/>
      <c r="D787" s="672"/>
      <c r="E787" s="209"/>
      <c r="F787" s="209"/>
      <c r="G787" s="209"/>
      <c r="H787" s="176">
        <f t="shared" si="611"/>
        <v>0</v>
      </c>
      <c r="I787" s="209"/>
      <c r="J787" s="209"/>
      <c r="K787" s="176">
        <f t="shared" si="612"/>
        <v>0</v>
      </c>
      <c r="L787" s="209"/>
      <c r="M787" s="177">
        <f t="shared" si="613"/>
        <v>0</v>
      </c>
      <c r="N787" s="1012"/>
      <c r="O787" s="1012"/>
      <c r="P787" s="485"/>
      <c r="Q787" s="778"/>
      <c r="R787" s="778"/>
      <c r="S787" s="785" t="str">
        <f t="shared" si="616"/>
        <v/>
      </c>
      <c r="T787" s="548" t="str">
        <f t="shared" si="614"/>
        <v>Sheet Metal Takeoff</v>
      </c>
      <c r="U787" s="83">
        <f t="shared" si="617"/>
        <v>0</v>
      </c>
      <c r="V787" s="83">
        <f t="shared" si="618"/>
        <v>0</v>
      </c>
      <c r="W787" s="83">
        <f t="shared" si="619"/>
        <v>0</v>
      </c>
      <c r="X787" s="781">
        <f t="shared" si="620"/>
        <v>0</v>
      </c>
      <c r="Y787" s="781">
        <f t="shared" si="621"/>
        <v>0</v>
      </c>
      <c r="Z787" s="781">
        <f t="shared" si="622"/>
        <v>0</v>
      </c>
      <c r="AA787" s="83">
        <f t="shared" si="615"/>
        <v>0</v>
      </c>
      <c r="AB787" s="83">
        <f t="shared" si="623"/>
        <v>0</v>
      </c>
      <c r="AC787" s="83">
        <f t="shared" si="624"/>
        <v>0</v>
      </c>
      <c r="AD787" s="83">
        <f t="shared" si="625"/>
        <v>0</v>
      </c>
      <c r="AE787" s="83">
        <f t="shared" si="626"/>
        <v>0</v>
      </c>
      <c r="AF787" s="83">
        <f t="shared" si="627"/>
        <v>0</v>
      </c>
      <c r="AG787" s="83">
        <f t="shared" si="628"/>
        <v>0</v>
      </c>
      <c r="AH787" s="83">
        <f t="shared" si="629"/>
        <v>0</v>
      </c>
      <c r="AI787" s="83">
        <f t="shared" si="630"/>
        <v>0</v>
      </c>
      <c r="AJ787" s="718">
        <f t="shared" si="631"/>
        <v>0</v>
      </c>
      <c r="AL787">
        <f t="shared" si="632"/>
        <v>0</v>
      </c>
      <c r="AM787">
        <f t="shared" si="633"/>
        <v>0</v>
      </c>
    </row>
    <row r="788" spans="1:39" ht="15.75" hidden="1" customHeight="1" x14ac:dyDescent="0.25">
      <c r="A788" s="561"/>
      <c r="B788" s="561"/>
      <c r="C788" s="561"/>
      <c r="D788" s="672"/>
      <c r="E788" s="209"/>
      <c r="F788" s="209"/>
      <c r="G788" s="209"/>
      <c r="H788" s="176">
        <f t="shared" si="611"/>
        <v>0</v>
      </c>
      <c r="I788" s="209"/>
      <c r="J788" s="209"/>
      <c r="K788" s="176">
        <f t="shared" si="612"/>
        <v>0</v>
      </c>
      <c r="L788" s="209"/>
      <c r="M788" s="177">
        <f t="shared" si="613"/>
        <v>0</v>
      </c>
      <c r="N788" s="1012"/>
      <c r="O788" s="1012"/>
      <c r="P788" s="485"/>
      <c r="Q788" s="778"/>
      <c r="R788" s="778"/>
      <c r="S788" s="785" t="str">
        <f t="shared" si="616"/>
        <v/>
      </c>
      <c r="T788" s="548" t="str">
        <f t="shared" si="614"/>
        <v>Sheet Metal Takeoff</v>
      </c>
      <c r="U788" s="83">
        <f>ROUND(IF($T788="Plumb Takeoff",$H788*U$3,IF($T788="Pipe Takeoff",$H788*U$4,$H788*U$2)),2)</f>
        <v>0</v>
      </c>
      <c r="V788" s="83">
        <f t="shared" si="618"/>
        <v>0</v>
      </c>
      <c r="W788" s="83">
        <f t="shared" si="619"/>
        <v>0</v>
      </c>
      <c r="X788" s="781">
        <f t="shared" si="620"/>
        <v>0</v>
      </c>
      <c r="Y788" s="781">
        <f t="shared" si="621"/>
        <v>0</v>
      </c>
      <c r="Z788" s="781">
        <f t="shared" si="622"/>
        <v>0</v>
      </c>
      <c r="AA788" s="83">
        <f t="shared" si="615"/>
        <v>0</v>
      </c>
      <c r="AB788" s="83">
        <f t="shared" si="623"/>
        <v>0</v>
      </c>
      <c r="AC788" s="83">
        <f t="shared" si="624"/>
        <v>0</v>
      </c>
      <c r="AD788" s="83">
        <f t="shared" si="625"/>
        <v>0</v>
      </c>
      <c r="AE788" s="83">
        <f t="shared" si="626"/>
        <v>0</v>
      </c>
      <c r="AF788" s="83">
        <f t="shared" si="627"/>
        <v>0</v>
      </c>
      <c r="AG788" s="83">
        <f t="shared" si="628"/>
        <v>0</v>
      </c>
      <c r="AH788" s="83">
        <f t="shared" si="629"/>
        <v>0</v>
      </c>
      <c r="AI788" s="83">
        <f t="shared" si="630"/>
        <v>0</v>
      </c>
      <c r="AJ788" s="718">
        <f t="shared" si="631"/>
        <v>0</v>
      </c>
      <c r="AL788">
        <f t="shared" si="632"/>
        <v>0</v>
      </c>
      <c r="AM788">
        <f t="shared" si="633"/>
        <v>0</v>
      </c>
    </row>
    <row r="789" spans="1:39" ht="15.75" x14ac:dyDescent="0.25">
      <c r="A789" s="551"/>
      <c r="B789" s="551"/>
      <c r="C789" s="551"/>
      <c r="D789" s="673"/>
      <c r="E789" s="552"/>
      <c r="F789" s="553"/>
      <c r="G789" s="553"/>
      <c r="H789" s="181">
        <f>SUM(H763:H788)</f>
        <v>0</v>
      </c>
      <c r="I789" s="182"/>
      <c r="J789" s="182"/>
      <c r="K789" s="181">
        <f>SUM(K763:K788)</f>
        <v>0</v>
      </c>
      <c r="L789" s="182"/>
      <c r="M789" s="177">
        <f>SUM(M763:M788)</f>
        <v>0</v>
      </c>
      <c r="O789" s="486"/>
      <c r="AJ789" s="718"/>
    </row>
    <row r="790" spans="1:39" ht="15.75" thickBot="1" x14ac:dyDescent="0.3">
      <c r="AJ790" s="718"/>
    </row>
    <row r="791" spans="1:39" ht="16.5" thickBot="1" x14ac:dyDescent="0.3">
      <c r="E791" s="678" t="s">
        <v>1122</v>
      </c>
      <c r="F791" s="1017" t="s">
        <v>1630</v>
      </c>
      <c r="G791" s="1018"/>
      <c r="H791" s="344"/>
      <c r="I791" s="1019" t="s">
        <v>1628</v>
      </c>
      <c r="J791" s="1020"/>
      <c r="K791" s="679" t="b">
        <v>0</v>
      </c>
      <c r="AJ791" s="718"/>
    </row>
    <row r="792" spans="1:39" ht="38.25" thickBot="1" x14ac:dyDescent="0.35">
      <c r="A792" s="477" t="s">
        <v>1063</v>
      </c>
      <c r="B792" s="477" t="s">
        <v>348</v>
      </c>
      <c r="C792" s="477" t="s">
        <v>349</v>
      </c>
      <c r="D792" s="666" t="s">
        <v>0</v>
      </c>
      <c r="E792" s="477" t="s">
        <v>1</v>
      </c>
      <c r="F792" s="480" t="s">
        <v>2</v>
      </c>
      <c r="G792" s="480" t="s">
        <v>1123</v>
      </c>
      <c r="H792" s="480" t="s">
        <v>3</v>
      </c>
      <c r="I792" s="483" t="s">
        <v>4</v>
      </c>
      <c r="J792" s="480" t="s">
        <v>1124</v>
      </c>
      <c r="K792" s="680" t="s">
        <v>5</v>
      </c>
      <c r="L792" s="480" t="s">
        <v>6</v>
      </c>
      <c r="M792" s="484" t="s">
        <v>7</v>
      </c>
      <c r="N792" s="1013" t="s">
        <v>1079</v>
      </c>
      <c r="O792" s="1014"/>
      <c r="P792" s="1009" t="s">
        <v>1629</v>
      </c>
      <c r="Q792" s="1009" t="s">
        <v>1147</v>
      </c>
      <c r="R792" s="1009" t="s">
        <v>1792</v>
      </c>
      <c r="T792" s="2"/>
      <c r="AJ792" s="718"/>
    </row>
    <row r="793" spans="1:39" ht="16.5" thickBot="1" x14ac:dyDescent="0.3">
      <c r="A793" s="183"/>
      <c r="B793" s="183"/>
      <c r="C793" s="183"/>
      <c r="D793" s="671"/>
      <c r="E793" s="183"/>
      <c r="F793" s="183"/>
      <c r="G793" s="183"/>
      <c r="H793" s="183"/>
      <c r="I793" s="183"/>
      <c r="J793" s="183"/>
      <c r="K793" s="183"/>
      <c r="L793" s="183"/>
      <c r="M793" s="183"/>
      <c r="N793" s="1015"/>
      <c r="O793" s="1016"/>
      <c r="P793" s="1010" t="s">
        <v>1362</v>
      </c>
      <c r="Q793" s="1010"/>
      <c r="R793" s="1010"/>
      <c r="T793" s="1"/>
      <c r="AJ793" s="718"/>
    </row>
    <row r="794" spans="1:39" ht="15.75" x14ac:dyDescent="0.25">
      <c r="A794" s="561"/>
      <c r="B794" s="561"/>
      <c r="C794" s="561"/>
      <c r="D794" s="672"/>
      <c r="E794" s="209"/>
      <c r="F794" s="209"/>
      <c r="G794" s="209"/>
      <c r="H794" s="176">
        <f t="shared" ref="H794:H819" si="634">IF(SM_ExludeGroup25=TRUE,0,IF(G794="",E794*F794*IF(AND(S794="LOP",R794="SWING"),1+CrewRate_PlumbFitter_SwingLOP,1)*IF(AND(S794="LOP",R794="GRAVE"),1+CrewRate_PlumbFitter_GraveLOP,1)*IF(AND(S794="LOP",R794="SPECIAL"),1+CrewRate_PlumbFitter_SwingLOP,1),E794*F794*G794*IF(AND(S794="LOP",R794="SWING"),1+CrewRate_PlumbFitter_SwingLOP,1)*IF(AND(S794="LOP",R794="GRAVE"),1+CrewRate_PlumbFitter_GraveLOP,1)*IF(AND(S794="LOP",R794="SPECIAL"),1+CrewRate_PlumbFitter_SwingLOP,1)))</f>
        <v>0</v>
      </c>
      <c r="I794" s="209"/>
      <c r="J794" s="209"/>
      <c r="K794" s="176">
        <f t="shared" ref="K794:K819" si="635">IF(SM_ExludeGroup25=TRUE,0,IF(J794="",E794*I794,E794*I794*J794))</f>
        <v>0</v>
      </c>
      <c r="L794" s="209"/>
      <c r="M794" s="177">
        <f t="shared" ref="M794:M819" si="636">IF(SM_ExludeGroup25=TRUE,0,E794*L794)</f>
        <v>0</v>
      </c>
      <c r="N794" s="1012"/>
      <c r="O794" s="1012"/>
      <c r="P794" s="485"/>
      <c r="Q794" s="778"/>
      <c r="R794" s="778"/>
      <c r="S794" s="785" t="str">
        <f>IF(T794="Sheet Metal Takeoff","",IF(R794="","","LOP"))</f>
        <v/>
      </c>
      <c r="T794" s="548" t="str">
        <f t="shared" ref="T794:T819" si="637">IF($F$791="","Sheet Metal Takeoff",$F$791)</f>
        <v>Sheet Metal Takeoff</v>
      </c>
      <c r="U794" s="83">
        <f>ROUND(IF($T794="Plumb Takeoff",$H794*U$3,IF($T794="Pipe Takeoff",$H794*U$4,$H794*U$2)),2)</f>
        <v>0</v>
      </c>
      <c r="V794" s="83">
        <f>ROUND(IF($T794="Plumb Takeoff",IF($Q794="OT",$H794*V$3,0),IF($T794="Pipe Takeoff",IF($Q794="OT",$H794*V$4,0),IF($Q794="OT",$H794*V$2,0))),2)</f>
        <v>0</v>
      </c>
      <c r="W794" s="83">
        <f>ROUND(IF($T794="Plumb Takeoff",IF($Q794="DBLT",$H794*W$3,0),IF($T794="Pipe Takeoff",IF($Q794="DBLT",$H794*W$4,0),IF($Q794="DBLT",$H794*W$2,0))),2)</f>
        <v>0</v>
      </c>
      <c r="X794" s="781">
        <f>ROUND(SUM(IF($T794="Plumb Takeoff",IF($R794="SWING",ROUND(SUM($H794)*X$3,2))),IF($T794="Pipe Takeoff",IF($R794="SWING",ROUND(SUM($H794)*X$4,2))),IF($T794="Sheet Metal Takeoff",IF($R794="SWING",ROUND(SUM($H794)*X$2,2)))),2)</f>
        <v>0</v>
      </c>
      <c r="Y794" s="781">
        <f>ROUND(SUM(IF($T794="Plumb Takeoff",IF($R794="GRAVE",ROUND(SUM($H794)*Y$3,2))),IF($T794="Pipe Takeoff",IF($R794="GRAVE",ROUND(SUM($H794)*Y$4,2))),IF($T794="Sheet Metal Takeoff",IF($R794="GRAVE",ROUND(SUM($H794)*Y$2,2)))),2)</f>
        <v>0</v>
      </c>
      <c r="Z794" s="781">
        <f>ROUND(SUM(IF($T794="Plumb Takeoff",IF($R794="SPECIAL",ROUND(SUM($H794)*Z$3,2))),IF($T794="Pipe Takeoff",IF($R794="SPECIAL",ROUND(SUM($H794)*Z$4,2))),IF($T794="Sheet Metal Takeoff",IF($R794="SPECIAL",ROUND(SUM($H794)*Z$2,2)))),2)</f>
        <v>0</v>
      </c>
      <c r="AA794" s="83">
        <f t="shared" ref="AA794:AA819" si="638">ROUND($K794*AA$2,2)</f>
        <v>0</v>
      </c>
      <c r="AB794" s="83">
        <f>ROUND(IF($Q794="OT",$K794*AB$2,0),2)</f>
        <v>0</v>
      </c>
      <c r="AC794" s="83">
        <f>ROUND(IF($Q794="DBLT",$K794*AC$2,0),2)</f>
        <v>0</v>
      </c>
      <c r="AD794" s="83">
        <f>ROUND(IF($R794="SWING",$K794*AD$2,0),2)</f>
        <v>0</v>
      </c>
      <c r="AE794" s="83">
        <f>ROUND(IF($R794="GRAVE",$K794*AE$2,0),2)</f>
        <v>0</v>
      </c>
      <c r="AF794" s="83">
        <f>ROUND(IF($R794="SPECIAL",$K794*AF$2,0),2)</f>
        <v>0</v>
      </c>
      <c r="AG794" s="83">
        <f>SUM(U794:Z794)</f>
        <v>0</v>
      </c>
      <c r="AH794" s="83">
        <f>SUM(AA794:AF794)</f>
        <v>0</v>
      </c>
      <c r="AI794" s="83">
        <f>SUM(U794:AF794)</f>
        <v>0</v>
      </c>
      <c r="AJ794" s="718">
        <f>SUM(M794,AI794)</f>
        <v>0</v>
      </c>
      <c r="AL794">
        <f>SUM(V794:Z794)</f>
        <v>0</v>
      </c>
      <c r="AM794">
        <f>SUM(AB794:AF794)</f>
        <v>0</v>
      </c>
    </row>
    <row r="795" spans="1:39" ht="15.75" x14ac:dyDescent="0.25">
      <c r="A795" s="561"/>
      <c r="B795" s="561"/>
      <c r="C795" s="561"/>
      <c r="D795" s="672"/>
      <c r="E795" s="209"/>
      <c r="F795" s="209"/>
      <c r="G795" s="209"/>
      <c r="H795" s="176">
        <f t="shared" si="634"/>
        <v>0</v>
      </c>
      <c r="I795" s="209"/>
      <c r="J795" s="209"/>
      <c r="K795" s="176">
        <f t="shared" si="635"/>
        <v>0</v>
      </c>
      <c r="L795" s="209"/>
      <c r="M795" s="177">
        <f t="shared" si="636"/>
        <v>0</v>
      </c>
      <c r="N795" s="1012"/>
      <c r="O795" s="1012"/>
      <c r="P795" s="485"/>
      <c r="Q795" s="778"/>
      <c r="R795" s="778"/>
      <c r="S795" s="785" t="str">
        <f t="shared" ref="S795:S819" si="639">IF(T795="Sheet Metal Takeoff","",IF(R795="","","LOP"))</f>
        <v/>
      </c>
      <c r="T795" s="548" t="str">
        <f t="shared" si="637"/>
        <v>Sheet Metal Takeoff</v>
      </c>
      <c r="U795" s="83">
        <f t="shared" ref="U795:U818" si="640">ROUND(IF($T795="Plumb Takeoff",$H795*U$3,IF($T795="Pipe Takeoff",$H795*U$4,$H795*U$2)),2)</f>
        <v>0</v>
      </c>
      <c r="V795" s="83">
        <f t="shared" ref="V795:V819" si="641">ROUND(IF($T795="Plumb Takeoff",IF($Q795="OT",$H795*V$3,0),IF($T795="Pipe Takeoff",IF($Q795="OT",$H795*V$4,0),IF($Q795="OT",$H795*V$2,0))),2)</f>
        <v>0</v>
      </c>
      <c r="W795" s="83">
        <f t="shared" ref="W795:W819" si="642">ROUND(IF($T795="Plumb Takeoff",IF($Q795="DBLT",$H795*W$3,0),IF($T795="Pipe Takeoff",IF($Q795="DBLT",$H795*W$4,0),IF($Q795="DBLT",$H795*W$2,0))),2)</f>
        <v>0</v>
      </c>
      <c r="X795" s="781">
        <f t="shared" ref="X795:X819" si="643">ROUND(SUM(IF($T795="Plumb Takeoff",IF($R795="SWING",ROUND(SUM($H795)*X$3,2))),IF($T795="Pipe Takeoff",IF($R795="SWING",ROUND(SUM($H795)*X$4,2))),IF($T795="Sheet Metal Takeoff",IF($R795="SWING",ROUND(SUM($H795)*X$2,2)))),2)</f>
        <v>0</v>
      </c>
      <c r="Y795" s="781">
        <f t="shared" ref="Y795:Y819" si="644">ROUND(SUM(IF($T795="Plumb Takeoff",IF($R795="GRAVE",ROUND(SUM($H795)*Y$3,2))),IF($T795="Pipe Takeoff",IF($R795="GRAVE",ROUND(SUM($H795)*Y$4,2))),IF($T795="Sheet Metal Takeoff",IF($R795="GRAVE",ROUND(SUM($H795)*Y$2,2)))),2)</f>
        <v>0</v>
      </c>
      <c r="Z795" s="781">
        <f t="shared" ref="Z795:Z819" si="645">ROUND(SUM(IF($T795="Plumb Takeoff",IF($R795="SPECIAL",ROUND(SUM($H795)*Z$3,2))),IF($T795="Pipe Takeoff",IF($R795="SPECIAL",ROUND(SUM($H795)*Z$4,2))),IF($T795="Sheet Metal Takeoff",IF($R795="SPECIAL",ROUND(SUM($H795)*Z$2,2)))),2)</f>
        <v>0</v>
      </c>
      <c r="AA795" s="83">
        <f t="shared" si="638"/>
        <v>0</v>
      </c>
      <c r="AB795" s="83">
        <f t="shared" ref="AB795:AB819" si="646">ROUND(IF($Q795="OT",$K795*AB$2,0),2)</f>
        <v>0</v>
      </c>
      <c r="AC795" s="83">
        <f t="shared" ref="AC795:AC819" si="647">ROUND(IF($Q795="DBLT",$K795*AC$2,0),2)</f>
        <v>0</v>
      </c>
      <c r="AD795" s="83">
        <f t="shared" ref="AD795:AD819" si="648">ROUND(IF($R795="SWING",$K795*AD$2,0),2)</f>
        <v>0</v>
      </c>
      <c r="AE795" s="83">
        <f t="shared" ref="AE795:AE819" si="649">ROUND(IF($R795="GRAVE",$K795*AE$2,0),2)</f>
        <v>0</v>
      </c>
      <c r="AF795" s="83">
        <f t="shared" ref="AF795:AF819" si="650">ROUND(IF($R795="SPECIAL",$K795*AF$2,0),2)</f>
        <v>0</v>
      </c>
      <c r="AG795" s="83">
        <f t="shared" ref="AG795:AG819" si="651">SUM(U795:Z795)</f>
        <v>0</v>
      </c>
      <c r="AH795" s="83">
        <f t="shared" ref="AH795:AH819" si="652">SUM(AA795:AF795)</f>
        <v>0</v>
      </c>
      <c r="AI795" s="83">
        <f t="shared" ref="AI795:AI819" si="653">SUM(U795:AF795)</f>
        <v>0</v>
      </c>
      <c r="AJ795" s="718">
        <f t="shared" ref="AJ795:AJ819" si="654">SUM(M795,AI795)</f>
        <v>0</v>
      </c>
      <c r="AL795">
        <f t="shared" ref="AL795:AL819" si="655">SUM(V795:Z795)</f>
        <v>0</v>
      </c>
      <c r="AM795">
        <f t="shared" ref="AM795:AM819" si="656">SUM(AB795:AF795)</f>
        <v>0</v>
      </c>
    </row>
    <row r="796" spans="1:39" ht="15.75" x14ac:dyDescent="0.25">
      <c r="A796" s="561"/>
      <c r="B796" s="561"/>
      <c r="C796" s="561"/>
      <c r="D796" s="672"/>
      <c r="E796" s="209"/>
      <c r="F796" s="209"/>
      <c r="G796" s="209"/>
      <c r="H796" s="176">
        <f t="shared" si="634"/>
        <v>0</v>
      </c>
      <c r="I796" s="209"/>
      <c r="J796" s="209"/>
      <c r="K796" s="176">
        <f t="shared" si="635"/>
        <v>0</v>
      </c>
      <c r="L796" s="209"/>
      <c r="M796" s="177">
        <f t="shared" si="636"/>
        <v>0</v>
      </c>
      <c r="N796" s="1012"/>
      <c r="O796" s="1012"/>
      <c r="P796" s="485"/>
      <c r="Q796" s="778"/>
      <c r="R796" s="778"/>
      <c r="S796" s="785" t="str">
        <f t="shared" si="639"/>
        <v/>
      </c>
      <c r="T796" s="548" t="str">
        <f t="shared" si="637"/>
        <v>Sheet Metal Takeoff</v>
      </c>
      <c r="U796" s="83">
        <f t="shared" si="640"/>
        <v>0</v>
      </c>
      <c r="V796" s="83">
        <f t="shared" si="641"/>
        <v>0</v>
      </c>
      <c r="W796" s="83">
        <f t="shared" si="642"/>
        <v>0</v>
      </c>
      <c r="X796" s="781">
        <f t="shared" si="643"/>
        <v>0</v>
      </c>
      <c r="Y796" s="781">
        <f t="shared" si="644"/>
        <v>0</v>
      </c>
      <c r="Z796" s="781">
        <f t="shared" si="645"/>
        <v>0</v>
      </c>
      <c r="AA796" s="83">
        <f t="shared" si="638"/>
        <v>0</v>
      </c>
      <c r="AB796" s="83">
        <f t="shared" si="646"/>
        <v>0</v>
      </c>
      <c r="AC796" s="83">
        <f t="shared" si="647"/>
        <v>0</v>
      </c>
      <c r="AD796" s="83">
        <f t="shared" si="648"/>
        <v>0</v>
      </c>
      <c r="AE796" s="83">
        <f t="shared" si="649"/>
        <v>0</v>
      </c>
      <c r="AF796" s="83">
        <f t="shared" si="650"/>
        <v>0</v>
      </c>
      <c r="AG796" s="83">
        <f t="shared" si="651"/>
        <v>0</v>
      </c>
      <c r="AH796" s="83">
        <f t="shared" si="652"/>
        <v>0</v>
      </c>
      <c r="AI796" s="83">
        <f t="shared" si="653"/>
        <v>0</v>
      </c>
      <c r="AJ796" s="718">
        <f t="shared" si="654"/>
        <v>0</v>
      </c>
      <c r="AL796">
        <f t="shared" si="655"/>
        <v>0</v>
      </c>
      <c r="AM796">
        <f t="shared" si="656"/>
        <v>0</v>
      </c>
    </row>
    <row r="797" spans="1:39" ht="15.75" x14ac:dyDescent="0.25">
      <c r="A797" s="561"/>
      <c r="B797" s="561"/>
      <c r="C797" s="561"/>
      <c r="D797" s="672"/>
      <c r="E797" s="209"/>
      <c r="F797" s="209"/>
      <c r="G797" s="209"/>
      <c r="H797" s="176">
        <f t="shared" si="634"/>
        <v>0</v>
      </c>
      <c r="I797" s="209"/>
      <c r="J797" s="209"/>
      <c r="K797" s="176">
        <f t="shared" si="635"/>
        <v>0</v>
      </c>
      <c r="L797" s="209"/>
      <c r="M797" s="177">
        <f t="shared" si="636"/>
        <v>0</v>
      </c>
      <c r="N797" s="1012"/>
      <c r="O797" s="1012"/>
      <c r="P797" s="485"/>
      <c r="Q797" s="778"/>
      <c r="R797" s="778"/>
      <c r="S797" s="785" t="str">
        <f t="shared" si="639"/>
        <v/>
      </c>
      <c r="T797" s="548" t="str">
        <f t="shared" si="637"/>
        <v>Sheet Metal Takeoff</v>
      </c>
      <c r="U797" s="83">
        <f t="shared" si="640"/>
        <v>0</v>
      </c>
      <c r="V797" s="83">
        <f t="shared" si="641"/>
        <v>0</v>
      </c>
      <c r="W797" s="83">
        <f t="shared" si="642"/>
        <v>0</v>
      </c>
      <c r="X797" s="781">
        <f t="shared" si="643"/>
        <v>0</v>
      </c>
      <c r="Y797" s="781">
        <f t="shared" si="644"/>
        <v>0</v>
      </c>
      <c r="Z797" s="781">
        <f t="shared" si="645"/>
        <v>0</v>
      </c>
      <c r="AA797" s="83">
        <f t="shared" si="638"/>
        <v>0</v>
      </c>
      <c r="AB797" s="83">
        <f t="shared" si="646"/>
        <v>0</v>
      </c>
      <c r="AC797" s="83">
        <f t="shared" si="647"/>
        <v>0</v>
      </c>
      <c r="AD797" s="83">
        <f t="shared" si="648"/>
        <v>0</v>
      </c>
      <c r="AE797" s="83">
        <f t="shared" si="649"/>
        <v>0</v>
      </c>
      <c r="AF797" s="83">
        <f t="shared" si="650"/>
        <v>0</v>
      </c>
      <c r="AG797" s="83">
        <f t="shared" si="651"/>
        <v>0</v>
      </c>
      <c r="AH797" s="83">
        <f t="shared" si="652"/>
        <v>0</v>
      </c>
      <c r="AI797" s="83">
        <f t="shared" si="653"/>
        <v>0</v>
      </c>
      <c r="AJ797" s="718">
        <f t="shared" si="654"/>
        <v>0</v>
      </c>
      <c r="AL797">
        <f t="shared" si="655"/>
        <v>0</v>
      </c>
      <c r="AM797">
        <f t="shared" si="656"/>
        <v>0</v>
      </c>
    </row>
    <row r="798" spans="1:39" ht="15.75" x14ac:dyDescent="0.25">
      <c r="A798" s="561"/>
      <c r="B798" s="561"/>
      <c r="C798" s="561"/>
      <c r="D798" s="672"/>
      <c r="E798" s="209"/>
      <c r="F798" s="209"/>
      <c r="G798" s="209"/>
      <c r="H798" s="176">
        <f t="shared" si="634"/>
        <v>0</v>
      </c>
      <c r="I798" s="209"/>
      <c r="J798" s="209"/>
      <c r="K798" s="176">
        <f t="shared" si="635"/>
        <v>0</v>
      </c>
      <c r="L798" s="209"/>
      <c r="M798" s="177">
        <f t="shared" si="636"/>
        <v>0</v>
      </c>
      <c r="N798" s="1012"/>
      <c r="O798" s="1012"/>
      <c r="P798" s="485"/>
      <c r="Q798" s="778"/>
      <c r="R798" s="778"/>
      <c r="S798" s="785" t="str">
        <f t="shared" si="639"/>
        <v/>
      </c>
      <c r="T798" s="548" t="str">
        <f t="shared" si="637"/>
        <v>Sheet Metal Takeoff</v>
      </c>
      <c r="U798" s="83">
        <f t="shared" si="640"/>
        <v>0</v>
      </c>
      <c r="V798" s="83">
        <f t="shared" si="641"/>
        <v>0</v>
      </c>
      <c r="W798" s="83">
        <f t="shared" si="642"/>
        <v>0</v>
      </c>
      <c r="X798" s="781">
        <f t="shared" si="643"/>
        <v>0</v>
      </c>
      <c r="Y798" s="781">
        <f t="shared" si="644"/>
        <v>0</v>
      </c>
      <c r="Z798" s="781">
        <f t="shared" si="645"/>
        <v>0</v>
      </c>
      <c r="AA798" s="83">
        <f t="shared" si="638"/>
        <v>0</v>
      </c>
      <c r="AB798" s="83">
        <f t="shared" si="646"/>
        <v>0</v>
      </c>
      <c r="AC798" s="83">
        <f t="shared" si="647"/>
        <v>0</v>
      </c>
      <c r="AD798" s="83">
        <f t="shared" si="648"/>
        <v>0</v>
      </c>
      <c r="AE798" s="83">
        <f t="shared" si="649"/>
        <v>0</v>
      </c>
      <c r="AF798" s="83">
        <f t="shared" si="650"/>
        <v>0</v>
      </c>
      <c r="AG798" s="83">
        <f t="shared" si="651"/>
        <v>0</v>
      </c>
      <c r="AH798" s="83">
        <f t="shared" si="652"/>
        <v>0</v>
      </c>
      <c r="AI798" s="83">
        <f t="shared" si="653"/>
        <v>0</v>
      </c>
      <c r="AJ798" s="718">
        <f t="shared" si="654"/>
        <v>0</v>
      </c>
      <c r="AL798">
        <f t="shared" si="655"/>
        <v>0</v>
      </c>
      <c r="AM798">
        <f t="shared" si="656"/>
        <v>0</v>
      </c>
    </row>
    <row r="799" spans="1:39" ht="15.75" x14ac:dyDescent="0.25">
      <c r="A799" s="561"/>
      <c r="B799" s="561"/>
      <c r="C799" s="561"/>
      <c r="D799" s="672"/>
      <c r="E799" s="209"/>
      <c r="F799" s="209"/>
      <c r="G799" s="209"/>
      <c r="H799" s="176">
        <f t="shared" si="634"/>
        <v>0</v>
      </c>
      <c r="I799" s="209"/>
      <c r="J799" s="209"/>
      <c r="K799" s="176">
        <f t="shared" si="635"/>
        <v>0</v>
      </c>
      <c r="L799" s="209"/>
      <c r="M799" s="177">
        <f t="shared" si="636"/>
        <v>0</v>
      </c>
      <c r="N799" s="1012"/>
      <c r="O799" s="1012"/>
      <c r="P799" s="485"/>
      <c r="Q799" s="778"/>
      <c r="R799" s="778"/>
      <c r="S799" s="785" t="str">
        <f t="shared" si="639"/>
        <v/>
      </c>
      <c r="T799" s="548" t="str">
        <f t="shared" si="637"/>
        <v>Sheet Metal Takeoff</v>
      </c>
      <c r="U799" s="83">
        <f t="shared" si="640"/>
        <v>0</v>
      </c>
      <c r="V799" s="83">
        <f t="shared" si="641"/>
        <v>0</v>
      </c>
      <c r="W799" s="83">
        <f t="shared" si="642"/>
        <v>0</v>
      </c>
      <c r="X799" s="781">
        <f t="shared" si="643"/>
        <v>0</v>
      </c>
      <c r="Y799" s="781">
        <f t="shared" si="644"/>
        <v>0</v>
      </c>
      <c r="Z799" s="781">
        <f t="shared" si="645"/>
        <v>0</v>
      </c>
      <c r="AA799" s="83">
        <f t="shared" si="638"/>
        <v>0</v>
      </c>
      <c r="AB799" s="83">
        <f t="shared" si="646"/>
        <v>0</v>
      </c>
      <c r="AC799" s="83">
        <f t="shared" si="647"/>
        <v>0</v>
      </c>
      <c r="AD799" s="83">
        <f t="shared" si="648"/>
        <v>0</v>
      </c>
      <c r="AE799" s="83">
        <f t="shared" si="649"/>
        <v>0</v>
      </c>
      <c r="AF799" s="83">
        <f t="shared" si="650"/>
        <v>0</v>
      </c>
      <c r="AG799" s="83">
        <f t="shared" si="651"/>
        <v>0</v>
      </c>
      <c r="AH799" s="83">
        <f t="shared" si="652"/>
        <v>0</v>
      </c>
      <c r="AI799" s="83">
        <f t="shared" si="653"/>
        <v>0</v>
      </c>
      <c r="AJ799" s="718">
        <f t="shared" si="654"/>
        <v>0</v>
      </c>
      <c r="AL799">
        <f t="shared" si="655"/>
        <v>0</v>
      </c>
      <c r="AM799">
        <f t="shared" si="656"/>
        <v>0</v>
      </c>
    </row>
    <row r="800" spans="1:39" ht="15.75" x14ac:dyDescent="0.25">
      <c r="A800" s="561"/>
      <c r="B800" s="561"/>
      <c r="C800" s="561"/>
      <c r="D800" s="672"/>
      <c r="E800" s="209"/>
      <c r="F800" s="209"/>
      <c r="G800" s="209"/>
      <c r="H800" s="176">
        <f t="shared" si="634"/>
        <v>0</v>
      </c>
      <c r="I800" s="209"/>
      <c r="J800" s="209"/>
      <c r="K800" s="176">
        <f t="shared" si="635"/>
        <v>0</v>
      </c>
      <c r="L800" s="209"/>
      <c r="M800" s="177">
        <f t="shared" si="636"/>
        <v>0</v>
      </c>
      <c r="N800" s="1012"/>
      <c r="O800" s="1012"/>
      <c r="P800" s="485"/>
      <c r="Q800" s="778"/>
      <c r="R800" s="778"/>
      <c r="S800" s="785" t="str">
        <f t="shared" si="639"/>
        <v/>
      </c>
      <c r="T800" s="548" t="str">
        <f t="shared" si="637"/>
        <v>Sheet Metal Takeoff</v>
      </c>
      <c r="U800" s="83">
        <f t="shared" si="640"/>
        <v>0</v>
      </c>
      <c r="V800" s="83">
        <f t="shared" si="641"/>
        <v>0</v>
      </c>
      <c r="W800" s="83">
        <f t="shared" si="642"/>
        <v>0</v>
      </c>
      <c r="X800" s="781">
        <f t="shared" si="643"/>
        <v>0</v>
      </c>
      <c r="Y800" s="781">
        <f t="shared" si="644"/>
        <v>0</v>
      </c>
      <c r="Z800" s="781">
        <f t="shared" si="645"/>
        <v>0</v>
      </c>
      <c r="AA800" s="83">
        <f t="shared" si="638"/>
        <v>0</v>
      </c>
      <c r="AB800" s="83">
        <f t="shared" si="646"/>
        <v>0</v>
      </c>
      <c r="AC800" s="83">
        <f t="shared" si="647"/>
        <v>0</v>
      </c>
      <c r="AD800" s="83">
        <f t="shared" si="648"/>
        <v>0</v>
      </c>
      <c r="AE800" s="83">
        <f t="shared" si="649"/>
        <v>0</v>
      </c>
      <c r="AF800" s="83">
        <f t="shared" si="650"/>
        <v>0</v>
      </c>
      <c r="AG800" s="83">
        <f t="shared" si="651"/>
        <v>0</v>
      </c>
      <c r="AH800" s="83">
        <f t="shared" si="652"/>
        <v>0</v>
      </c>
      <c r="AI800" s="83">
        <f t="shared" si="653"/>
        <v>0</v>
      </c>
      <c r="AJ800" s="718">
        <f t="shared" si="654"/>
        <v>0</v>
      </c>
      <c r="AL800">
        <f t="shared" si="655"/>
        <v>0</v>
      </c>
      <c r="AM800">
        <f t="shared" si="656"/>
        <v>0</v>
      </c>
    </row>
    <row r="801" spans="1:39" ht="15.75" x14ac:dyDescent="0.25">
      <c r="A801" s="561"/>
      <c r="B801" s="561"/>
      <c r="C801" s="561"/>
      <c r="D801" s="672"/>
      <c r="E801" s="209"/>
      <c r="F801" s="209"/>
      <c r="G801" s="209"/>
      <c r="H801" s="176">
        <f t="shared" si="634"/>
        <v>0</v>
      </c>
      <c r="I801" s="209"/>
      <c r="J801" s="209"/>
      <c r="K801" s="176">
        <f t="shared" si="635"/>
        <v>0</v>
      </c>
      <c r="L801" s="209"/>
      <c r="M801" s="177">
        <f t="shared" si="636"/>
        <v>0</v>
      </c>
      <c r="N801" s="1012"/>
      <c r="O801" s="1012"/>
      <c r="P801" s="485"/>
      <c r="Q801" s="778"/>
      <c r="R801" s="778"/>
      <c r="S801" s="785" t="str">
        <f t="shared" si="639"/>
        <v/>
      </c>
      <c r="T801" s="548" t="str">
        <f t="shared" si="637"/>
        <v>Sheet Metal Takeoff</v>
      </c>
      <c r="U801" s="83">
        <f t="shared" si="640"/>
        <v>0</v>
      </c>
      <c r="V801" s="83">
        <f t="shared" si="641"/>
        <v>0</v>
      </c>
      <c r="W801" s="83">
        <f t="shared" si="642"/>
        <v>0</v>
      </c>
      <c r="X801" s="781">
        <f t="shared" si="643"/>
        <v>0</v>
      </c>
      <c r="Y801" s="781">
        <f t="shared" si="644"/>
        <v>0</v>
      </c>
      <c r="Z801" s="781">
        <f t="shared" si="645"/>
        <v>0</v>
      </c>
      <c r="AA801" s="83">
        <f t="shared" si="638"/>
        <v>0</v>
      </c>
      <c r="AB801" s="83">
        <f t="shared" si="646"/>
        <v>0</v>
      </c>
      <c r="AC801" s="83">
        <f t="shared" si="647"/>
        <v>0</v>
      </c>
      <c r="AD801" s="83">
        <f t="shared" si="648"/>
        <v>0</v>
      </c>
      <c r="AE801" s="83">
        <f t="shared" si="649"/>
        <v>0</v>
      </c>
      <c r="AF801" s="83">
        <f t="shared" si="650"/>
        <v>0</v>
      </c>
      <c r="AG801" s="83">
        <f t="shared" si="651"/>
        <v>0</v>
      </c>
      <c r="AH801" s="83">
        <f t="shared" si="652"/>
        <v>0</v>
      </c>
      <c r="AI801" s="83">
        <f t="shared" si="653"/>
        <v>0</v>
      </c>
      <c r="AJ801" s="718">
        <f t="shared" si="654"/>
        <v>0</v>
      </c>
      <c r="AL801">
        <f t="shared" si="655"/>
        <v>0</v>
      </c>
      <c r="AM801">
        <f t="shared" si="656"/>
        <v>0</v>
      </c>
    </row>
    <row r="802" spans="1:39" ht="15.75" x14ac:dyDescent="0.25">
      <c r="A802" s="561"/>
      <c r="B802" s="561"/>
      <c r="C802" s="561"/>
      <c r="D802" s="672"/>
      <c r="E802" s="209"/>
      <c r="F802" s="209"/>
      <c r="G802" s="209"/>
      <c r="H802" s="176">
        <f t="shared" si="634"/>
        <v>0</v>
      </c>
      <c r="I802" s="209"/>
      <c r="J802" s="209"/>
      <c r="K802" s="176">
        <f t="shared" si="635"/>
        <v>0</v>
      </c>
      <c r="L802" s="209"/>
      <c r="M802" s="177">
        <f t="shared" si="636"/>
        <v>0</v>
      </c>
      <c r="N802" s="1012"/>
      <c r="O802" s="1012"/>
      <c r="P802" s="485"/>
      <c r="Q802" s="778"/>
      <c r="R802" s="778"/>
      <c r="S802" s="785" t="str">
        <f t="shared" si="639"/>
        <v/>
      </c>
      <c r="T802" s="548" t="str">
        <f t="shared" si="637"/>
        <v>Sheet Metal Takeoff</v>
      </c>
      <c r="U802" s="83">
        <f t="shared" si="640"/>
        <v>0</v>
      </c>
      <c r="V802" s="83">
        <f t="shared" si="641"/>
        <v>0</v>
      </c>
      <c r="W802" s="83">
        <f t="shared" si="642"/>
        <v>0</v>
      </c>
      <c r="X802" s="781">
        <f t="shared" si="643"/>
        <v>0</v>
      </c>
      <c r="Y802" s="781">
        <f t="shared" si="644"/>
        <v>0</v>
      </c>
      <c r="Z802" s="781">
        <f t="shared" si="645"/>
        <v>0</v>
      </c>
      <c r="AA802" s="83">
        <f t="shared" si="638"/>
        <v>0</v>
      </c>
      <c r="AB802" s="83">
        <f t="shared" si="646"/>
        <v>0</v>
      </c>
      <c r="AC802" s="83">
        <f t="shared" si="647"/>
        <v>0</v>
      </c>
      <c r="AD802" s="83">
        <f t="shared" si="648"/>
        <v>0</v>
      </c>
      <c r="AE802" s="83">
        <f t="shared" si="649"/>
        <v>0</v>
      </c>
      <c r="AF802" s="83">
        <f t="shared" si="650"/>
        <v>0</v>
      </c>
      <c r="AG802" s="83">
        <f t="shared" si="651"/>
        <v>0</v>
      </c>
      <c r="AH802" s="83">
        <f t="shared" si="652"/>
        <v>0</v>
      </c>
      <c r="AI802" s="83">
        <f t="shared" si="653"/>
        <v>0</v>
      </c>
      <c r="AJ802" s="718">
        <f t="shared" si="654"/>
        <v>0</v>
      </c>
      <c r="AL802">
        <f t="shared" si="655"/>
        <v>0</v>
      </c>
      <c r="AM802">
        <f t="shared" si="656"/>
        <v>0</v>
      </c>
    </row>
    <row r="803" spans="1:39" ht="15.75" x14ac:dyDescent="0.25">
      <c r="A803" s="561"/>
      <c r="B803" s="561"/>
      <c r="C803" s="561"/>
      <c r="D803" s="672"/>
      <c r="E803" s="209"/>
      <c r="F803" s="209"/>
      <c r="G803" s="209"/>
      <c r="H803" s="176">
        <f t="shared" si="634"/>
        <v>0</v>
      </c>
      <c r="I803" s="209"/>
      <c r="J803" s="209"/>
      <c r="K803" s="176">
        <f t="shared" si="635"/>
        <v>0</v>
      </c>
      <c r="L803" s="209"/>
      <c r="M803" s="177">
        <f t="shared" si="636"/>
        <v>0</v>
      </c>
      <c r="N803" s="1012"/>
      <c r="O803" s="1012"/>
      <c r="P803" s="485"/>
      <c r="Q803" s="778"/>
      <c r="R803" s="778"/>
      <c r="S803" s="785" t="str">
        <f t="shared" si="639"/>
        <v/>
      </c>
      <c r="T803" s="548" t="str">
        <f t="shared" si="637"/>
        <v>Sheet Metal Takeoff</v>
      </c>
      <c r="U803" s="83">
        <f t="shared" si="640"/>
        <v>0</v>
      </c>
      <c r="V803" s="83">
        <f t="shared" si="641"/>
        <v>0</v>
      </c>
      <c r="W803" s="83">
        <f t="shared" si="642"/>
        <v>0</v>
      </c>
      <c r="X803" s="781">
        <f t="shared" si="643"/>
        <v>0</v>
      </c>
      <c r="Y803" s="781">
        <f t="shared" si="644"/>
        <v>0</v>
      </c>
      <c r="Z803" s="781">
        <f t="shared" si="645"/>
        <v>0</v>
      </c>
      <c r="AA803" s="83">
        <f t="shared" si="638"/>
        <v>0</v>
      </c>
      <c r="AB803" s="83">
        <f t="shared" si="646"/>
        <v>0</v>
      </c>
      <c r="AC803" s="83">
        <f t="shared" si="647"/>
        <v>0</v>
      </c>
      <c r="AD803" s="83">
        <f t="shared" si="648"/>
        <v>0</v>
      </c>
      <c r="AE803" s="83">
        <f t="shared" si="649"/>
        <v>0</v>
      </c>
      <c r="AF803" s="83">
        <f t="shared" si="650"/>
        <v>0</v>
      </c>
      <c r="AG803" s="83">
        <f t="shared" si="651"/>
        <v>0</v>
      </c>
      <c r="AH803" s="83">
        <f t="shared" si="652"/>
        <v>0</v>
      </c>
      <c r="AI803" s="83">
        <f t="shared" si="653"/>
        <v>0</v>
      </c>
      <c r="AJ803" s="718">
        <f t="shared" si="654"/>
        <v>0</v>
      </c>
      <c r="AL803">
        <f t="shared" si="655"/>
        <v>0</v>
      </c>
      <c r="AM803">
        <f t="shared" si="656"/>
        <v>0</v>
      </c>
    </row>
    <row r="804" spans="1:39" ht="15.75" x14ac:dyDescent="0.25">
      <c r="A804" s="561"/>
      <c r="B804" s="561"/>
      <c r="C804" s="561"/>
      <c r="D804" s="672"/>
      <c r="E804" s="209"/>
      <c r="F804" s="209"/>
      <c r="G804" s="209"/>
      <c r="H804" s="176">
        <f t="shared" si="634"/>
        <v>0</v>
      </c>
      <c r="I804" s="209"/>
      <c r="J804" s="209"/>
      <c r="K804" s="176">
        <f t="shared" si="635"/>
        <v>0</v>
      </c>
      <c r="L804" s="209"/>
      <c r="M804" s="177">
        <f t="shared" si="636"/>
        <v>0</v>
      </c>
      <c r="N804" s="1012"/>
      <c r="O804" s="1012"/>
      <c r="P804" s="485"/>
      <c r="Q804" s="778"/>
      <c r="R804" s="778"/>
      <c r="S804" s="785" t="str">
        <f t="shared" si="639"/>
        <v/>
      </c>
      <c r="T804" s="548" t="str">
        <f t="shared" si="637"/>
        <v>Sheet Metal Takeoff</v>
      </c>
      <c r="U804" s="83">
        <f t="shared" si="640"/>
        <v>0</v>
      </c>
      <c r="V804" s="83">
        <f t="shared" si="641"/>
        <v>0</v>
      </c>
      <c r="W804" s="83">
        <f t="shared" si="642"/>
        <v>0</v>
      </c>
      <c r="X804" s="781">
        <f t="shared" si="643"/>
        <v>0</v>
      </c>
      <c r="Y804" s="781">
        <f t="shared" si="644"/>
        <v>0</v>
      </c>
      <c r="Z804" s="781">
        <f t="shared" si="645"/>
        <v>0</v>
      </c>
      <c r="AA804" s="83">
        <f t="shared" si="638"/>
        <v>0</v>
      </c>
      <c r="AB804" s="83">
        <f t="shared" si="646"/>
        <v>0</v>
      </c>
      <c r="AC804" s="83">
        <f t="shared" si="647"/>
        <v>0</v>
      </c>
      <c r="AD804" s="83">
        <f t="shared" si="648"/>
        <v>0</v>
      </c>
      <c r="AE804" s="83">
        <f t="shared" si="649"/>
        <v>0</v>
      </c>
      <c r="AF804" s="83">
        <f t="shared" si="650"/>
        <v>0</v>
      </c>
      <c r="AG804" s="83">
        <f t="shared" si="651"/>
        <v>0</v>
      </c>
      <c r="AH804" s="83">
        <f t="shared" si="652"/>
        <v>0</v>
      </c>
      <c r="AI804" s="83">
        <f t="shared" si="653"/>
        <v>0</v>
      </c>
      <c r="AJ804" s="718">
        <f t="shared" si="654"/>
        <v>0</v>
      </c>
      <c r="AL804">
        <f t="shared" si="655"/>
        <v>0</v>
      </c>
      <c r="AM804">
        <f t="shared" si="656"/>
        <v>0</v>
      </c>
    </row>
    <row r="805" spans="1:39" ht="15.75" x14ac:dyDescent="0.25">
      <c r="A805" s="561"/>
      <c r="B805" s="561"/>
      <c r="C805" s="561"/>
      <c r="D805" s="672"/>
      <c r="E805" s="209"/>
      <c r="F805" s="209"/>
      <c r="G805" s="209"/>
      <c r="H805" s="176">
        <f t="shared" si="634"/>
        <v>0</v>
      </c>
      <c r="I805" s="209"/>
      <c r="J805" s="209"/>
      <c r="K805" s="176">
        <f t="shared" si="635"/>
        <v>0</v>
      </c>
      <c r="L805" s="209"/>
      <c r="M805" s="177">
        <f t="shared" si="636"/>
        <v>0</v>
      </c>
      <c r="N805" s="1012"/>
      <c r="O805" s="1012"/>
      <c r="P805" s="485"/>
      <c r="Q805" s="778"/>
      <c r="R805" s="778"/>
      <c r="S805" s="785" t="str">
        <f t="shared" si="639"/>
        <v/>
      </c>
      <c r="T805" s="548" t="str">
        <f t="shared" si="637"/>
        <v>Sheet Metal Takeoff</v>
      </c>
      <c r="U805" s="83">
        <f t="shared" si="640"/>
        <v>0</v>
      </c>
      <c r="V805" s="83">
        <f t="shared" si="641"/>
        <v>0</v>
      </c>
      <c r="W805" s="83">
        <f t="shared" si="642"/>
        <v>0</v>
      </c>
      <c r="X805" s="781">
        <f t="shared" si="643"/>
        <v>0</v>
      </c>
      <c r="Y805" s="781">
        <f t="shared" si="644"/>
        <v>0</v>
      </c>
      <c r="Z805" s="781">
        <f t="shared" si="645"/>
        <v>0</v>
      </c>
      <c r="AA805" s="83">
        <f t="shared" si="638"/>
        <v>0</v>
      </c>
      <c r="AB805" s="83">
        <f t="shared" si="646"/>
        <v>0</v>
      </c>
      <c r="AC805" s="83">
        <f t="shared" si="647"/>
        <v>0</v>
      </c>
      <c r="AD805" s="83">
        <f t="shared" si="648"/>
        <v>0</v>
      </c>
      <c r="AE805" s="83">
        <f t="shared" si="649"/>
        <v>0</v>
      </c>
      <c r="AF805" s="83">
        <f t="shared" si="650"/>
        <v>0</v>
      </c>
      <c r="AG805" s="83">
        <f t="shared" si="651"/>
        <v>0</v>
      </c>
      <c r="AH805" s="83">
        <f t="shared" si="652"/>
        <v>0</v>
      </c>
      <c r="AI805" s="83">
        <f t="shared" si="653"/>
        <v>0</v>
      </c>
      <c r="AJ805" s="718">
        <f t="shared" si="654"/>
        <v>0</v>
      </c>
      <c r="AL805">
        <f t="shared" si="655"/>
        <v>0</v>
      </c>
      <c r="AM805">
        <f t="shared" si="656"/>
        <v>0</v>
      </c>
    </row>
    <row r="806" spans="1:39" ht="15.75" x14ac:dyDescent="0.25">
      <c r="A806" s="561"/>
      <c r="B806" s="561"/>
      <c r="C806" s="561"/>
      <c r="D806" s="672"/>
      <c r="E806" s="209"/>
      <c r="F806" s="209"/>
      <c r="G806" s="209"/>
      <c r="H806" s="176">
        <f t="shared" si="634"/>
        <v>0</v>
      </c>
      <c r="I806" s="209"/>
      <c r="J806" s="209"/>
      <c r="K806" s="176">
        <f t="shared" si="635"/>
        <v>0</v>
      </c>
      <c r="L806" s="209"/>
      <c r="M806" s="177">
        <f t="shared" si="636"/>
        <v>0</v>
      </c>
      <c r="N806" s="1012"/>
      <c r="O806" s="1012"/>
      <c r="P806" s="485"/>
      <c r="Q806" s="778"/>
      <c r="R806" s="778"/>
      <c r="S806" s="785" t="str">
        <f t="shared" si="639"/>
        <v/>
      </c>
      <c r="T806" s="548" t="str">
        <f t="shared" si="637"/>
        <v>Sheet Metal Takeoff</v>
      </c>
      <c r="U806" s="83">
        <f t="shared" si="640"/>
        <v>0</v>
      </c>
      <c r="V806" s="83">
        <f t="shared" si="641"/>
        <v>0</v>
      </c>
      <c r="W806" s="83">
        <f t="shared" si="642"/>
        <v>0</v>
      </c>
      <c r="X806" s="781">
        <f t="shared" si="643"/>
        <v>0</v>
      </c>
      <c r="Y806" s="781">
        <f t="shared" si="644"/>
        <v>0</v>
      </c>
      <c r="Z806" s="781">
        <f t="shared" si="645"/>
        <v>0</v>
      </c>
      <c r="AA806" s="83">
        <f t="shared" si="638"/>
        <v>0</v>
      </c>
      <c r="AB806" s="83">
        <f t="shared" si="646"/>
        <v>0</v>
      </c>
      <c r="AC806" s="83">
        <f t="shared" si="647"/>
        <v>0</v>
      </c>
      <c r="AD806" s="83">
        <f t="shared" si="648"/>
        <v>0</v>
      </c>
      <c r="AE806" s="83">
        <f t="shared" si="649"/>
        <v>0</v>
      </c>
      <c r="AF806" s="83">
        <f t="shared" si="650"/>
        <v>0</v>
      </c>
      <c r="AG806" s="83">
        <f t="shared" si="651"/>
        <v>0</v>
      </c>
      <c r="AH806" s="83">
        <f t="shared" si="652"/>
        <v>0</v>
      </c>
      <c r="AI806" s="83">
        <f t="shared" si="653"/>
        <v>0</v>
      </c>
      <c r="AJ806" s="718">
        <f t="shared" si="654"/>
        <v>0</v>
      </c>
      <c r="AL806">
        <f t="shared" si="655"/>
        <v>0</v>
      </c>
      <c r="AM806">
        <f t="shared" si="656"/>
        <v>0</v>
      </c>
    </row>
    <row r="807" spans="1:39" ht="15.75" x14ac:dyDescent="0.25">
      <c r="A807" s="561"/>
      <c r="B807" s="561"/>
      <c r="C807" s="561"/>
      <c r="D807" s="672"/>
      <c r="E807" s="209"/>
      <c r="F807" s="209"/>
      <c r="G807" s="209"/>
      <c r="H807" s="176">
        <f t="shared" si="634"/>
        <v>0</v>
      </c>
      <c r="I807" s="209"/>
      <c r="J807" s="209"/>
      <c r="K807" s="176">
        <f t="shared" si="635"/>
        <v>0</v>
      </c>
      <c r="L807" s="209"/>
      <c r="M807" s="177">
        <f t="shared" si="636"/>
        <v>0</v>
      </c>
      <c r="N807" s="1012"/>
      <c r="O807" s="1012"/>
      <c r="P807" s="485"/>
      <c r="Q807" s="778"/>
      <c r="R807" s="778"/>
      <c r="S807" s="785" t="str">
        <f t="shared" si="639"/>
        <v/>
      </c>
      <c r="T807" s="548" t="str">
        <f t="shared" si="637"/>
        <v>Sheet Metal Takeoff</v>
      </c>
      <c r="U807" s="83">
        <f t="shared" si="640"/>
        <v>0</v>
      </c>
      <c r="V807" s="83">
        <f t="shared" si="641"/>
        <v>0</v>
      </c>
      <c r="W807" s="83">
        <f t="shared" si="642"/>
        <v>0</v>
      </c>
      <c r="X807" s="781">
        <f t="shared" si="643"/>
        <v>0</v>
      </c>
      <c r="Y807" s="781">
        <f t="shared" si="644"/>
        <v>0</v>
      </c>
      <c r="Z807" s="781">
        <f t="shared" si="645"/>
        <v>0</v>
      </c>
      <c r="AA807" s="83">
        <f t="shared" si="638"/>
        <v>0</v>
      </c>
      <c r="AB807" s="83">
        <f t="shared" si="646"/>
        <v>0</v>
      </c>
      <c r="AC807" s="83">
        <f t="shared" si="647"/>
        <v>0</v>
      </c>
      <c r="AD807" s="83">
        <f t="shared" si="648"/>
        <v>0</v>
      </c>
      <c r="AE807" s="83">
        <f t="shared" si="649"/>
        <v>0</v>
      </c>
      <c r="AF807" s="83">
        <f t="shared" si="650"/>
        <v>0</v>
      </c>
      <c r="AG807" s="83">
        <f t="shared" si="651"/>
        <v>0</v>
      </c>
      <c r="AH807" s="83">
        <f t="shared" si="652"/>
        <v>0</v>
      </c>
      <c r="AI807" s="83">
        <f t="shared" si="653"/>
        <v>0</v>
      </c>
      <c r="AJ807" s="718">
        <f t="shared" si="654"/>
        <v>0</v>
      </c>
      <c r="AL807">
        <f t="shared" si="655"/>
        <v>0</v>
      </c>
      <c r="AM807">
        <f t="shared" si="656"/>
        <v>0</v>
      </c>
    </row>
    <row r="808" spans="1:39" ht="15.75" x14ac:dyDescent="0.25">
      <c r="A808" s="561"/>
      <c r="B808" s="561"/>
      <c r="C808" s="561"/>
      <c r="D808" s="672"/>
      <c r="E808" s="209"/>
      <c r="F808" s="209"/>
      <c r="G808" s="209"/>
      <c r="H808" s="176">
        <f t="shared" si="634"/>
        <v>0</v>
      </c>
      <c r="I808" s="209"/>
      <c r="J808" s="209"/>
      <c r="K808" s="176">
        <f t="shared" si="635"/>
        <v>0</v>
      </c>
      <c r="L808" s="209"/>
      <c r="M808" s="177">
        <f t="shared" si="636"/>
        <v>0</v>
      </c>
      <c r="N808" s="1012"/>
      <c r="O808" s="1012"/>
      <c r="P808" s="485"/>
      <c r="Q808" s="778"/>
      <c r="R808" s="778"/>
      <c r="S808" s="785" t="str">
        <f t="shared" si="639"/>
        <v/>
      </c>
      <c r="T808" s="548" t="str">
        <f t="shared" si="637"/>
        <v>Sheet Metal Takeoff</v>
      </c>
      <c r="U808" s="83">
        <f t="shared" si="640"/>
        <v>0</v>
      </c>
      <c r="V808" s="83">
        <f t="shared" si="641"/>
        <v>0</v>
      </c>
      <c r="W808" s="83">
        <f t="shared" si="642"/>
        <v>0</v>
      </c>
      <c r="X808" s="781">
        <f t="shared" si="643"/>
        <v>0</v>
      </c>
      <c r="Y808" s="781">
        <f t="shared" si="644"/>
        <v>0</v>
      </c>
      <c r="Z808" s="781">
        <f t="shared" si="645"/>
        <v>0</v>
      </c>
      <c r="AA808" s="83">
        <f t="shared" si="638"/>
        <v>0</v>
      </c>
      <c r="AB808" s="83">
        <f t="shared" si="646"/>
        <v>0</v>
      </c>
      <c r="AC808" s="83">
        <f t="shared" si="647"/>
        <v>0</v>
      </c>
      <c r="AD808" s="83">
        <f t="shared" si="648"/>
        <v>0</v>
      </c>
      <c r="AE808" s="83">
        <f t="shared" si="649"/>
        <v>0</v>
      </c>
      <c r="AF808" s="83">
        <f t="shared" si="650"/>
        <v>0</v>
      </c>
      <c r="AG808" s="83">
        <f t="shared" si="651"/>
        <v>0</v>
      </c>
      <c r="AH808" s="83">
        <f t="shared" si="652"/>
        <v>0</v>
      </c>
      <c r="AI808" s="83">
        <f t="shared" si="653"/>
        <v>0</v>
      </c>
      <c r="AJ808" s="718">
        <f t="shared" si="654"/>
        <v>0</v>
      </c>
      <c r="AL808">
        <f t="shared" si="655"/>
        <v>0</v>
      </c>
      <c r="AM808">
        <f t="shared" si="656"/>
        <v>0</v>
      </c>
    </row>
    <row r="809" spans="1:39" ht="15.75" x14ac:dyDescent="0.25">
      <c r="A809" s="561"/>
      <c r="B809" s="561"/>
      <c r="C809" s="561"/>
      <c r="D809" s="672"/>
      <c r="E809" s="209"/>
      <c r="F809" s="209"/>
      <c r="G809" s="209"/>
      <c r="H809" s="176">
        <f t="shared" si="634"/>
        <v>0</v>
      </c>
      <c r="I809" s="209"/>
      <c r="J809" s="209"/>
      <c r="K809" s="176">
        <f t="shared" si="635"/>
        <v>0</v>
      </c>
      <c r="L809" s="209"/>
      <c r="M809" s="177">
        <f t="shared" si="636"/>
        <v>0</v>
      </c>
      <c r="N809" s="1012"/>
      <c r="O809" s="1012"/>
      <c r="P809" s="485"/>
      <c r="Q809" s="778"/>
      <c r="R809" s="778"/>
      <c r="S809" s="785" t="str">
        <f t="shared" si="639"/>
        <v/>
      </c>
      <c r="T809" s="548" t="str">
        <f t="shared" si="637"/>
        <v>Sheet Metal Takeoff</v>
      </c>
      <c r="U809" s="83">
        <f t="shared" si="640"/>
        <v>0</v>
      </c>
      <c r="V809" s="83">
        <f t="shared" si="641"/>
        <v>0</v>
      </c>
      <c r="W809" s="83">
        <f t="shared" si="642"/>
        <v>0</v>
      </c>
      <c r="X809" s="781">
        <f t="shared" si="643"/>
        <v>0</v>
      </c>
      <c r="Y809" s="781">
        <f t="shared" si="644"/>
        <v>0</v>
      </c>
      <c r="Z809" s="781">
        <f t="shared" si="645"/>
        <v>0</v>
      </c>
      <c r="AA809" s="83">
        <f t="shared" si="638"/>
        <v>0</v>
      </c>
      <c r="AB809" s="83">
        <f t="shared" si="646"/>
        <v>0</v>
      </c>
      <c r="AC809" s="83">
        <f t="shared" si="647"/>
        <v>0</v>
      </c>
      <c r="AD809" s="83">
        <f t="shared" si="648"/>
        <v>0</v>
      </c>
      <c r="AE809" s="83">
        <f t="shared" si="649"/>
        <v>0</v>
      </c>
      <c r="AF809" s="83">
        <f t="shared" si="650"/>
        <v>0</v>
      </c>
      <c r="AG809" s="83">
        <f t="shared" si="651"/>
        <v>0</v>
      </c>
      <c r="AH809" s="83">
        <f t="shared" si="652"/>
        <v>0</v>
      </c>
      <c r="AI809" s="83">
        <f t="shared" si="653"/>
        <v>0</v>
      </c>
      <c r="AJ809" s="718">
        <f t="shared" si="654"/>
        <v>0</v>
      </c>
      <c r="AL809">
        <f t="shared" si="655"/>
        <v>0</v>
      </c>
      <c r="AM809">
        <f t="shared" si="656"/>
        <v>0</v>
      </c>
    </row>
    <row r="810" spans="1:39" ht="15.75" x14ac:dyDescent="0.25">
      <c r="A810" s="561"/>
      <c r="B810" s="561"/>
      <c r="C810" s="561"/>
      <c r="D810" s="672"/>
      <c r="E810" s="209"/>
      <c r="F810" s="209"/>
      <c r="G810" s="209"/>
      <c r="H810" s="176">
        <f t="shared" si="634"/>
        <v>0</v>
      </c>
      <c r="I810" s="209"/>
      <c r="J810" s="209"/>
      <c r="K810" s="176">
        <f t="shared" si="635"/>
        <v>0</v>
      </c>
      <c r="L810" s="209"/>
      <c r="M810" s="177">
        <f t="shared" si="636"/>
        <v>0</v>
      </c>
      <c r="N810" s="1012"/>
      <c r="O810" s="1012"/>
      <c r="P810" s="485"/>
      <c r="Q810" s="778"/>
      <c r="R810" s="778"/>
      <c r="S810" s="785" t="str">
        <f t="shared" si="639"/>
        <v/>
      </c>
      <c r="T810" s="548" t="str">
        <f t="shared" si="637"/>
        <v>Sheet Metal Takeoff</v>
      </c>
      <c r="U810" s="83">
        <f t="shared" si="640"/>
        <v>0</v>
      </c>
      <c r="V810" s="83">
        <f t="shared" si="641"/>
        <v>0</v>
      </c>
      <c r="W810" s="83">
        <f t="shared" si="642"/>
        <v>0</v>
      </c>
      <c r="X810" s="781">
        <f t="shared" si="643"/>
        <v>0</v>
      </c>
      <c r="Y810" s="781">
        <f t="shared" si="644"/>
        <v>0</v>
      </c>
      <c r="Z810" s="781">
        <f t="shared" si="645"/>
        <v>0</v>
      </c>
      <c r="AA810" s="83">
        <f t="shared" si="638"/>
        <v>0</v>
      </c>
      <c r="AB810" s="83">
        <f t="shared" si="646"/>
        <v>0</v>
      </c>
      <c r="AC810" s="83">
        <f t="shared" si="647"/>
        <v>0</v>
      </c>
      <c r="AD810" s="83">
        <f t="shared" si="648"/>
        <v>0</v>
      </c>
      <c r="AE810" s="83">
        <f t="shared" si="649"/>
        <v>0</v>
      </c>
      <c r="AF810" s="83">
        <f t="shared" si="650"/>
        <v>0</v>
      </c>
      <c r="AG810" s="83">
        <f t="shared" si="651"/>
        <v>0</v>
      </c>
      <c r="AH810" s="83">
        <f t="shared" si="652"/>
        <v>0</v>
      </c>
      <c r="AI810" s="83">
        <f t="shared" si="653"/>
        <v>0</v>
      </c>
      <c r="AJ810" s="718">
        <f t="shared" si="654"/>
        <v>0</v>
      </c>
      <c r="AL810">
        <f t="shared" si="655"/>
        <v>0</v>
      </c>
      <c r="AM810">
        <f t="shared" si="656"/>
        <v>0</v>
      </c>
    </row>
    <row r="811" spans="1:39" ht="15.75" x14ac:dyDescent="0.25">
      <c r="A811" s="561"/>
      <c r="B811" s="561"/>
      <c r="C811" s="561"/>
      <c r="D811" s="672"/>
      <c r="E811" s="209"/>
      <c r="F811" s="209"/>
      <c r="G811" s="209"/>
      <c r="H811" s="176">
        <f t="shared" si="634"/>
        <v>0</v>
      </c>
      <c r="I811" s="209"/>
      <c r="J811" s="209"/>
      <c r="K811" s="176">
        <f t="shared" si="635"/>
        <v>0</v>
      </c>
      <c r="L811" s="209"/>
      <c r="M811" s="177">
        <f t="shared" si="636"/>
        <v>0</v>
      </c>
      <c r="N811" s="1012"/>
      <c r="O811" s="1012"/>
      <c r="P811" s="485"/>
      <c r="Q811" s="778"/>
      <c r="R811" s="778"/>
      <c r="S811" s="785" t="str">
        <f t="shared" si="639"/>
        <v/>
      </c>
      <c r="T811" s="548" t="str">
        <f t="shared" si="637"/>
        <v>Sheet Metal Takeoff</v>
      </c>
      <c r="U811" s="83">
        <f t="shared" si="640"/>
        <v>0</v>
      </c>
      <c r="V811" s="83">
        <f t="shared" si="641"/>
        <v>0</v>
      </c>
      <c r="W811" s="83">
        <f t="shared" si="642"/>
        <v>0</v>
      </c>
      <c r="X811" s="781">
        <f t="shared" si="643"/>
        <v>0</v>
      </c>
      <c r="Y811" s="781">
        <f t="shared" si="644"/>
        <v>0</v>
      </c>
      <c r="Z811" s="781">
        <f t="shared" si="645"/>
        <v>0</v>
      </c>
      <c r="AA811" s="83">
        <f t="shared" si="638"/>
        <v>0</v>
      </c>
      <c r="AB811" s="83">
        <f t="shared" si="646"/>
        <v>0</v>
      </c>
      <c r="AC811" s="83">
        <f t="shared" si="647"/>
        <v>0</v>
      </c>
      <c r="AD811" s="83">
        <f t="shared" si="648"/>
        <v>0</v>
      </c>
      <c r="AE811" s="83">
        <f t="shared" si="649"/>
        <v>0</v>
      </c>
      <c r="AF811" s="83">
        <f t="shared" si="650"/>
        <v>0</v>
      </c>
      <c r="AG811" s="83">
        <f t="shared" si="651"/>
        <v>0</v>
      </c>
      <c r="AH811" s="83">
        <f t="shared" si="652"/>
        <v>0</v>
      </c>
      <c r="AI811" s="83">
        <f t="shared" si="653"/>
        <v>0</v>
      </c>
      <c r="AJ811" s="718">
        <f t="shared" si="654"/>
        <v>0</v>
      </c>
      <c r="AL811">
        <f t="shared" si="655"/>
        <v>0</v>
      </c>
      <c r="AM811">
        <f t="shared" si="656"/>
        <v>0</v>
      </c>
    </row>
    <row r="812" spans="1:39" ht="15.75" x14ac:dyDescent="0.25">
      <c r="A812" s="561"/>
      <c r="B812" s="561"/>
      <c r="C812" s="561"/>
      <c r="D812" s="672"/>
      <c r="E812" s="209"/>
      <c r="F812" s="209"/>
      <c r="G812" s="209"/>
      <c r="H812" s="176">
        <f t="shared" si="634"/>
        <v>0</v>
      </c>
      <c r="I812" s="209"/>
      <c r="J812" s="209"/>
      <c r="K812" s="176">
        <f t="shared" si="635"/>
        <v>0</v>
      </c>
      <c r="L812" s="209"/>
      <c r="M812" s="177">
        <f t="shared" si="636"/>
        <v>0</v>
      </c>
      <c r="N812" s="1012"/>
      <c r="O812" s="1012"/>
      <c r="P812" s="485"/>
      <c r="Q812" s="778"/>
      <c r="R812" s="778"/>
      <c r="S812" s="785" t="str">
        <f t="shared" si="639"/>
        <v/>
      </c>
      <c r="T812" s="548" t="str">
        <f t="shared" si="637"/>
        <v>Sheet Metal Takeoff</v>
      </c>
      <c r="U812" s="83">
        <f t="shared" si="640"/>
        <v>0</v>
      </c>
      <c r="V812" s="83">
        <f t="shared" si="641"/>
        <v>0</v>
      </c>
      <c r="W812" s="83">
        <f t="shared" si="642"/>
        <v>0</v>
      </c>
      <c r="X812" s="781">
        <f t="shared" si="643"/>
        <v>0</v>
      </c>
      <c r="Y812" s="781">
        <f t="shared" si="644"/>
        <v>0</v>
      </c>
      <c r="Z812" s="781">
        <f t="shared" si="645"/>
        <v>0</v>
      </c>
      <c r="AA812" s="83">
        <f t="shared" si="638"/>
        <v>0</v>
      </c>
      <c r="AB812" s="83">
        <f t="shared" si="646"/>
        <v>0</v>
      </c>
      <c r="AC812" s="83">
        <f t="shared" si="647"/>
        <v>0</v>
      </c>
      <c r="AD812" s="83">
        <f t="shared" si="648"/>
        <v>0</v>
      </c>
      <c r="AE812" s="83">
        <f t="shared" si="649"/>
        <v>0</v>
      </c>
      <c r="AF812" s="83">
        <f t="shared" si="650"/>
        <v>0</v>
      </c>
      <c r="AG812" s="83">
        <f t="shared" si="651"/>
        <v>0</v>
      </c>
      <c r="AH812" s="83">
        <f t="shared" si="652"/>
        <v>0</v>
      </c>
      <c r="AI812" s="83">
        <f t="shared" si="653"/>
        <v>0</v>
      </c>
      <c r="AJ812" s="718">
        <f t="shared" si="654"/>
        <v>0</v>
      </c>
      <c r="AL812">
        <f t="shared" si="655"/>
        <v>0</v>
      </c>
      <c r="AM812">
        <f t="shared" si="656"/>
        <v>0</v>
      </c>
    </row>
    <row r="813" spans="1:39" ht="15.75" x14ac:dyDescent="0.25">
      <c r="A813" s="561"/>
      <c r="B813" s="561"/>
      <c r="C813" s="561"/>
      <c r="D813" s="672"/>
      <c r="E813" s="209"/>
      <c r="F813" s="209"/>
      <c r="G813" s="209"/>
      <c r="H813" s="176">
        <f t="shared" si="634"/>
        <v>0</v>
      </c>
      <c r="I813" s="209"/>
      <c r="J813" s="209"/>
      <c r="K813" s="176">
        <f t="shared" si="635"/>
        <v>0</v>
      </c>
      <c r="L813" s="209"/>
      <c r="M813" s="177">
        <f t="shared" si="636"/>
        <v>0</v>
      </c>
      <c r="N813" s="1012"/>
      <c r="O813" s="1012"/>
      <c r="P813" s="485"/>
      <c r="Q813" s="778"/>
      <c r="R813" s="778"/>
      <c r="S813" s="785" t="str">
        <f t="shared" si="639"/>
        <v/>
      </c>
      <c r="T813" s="548" t="str">
        <f t="shared" si="637"/>
        <v>Sheet Metal Takeoff</v>
      </c>
      <c r="U813" s="83">
        <f t="shared" si="640"/>
        <v>0</v>
      </c>
      <c r="V813" s="83">
        <f t="shared" si="641"/>
        <v>0</v>
      </c>
      <c r="W813" s="83">
        <f t="shared" si="642"/>
        <v>0</v>
      </c>
      <c r="X813" s="781">
        <f t="shared" si="643"/>
        <v>0</v>
      </c>
      <c r="Y813" s="781">
        <f t="shared" si="644"/>
        <v>0</v>
      </c>
      <c r="Z813" s="781">
        <f t="shared" si="645"/>
        <v>0</v>
      </c>
      <c r="AA813" s="83">
        <f t="shared" si="638"/>
        <v>0</v>
      </c>
      <c r="AB813" s="83">
        <f t="shared" si="646"/>
        <v>0</v>
      </c>
      <c r="AC813" s="83">
        <f t="shared" si="647"/>
        <v>0</v>
      </c>
      <c r="AD813" s="83">
        <f t="shared" si="648"/>
        <v>0</v>
      </c>
      <c r="AE813" s="83">
        <f t="shared" si="649"/>
        <v>0</v>
      </c>
      <c r="AF813" s="83">
        <f t="shared" si="650"/>
        <v>0</v>
      </c>
      <c r="AG813" s="83">
        <f t="shared" si="651"/>
        <v>0</v>
      </c>
      <c r="AH813" s="83">
        <f t="shared" si="652"/>
        <v>0</v>
      </c>
      <c r="AI813" s="83">
        <f t="shared" si="653"/>
        <v>0</v>
      </c>
      <c r="AJ813" s="718">
        <f t="shared" si="654"/>
        <v>0</v>
      </c>
      <c r="AL813">
        <f t="shared" si="655"/>
        <v>0</v>
      </c>
      <c r="AM813">
        <f t="shared" si="656"/>
        <v>0</v>
      </c>
    </row>
    <row r="814" spans="1:39" ht="15.75" x14ac:dyDescent="0.25">
      <c r="A814" s="561"/>
      <c r="B814" s="561"/>
      <c r="C814" s="561"/>
      <c r="D814" s="672"/>
      <c r="E814" s="209"/>
      <c r="F814" s="209"/>
      <c r="G814" s="209"/>
      <c r="H814" s="176">
        <f t="shared" si="634"/>
        <v>0</v>
      </c>
      <c r="I814" s="209"/>
      <c r="J814" s="209"/>
      <c r="K814" s="176">
        <f t="shared" si="635"/>
        <v>0</v>
      </c>
      <c r="L814" s="209"/>
      <c r="M814" s="177">
        <f t="shared" si="636"/>
        <v>0</v>
      </c>
      <c r="N814" s="1012"/>
      <c r="O814" s="1012"/>
      <c r="P814" s="485"/>
      <c r="Q814" s="778"/>
      <c r="R814" s="778"/>
      <c r="S814" s="785" t="str">
        <f t="shared" si="639"/>
        <v/>
      </c>
      <c r="T814" s="548" t="str">
        <f t="shared" si="637"/>
        <v>Sheet Metal Takeoff</v>
      </c>
      <c r="U814" s="83">
        <f t="shared" si="640"/>
        <v>0</v>
      </c>
      <c r="V814" s="83">
        <f t="shared" si="641"/>
        <v>0</v>
      </c>
      <c r="W814" s="83">
        <f t="shared" si="642"/>
        <v>0</v>
      </c>
      <c r="X814" s="781">
        <f t="shared" si="643"/>
        <v>0</v>
      </c>
      <c r="Y814" s="781">
        <f t="shared" si="644"/>
        <v>0</v>
      </c>
      <c r="Z814" s="781">
        <f t="shared" si="645"/>
        <v>0</v>
      </c>
      <c r="AA814" s="83">
        <f t="shared" si="638"/>
        <v>0</v>
      </c>
      <c r="AB814" s="83">
        <f t="shared" si="646"/>
        <v>0</v>
      </c>
      <c r="AC814" s="83">
        <f t="shared" si="647"/>
        <v>0</v>
      </c>
      <c r="AD814" s="83">
        <f t="shared" si="648"/>
        <v>0</v>
      </c>
      <c r="AE814" s="83">
        <f t="shared" si="649"/>
        <v>0</v>
      </c>
      <c r="AF814" s="83">
        <f t="shared" si="650"/>
        <v>0</v>
      </c>
      <c r="AG814" s="83">
        <f t="shared" si="651"/>
        <v>0</v>
      </c>
      <c r="AH814" s="83">
        <f t="shared" si="652"/>
        <v>0</v>
      </c>
      <c r="AI814" s="83">
        <f t="shared" si="653"/>
        <v>0</v>
      </c>
      <c r="AJ814" s="718">
        <f t="shared" si="654"/>
        <v>0</v>
      </c>
      <c r="AL814">
        <f t="shared" si="655"/>
        <v>0</v>
      </c>
      <c r="AM814">
        <f t="shared" si="656"/>
        <v>0</v>
      </c>
    </row>
    <row r="815" spans="1:39" ht="15.75" x14ac:dyDescent="0.25">
      <c r="A815" s="561"/>
      <c r="B815" s="561"/>
      <c r="C815" s="561"/>
      <c r="D815" s="672"/>
      <c r="E815" s="209"/>
      <c r="F815" s="209"/>
      <c r="G815" s="209"/>
      <c r="H815" s="176">
        <f t="shared" si="634"/>
        <v>0</v>
      </c>
      <c r="I815" s="209"/>
      <c r="J815" s="209"/>
      <c r="K815" s="176">
        <f t="shared" si="635"/>
        <v>0</v>
      </c>
      <c r="L815" s="209"/>
      <c r="M815" s="177">
        <f t="shared" si="636"/>
        <v>0</v>
      </c>
      <c r="N815" s="1012"/>
      <c r="O815" s="1012"/>
      <c r="P815" s="485"/>
      <c r="Q815" s="778"/>
      <c r="R815" s="778"/>
      <c r="S815" s="785" t="str">
        <f t="shared" si="639"/>
        <v/>
      </c>
      <c r="T815" s="548" t="str">
        <f t="shared" si="637"/>
        <v>Sheet Metal Takeoff</v>
      </c>
      <c r="U815" s="83">
        <f t="shared" si="640"/>
        <v>0</v>
      </c>
      <c r="V815" s="83">
        <f t="shared" si="641"/>
        <v>0</v>
      </c>
      <c r="W815" s="83">
        <f t="shared" si="642"/>
        <v>0</v>
      </c>
      <c r="X815" s="781">
        <f t="shared" si="643"/>
        <v>0</v>
      </c>
      <c r="Y815" s="781">
        <f t="shared" si="644"/>
        <v>0</v>
      </c>
      <c r="Z815" s="781">
        <f t="shared" si="645"/>
        <v>0</v>
      </c>
      <c r="AA815" s="83">
        <f t="shared" si="638"/>
        <v>0</v>
      </c>
      <c r="AB815" s="83">
        <f t="shared" si="646"/>
        <v>0</v>
      </c>
      <c r="AC815" s="83">
        <f t="shared" si="647"/>
        <v>0</v>
      </c>
      <c r="AD815" s="83">
        <f t="shared" si="648"/>
        <v>0</v>
      </c>
      <c r="AE815" s="83">
        <f t="shared" si="649"/>
        <v>0</v>
      </c>
      <c r="AF815" s="83">
        <f t="shared" si="650"/>
        <v>0</v>
      </c>
      <c r="AG815" s="83">
        <f t="shared" si="651"/>
        <v>0</v>
      </c>
      <c r="AH815" s="83">
        <f t="shared" si="652"/>
        <v>0</v>
      </c>
      <c r="AI815" s="83">
        <f t="shared" si="653"/>
        <v>0</v>
      </c>
      <c r="AJ815" s="718">
        <f t="shared" si="654"/>
        <v>0</v>
      </c>
      <c r="AL815">
        <f t="shared" si="655"/>
        <v>0</v>
      </c>
      <c r="AM815">
        <f t="shared" si="656"/>
        <v>0</v>
      </c>
    </row>
    <row r="816" spans="1:39" ht="15.75" x14ac:dyDescent="0.25">
      <c r="A816" s="561"/>
      <c r="B816" s="561"/>
      <c r="C816" s="561"/>
      <c r="D816" s="672"/>
      <c r="E816" s="209"/>
      <c r="F816" s="209"/>
      <c r="G816" s="209"/>
      <c r="H816" s="176">
        <f t="shared" si="634"/>
        <v>0</v>
      </c>
      <c r="I816" s="209"/>
      <c r="J816" s="209"/>
      <c r="K816" s="176">
        <f t="shared" si="635"/>
        <v>0</v>
      </c>
      <c r="L816" s="209"/>
      <c r="M816" s="177">
        <f t="shared" si="636"/>
        <v>0</v>
      </c>
      <c r="N816" s="1012"/>
      <c r="O816" s="1012"/>
      <c r="P816" s="485"/>
      <c r="Q816" s="778"/>
      <c r="R816" s="778"/>
      <c r="S816" s="785" t="str">
        <f t="shared" si="639"/>
        <v/>
      </c>
      <c r="T816" s="548" t="str">
        <f t="shared" si="637"/>
        <v>Sheet Metal Takeoff</v>
      </c>
      <c r="U816" s="83">
        <f t="shared" si="640"/>
        <v>0</v>
      </c>
      <c r="V816" s="83">
        <f t="shared" si="641"/>
        <v>0</v>
      </c>
      <c r="W816" s="83">
        <f t="shared" si="642"/>
        <v>0</v>
      </c>
      <c r="X816" s="781">
        <f t="shared" si="643"/>
        <v>0</v>
      </c>
      <c r="Y816" s="781">
        <f t="shared" si="644"/>
        <v>0</v>
      </c>
      <c r="Z816" s="781">
        <f t="shared" si="645"/>
        <v>0</v>
      </c>
      <c r="AA816" s="83">
        <f t="shared" si="638"/>
        <v>0</v>
      </c>
      <c r="AB816" s="83">
        <f t="shared" si="646"/>
        <v>0</v>
      </c>
      <c r="AC816" s="83">
        <f t="shared" si="647"/>
        <v>0</v>
      </c>
      <c r="AD816" s="83">
        <f t="shared" si="648"/>
        <v>0</v>
      </c>
      <c r="AE816" s="83">
        <f t="shared" si="649"/>
        <v>0</v>
      </c>
      <c r="AF816" s="83">
        <f t="shared" si="650"/>
        <v>0</v>
      </c>
      <c r="AG816" s="83">
        <f t="shared" si="651"/>
        <v>0</v>
      </c>
      <c r="AH816" s="83">
        <f t="shared" si="652"/>
        <v>0</v>
      </c>
      <c r="AI816" s="83">
        <f t="shared" si="653"/>
        <v>0</v>
      </c>
      <c r="AJ816" s="718">
        <f t="shared" si="654"/>
        <v>0</v>
      </c>
      <c r="AL816">
        <f t="shared" si="655"/>
        <v>0</v>
      </c>
      <c r="AM816">
        <f t="shared" si="656"/>
        <v>0</v>
      </c>
    </row>
    <row r="817" spans="1:39" ht="15.75" x14ac:dyDescent="0.25">
      <c r="A817" s="561"/>
      <c r="B817" s="561"/>
      <c r="C817" s="561"/>
      <c r="D817" s="672"/>
      <c r="E817" s="209"/>
      <c r="F817" s="209"/>
      <c r="G817" s="209"/>
      <c r="H817" s="176">
        <f t="shared" si="634"/>
        <v>0</v>
      </c>
      <c r="I817" s="209"/>
      <c r="J817" s="209"/>
      <c r="K817" s="176">
        <f t="shared" si="635"/>
        <v>0</v>
      </c>
      <c r="L817" s="209"/>
      <c r="M817" s="177">
        <f t="shared" si="636"/>
        <v>0</v>
      </c>
      <c r="N817" s="1012"/>
      <c r="O817" s="1012"/>
      <c r="P817" s="485"/>
      <c r="Q817" s="778"/>
      <c r="R817" s="778"/>
      <c r="S817" s="785" t="str">
        <f t="shared" si="639"/>
        <v/>
      </c>
      <c r="T817" s="548" t="str">
        <f t="shared" si="637"/>
        <v>Sheet Metal Takeoff</v>
      </c>
      <c r="U817" s="83">
        <f t="shared" si="640"/>
        <v>0</v>
      </c>
      <c r="V817" s="83">
        <f t="shared" si="641"/>
        <v>0</v>
      </c>
      <c r="W817" s="83">
        <f t="shared" si="642"/>
        <v>0</v>
      </c>
      <c r="X817" s="781">
        <f t="shared" si="643"/>
        <v>0</v>
      </c>
      <c r="Y817" s="781">
        <f t="shared" si="644"/>
        <v>0</v>
      </c>
      <c r="Z817" s="781">
        <f t="shared" si="645"/>
        <v>0</v>
      </c>
      <c r="AA817" s="83">
        <f t="shared" si="638"/>
        <v>0</v>
      </c>
      <c r="AB817" s="83">
        <f t="shared" si="646"/>
        <v>0</v>
      </c>
      <c r="AC817" s="83">
        <f t="shared" si="647"/>
        <v>0</v>
      </c>
      <c r="AD817" s="83">
        <f t="shared" si="648"/>
        <v>0</v>
      </c>
      <c r="AE817" s="83">
        <f t="shared" si="649"/>
        <v>0</v>
      </c>
      <c r="AF817" s="83">
        <f t="shared" si="650"/>
        <v>0</v>
      </c>
      <c r="AG817" s="83">
        <f t="shared" si="651"/>
        <v>0</v>
      </c>
      <c r="AH817" s="83">
        <f t="shared" si="652"/>
        <v>0</v>
      </c>
      <c r="AI817" s="83">
        <f t="shared" si="653"/>
        <v>0</v>
      </c>
      <c r="AJ817" s="718">
        <f t="shared" si="654"/>
        <v>0</v>
      </c>
      <c r="AL817">
        <f t="shared" si="655"/>
        <v>0</v>
      </c>
      <c r="AM817">
        <f t="shared" si="656"/>
        <v>0</v>
      </c>
    </row>
    <row r="818" spans="1:39" ht="15.75" x14ac:dyDescent="0.25">
      <c r="A818" s="561"/>
      <c r="B818" s="561"/>
      <c r="C818" s="561"/>
      <c r="D818" s="672"/>
      <c r="E818" s="209"/>
      <c r="F818" s="209"/>
      <c r="G818" s="209"/>
      <c r="H818" s="176">
        <f t="shared" si="634"/>
        <v>0</v>
      </c>
      <c r="I818" s="209"/>
      <c r="J818" s="209"/>
      <c r="K818" s="176">
        <f t="shared" si="635"/>
        <v>0</v>
      </c>
      <c r="L818" s="209"/>
      <c r="M818" s="177">
        <f t="shared" si="636"/>
        <v>0</v>
      </c>
      <c r="N818" s="1012"/>
      <c r="O818" s="1012"/>
      <c r="P818" s="485"/>
      <c r="Q818" s="778"/>
      <c r="R818" s="778"/>
      <c r="S818" s="785" t="str">
        <f t="shared" si="639"/>
        <v/>
      </c>
      <c r="T818" s="548" t="str">
        <f t="shared" si="637"/>
        <v>Sheet Metal Takeoff</v>
      </c>
      <c r="U818" s="83">
        <f t="shared" si="640"/>
        <v>0</v>
      </c>
      <c r="V818" s="83">
        <f t="shared" si="641"/>
        <v>0</v>
      </c>
      <c r="W818" s="83">
        <f t="shared" si="642"/>
        <v>0</v>
      </c>
      <c r="X818" s="781">
        <f t="shared" si="643"/>
        <v>0</v>
      </c>
      <c r="Y818" s="781">
        <f t="shared" si="644"/>
        <v>0</v>
      </c>
      <c r="Z818" s="781">
        <f t="shared" si="645"/>
        <v>0</v>
      </c>
      <c r="AA818" s="83">
        <f t="shared" si="638"/>
        <v>0</v>
      </c>
      <c r="AB818" s="83">
        <f t="shared" si="646"/>
        <v>0</v>
      </c>
      <c r="AC818" s="83">
        <f t="shared" si="647"/>
        <v>0</v>
      </c>
      <c r="AD818" s="83">
        <f t="shared" si="648"/>
        <v>0</v>
      </c>
      <c r="AE818" s="83">
        <f t="shared" si="649"/>
        <v>0</v>
      </c>
      <c r="AF818" s="83">
        <f t="shared" si="650"/>
        <v>0</v>
      </c>
      <c r="AG818" s="83">
        <f t="shared" si="651"/>
        <v>0</v>
      </c>
      <c r="AH818" s="83">
        <f t="shared" si="652"/>
        <v>0</v>
      </c>
      <c r="AI818" s="83">
        <f t="shared" si="653"/>
        <v>0</v>
      </c>
      <c r="AJ818" s="718">
        <f t="shared" si="654"/>
        <v>0</v>
      </c>
      <c r="AL818">
        <f t="shared" si="655"/>
        <v>0</v>
      </c>
      <c r="AM818">
        <f t="shared" si="656"/>
        <v>0</v>
      </c>
    </row>
    <row r="819" spans="1:39" ht="15.75" hidden="1" customHeight="1" x14ac:dyDescent="0.25">
      <c r="A819" s="561"/>
      <c r="B819" s="561"/>
      <c r="C819" s="561"/>
      <c r="D819" s="672"/>
      <c r="E819" s="209"/>
      <c r="F819" s="209"/>
      <c r="G819" s="209"/>
      <c r="H819" s="176">
        <f t="shared" si="634"/>
        <v>0</v>
      </c>
      <c r="I819" s="209"/>
      <c r="J819" s="209"/>
      <c r="K819" s="176">
        <f t="shared" si="635"/>
        <v>0</v>
      </c>
      <c r="L819" s="209"/>
      <c r="M819" s="177">
        <f t="shared" si="636"/>
        <v>0</v>
      </c>
      <c r="N819" s="1012"/>
      <c r="O819" s="1012"/>
      <c r="P819" s="485"/>
      <c r="Q819" s="778"/>
      <c r="R819" s="778"/>
      <c r="S819" s="785" t="str">
        <f t="shared" si="639"/>
        <v/>
      </c>
      <c r="T819" s="548" t="str">
        <f t="shared" si="637"/>
        <v>Sheet Metal Takeoff</v>
      </c>
      <c r="U819" s="83">
        <f>ROUND(IF($T819="Plumb Takeoff",$H819*U$3,IF($T819="Pipe Takeoff",$H819*U$4,$H819*U$2)),2)</f>
        <v>0</v>
      </c>
      <c r="V819" s="83">
        <f t="shared" si="641"/>
        <v>0</v>
      </c>
      <c r="W819" s="83">
        <f t="shared" si="642"/>
        <v>0</v>
      </c>
      <c r="X819" s="781">
        <f t="shared" si="643"/>
        <v>0</v>
      </c>
      <c r="Y819" s="781">
        <f t="shared" si="644"/>
        <v>0</v>
      </c>
      <c r="Z819" s="781">
        <f t="shared" si="645"/>
        <v>0</v>
      </c>
      <c r="AA819" s="83">
        <f t="shared" si="638"/>
        <v>0</v>
      </c>
      <c r="AB819" s="83">
        <f t="shared" si="646"/>
        <v>0</v>
      </c>
      <c r="AC819" s="83">
        <f t="shared" si="647"/>
        <v>0</v>
      </c>
      <c r="AD819" s="83">
        <f t="shared" si="648"/>
        <v>0</v>
      </c>
      <c r="AE819" s="83">
        <f t="shared" si="649"/>
        <v>0</v>
      </c>
      <c r="AF819" s="83">
        <f t="shared" si="650"/>
        <v>0</v>
      </c>
      <c r="AG819" s="83">
        <f t="shared" si="651"/>
        <v>0</v>
      </c>
      <c r="AH819" s="83">
        <f t="shared" si="652"/>
        <v>0</v>
      </c>
      <c r="AI819" s="83">
        <f t="shared" si="653"/>
        <v>0</v>
      </c>
      <c r="AJ819" s="718">
        <f t="shared" si="654"/>
        <v>0</v>
      </c>
      <c r="AL819">
        <f t="shared" si="655"/>
        <v>0</v>
      </c>
      <c r="AM819">
        <f t="shared" si="656"/>
        <v>0</v>
      </c>
    </row>
    <row r="820" spans="1:39" ht="15.75" x14ac:dyDescent="0.25">
      <c r="A820" s="551"/>
      <c r="B820" s="551"/>
      <c r="C820" s="551"/>
      <c r="D820" s="673"/>
      <c r="E820" s="552"/>
      <c r="F820" s="553"/>
      <c r="G820" s="553"/>
      <c r="H820" s="181">
        <f>SUM(H794:H819)</f>
        <v>0</v>
      </c>
      <c r="I820" s="182"/>
      <c r="J820" s="182"/>
      <c r="K820" s="181">
        <f>SUM(K794:K819)</f>
        <v>0</v>
      </c>
      <c r="L820" s="182"/>
      <c r="M820" s="177">
        <f>SUM(M794:M819)</f>
        <v>0</v>
      </c>
      <c r="O820" s="486"/>
      <c r="AJ820" s="718"/>
    </row>
    <row r="821" spans="1:39" ht="15.75" thickBot="1" x14ac:dyDescent="0.3">
      <c r="AJ821" s="718"/>
    </row>
    <row r="822" spans="1:39" ht="16.5" thickBot="1" x14ac:dyDescent="0.3">
      <c r="E822" s="678" t="s">
        <v>1122</v>
      </c>
      <c r="F822" s="1017" t="s">
        <v>1630</v>
      </c>
      <c r="G822" s="1018"/>
      <c r="H822" s="344"/>
      <c r="I822" s="1019" t="s">
        <v>1628</v>
      </c>
      <c r="J822" s="1020"/>
      <c r="K822" s="679" t="b">
        <v>0</v>
      </c>
      <c r="AJ822" s="718"/>
    </row>
    <row r="823" spans="1:39" ht="38.25" thickBot="1" x14ac:dyDescent="0.35">
      <c r="A823" s="477" t="s">
        <v>1063</v>
      </c>
      <c r="B823" s="477" t="s">
        <v>348</v>
      </c>
      <c r="C823" s="477" t="s">
        <v>349</v>
      </c>
      <c r="D823" s="666" t="s">
        <v>0</v>
      </c>
      <c r="E823" s="477" t="s">
        <v>1</v>
      </c>
      <c r="F823" s="480" t="s">
        <v>2</v>
      </c>
      <c r="G823" s="480" t="s">
        <v>1123</v>
      </c>
      <c r="H823" s="480" t="s">
        <v>3</v>
      </c>
      <c r="I823" s="483" t="s">
        <v>4</v>
      </c>
      <c r="J823" s="480" t="s">
        <v>1124</v>
      </c>
      <c r="K823" s="680" t="s">
        <v>5</v>
      </c>
      <c r="L823" s="480" t="s">
        <v>6</v>
      </c>
      <c r="M823" s="484" t="s">
        <v>7</v>
      </c>
      <c r="N823" s="1013" t="s">
        <v>1079</v>
      </c>
      <c r="O823" s="1014"/>
      <c r="P823" s="1009" t="s">
        <v>1629</v>
      </c>
      <c r="Q823" s="1009" t="s">
        <v>1147</v>
      </c>
      <c r="R823" s="1009" t="s">
        <v>1792</v>
      </c>
      <c r="T823" s="2"/>
      <c r="AJ823" s="718"/>
    </row>
    <row r="824" spans="1:39" ht="16.5" thickBot="1" x14ac:dyDescent="0.3">
      <c r="A824" s="183"/>
      <c r="B824" s="183"/>
      <c r="C824" s="183"/>
      <c r="D824" s="671"/>
      <c r="E824" s="183"/>
      <c r="F824" s="183"/>
      <c r="G824" s="183"/>
      <c r="H824" s="183"/>
      <c r="I824" s="183"/>
      <c r="J824" s="183"/>
      <c r="K824" s="183"/>
      <c r="L824" s="183"/>
      <c r="M824" s="183"/>
      <c r="N824" s="1015"/>
      <c r="O824" s="1016"/>
      <c r="P824" s="1010" t="s">
        <v>1362</v>
      </c>
      <c r="Q824" s="1010"/>
      <c r="R824" s="1010"/>
      <c r="T824" s="1"/>
      <c r="AJ824" s="718"/>
    </row>
    <row r="825" spans="1:39" ht="15.75" x14ac:dyDescent="0.25">
      <c r="A825" s="561"/>
      <c r="B825" s="561"/>
      <c r="C825" s="561"/>
      <c r="D825" s="672"/>
      <c r="E825" s="209"/>
      <c r="F825" s="209"/>
      <c r="G825" s="209"/>
      <c r="H825" s="176">
        <f t="shared" ref="H825:H850" si="657">IF(SM_ExludeGroup26=TRUE,0,IF(G825="",E825*F825*IF(AND(S825="LOP",R825="SWING"),1+CrewRate_PlumbFitter_SwingLOP,1)*IF(AND(S825="LOP",R825="GRAVE"),1+CrewRate_PlumbFitter_GraveLOP,1)*IF(AND(S825="LOP",R825="SPECIAL"),1+CrewRate_PlumbFitter_SwingLOP,1),E825*F825*G825*IF(AND(S825="LOP",R825="SWING"),1+CrewRate_PlumbFitter_SwingLOP,1)*IF(AND(S825="LOP",R825="GRAVE"),1+CrewRate_PlumbFitter_GraveLOP,1)*IF(AND(S825="LOP",R825="SPECIAL"),1+CrewRate_PlumbFitter_SwingLOP,1)))</f>
        <v>0</v>
      </c>
      <c r="I825" s="209"/>
      <c r="J825" s="209"/>
      <c r="K825" s="176">
        <f t="shared" ref="K825:K850" si="658">IF(SM_ExludeGroup26=TRUE,0,IF(J825="",E825*I825,E825*I825*J825))</f>
        <v>0</v>
      </c>
      <c r="L825" s="209"/>
      <c r="M825" s="177">
        <f t="shared" ref="M825:M850" si="659">IF(SM_ExludeGroup26=TRUE,0,E825*L825)</f>
        <v>0</v>
      </c>
      <c r="N825" s="1012"/>
      <c r="O825" s="1012"/>
      <c r="P825" s="485"/>
      <c r="Q825" s="778"/>
      <c r="R825" s="778"/>
      <c r="S825" s="785" t="str">
        <f>IF(T825="Sheet Metal Takeoff","",IF(R825="","","LOP"))</f>
        <v/>
      </c>
      <c r="T825" s="548" t="str">
        <f t="shared" ref="T825:T850" si="660">IF($F$822="","Sheet Metal Takeoff",$F$822)</f>
        <v>Sheet Metal Takeoff</v>
      </c>
      <c r="U825" s="83">
        <f>ROUND(IF($T825="Plumb Takeoff",$H825*U$3,IF($T825="Pipe Takeoff",$H825*U$4,$H825*U$2)),2)</f>
        <v>0</v>
      </c>
      <c r="V825" s="83">
        <f>ROUND(IF($T825="Plumb Takeoff",IF($Q825="OT",$H825*V$3,0),IF($T825="Pipe Takeoff",IF($Q825="OT",$H825*V$4,0),IF($Q825="OT",$H825*V$2,0))),2)</f>
        <v>0</v>
      </c>
      <c r="W825" s="83">
        <f>ROUND(IF($T825="Plumb Takeoff",IF($Q825="DBLT",$H825*W$3,0),IF($T825="Pipe Takeoff",IF($Q825="DBLT",$H825*W$4,0),IF($Q825="DBLT",$H825*W$2,0))),2)</f>
        <v>0</v>
      </c>
      <c r="X825" s="781">
        <f>ROUND(SUM(IF($T825="Plumb Takeoff",IF($R825="SWING",ROUND(SUM($H825)*X$3,2))),IF($T825="Pipe Takeoff",IF($R825="SWING",ROUND(SUM($H825)*X$4,2))),IF($T825="Sheet Metal Takeoff",IF($R825="SWING",ROUND(SUM($H825)*X$2,2)))),2)</f>
        <v>0</v>
      </c>
      <c r="Y825" s="781">
        <f>ROUND(SUM(IF($T825="Plumb Takeoff",IF($R825="GRAVE",ROUND(SUM($H825)*Y$3,2))),IF($T825="Pipe Takeoff",IF($R825="GRAVE",ROUND(SUM($H825)*Y$4,2))),IF($T825="Sheet Metal Takeoff",IF($R825="GRAVE",ROUND(SUM($H825)*Y$2,2)))),2)</f>
        <v>0</v>
      </c>
      <c r="Z825" s="781">
        <f>ROUND(SUM(IF($T825="Plumb Takeoff",IF($R825="SPECIAL",ROUND(SUM($H825)*Z$3,2))),IF($T825="Pipe Takeoff",IF($R825="SPECIAL",ROUND(SUM($H825)*Z$4,2))),IF($T825="Sheet Metal Takeoff",IF($R825="SPECIAL",ROUND(SUM($H825)*Z$2,2)))),2)</f>
        <v>0</v>
      </c>
      <c r="AA825" s="83">
        <f t="shared" ref="AA825:AA850" si="661">ROUND($K825*AA$2,2)</f>
        <v>0</v>
      </c>
      <c r="AB825" s="83">
        <f>ROUND(IF($Q825="OT",$K825*AB$2,0),2)</f>
        <v>0</v>
      </c>
      <c r="AC825" s="83">
        <f>ROUND(IF($Q825="DBLT",$K825*AC$2,0),2)</f>
        <v>0</v>
      </c>
      <c r="AD825" s="83">
        <f>ROUND(IF($R825="SWING",$K825*AD$2,0),2)</f>
        <v>0</v>
      </c>
      <c r="AE825" s="83">
        <f>ROUND(IF($R825="GRAVE",$K825*AE$2,0),2)</f>
        <v>0</v>
      </c>
      <c r="AF825" s="83">
        <f>ROUND(IF($R825="SPECIAL",$K825*AF$2,0),2)</f>
        <v>0</v>
      </c>
      <c r="AG825" s="83">
        <f>SUM(U825:Z825)</f>
        <v>0</v>
      </c>
      <c r="AH825" s="83">
        <f>SUM(AA825:AF825)</f>
        <v>0</v>
      </c>
      <c r="AI825" s="83">
        <f>SUM(U825:AF825)</f>
        <v>0</v>
      </c>
      <c r="AJ825" s="718">
        <f>SUM(M825,AI825)</f>
        <v>0</v>
      </c>
      <c r="AL825">
        <f>SUM(V825:Z825)</f>
        <v>0</v>
      </c>
      <c r="AM825">
        <f>SUM(AB825:AF825)</f>
        <v>0</v>
      </c>
    </row>
    <row r="826" spans="1:39" ht="15.75" x14ac:dyDescent="0.25">
      <c r="A826" s="561"/>
      <c r="B826" s="561"/>
      <c r="C826" s="561"/>
      <c r="D826" s="672"/>
      <c r="E826" s="209"/>
      <c r="F826" s="209"/>
      <c r="G826" s="209"/>
      <c r="H826" s="176">
        <f t="shared" si="657"/>
        <v>0</v>
      </c>
      <c r="I826" s="209"/>
      <c r="J826" s="209"/>
      <c r="K826" s="176">
        <f t="shared" si="658"/>
        <v>0</v>
      </c>
      <c r="L826" s="209"/>
      <c r="M826" s="177">
        <f t="shared" si="659"/>
        <v>0</v>
      </c>
      <c r="N826" s="1012"/>
      <c r="O826" s="1012"/>
      <c r="P826" s="485"/>
      <c r="Q826" s="778"/>
      <c r="R826" s="778"/>
      <c r="S826" s="785" t="str">
        <f t="shared" ref="S826:S850" si="662">IF(T826="Sheet Metal Takeoff","",IF(R826="","","LOP"))</f>
        <v/>
      </c>
      <c r="T826" s="548" t="str">
        <f t="shared" si="660"/>
        <v>Sheet Metal Takeoff</v>
      </c>
      <c r="U826" s="83">
        <f t="shared" ref="U826:U849" si="663">ROUND(IF($T826="Plumb Takeoff",$H826*U$3,IF($T826="Pipe Takeoff",$H826*U$4,$H826*U$2)),2)</f>
        <v>0</v>
      </c>
      <c r="V826" s="83">
        <f t="shared" ref="V826:V850" si="664">ROUND(IF($T826="Plumb Takeoff",IF($Q826="OT",$H826*V$3,0),IF($T826="Pipe Takeoff",IF($Q826="OT",$H826*V$4,0),IF($Q826="OT",$H826*V$2,0))),2)</f>
        <v>0</v>
      </c>
      <c r="W826" s="83">
        <f t="shared" ref="W826:W850" si="665">ROUND(IF($T826="Plumb Takeoff",IF($Q826="DBLT",$H826*W$3,0),IF($T826="Pipe Takeoff",IF($Q826="DBLT",$H826*W$4,0),IF($Q826="DBLT",$H826*W$2,0))),2)</f>
        <v>0</v>
      </c>
      <c r="X826" s="781">
        <f t="shared" ref="X826:X850" si="666">ROUND(SUM(IF($T826="Plumb Takeoff",IF($R826="SWING",ROUND(SUM($H826)*X$3,2))),IF($T826="Pipe Takeoff",IF($R826="SWING",ROUND(SUM($H826)*X$4,2))),IF($T826="Sheet Metal Takeoff",IF($R826="SWING",ROUND(SUM($H826)*X$2,2)))),2)</f>
        <v>0</v>
      </c>
      <c r="Y826" s="781">
        <f t="shared" ref="Y826:Y850" si="667">ROUND(SUM(IF($T826="Plumb Takeoff",IF($R826="GRAVE",ROUND(SUM($H826)*Y$3,2))),IF($T826="Pipe Takeoff",IF($R826="GRAVE",ROUND(SUM($H826)*Y$4,2))),IF($T826="Sheet Metal Takeoff",IF($R826="GRAVE",ROUND(SUM($H826)*Y$2,2)))),2)</f>
        <v>0</v>
      </c>
      <c r="Z826" s="781">
        <f t="shared" ref="Z826:Z850" si="668">ROUND(SUM(IF($T826="Plumb Takeoff",IF($R826="SPECIAL",ROUND(SUM($H826)*Z$3,2))),IF($T826="Pipe Takeoff",IF($R826="SPECIAL",ROUND(SUM($H826)*Z$4,2))),IF($T826="Sheet Metal Takeoff",IF($R826="SPECIAL",ROUND(SUM($H826)*Z$2,2)))),2)</f>
        <v>0</v>
      </c>
      <c r="AA826" s="83">
        <f t="shared" si="661"/>
        <v>0</v>
      </c>
      <c r="AB826" s="83">
        <f t="shared" ref="AB826:AB850" si="669">ROUND(IF($Q826="OT",$K826*AB$2,0),2)</f>
        <v>0</v>
      </c>
      <c r="AC826" s="83">
        <f t="shared" ref="AC826:AC850" si="670">ROUND(IF($Q826="DBLT",$K826*AC$2,0),2)</f>
        <v>0</v>
      </c>
      <c r="AD826" s="83">
        <f t="shared" ref="AD826:AD850" si="671">ROUND(IF($R826="SWING",$K826*AD$2,0),2)</f>
        <v>0</v>
      </c>
      <c r="AE826" s="83">
        <f t="shared" ref="AE826:AE850" si="672">ROUND(IF($R826="GRAVE",$K826*AE$2,0),2)</f>
        <v>0</v>
      </c>
      <c r="AF826" s="83">
        <f t="shared" ref="AF826:AF850" si="673">ROUND(IF($R826="SPECIAL",$K826*AF$2,0),2)</f>
        <v>0</v>
      </c>
      <c r="AG826" s="83">
        <f t="shared" ref="AG826:AG850" si="674">SUM(U826:Z826)</f>
        <v>0</v>
      </c>
      <c r="AH826" s="83">
        <f t="shared" ref="AH826:AH850" si="675">SUM(AA826:AF826)</f>
        <v>0</v>
      </c>
      <c r="AI826" s="83">
        <f t="shared" ref="AI826:AI850" si="676">SUM(U826:AF826)</f>
        <v>0</v>
      </c>
      <c r="AJ826" s="718">
        <f t="shared" ref="AJ826:AJ850" si="677">SUM(M826,AI826)</f>
        <v>0</v>
      </c>
      <c r="AL826">
        <f t="shared" ref="AL826:AL850" si="678">SUM(V826:Z826)</f>
        <v>0</v>
      </c>
      <c r="AM826">
        <f t="shared" ref="AM826:AM850" si="679">SUM(AB826:AF826)</f>
        <v>0</v>
      </c>
    </row>
    <row r="827" spans="1:39" ht="15.75" x14ac:dyDescent="0.25">
      <c r="A827" s="561"/>
      <c r="B827" s="561"/>
      <c r="C827" s="561"/>
      <c r="D827" s="672"/>
      <c r="E827" s="209"/>
      <c r="F827" s="209"/>
      <c r="G827" s="209"/>
      <c r="H827" s="176">
        <f t="shared" si="657"/>
        <v>0</v>
      </c>
      <c r="I827" s="209"/>
      <c r="J827" s="209"/>
      <c r="K827" s="176">
        <f t="shared" si="658"/>
        <v>0</v>
      </c>
      <c r="L827" s="209"/>
      <c r="M827" s="177">
        <f t="shared" si="659"/>
        <v>0</v>
      </c>
      <c r="N827" s="1012"/>
      <c r="O827" s="1012"/>
      <c r="P827" s="485"/>
      <c r="Q827" s="778"/>
      <c r="R827" s="778"/>
      <c r="S827" s="785" t="str">
        <f t="shared" si="662"/>
        <v/>
      </c>
      <c r="T827" s="548" t="str">
        <f t="shared" si="660"/>
        <v>Sheet Metal Takeoff</v>
      </c>
      <c r="U827" s="83">
        <f t="shared" si="663"/>
        <v>0</v>
      </c>
      <c r="V827" s="83">
        <f t="shared" si="664"/>
        <v>0</v>
      </c>
      <c r="W827" s="83">
        <f t="shared" si="665"/>
        <v>0</v>
      </c>
      <c r="X827" s="781">
        <f t="shared" si="666"/>
        <v>0</v>
      </c>
      <c r="Y827" s="781">
        <f t="shared" si="667"/>
        <v>0</v>
      </c>
      <c r="Z827" s="781">
        <f t="shared" si="668"/>
        <v>0</v>
      </c>
      <c r="AA827" s="83">
        <f t="shared" si="661"/>
        <v>0</v>
      </c>
      <c r="AB827" s="83">
        <f t="shared" si="669"/>
        <v>0</v>
      </c>
      <c r="AC827" s="83">
        <f t="shared" si="670"/>
        <v>0</v>
      </c>
      <c r="AD827" s="83">
        <f t="shared" si="671"/>
        <v>0</v>
      </c>
      <c r="AE827" s="83">
        <f t="shared" si="672"/>
        <v>0</v>
      </c>
      <c r="AF827" s="83">
        <f t="shared" si="673"/>
        <v>0</v>
      </c>
      <c r="AG827" s="83">
        <f t="shared" si="674"/>
        <v>0</v>
      </c>
      <c r="AH827" s="83">
        <f t="shared" si="675"/>
        <v>0</v>
      </c>
      <c r="AI827" s="83">
        <f t="shared" si="676"/>
        <v>0</v>
      </c>
      <c r="AJ827" s="718">
        <f t="shared" si="677"/>
        <v>0</v>
      </c>
      <c r="AL827">
        <f t="shared" si="678"/>
        <v>0</v>
      </c>
      <c r="AM827">
        <f t="shared" si="679"/>
        <v>0</v>
      </c>
    </row>
    <row r="828" spans="1:39" ht="15.75" x14ac:dyDescent="0.25">
      <c r="A828" s="561"/>
      <c r="B828" s="561"/>
      <c r="C828" s="561"/>
      <c r="D828" s="672"/>
      <c r="E828" s="209"/>
      <c r="F828" s="209"/>
      <c r="G828" s="209"/>
      <c r="H828" s="176">
        <f t="shared" si="657"/>
        <v>0</v>
      </c>
      <c r="I828" s="209"/>
      <c r="J828" s="209"/>
      <c r="K828" s="176">
        <f t="shared" si="658"/>
        <v>0</v>
      </c>
      <c r="L828" s="209"/>
      <c r="M828" s="177">
        <f t="shared" si="659"/>
        <v>0</v>
      </c>
      <c r="N828" s="1012"/>
      <c r="O828" s="1012"/>
      <c r="P828" s="485"/>
      <c r="Q828" s="778"/>
      <c r="R828" s="778"/>
      <c r="S828" s="785" t="str">
        <f t="shared" si="662"/>
        <v/>
      </c>
      <c r="T828" s="548" t="str">
        <f t="shared" si="660"/>
        <v>Sheet Metal Takeoff</v>
      </c>
      <c r="U828" s="83">
        <f t="shared" si="663"/>
        <v>0</v>
      </c>
      <c r="V828" s="83">
        <f t="shared" si="664"/>
        <v>0</v>
      </c>
      <c r="W828" s="83">
        <f t="shared" si="665"/>
        <v>0</v>
      </c>
      <c r="X828" s="781">
        <f t="shared" si="666"/>
        <v>0</v>
      </c>
      <c r="Y828" s="781">
        <f t="shared" si="667"/>
        <v>0</v>
      </c>
      <c r="Z828" s="781">
        <f t="shared" si="668"/>
        <v>0</v>
      </c>
      <c r="AA828" s="83">
        <f t="shared" si="661"/>
        <v>0</v>
      </c>
      <c r="AB828" s="83">
        <f t="shared" si="669"/>
        <v>0</v>
      </c>
      <c r="AC828" s="83">
        <f t="shared" si="670"/>
        <v>0</v>
      </c>
      <c r="AD828" s="83">
        <f t="shared" si="671"/>
        <v>0</v>
      </c>
      <c r="AE828" s="83">
        <f t="shared" si="672"/>
        <v>0</v>
      </c>
      <c r="AF828" s="83">
        <f t="shared" si="673"/>
        <v>0</v>
      </c>
      <c r="AG828" s="83">
        <f t="shared" si="674"/>
        <v>0</v>
      </c>
      <c r="AH828" s="83">
        <f t="shared" si="675"/>
        <v>0</v>
      </c>
      <c r="AI828" s="83">
        <f t="shared" si="676"/>
        <v>0</v>
      </c>
      <c r="AJ828" s="718">
        <f t="shared" si="677"/>
        <v>0</v>
      </c>
      <c r="AL828">
        <f t="shared" si="678"/>
        <v>0</v>
      </c>
      <c r="AM828">
        <f t="shared" si="679"/>
        <v>0</v>
      </c>
    </row>
    <row r="829" spans="1:39" ht="15.75" x14ac:dyDescent="0.25">
      <c r="A829" s="561"/>
      <c r="B829" s="561"/>
      <c r="C829" s="561"/>
      <c r="D829" s="672"/>
      <c r="E829" s="209"/>
      <c r="F829" s="209"/>
      <c r="G829" s="209"/>
      <c r="H829" s="176">
        <f t="shared" si="657"/>
        <v>0</v>
      </c>
      <c r="I829" s="209"/>
      <c r="J829" s="209"/>
      <c r="K829" s="176">
        <f t="shared" si="658"/>
        <v>0</v>
      </c>
      <c r="L829" s="209"/>
      <c r="M829" s="177">
        <f t="shared" si="659"/>
        <v>0</v>
      </c>
      <c r="N829" s="1012"/>
      <c r="O829" s="1012"/>
      <c r="P829" s="485"/>
      <c r="Q829" s="778"/>
      <c r="R829" s="778"/>
      <c r="S829" s="785" t="str">
        <f t="shared" si="662"/>
        <v/>
      </c>
      <c r="T829" s="548" t="str">
        <f t="shared" si="660"/>
        <v>Sheet Metal Takeoff</v>
      </c>
      <c r="U829" s="83">
        <f t="shared" si="663"/>
        <v>0</v>
      </c>
      <c r="V829" s="83">
        <f t="shared" si="664"/>
        <v>0</v>
      </c>
      <c r="W829" s="83">
        <f t="shared" si="665"/>
        <v>0</v>
      </c>
      <c r="X829" s="781">
        <f t="shared" si="666"/>
        <v>0</v>
      </c>
      <c r="Y829" s="781">
        <f t="shared" si="667"/>
        <v>0</v>
      </c>
      <c r="Z829" s="781">
        <f t="shared" si="668"/>
        <v>0</v>
      </c>
      <c r="AA829" s="83">
        <f t="shared" si="661"/>
        <v>0</v>
      </c>
      <c r="AB829" s="83">
        <f t="shared" si="669"/>
        <v>0</v>
      </c>
      <c r="AC829" s="83">
        <f t="shared" si="670"/>
        <v>0</v>
      </c>
      <c r="AD829" s="83">
        <f t="shared" si="671"/>
        <v>0</v>
      </c>
      <c r="AE829" s="83">
        <f t="shared" si="672"/>
        <v>0</v>
      </c>
      <c r="AF829" s="83">
        <f t="shared" si="673"/>
        <v>0</v>
      </c>
      <c r="AG829" s="83">
        <f t="shared" si="674"/>
        <v>0</v>
      </c>
      <c r="AH829" s="83">
        <f t="shared" si="675"/>
        <v>0</v>
      </c>
      <c r="AI829" s="83">
        <f t="shared" si="676"/>
        <v>0</v>
      </c>
      <c r="AJ829" s="718">
        <f t="shared" si="677"/>
        <v>0</v>
      </c>
      <c r="AL829">
        <f t="shared" si="678"/>
        <v>0</v>
      </c>
      <c r="AM829">
        <f t="shared" si="679"/>
        <v>0</v>
      </c>
    </row>
    <row r="830" spans="1:39" ht="15.75" x14ac:dyDescent="0.25">
      <c r="A830" s="561"/>
      <c r="B830" s="561"/>
      <c r="C830" s="561"/>
      <c r="D830" s="672"/>
      <c r="E830" s="209"/>
      <c r="F830" s="209"/>
      <c r="G830" s="209"/>
      <c r="H830" s="176">
        <f t="shared" si="657"/>
        <v>0</v>
      </c>
      <c r="I830" s="209"/>
      <c r="J830" s="209"/>
      <c r="K830" s="176">
        <f t="shared" si="658"/>
        <v>0</v>
      </c>
      <c r="L830" s="209"/>
      <c r="M830" s="177">
        <f t="shared" si="659"/>
        <v>0</v>
      </c>
      <c r="N830" s="1012"/>
      <c r="O830" s="1012"/>
      <c r="P830" s="485"/>
      <c r="Q830" s="778"/>
      <c r="R830" s="778"/>
      <c r="S830" s="785" t="str">
        <f t="shared" si="662"/>
        <v/>
      </c>
      <c r="T830" s="548" t="str">
        <f t="shared" si="660"/>
        <v>Sheet Metal Takeoff</v>
      </c>
      <c r="U830" s="83">
        <f t="shared" si="663"/>
        <v>0</v>
      </c>
      <c r="V830" s="83">
        <f t="shared" si="664"/>
        <v>0</v>
      </c>
      <c r="W830" s="83">
        <f t="shared" si="665"/>
        <v>0</v>
      </c>
      <c r="X830" s="781">
        <f t="shared" si="666"/>
        <v>0</v>
      </c>
      <c r="Y830" s="781">
        <f t="shared" si="667"/>
        <v>0</v>
      </c>
      <c r="Z830" s="781">
        <f t="shared" si="668"/>
        <v>0</v>
      </c>
      <c r="AA830" s="83">
        <f t="shared" si="661"/>
        <v>0</v>
      </c>
      <c r="AB830" s="83">
        <f t="shared" si="669"/>
        <v>0</v>
      </c>
      <c r="AC830" s="83">
        <f t="shared" si="670"/>
        <v>0</v>
      </c>
      <c r="AD830" s="83">
        <f t="shared" si="671"/>
        <v>0</v>
      </c>
      <c r="AE830" s="83">
        <f t="shared" si="672"/>
        <v>0</v>
      </c>
      <c r="AF830" s="83">
        <f t="shared" si="673"/>
        <v>0</v>
      </c>
      <c r="AG830" s="83">
        <f t="shared" si="674"/>
        <v>0</v>
      </c>
      <c r="AH830" s="83">
        <f t="shared" si="675"/>
        <v>0</v>
      </c>
      <c r="AI830" s="83">
        <f t="shared" si="676"/>
        <v>0</v>
      </c>
      <c r="AJ830" s="718">
        <f t="shared" si="677"/>
        <v>0</v>
      </c>
      <c r="AL830">
        <f t="shared" si="678"/>
        <v>0</v>
      </c>
      <c r="AM830">
        <f t="shared" si="679"/>
        <v>0</v>
      </c>
    </row>
    <row r="831" spans="1:39" ht="15.75" x14ac:dyDescent="0.25">
      <c r="A831" s="561"/>
      <c r="B831" s="561"/>
      <c r="C831" s="561"/>
      <c r="D831" s="672"/>
      <c r="E831" s="209"/>
      <c r="F831" s="209"/>
      <c r="G831" s="209"/>
      <c r="H831" s="176">
        <f t="shared" si="657"/>
        <v>0</v>
      </c>
      <c r="I831" s="209"/>
      <c r="J831" s="209"/>
      <c r="K831" s="176">
        <f t="shared" si="658"/>
        <v>0</v>
      </c>
      <c r="L831" s="209"/>
      <c r="M831" s="177">
        <f t="shared" si="659"/>
        <v>0</v>
      </c>
      <c r="N831" s="1012"/>
      <c r="O831" s="1012"/>
      <c r="P831" s="485"/>
      <c r="Q831" s="778"/>
      <c r="R831" s="778"/>
      <c r="S831" s="785" t="str">
        <f t="shared" si="662"/>
        <v/>
      </c>
      <c r="T831" s="548" t="str">
        <f t="shared" si="660"/>
        <v>Sheet Metal Takeoff</v>
      </c>
      <c r="U831" s="83">
        <f t="shared" si="663"/>
        <v>0</v>
      </c>
      <c r="V831" s="83">
        <f t="shared" si="664"/>
        <v>0</v>
      </c>
      <c r="W831" s="83">
        <f t="shared" si="665"/>
        <v>0</v>
      </c>
      <c r="X831" s="781">
        <f t="shared" si="666"/>
        <v>0</v>
      </c>
      <c r="Y831" s="781">
        <f t="shared" si="667"/>
        <v>0</v>
      </c>
      <c r="Z831" s="781">
        <f t="shared" si="668"/>
        <v>0</v>
      </c>
      <c r="AA831" s="83">
        <f t="shared" si="661"/>
        <v>0</v>
      </c>
      <c r="AB831" s="83">
        <f t="shared" si="669"/>
        <v>0</v>
      </c>
      <c r="AC831" s="83">
        <f t="shared" si="670"/>
        <v>0</v>
      </c>
      <c r="AD831" s="83">
        <f t="shared" si="671"/>
        <v>0</v>
      </c>
      <c r="AE831" s="83">
        <f t="shared" si="672"/>
        <v>0</v>
      </c>
      <c r="AF831" s="83">
        <f t="shared" si="673"/>
        <v>0</v>
      </c>
      <c r="AG831" s="83">
        <f t="shared" si="674"/>
        <v>0</v>
      </c>
      <c r="AH831" s="83">
        <f t="shared" si="675"/>
        <v>0</v>
      </c>
      <c r="AI831" s="83">
        <f t="shared" si="676"/>
        <v>0</v>
      </c>
      <c r="AJ831" s="718">
        <f t="shared" si="677"/>
        <v>0</v>
      </c>
      <c r="AL831">
        <f t="shared" si="678"/>
        <v>0</v>
      </c>
      <c r="AM831">
        <f t="shared" si="679"/>
        <v>0</v>
      </c>
    </row>
    <row r="832" spans="1:39" ht="15.75" x14ac:dyDescent="0.25">
      <c r="A832" s="561"/>
      <c r="B832" s="561"/>
      <c r="C832" s="561"/>
      <c r="D832" s="672"/>
      <c r="E832" s="209"/>
      <c r="F832" s="209"/>
      <c r="G832" s="209"/>
      <c r="H832" s="176">
        <f t="shared" si="657"/>
        <v>0</v>
      </c>
      <c r="I832" s="209"/>
      <c r="J832" s="209"/>
      <c r="K832" s="176">
        <f t="shared" si="658"/>
        <v>0</v>
      </c>
      <c r="L832" s="209"/>
      <c r="M832" s="177">
        <f t="shared" si="659"/>
        <v>0</v>
      </c>
      <c r="N832" s="1012"/>
      <c r="O832" s="1012"/>
      <c r="P832" s="485"/>
      <c r="Q832" s="778"/>
      <c r="R832" s="778"/>
      <c r="S832" s="785" t="str">
        <f t="shared" si="662"/>
        <v/>
      </c>
      <c r="T832" s="548" t="str">
        <f t="shared" si="660"/>
        <v>Sheet Metal Takeoff</v>
      </c>
      <c r="U832" s="83">
        <f t="shared" si="663"/>
        <v>0</v>
      </c>
      <c r="V832" s="83">
        <f t="shared" si="664"/>
        <v>0</v>
      </c>
      <c r="W832" s="83">
        <f t="shared" si="665"/>
        <v>0</v>
      </c>
      <c r="X832" s="781">
        <f t="shared" si="666"/>
        <v>0</v>
      </c>
      <c r="Y832" s="781">
        <f t="shared" si="667"/>
        <v>0</v>
      </c>
      <c r="Z832" s="781">
        <f t="shared" si="668"/>
        <v>0</v>
      </c>
      <c r="AA832" s="83">
        <f t="shared" si="661"/>
        <v>0</v>
      </c>
      <c r="AB832" s="83">
        <f t="shared" si="669"/>
        <v>0</v>
      </c>
      <c r="AC832" s="83">
        <f t="shared" si="670"/>
        <v>0</v>
      </c>
      <c r="AD832" s="83">
        <f t="shared" si="671"/>
        <v>0</v>
      </c>
      <c r="AE832" s="83">
        <f t="shared" si="672"/>
        <v>0</v>
      </c>
      <c r="AF832" s="83">
        <f t="shared" si="673"/>
        <v>0</v>
      </c>
      <c r="AG832" s="83">
        <f t="shared" si="674"/>
        <v>0</v>
      </c>
      <c r="AH832" s="83">
        <f t="shared" si="675"/>
        <v>0</v>
      </c>
      <c r="AI832" s="83">
        <f t="shared" si="676"/>
        <v>0</v>
      </c>
      <c r="AJ832" s="718">
        <f t="shared" si="677"/>
        <v>0</v>
      </c>
      <c r="AL832">
        <f t="shared" si="678"/>
        <v>0</v>
      </c>
      <c r="AM832">
        <f t="shared" si="679"/>
        <v>0</v>
      </c>
    </row>
    <row r="833" spans="1:39" ht="15.75" x14ac:dyDescent="0.25">
      <c r="A833" s="561"/>
      <c r="B833" s="561"/>
      <c r="C833" s="561"/>
      <c r="D833" s="672"/>
      <c r="E833" s="209"/>
      <c r="F833" s="209"/>
      <c r="G833" s="209"/>
      <c r="H833" s="176">
        <f t="shared" si="657"/>
        <v>0</v>
      </c>
      <c r="I833" s="209"/>
      <c r="J833" s="209"/>
      <c r="K833" s="176">
        <f t="shared" si="658"/>
        <v>0</v>
      </c>
      <c r="L833" s="209"/>
      <c r="M833" s="177">
        <f t="shared" si="659"/>
        <v>0</v>
      </c>
      <c r="N833" s="1012"/>
      <c r="O833" s="1012"/>
      <c r="P833" s="485"/>
      <c r="Q833" s="778"/>
      <c r="R833" s="778"/>
      <c r="S833" s="785" t="str">
        <f t="shared" si="662"/>
        <v/>
      </c>
      <c r="T833" s="548" t="str">
        <f t="shared" si="660"/>
        <v>Sheet Metal Takeoff</v>
      </c>
      <c r="U833" s="83">
        <f t="shared" si="663"/>
        <v>0</v>
      </c>
      <c r="V833" s="83">
        <f t="shared" si="664"/>
        <v>0</v>
      </c>
      <c r="W833" s="83">
        <f t="shared" si="665"/>
        <v>0</v>
      </c>
      <c r="X833" s="781">
        <f t="shared" si="666"/>
        <v>0</v>
      </c>
      <c r="Y833" s="781">
        <f t="shared" si="667"/>
        <v>0</v>
      </c>
      <c r="Z833" s="781">
        <f t="shared" si="668"/>
        <v>0</v>
      </c>
      <c r="AA833" s="83">
        <f t="shared" si="661"/>
        <v>0</v>
      </c>
      <c r="AB833" s="83">
        <f t="shared" si="669"/>
        <v>0</v>
      </c>
      <c r="AC833" s="83">
        <f t="shared" si="670"/>
        <v>0</v>
      </c>
      <c r="AD833" s="83">
        <f t="shared" si="671"/>
        <v>0</v>
      </c>
      <c r="AE833" s="83">
        <f t="shared" si="672"/>
        <v>0</v>
      </c>
      <c r="AF833" s="83">
        <f t="shared" si="673"/>
        <v>0</v>
      </c>
      <c r="AG833" s="83">
        <f t="shared" si="674"/>
        <v>0</v>
      </c>
      <c r="AH833" s="83">
        <f t="shared" si="675"/>
        <v>0</v>
      </c>
      <c r="AI833" s="83">
        <f t="shared" si="676"/>
        <v>0</v>
      </c>
      <c r="AJ833" s="718">
        <f t="shared" si="677"/>
        <v>0</v>
      </c>
      <c r="AL833">
        <f t="shared" si="678"/>
        <v>0</v>
      </c>
      <c r="AM833">
        <f t="shared" si="679"/>
        <v>0</v>
      </c>
    </row>
    <row r="834" spans="1:39" ht="15.75" x14ac:dyDescent="0.25">
      <c r="A834" s="561"/>
      <c r="B834" s="561"/>
      <c r="C834" s="561"/>
      <c r="D834" s="672"/>
      <c r="E834" s="209"/>
      <c r="F834" s="209"/>
      <c r="G834" s="209"/>
      <c r="H834" s="176">
        <f t="shared" si="657"/>
        <v>0</v>
      </c>
      <c r="I834" s="209"/>
      <c r="J834" s="209"/>
      <c r="K834" s="176">
        <f t="shared" si="658"/>
        <v>0</v>
      </c>
      <c r="L834" s="209"/>
      <c r="M834" s="177">
        <f t="shared" si="659"/>
        <v>0</v>
      </c>
      <c r="N834" s="1012"/>
      <c r="O834" s="1012"/>
      <c r="P834" s="485"/>
      <c r="Q834" s="778"/>
      <c r="R834" s="778"/>
      <c r="S834" s="785" t="str">
        <f t="shared" si="662"/>
        <v/>
      </c>
      <c r="T834" s="548" t="str">
        <f t="shared" si="660"/>
        <v>Sheet Metal Takeoff</v>
      </c>
      <c r="U834" s="83">
        <f t="shared" si="663"/>
        <v>0</v>
      </c>
      <c r="V834" s="83">
        <f t="shared" si="664"/>
        <v>0</v>
      </c>
      <c r="W834" s="83">
        <f t="shared" si="665"/>
        <v>0</v>
      </c>
      <c r="X834" s="781">
        <f t="shared" si="666"/>
        <v>0</v>
      </c>
      <c r="Y834" s="781">
        <f t="shared" si="667"/>
        <v>0</v>
      </c>
      <c r="Z834" s="781">
        <f t="shared" si="668"/>
        <v>0</v>
      </c>
      <c r="AA834" s="83">
        <f t="shared" si="661"/>
        <v>0</v>
      </c>
      <c r="AB834" s="83">
        <f t="shared" si="669"/>
        <v>0</v>
      </c>
      <c r="AC834" s="83">
        <f t="shared" si="670"/>
        <v>0</v>
      </c>
      <c r="AD834" s="83">
        <f t="shared" si="671"/>
        <v>0</v>
      </c>
      <c r="AE834" s="83">
        <f t="shared" si="672"/>
        <v>0</v>
      </c>
      <c r="AF834" s="83">
        <f t="shared" si="673"/>
        <v>0</v>
      </c>
      <c r="AG834" s="83">
        <f t="shared" si="674"/>
        <v>0</v>
      </c>
      <c r="AH834" s="83">
        <f t="shared" si="675"/>
        <v>0</v>
      </c>
      <c r="AI834" s="83">
        <f t="shared" si="676"/>
        <v>0</v>
      </c>
      <c r="AJ834" s="718">
        <f t="shared" si="677"/>
        <v>0</v>
      </c>
      <c r="AL834">
        <f t="shared" si="678"/>
        <v>0</v>
      </c>
      <c r="AM834">
        <f t="shared" si="679"/>
        <v>0</v>
      </c>
    </row>
    <row r="835" spans="1:39" ht="15.75" x14ac:dyDescent="0.25">
      <c r="A835" s="561"/>
      <c r="B835" s="561"/>
      <c r="C835" s="561"/>
      <c r="D835" s="672"/>
      <c r="E835" s="209"/>
      <c r="F835" s="209"/>
      <c r="G835" s="209"/>
      <c r="H835" s="176">
        <f t="shared" si="657"/>
        <v>0</v>
      </c>
      <c r="I835" s="209"/>
      <c r="J835" s="209"/>
      <c r="K835" s="176">
        <f t="shared" si="658"/>
        <v>0</v>
      </c>
      <c r="L835" s="209"/>
      <c r="M835" s="177">
        <f t="shared" si="659"/>
        <v>0</v>
      </c>
      <c r="N835" s="1012"/>
      <c r="O835" s="1012"/>
      <c r="P835" s="485"/>
      <c r="Q835" s="778"/>
      <c r="R835" s="778"/>
      <c r="S835" s="785" t="str">
        <f t="shared" si="662"/>
        <v/>
      </c>
      <c r="T835" s="548" t="str">
        <f t="shared" si="660"/>
        <v>Sheet Metal Takeoff</v>
      </c>
      <c r="U835" s="83">
        <f t="shared" si="663"/>
        <v>0</v>
      </c>
      <c r="V835" s="83">
        <f t="shared" si="664"/>
        <v>0</v>
      </c>
      <c r="W835" s="83">
        <f t="shared" si="665"/>
        <v>0</v>
      </c>
      <c r="X835" s="781">
        <f t="shared" si="666"/>
        <v>0</v>
      </c>
      <c r="Y835" s="781">
        <f t="shared" si="667"/>
        <v>0</v>
      </c>
      <c r="Z835" s="781">
        <f t="shared" si="668"/>
        <v>0</v>
      </c>
      <c r="AA835" s="83">
        <f t="shared" si="661"/>
        <v>0</v>
      </c>
      <c r="AB835" s="83">
        <f t="shared" si="669"/>
        <v>0</v>
      </c>
      <c r="AC835" s="83">
        <f t="shared" si="670"/>
        <v>0</v>
      </c>
      <c r="AD835" s="83">
        <f t="shared" si="671"/>
        <v>0</v>
      </c>
      <c r="AE835" s="83">
        <f t="shared" si="672"/>
        <v>0</v>
      </c>
      <c r="AF835" s="83">
        <f t="shared" si="673"/>
        <v>0</v>
      </c>
      <c r="AG835" s="83">
        <f t="shared" si="674"/>
        <v>0</v>
      </c>
      <c r="AH835" s="83">
        <f t="shared" si="675"/>
        <v>0</v>
      </c>
      <c r="AI835" s="83">
        <f t="shared" si="676"/>
        <v>0</v>
      </c>
      <c r="AJ835" s="718">
        <f t="shared" si="677"/>
        <v>0</v>
      </c>
      <c r="AL835">
        <f t="shared" si="678"/>
        <v>0</v>
      </c>
      <c r="AM835">
        <f t="shared" si="679"/>
        <v>0</v>
      </c>
    </row>
    <row r="836" spans="1:39" ht="15.75" x14ac:dyDescent="0.25">
      <c r="A836" s="561"/>
      <c r="B836" s="561"/>
      <c r="C836" s="561"/>
      <c r="D836" s="672"/>
      <c r="E836" s="209"/>
      <c r="F836" s="209"/>
      <c r="G836" s="209"/>
      <c r="H836" s="176">
        <f t="shared" si="657"/>
        <v>0</v>
      </c>
      <c r="I836" s="209"/>
      <c r="J836" s="209"/>
      <c r="K836" s="176">
        <f t="shared" si="658"/>
        <v>0</v>
      </c>
      <c r="L836" s="209"/>
      <c r="M836" s="177">
        <f t="shared" si="659"/>
        <v>0</v>
      </c>
      <c r="N836" s="1012"/>
      <c r="O836" s="1012"/>
      <c r="P836" s="485"/>
      <c r="Q836" s="778"/>
      <c r="R836" s="778"/>
      <c r="S836" s="785" t="str">
        <f t="shared" si="662"/>
        <v/>
      </c>
      <c r="T836" s="548" t="str">
        <f t="shared" si="660"/>
        <v>Sheet Metal Takeoff</v>
      </c>
      <c r="U836" s="83">
        <f t="shared" si="663"/>
        <v>0</v>
      </c>
      <c r="V836" s="83">
        <f t="shared" si="664"/>
        <v>0</v>
      </c>
      <c r="W836" s="83">
        <f t="shared" si="665"/>
        <v>0</v>
      </c>
      <c r="X836" s="781">
        <f t="shared" si="666"/>
        <v>0</v>
      </c>
      <c r="Y836" s="781">
        <f t="shared" si="667"/>
        <v>0</v>
      </c>
      <c r="Z836" s="781">
        <f t="shared" si="668"/>
        <v>0</v>
      </c>
      <c r="AA836" s="83">
        <f t="shared" si="661"/>
        <v>0</v>
      </c>
      <c r="AB836" s="83">
        <f t="shared" si="669"/>
        <v>0</v>
      </c>
      <c r="AC836" s="83">
        <f t="shared" si="670"/>
        <v>0</v>
      </c>
      <c r="AD836" s="83">
        <f t="shared" si="671"/>
        <v>0</v>
      </c>
      <c r="AE836" s="83">
        <f t="shared" si="672"/>
        <v>0</v>
      </c>
      <c r="AF836" s="83">
        <f t="shared" si="673"/>
        <v>0</v>
      </c>
      <c r="AG836" s="83">
        <f t="shared" si="674"/>
        <v>0</v>
      </c>
      <c r="AH836" s="83">
        <f t="shared" si="675"/>
        <v>0</v>
      </c>
      <c r="AI836" s="83">
        <f t="shared" si="676"/>
        <v>0</v>
      </c>
      <c r="AJ836" s="718">
        <f t="shared" si="677"/>
        <v>0</v>
      </c>
      <c r="AL836">
        <f t="shared" si="678"/>
        <v>0</v>
      </c>
      <c r="AM836">
        <f t="shared" si="679"/>
        <v>0</v>
      </c>
    </row>
    <row r="837" spans="1:39" ht="15.75" x14ac:dyDescent="0.25">
      <c r="A837" s="561"/>
      <c r="B837" s="561"/>
      <c r="C837" s="561"/>
      <c r="D837" s="672"/>
      <c r="E837" s="209"/>
      <c r="F837" s="209"/>
      <c r="G837" s="209"/>
      <c r="H837" s="176">
        <f t="shared" si="657"/>
        <v>0</v>
      </c>
      <c r="I837" s="209"/>
      <c r="J837" s="209"/>
      <c r="K837" s="176">
        <f t="shared" si="658"/>
        <v>0</v>
      </c>
      <c r="L837" s="209"/>
      <c r="M837" s="177">
        <f t="shared" si="659"/>
        <v>0</v>
      </c>
      <c r="N837" s="1012"/>
      <c r="O837" s="1012"/>
      <c r="P837" s="485"/>
      <c r="Q837" s="778"/>
      <c r="R837" s="778"/>
      <c r="S837" s="785" t="str">
        <f t="shared" si="662"/>
        <v/>
      </c>
      <c r="T837" s="548" t="str">
        <f t="shared" si="660"/>
        <v>Sheet Metal Takeoff</v>
      </c>
      <c r="U837" s="83">
        <f t="shared" si="663"/>
        <v>0</v>
      </c>
      <c r="V837" s="83">
        <f t="shared" si="664"/>
        <v>0</v>
      </c>
      <c r="W837" s="83">
        <f t="shared" si="665"/>
        <v>0</v>
      </c>
      <c r="X837" s="781">
        <f t="shared" si="666"/>
        <v>0</v>
      </c>
      <c r="Y837" s="781">
        <f t="shared" si="667"/>
        <v>0</v>
      </c>
      <c r="Z837" s="781">
        <f t="shared" si="668"/>
        <v>0</v>
      </c>
      <c r="AA837" s="83">
        <f t="shared" si="661"/>
        <v>0</v>
      </c>
      <c r="AB837" s="83">
        <f t="shared" si="669"/>
        <v>0</v>
      </c>
      <c r="AC837" s="83">
        <f t="shared" si="670"/>
        <v>0</v>
      </c>
      <c r="AD837" s="83">
        <f t="shared" si="671"/>
        <v>0</v>
      </c>
      <c r="AE837" s="83">
        <f t="shared" si="672"/>
        <v>0</v>
      </c>
      <c r="AF837" s="83">
        <f t="shared" si="673"/>
        <v>0</v>
      </c>
      <c r="AG837" s="83">
        <f t="shared" si="674"/>
        <v>0</v>
      </c>
      <c r="AH837" s="83">
        <f t="shared" si="675"/>
        <v>0</v>
      </c>
      <c r="AI837" s="83">
        <f t="shared" si="676"/>
        <v>0</v>
      </c>
      <c r="AJ837" s="718">
        <f t="shared" si="677"/>
        <v>0</v>
      </c>
      <c r="AL837">
        <f t="shared" si="678"/>
        <v>0</v>
      </c>
      <c r="AM837">
        <f t="shared" si="679"/>
        <v>0</v>
      </c>
    </row>
    <row r="838" spans="1:39" ht="15.75" x14ac:dyDescent="0.25">
      <c r="A838" s="561"/>
      <c r="B838" s="561"/>
      <c r="C838" s="561"/>
      <c r="D838" s="672"/>
      <c r="E838" s="209"/>
      <c r="F838" s="209"/>
      <c r="G838" s="209"/>
      <c r="H838" s="176">
        <f t="shared" si="657"/>
        <v>0</v>
      </c>
      <c r="I838" s="209"/>
      <c r="J838" s="209"/>
      <c r="K838" s="176">
        <f t="shared" si="658"/>
        <v>0</v>
      </c>
      <c r="L838" s="209"/>
      <c r="M838" s="177">
        <f t="shared" si="659"/>
        <v>0</v>
      </c>
      <c r="N838" s="1012"/>
      <c r="O838" s="1012"/>
      <c r="P838" s="485"/>
      <c r="Q838" s="778"/>
      <c r="R838" s="778"/>
      <c r="S838" s="785" t="str">
        <f t="shared" si="662"/>
        <v/>
      </c>
      <c r="T838" s="548" t="str">
        <f t="shared" si="660"/>
        <v>Sheet Metal Takeoff</v>
      </c>
      <c r="U838" s="83">
        <f t="shared" si="663"/>
        <v>0</v>
      </c>
      <c r="V838" s="83">
        <f t="shared" si="664"/>
        <v>0</v>
      </c>
      <c r="W838" s="83">
        <f t="shared" si="665"/>
        <v>0</v>
      </c>
      <c r="X838" s="781">
        <f t="shared" si="666"/>
        <v>0</v>
      </c>
      <c r="Y838" s="781">
        <f t="shared" si="667"/>
        <v>0</v>
      </c>
      <c r="Z838" s="781">
        <f t="shared" si="668"/>
        <v>0</v>
      </c>
      <c r="AA838" s="83">
        <f t="shared" si="661"/>
        <v>0</v>
      </c>
      <c r="AB838" s="83">
        <f t="shared" si="669"/>
        <v>0</v>
      </c>
      <c r="AC838" s="83">
        <f t="shared" si="670"/>
        <v>0</v>
      </c>
      <c r="AD838" s="83">
        <f t="shared" si="671"/>
        <v>0</v>
      </c>
      <c r="AE838" s="83">
        <f t="shared" si="672"/>
        <v>0</v>
      </c>
      <c r="AF838" s="83">
        <f t="shared" si="673"/>
        <v>0</v>
      </c>
      <c r="AG838" s="83">
        <f t="shared" si="674"/>
        <v>0</v>
      </c>
      <c r="AH838" s="83">
        <f t="shared" si="675"/>
        <v>0</v>
      </c>
      <c r="AI838" s="83">
        <f t="shared" si="676"/>
        <v>0</v>
      </c>
      <c r="AJ838" s="718">
        <f t="shared" si="677"/>
        <v>0</v>
      </c>
      <c r="AL838">
        <f t="shared" si="678"/>
        <v>0</v>
      </c>
      <c r="AM838">
        <f t="shared" si="679"/>
        <v>0</v>
      </c>
    </row>
    <row r="839" spans="1:39" ht="15.75" x14ac:dyDescent="0.25">
      <c r="A839" s="561"/>
      <c r="B839" s="561"/>
      <c r="C839" s="561"/>
      <c r="D839" s="672"/>
      <c r="E839" s="209"/>
      <c r="F839" s="209"/>
      <c r="G839" s="209"/>
      <c r="H839" s="176">
        <f t="shared" si="657"/>
        <v>0</v>
      </c>
      <c r="I839" s="209"/>
      <c r="J839" s="209"/>
      <c r="K839" s="176">
        <f t="shared" si="658"/>
        <v>0</v>
      </c>
      <c r="L839" s="209"/>
      <c r="M839" s="177">
        <f t="shared" si="659"/>
        <v>0</v>
      </c>
      <c r="N839" s="1012"/>
      <c r="O839" s="1012"/>
      <c r="P839" s="485"/>
      <c r="Q839" s="778"/>
      <c r="R839" s="778"/>
      <c r="S839" s="785" t="str">
        <f t="shared" si="662"/>
        <v/>
      </c>
      <c r="T839" s="548" t="str">
        <f t="shared" si="660"/>
        <v>Sheet Metal Takeoff</v>
      </c>
      <c r="U839" s="83">
        <f t="shared" si="663"/>
        <v>0</v>
      </c>
      <c r="V839" s="83">
        <f t="shared" si="664"/>
        <v>0</v>
      </c>
      <c r="W839" s="83">
        <f t="shared" si="665"/>
        <v>0</v>
      </c>
      <c r="X839" s="781">
        <f t="shared" si="666"/>
        <v>0</v>
      </c>
      <c r="Y839" s="781">
        <f t="shared" si="667"/>
        <v>0</v>
      </c>
      <c r="Z839" s="781">
        <f t="shared" si="668"/>
        <v>0</v>
      </c>
      <c r="AA839" s="83">
        <f t="shared" si="661"/>
        <v>0</v>
      </c>
      <c r="AB839" s="83">
        <f t="shared" si="669"/>
        <v>0</v>
      </c>
      <c r="AC839" s="83">
        <f t="shared" si="670"/>
        <v>0</v>
      </c>
      <c r="AD839" s="83">
        <f t="shared" si="671"/>
        <v>0</v>
      </c>
      <c r="AE839" s="83">
        <f t="shared" si="672"/>
        <v>0</v>
      </c>
      <c r="AF839" s="83">
        <f t="shared" si="673"/>
        <v>0</v>
      </c>
      <c r="AG839" s="83">
        <f t="shared" si="674"/>
        <v>0</v>
      </c>
      <c r="AH839" s="83">
        <f t="shared" si="675"/>
        <v>0</v>
      </c>
      <c r="AI839" s="83">
        <f t="shared" si="676"/>
        <v>0</v>
      </c>
      <c r="AJ839" s="718">
        <f t="shared" si="677"/>
        <v>0</v>
      </c>
      <c r="AL839">
        <f t="shared" si="678"/>
        <v>0</v>
      </c>
      <c r="AM839">
        <f t="shared" si="679"/>
        <v>0</v>
      </c>
    </row>
    <row r="840" spans="1:39" ht="15.75" x14ac:dyDescent="0.25">
      <c r="A840" s="561"/>
      <c r="B840" s="561"/>
      <c r="C840" s="561"/>
      <c r="D840" s="672"/>
      <c r="E840" s="209"/>
      <c r="F840" s="209"/>
      <c r="G840" s="209"/>
      <c r="H840" s="176">
        <f t="shared" si="657"/>
        <v>0</v>
      </c>
      <c r="I840" s="209"/>
      <c r="J840" s="209"/>
      <c r="K840" s="176">
        <f t="shared" si="658"/>
        <v>0</v>
      </c>
      <c r="L840" s="209"/>
      <c r="M840" s="177">
        <f t="shared" si="659"/>
        <v>0</v>
      </c>
      <c r="N840" s="1012"/>
      <c r="O840" s="1012"/>
      <c r="P840" s="485"/>
      <c r="Q840" s="778"/>
      <c r="R840" s="778"/>
      <c r="S840" s="785" t="str">
        <f t="shared" si="662"/>
        <v/>
      </c>
      <c r="T840" s="548" t="str">
        <f t="shared" si="660"/>
        <v>Sheet Metal Takeoff</v>
      </c>
      <c r="U840" s="83">
        <f t="shared" si="663"/>
        <v>0</v>
      </c>
      <c r="V840" s="83">
        <f t="shared" si="664"/>
        <v>0</v>
      </c>
      <c r="W840" s="83">
        <f t="shared" si="665"/>
        <v>0</v>
      </c>
      <c r="X840" s="781">
        <f t="shared" si="666"/>
        <v>0</v>
      </c>
      <c r="Y840" s="781">
        <f t="shared" si="667"/>
        <v>0</v>
      </c>
      <c r="Z840" s="781">
        <f t="shared" si="668"/>
        <v>0</v>
      </c>
      <c r="AA840" s="83">
        <f t="shared" si="661"/>
        <v>0</v>
      </c>
      <c r="AB840" s="83">
        <f t="shared" si="669"/>
        <v>0</v>
      </c>
      <c r="AC840" s="83">
        <f t="shared" si="670"/>
        <v>0</v>
      </c>
      <c r="AD840" s="83">
        <f t="shared" si="671"/>
        <v>0</v>
      </c>
      <c r="AE840" s="83">
        <f t="shared" si="672"/>
        <v>0</v>
      </c>
      <c r="AF840" s="83">
        <f t="shared" si="673"/>
        <v>0</v>
      </c>
      <c r="AG840" s="83">
        <f t="shared" si="674"/>
        <v>0</v>
      </c>
      <c r="AH840" s="83">
        <f t="shared" si="675"/>
        <v>0</v>
      </c>
      <c r="AI840" s="83">
        <f t="shared" si="676"/>
        <v>0</v>
      </c>
      <c r="AJ840" s="718">
        <f t="shared" si="677"/>
        <v>0</v>
      </c>
      <c r="AL840">
        <f t="shared" si="678"/>
        <v>0</v>
      </c>
      <c r="AM840">
        <f t="shared" si="679"/>
        <v>0</v>
      </c>
    </row>
    <row r="841" spans="1:39" ht="15.75" x14ac:dyDescent="0.25">
      <c r="A841" s="561"/>
      <c r="B841" s="561"/>
      <c r="C841" s="561"/>
      <c r="D841" s="672"/>
      <c r="E841" s="209"/>
      <c r="F841" s="209"/>
      <c r="G841" s="209"/>
      <c r="H841" s="176">
        <f t="shared" si="657"/>
        <v>0</v>
      </c>
      <c r="I841" s="209"/>
      <c r="J841" s="209"/>
      <c r="K841" s="176">
        <f t="shared" si="658"/>
        <v>0</v>
      </c>
      <c r="L841" s="209"/>
      <c r="M841" s="177">
        <f t="shared" si="659"/>
        <v>0</v>
      </c>
      <c r="N841" s="1012"/>
      <c r="O841" s="1012"/>
      <c r="P841" s="485"/>
      <c r="Q841" s="778"/>
      <c r="R841" s="778"/>
      <c r="S841" s="785" t="str">
        <f t="shared" si="662"/>
        <v/>
      </c>
      <c r="T841" s="548" t="str">
        <f t="shared" si="660"/>
        <v>Sheet Metal Takeoff</v>
      </c>
      <c r="U841" s="83">
        <f t="shared" si="663"/>
        <v>0</v>
      </c>
      <c r="V841" s="83">
        <f t="shared" si="664"/>
        <v>0</v>
      </c>
      <c r="W841" s="83">
        <f t="shared" si="665"/>
        <v>0</v>
      </c>
      <c r="X841" s="781">
        <f t="shared" si="666"/>
        <v>0</v>
      </c>
      <c r="Y841" s="781">
        <f t="shared" si="667"/>
        <v>0</v>
      </c>
      <c r="Z841" s="781">
        <f t="shared" si="668"/>
        <v>0</v>
      </c>
      <c r="AA841" s="83">
        <f t="shared" si="661"/>
        <v>0</v>
      </c>
      <c r="AB841" s="83">
        <f t="shared" si="669"/>
        <v>0</v>
      </c>
      <c r="AC841" s="83">
        <f t="shared" si="670"/>
        <v>0</v>
      </c>
      <c r="AD841" s="83">
        <f t="shared" si="671"/>
        <v>0</v>
      </c>
      <c r="AE841" s="83">
        <f t="shared" si="672"/>
        <v>0</v>
      </c>
      <c r="AF841" s="83">
        <f t="shared" si="673"/>
        <v>0</v>
      </c>
      <c r="AG841" s="83">
        <f t="shared" si="674"/>
        <v>0</v>
      </c>
      <c r="AH841" s="83">
        <f t="shared" si="675"/>
        <v>0</v>
      </c>
      <c r="AI841" s="83">
        <f t="shared" si="676"/>
        <v>0</v>
      </c>
      <c r="AJ841" s="718">
        <f t="shared" si="677"/>
        <v>0</v>
      </c>
      <c r="AL841">
        <f t="shared" si="678"/>
        <v>0</v>
      </c>
      <c r="AM841">
        <f t="shared" si="679"/>
        <v>0</v>
      </c>
    </row>
    <row r="842" spans="1:39" ht="15.75" x14ac:dyDescent="0.25">
      <c r="A842" s="561"/>
      <c r="B842" s="561"/>
      <c r="C842" s="561"/>
      <c r="D842" s="672"/>
      <c r="E842" s="209"/>
      <c r="F842" s="209"/>
      <c r="G842" s="209"/>
      <c r="H842" s="176">
        <f t="shared" si="657"/>
        <v>0</v>
      </c>
      <c r="I842" s="209"/>
      <c r="J842" s="209"/>
      <c r="K842" s="176">
        <f t="shared" si="658"/>
        <v>0</v>
      </c>
      <c r="L842" s="209"/>
      <c r="M842" s="177">
        <f t="shared" si="659"/>
        <v>0</v>
      </c>
      <c r="N842" s="1012"/>
      <c r="O842" s="1012"/>
      <c r="P842" s="485"/>
      <c r="Q842" s="778"/>
      <c r="R842" s="778"/>
      <c r="S842" s="785" t="str">
        <f t="shared" si="662"/>
        <v/>
      </c>
      <c r="T842" s="548" t="str">
        <f t="shared" si="660"/>
        <v>Sheet Metal Takeoff</v>
      </c>
      <c r="U842" s="83">
        <f t="shared" si="663"/>
        <v>0</v>
      </c>
      <c r="V842" s="83">
        <f t="shared" si="664"/>
        <v>0</v>
      </c>
      <c r="W842" s="83">
        <f t="shared" si="665"/>
        <v>0</v>
      </c>
      <c r="X842" s="781">
        <f t="shared" si="666"/>
        <v>0</v>
      </c>
      <c r="Y842" s="781">
        <f t="shared" si="667"/>
        <v>0</v>
      </c>
      <c r="Z842" s="781">
        <f t="shared" si="668"/>
        <v>0</v>
      </c>
      <c r="AA842" s="83">
        <f t="shared" si="661"/>
        <v>0</v>
      </c>
      <c r="AB842" s="83">
        <f t="shared" si="669"/>
        <v>0</v>
      </c>
      <c r="AC842" s="83">
        <f t="shared" si="670"/>
        <v>0</v>
      </c>
      <c r="AD842" s="83">
        <f t="shared" si="671"/>
        <v>0</v>
      </c>
      <c r="AE842" s="83">
        <f t="shared" si="672"/>
        <v>0</v>
      </c>
      <c r="AF842" s="83">
        <f t="shared" si="673"/>
        <v>0</v>
      </c>
      <c r="AG842" s="83">
        <f t="shared" si="674"/>
        <v>0</v>
      </c>
      <c r="AH842" s="83">
        <f t="shared" si="675"/>
        <v>0</v>
      </c>
      <c r="AI842" s="83">
        <f t="shared" si="676"/>
        <v>0</v>
      </c>
      <c r="AJ842" s="718">
        <f t="shared" si="677"/>
        <v>0</v>
      </c>
      <c r="AL842">
        <f t="shared" si="678"/>
        <v>0</v>
      </c>
      <c r="AM842">
        <f t="shared" si="679"/>
        <v>0</v>
      </c>
    </row>
    <row r="843" spans="1:39" ht="15.75" x14ac:dyDescent="0.25">
      <c r="A843" s="561"/>
      <c r="B843" s="561"/>
      <c r="C843" s="561"/>
      <c r="D843" s="672"/>
      <c r="E843" s="209"/>
      <c r="F843" s="209"/>
      <c r="G843" s="209"/>
      <c r="H843" s="176">
        <f t="shared" si="657"/>
        <v>0</v>
      </c>
      <c r="I843" s="209"/>
      <c r="J843" s="209"/>
      <c r="K843" s="176">
        <f t="shared" si="658"/>
        <v>0</v>
      </c>
      <c r="L843" s="209"/>
      <c r="M843" s="177">
        <f t="shared" si="659"/>
        <v>0</v>
      </c>
      <c r="N843" s="1012"/>
      <c r="O843" s="1012"/>
      <c r="P843" s="485"/>
      <c r="Q843" s="778"/>
      <c r="R843" s="778"/>
      <c r="S843" s="785" t="str">
        <f t="shared" si="662"/>
        <v/>
      </c>
      <c r="T843" s="548" t="str">
        <f t="shared" si="660"/>
        <v>Sheet Metal Takeoff</v>
      </c>
      <c r="U843" s="83">
        <f t="shared" si="663"/>
        <v>0</v>
      </c>
      <c r="V843" s="83">
        <f t="shared" si="664"/>
        <v>0</v>
      </c>
      <c r="W843" s="83">
        <f t="shared" si="665"/>
        <v>0</v>
      </c>
      <c r="X843" s="781">
        <f t="shared" si="666"/>
        <v>0</v>
      </c>
      <c r="Y843" s="781">
        <f t="shared" si="667"/>
        <v>0</v>
      </c>
      <c r="Z843" s="781">
        <f t="shared" si="668"/>
        <v>0</v>
      </c>
      <c r="AA843" s="83">
        <f t="shared" si="661"/>
        <v>0</v>
      </c>
      <c r="AB843" s="83">
        <f t="shared" si="669"/>
        <v>0</v>
      </c>
      <c r="AC843" s="83">
        <f t="shared" si="670"/>
        <v>0</v>
      </c>
      <c r="AD843" s="83">
        <f t="shared" si="671"/>
        <v>0</v>
      </c>
      <c r="AE843" s="83">
        <f t="shared" si="672"/>
        <v>0</v>
      </c>
      <c r="AF843" s="83">
        <f t="shared" si="673"/>
        <v>0</v>
      </c>
      <c r="AG843" s="83">
        <f t="shared" si="674"/>
        <v>0</v>
      </c>
      <c r="AH843" s="83">
        <f t="shared" si="675"/>
        <v>0</v>
      </c>
      <c r="AI843" s="83">
        <f t="shared" si="676"/>
        <v>0</v>
      </c>
      <c r="AJ843" s="718">
        <f t="shared" si="677"/>
        <v>0</v>
      </c>
      <c r="AL843">
        <f t="shared" si="678"/>
        <v>0</v>
      </c>
      <c r="AM843">
        <f t="shared" si="679"/>
        <v>0</v>
      </c>
    </row>
    <row r="844" spans="1:39" ht="15.75" x14ac:dyDescent="0.25">
      <c r="A844" s="561"/>
      <c r="B844" s="561"/>
      <c r="C844" s="561"/>
      <c r="D844" s="672"/>
      <c r="E844" s="209"/>
      <c r="F844" s="209"/>
      <c r="G844" s="209"/>
      <c r="H844" s="176">
        <f t="shared" si="657"/>
        <v>0</v>
      </c>
      <c r="I844" s="209"/>
      <c r="J844" s="209"/>
      <c r="K844" s="176">
        <f t="shared" si="658"/>
        <v>0</v>
      </c>
      <c r="L844" s="209"/>
      <c r="M844" s="177">
        <f t="shared" si="659"/>
        <v>0</v>
      </c>
      <c r="N844" s="1012"/>
      <c r="O844" s="1012"/>
      <c r="P844" s="485"/>
      <c r="Q844" s="778"/>
      <c r="R844" s="778"/>
      <c r="S844" s="785" t="str">
        <f t="shared" si="662"/>
        <v/>
      </c>
      <c r="T844" s="548" t="str">
        <f t="shared" si="660"/>
        <v>Sheet Metal Takeoff</v>
      </c>
      <c r="U844" s="83">
        <f t="shared" si="663"/>
        <v>0</v>
      </c>
      <c r="V844" s="83">
        <f t="shared" si="664"/>
        <v>0</v>
      </c>
      <c r="W844" s="83">
        <f t="shared" si="665"/>
        <v>0</v>
      </c>
      <c r="X844" s="781">
        <f t="shared" si="666"/>
        <v>0</v>
      </c>
      <c r="Y844" s="781">
        <f t="shared" si="667"/>
        <v>0</v>
      </c>
      <c r="Z844" s="781">
        <f t="shared" si="668"/>
        <v>0</v>
      </c>
      <c r="AA844" s="83">
        <f t="shared" si="661"/>
        <v>0</v>
      </c>
      <c r="AB844" s="83">
        <f t="shared" si="669"/>
        <v>0</v>
      </c>
      <c r="AC844" s="83">
        <f t="shared" si="670"/>
        <v>0</v>
      </c>
      <c r="AD844" s="83">
        <f t="shared" si="671"/>
        <v>0</v>
      </c>
      <c r="AE844" s="83">
        <f t="shared" si="672"/>
        <v>0</v>
      </c>
      <c r="AF844" s="83">
        <f t="shared" si="673"/>
        <v>0</v>
      </c>
      <c r="AG844" s="83">
        <f t="shared" si="674"/>
        <v>0</v>
      </c>
      <c r="AH844" s="83">
        <f t="shared" si="675"/>
        <v>0</v>
      </c>
      <c r="AI844" s="83">
        <f t="shared" si="676"/>
        <v>0</v>
      </c>
      <c r="AJ844" s="718">
        <f t="shared" si="677"/>
        <v>0</v>
      </c>
      <c r="AL844">
        <f t="shared" si="678"/>
        <v>0</v>
      </c>
      <c r="AM844">
        <f t="shared" si="679"/>
        <v>0</v>
      </c>
    </row>
    <row r="845" spans="1:39" ht="15.75" x14ac:dyDescent="0.25">
      <c r="A845" s="561"/>
      <c r="B845" s="561"/>
      <c r="C845" s="561"/>
      <c r="D845" s="672"/>
      <c r="E845" s="209"/>
      <c r="F845" s="209"/>
      <c r="G845" s="209"/>
      <c r="H845" s="176">
        <f t="shared" si="657"/>
        <v>0</v>
      </c>
      <c r="I845" s="209"/>
      <c r="J845" s="209"/>
      <c r="K845" s="176">
        <f t="shared" si="658"/>
        <v>0</v>
      </c>
      <c r="L845" s="209"/>
      <c r="M845" s="177">
        <f t="shared" si="659"/>
        <v>0</v>
      </c>
      <c r="N845" s="1012"/>
      <c r="O845" s="1012"/>
      <c r="P845" s="485"/>
      <c r="Q845" s="778"/>
      <c r="R845" s="778"/>
      <c r="S845" s="785" t="str">
        <f t="shared" si="662"/>
        <v/>
      </c>
      <c r="T845" s="548" t="str">
        <f t="shared" si="660"/>
        <v>Sheet Metal Takeoff</v>
      </c>
      <c r="U845" s="83">
        <f t="shared" si="663"/>
        <v>0</v>
      </c>
      <c r="V845" s="83">
        <f t="shared" si="664"/>
        <v>0</v>
      </c>
      <c r="W845" s="83">
        <f t="shared" si="665"/>
        <v>0</v>
      </c>
      <c r="X845" s="781">
        <f t="shared" si="666"/>
        <v>0</v>
      </c>
      <c r="Y845" s="781">
        <f t="shared" si="667"/>
        <v>0</v>
      </c>
      <c r="Z845" s="781">
        <f t="shared" si="668"/>
        <v>0</v>
      </c>
      <c r="AA845" s="83">
        <f t="shared" si="661"/>
        <v>0</v>
      </c>
      <c r="AB845" s="83">
        <f t="shared" si="669"/>
        <v>0</v>
      </c>
      <c r="AC845" s="83">
        <f t="shared" si="670"/>
        <v>0</v>
      </c>
      <c r="AD845" s="83">
        <f t="shared" si="671"/>
        <v>0</v>
      </c>
      <c r="AE845" s="83">
        <f t="shared" si="672"/>
        <v>0</v>
      </c>
      <c r="AF845" s="83">
        <f t="shared" si="673"/>
        <v>0</v>
      </c>
      <c r="AG845" s="83">
        <f t="shared" si="674"/>
        <v>0</v>
      </c>
      <c r="AH845" s="83">
        <f t="shared" si="675"/>
        <v>0</v>
      </c>
      <c r="AI845" s="83">
        <f t="shared" si="676"/>
        <v>0</v>
      </c>
      <c r="AJ845" s="718">
        <f t="shared" si="677"/>
        <v>0</v>
      </c>
      <c r="AL845">
        <f t="shared" si="678"/>
        <v>0</v>
      </c>
      <c r="AM845">
        <f t="shared" si="679"/>
        <v>0</v>
      </c>
    </row>
    <row r="846" spans="1:39" ht="15.75" x14ac:dyDescent="0.25">
      <c r="A846" s="561"/>
      <c r="B846" s="561"/>
      <c r="C846" s="561"/>
      <c r="D846" s="672"/>
      <c r="E846" s="209"/>
      <c r="F846" s="209"/>
      <c r="G846" s="209"/>
      <c r="H846" s="176">
        <f t="shared" si="657"/>
        <v>0</v>
      </c>
      <c r="I846" s="209"/>
      <c r="J846" s="209"/>
      <c r="K846" s="176">
        <f t="shared" si="658"/>
        <v>0</v>
      </c>
      <c r="L846" s="209"/>
      <c r="M846" s="177">
        <f t="shared" si="659"/>
        <v>0</v>
      </c>
      <c r="N846" s="1012"/>
      <c r="O846" s="1012"/>
      <c r="P846" s="485"/>
      <c r="Q846" s="778"/>
      <c r="R846" s="778"/>
      <c r="S846" s="785" t="str">
        <f t="shared" si="662"/>
        <v/>
      </c>
      <c r="T846" s="548" t="str">
        <f t="shared" si="660"/>
        <v>Sheet Metal Takeoff</v>
      </c>
      <c r="U846" s="83">
        <f t="shared" si="663"/>
        <v>0</v>
      </c>
      <c r="V846" s="83">
        <f t="shared" si="664"/>
        <v>0</v>
      </c>
      <c r="W846" s="83">
        <f t="shared" si="665"/>
        <v>0</v>
      </c>
      <c r="X846" s="781">
        <f t="shared" si="666"/>
        <v>0</v>
      </c>
      <c r="Y846" s="781">
        <f t="shared" si="667"/>
        <v>0</v>
      </c>
      <c r="Z846" s="781">
        <f t="shared" si="668"/>
        <v>0</v>
      </c>
      <c r="AA846" s="83">
        <f t="shared" si="661"/>
        <v>0</v>
      </c>
      <c r="AB846" s="83">
        <f t="shared" si="669"/>
        <v>0</v>
      </c>
      <c r="AC846" s="83">
        <f t="shared" si="670"/>
        <v>0</v>
      </c>
      <c r="AD846" s="83">
        <f t="shared" si="671"/>
        <v>0</v>
      </c>
      <c r="AE846" s="83">
        <f t="shared" si="672"/>
        <v>0</v>
      </c>
      <c r="AF846" s="83">
        <f t="shared" si="673"/>
        <v>0</v>
      </c>
      <c r="AG846" s="83">
        <f t="shared" si="674"/>
        <v>0</v>
      </c>
      <c r="AH846" s="83">
        <f t="shared" si="675"/>
        <v>0</v>
      </c>
      <c r="AI846" s="83">
        <f t="shared" si="676"/>
        <v>0</v>
      </c>
      <c r="AJ846" s="718">
        <f t="shared" si="677"/>
        <v>0</v>
      </c>
      <c r="AL846">
        <f t="shared" si="678"/>
        <v>0</v>
      </c>
      <c r="AM846">
        <f t="shared" si="679"/>
        <v>0</v>
      </c>
    </row>
    <row r="847" spans="1:39" ht="15.75" x14ac:dyDescent="0.25">
      <c r="A847" s="561"/>
      <c r="B847" s="561"/>
      <c r="C847" s="561"/>
      <c r="D847" s="672"/>
      <c r="E847" s="209"/>
      <c r="F847" s="209"/>
      <c r="G847" s="209"/>
      <c r="H847" s="176">
        <f t="shared" si="657"/>
        <v>0</v>
      </c>
      <c r="I847" s="209"/>
      <c r="J847" s="209"/>
      <c r="K847" s="176">
        <f t="shared" si="658"/>
        <v>0</v>
      </c>
      <c r="L847" s="209"/>
      <c r="M847" s="177">
        <f t="shared" si="659"/>
        <v>0</v>
      </c>
      <c r="N847" s="1012"/>
      <c r="O847" s="1012"/>
      <c r="P847" s="485"/>
      <c r="Q847" s="778"/>
      <c r="R847" s="778"/>
      <c r="S847" s="785" t="str">
        <f t="shared" si="662"/>
        <v/>
      </c>
      <c r="T847" s="548" t="str">
        <f t="shared" si="660"/>
        <v>Sheet Metal Takeoff</v>
      </c>
      <c r="U847" s="83">
        <f t="shared" si="663"/>
        <v>0</v>
      </c>
      <c r="V847" s="83">
        <f t="shared" si="664"/>
        <v>0</v>
      </c>
      <c r="W847" s="83">
        <f t="shared" si="665"/>
        <v>0</v>
      </c>
      <c r="X847" s="781">
        <f t="shared" si="666"/>
        <v>0</v>
      </c>
      <c r="Y847" s="781">
        <f t="shared" si="667"/>
        <v>0</v>
      </c>
      <c r="Z847" s="781">
        <f t="shared" si="668"/>
        <v>0</v>
      </c>
      <c r="AA847" s="83">
        <f t="shared" si="661"/>
        <v>0</v>
      </c>
      <c r="AB847" s="83">
        <f t="shared" si="669"/>
        <v>0</v>
      </c>
      <c r="AC847" s="83">
        <f t="shared" si="670"/>
        <v>0</v>
      </c>
      <c r="AD847" s="83">
        <f t="shared" si="671"/>
        <v>0</v>
      </c>
      <c r="AE847" s="83">
        <f t="shared" si="672"/>
        <v>0</v>
      </c>
      <c r="AF847" s="83">
        <f t="shared" si="673"/>
        <v>0</v>
      </c>
      <c r="AG847" s="83">
        <f t="shared" si="674"/>
        <v>0</v>
      </c>
      <c r="AH847" s="83">
        <f t="shared" si="675"/>
        <v>0</v>
      </c>
      <c r="AI847" s="83">
        <f t="shared" si="676"/>
        <v>0</v>
      </c>
      <c r="AJ847" s="718">
        <f t="shared" si="677"/>
        <v>0</v>
      </c>
      <c r="AL847">
        <f t="shared" si="678"/>
        <v>0</v>
      </c>
      <c r="AM847">
        <f t="shared" si="679"/>
        <v>0</v>
      </c>
    </row>
    <row r="848" spans="1:39" ht="15.75" x14ac:dyDescent="0.25">
      <c r="A848" s="561"/>
      <c r="B848" s="561"/>
      <c r="C848" s="561"/>
      <c r="D848" s="672"/>
      <c r="E848" s="209"/>
      <c r="F848" s="209"/>
      <c r="G848" s="209"/>
      <c r="H848" s="176">
        <f t="shared" si="657"/>
        <v>0</v>
      </c>
      <c r="I848" s="209"/>
      <c r="J848" s="209"/>
      <c r="K848" s="176">
        <f t="shared" si="658"/>
        <v>0</v>
      </c>
      <c r="L848" s="209"/>
      <c r="M848" s="177">
        <f t="shared" si="659"/>
        <v>0</v>
      </c>
      <c r="N848" s="1012"/>
      <c r="O848" s="1012"/>
      <c r="P848" s="485"/>
      <c r="Q848" s="778"/>
      <c r="R848" s="778"/>
      <c r="S848" s="785" t="str">
        <f t="shared" si="662"/>
        <v/>
      </c>
      <c r="T848" s="548" t="str">
        <f t="shared" si="660"/>
        <v>Sheet Metal Takeoff</v>
      </c>
      <c r="U848" s="83">
        <f t="shared" si="663"/>
        <v>0</v>
      </c>
      <c r="V848" s="83">
        <f t="shared" si="664"/>
        <v>0</v>
      </c>
      <c r="W848" s="83">
        <f t="shared" si="665"/>
        <v>0</v>
      </c>
      <c r="X848" s="781">
        <f t="shared" si="666"/>
        <v>0</v>
      </c>
      <c r="Y848" s="781">
        <f t="shared" si="667"/>
        <v>0</v>
      </c>
      <c r="Z848" s="781">
        <f t="shared" si="668"/>
        <v>0</v>
      </c>
      <c r="AA848" s="83">
        <f t="shared" si="661"/>
        <v>0</v>
      </c>
      <c r="AB848" s="83">
        <f t="shared" si="669"/>
        <v>0</v>
      </c>
      <c r="AC848" s="83">
        <f t="shared" si="670"/>
        <v>0</v>
      </c>
      <c r="AD848" s="83">
        <f t="shared" si="671"/>
        <v>0</v>
      </c>
      <c r="AE848" s="83">
        <f t="shared" si="672"/>
        <v>0</v>
      </c>
      <c r="AF848" s="83">
        <f t="shared" si="673"/>
        <v>0</v>
      </c>
      <c r="AG848" s="83">
        <f t="shared" si="674"/>
        <v>0</v>
      </c>
      <c r="AH848" s="83">
        <f t="shared" si="675"/>
        <v>0</v>
      </c>
      <c r="AI848" s="83">
        <f t="shared" si="676"/>
        <v>0</v>
      </c>
      <c r="AJ848" s="718">
        <f t="shared" si="677"/>
        <v>0</v>
      </c>
      <c r="AL848">
        <f t="shared" si="678"/>
        <v>0</v>
      </c>
      <c r="AM848">
        <f t="shared" si="679"/>
        <v>0</v>
      </c>
    </row>
    <row r="849" spans="1:39" ht="15.75" x14ac:dyDescent="0.25">
      <c r="A849" s="561"/>
      <c r="B849" s="561"/>
      <c r="C849" s="561"/>
      <c r="D849" s="672"/>
      <c r="E849" s="209"/>
      <c r="F849" s="209"/>
      <c r="G849" s="209"/>
      <c r="H849" s="176">
        <f t="shared" si="657"/>
        <v>0</v>
      </c>
      <c r="I849" s="209"/>
      <c r="J849" s="209"/>
      <c r="K849" s="176">
        <f t="shared" si="658"/>
        <v>0</v>
      </c>
      <c r="L849" s="209"/>
      <c r="M849" s="177">
        <f t="shared" si="659"/>
        <v>0</v>
      </c>
      <c r="N849" s="1012"/>
      <c r="O849" s="1012"/>
      <c r="P849" s="485"/>
      <c r="Q849" s="778"/>
      <c r="R849" s="778"/>
      <c r="S849" s="785" t="str">
        <f t="shared" si="662"/>
        <v/>
      </c>
      <c r="T849" s="548" t="str">
        <f t="shared" si="660"/>
        <v>Sheet Metal Takeoff</v>
      </c>
      <c r="U849" s="83">
        <f t="shared" si="663"/>
        <v>0</v>
      </c>
      <c r="V849" s="83">
        <f t="shared" si="664"/>
        <v>0</v>
      </c>
      <c r="W849" s="83">
        <f t="shared" si="665"/>
        <v>0</v>
      </c>
      <c r="X849" s="781">
        <f t="shared" si="666"/>
        <v>0</v>
      </c>
      <c r="Y849" s="781">
        <f t="shared" si="667"/>
        <v>0</v>
      </c>
      <c r="Z849" s="781">
        <f t="shared" si="668"/>
        <v>0</v>
      </c>
      <c r="AA849" s="83">
        <f t="shared" si="661"/>
        <v>0</v>
      </c>
      <c r="AB849" s="83">
        <f t="shared" si="669"/>
        <v>0</v>
      </c>
      <c r="AC849" s="83">
        <f t="shared" si="670"/>
        <v>0</v>
      </c>
      <c r="AD849" s="83">
        <f t="shared" si="671"/>
        <v>0</v>
      </c>
      <c r="AE849" s="83">
        <f t="shared" si="672"/>
        <v>0</v>
      </c>
      <c r="AF849" s="83">
        <f t="shared" si="673"/>
        <v>0</v>
      </c>
      <c r="AG849" s="83">
        <f t="shared" si="674"/>
        <v>0</v>
      </c>
      <c r="AH849" s="83">
        <f t="shared" si="675"/>
        <v>0</v>
      </c>
      <c r="AI849" s="83">
        <f t="shared" si="676"/>
        <v>0</v>
      </c>
      <c r="AJ849" s="718">
        <f t="shared" si="677"/>
        <v>0</v>
      </c>
      <c r="AL849">
        <f t="shared" si="678"/>
        <v>0</v>
      </c>
      <c r="AM849">
        <f t="shared" si="679"/>
        <v>0</v>
      </c>
    </row>
    <row r="850" spans="1:39" ht="15.75" hidden="1" customHeight="1" x14ac:dyDescent="0.25">
      <c r="A850" s="561"/>
      <c r="B850" s="561"/>
      <c r="C850" s="561"/>
      <c r="D850" s="672"/>
      <c r="E850" s="209"/>
      <c r="F850" s="209"/>
      <c r="G850" s="209"/>
      <c r="H850" s="176">
        <f t="shared" si="657"/>
        <v>0</v>
      </c>
      <c r="I850" s="209"/>
      <c r="J850" s="209"/>
      <c r="K850" s="176">
        <f t="shared" si="658"/>
        <v>0</v>
      </c>
      <c r="L850" s="209"/>
      <c r="M850" s="177">
        <f t="shared" si="659"/>
        <v>0</v>
      </c>
      <c r="N850" s="1012"/>
      <c r="O850" s="1012"/>
      <c r="P850" s="485"/>
      <c r="Q850" s="778"/>
      <c r="R850" s="778"/>
      <c r="S850" s="785" t="str">
        <f t="shared" si="662"/>
        <v/>
      </c>
      <c r="T850" s="548" t="str">
        <f t="shared" si="660"/>
        <v>Sheet Metal Takeoff</v>
      </c>
      <c r="U850" s="83">
        <f>ROUND(IF($T850="Plumb Takeoff",$H850*U$3,IF($T850="Pipe Takeoff",$H850*U$4,$H850*U$2)),2)</f>
        <v>0</v>
      </c>
      <c r="V850" s="83">
        <f t="shared" si="664"/>
        <v>0</v>
      </c>
      <c r="W850" s="83">
        <f t="shared" si="665"/>
        <v>0</v>
      </c>
      <c r="X850" s="781">
        <f t="shared" si="666"/>
        <v>0</v>
      </c>
      <c r="Y850" s="781">
        <f t="shared" si="667"/>
        <v>0</v>
      </c>
      <c r="Z850" s="781">
        <f t="shared" si="668"/>
        <v>0</v>
      </c>
      <c r="AA850" s="83">
        <f t="shared" si="661"/>
        <v>0</v>
      </c>
      <c r="AB850" s="83">
        <f t="shared" si="669"/>
        <v>0</v>
      </c>
      <c r="AC850" s="83">
        <f t="shared" si="670"/>
        <v>0</v>
      </c>
      <c r="AD850" s="83">
        <f t="shared" si="671"/>
        <v>0</v>
      </c>
      <c r="AE850" s="83">
        <f t="shared" si="672"/>
        <v>0</v>
      </c>
      <c r="AF850" s="83">
        <f t="shared" si="673"/>
        <v>0</v>
      </c>
      <c r="AG850" s="83">
        <f t="shared" si="674"/>
        <v>0</v>
      </c>
      <c r="AH850" s="83">
        <f t="shared" si="675"/>
        <v>0</v>
      </c>
      <c r="AI850" s="83">
        <f t="shared" si="676"/>
        <v>0</v>
      </c>
      <c r="AJ850" s="718">
        <f t="shared" si="677"/>
        <v>0</v>
      </c>
      <c r="AL850">
        <f t="shared" si="678"/>
        <v>0</v>
      </c>
      <c r="AM850">
        <f t="shared" si="679"/>
        <v>0</v>
      </c>
    </row>
    <row r="851" spans="1:39" ht="15.75" x14ac:dyDescent="0.25">
      <c r="A851" s="551"/>
      <c r="B851" s="551"/>
      <c r="C851" s="551"/>
      <c r="D851" s="673"/>
      <c r="E851" s="552"/>
      <c r="F851" s="553"/>
      <c r="G851" s="553"/>
      <c r="H851" s="181">
        <f>SUM(H825:H850)</f>
        <v>0</v>
      </c>
      <c r="I851" s="182"/>
      <c r="J851" s="182"/>
      <c r="K851" s="181">
        <f>SUM(K825:K850)</f>
        <v>0</v>
      </c>
      <c r="L851" s="182"/>
      <c r="M851" s="177">
        <f>SUM(M825:M850)</f>
        <v>0</v>
      </c>
      <c r="O851" s="486"/>
      <c r="AJ851" s="718"/>
    </row>
    <row r="852" spans="1:39" ht="15.75" thickBot="1" x14ac:dyDescent="0.3">
      <c r="AJ852" s="718"/>
    </row>
    <row r="853" spans="1:39" ht="16.5" thickBot="1" x14ac:dyDescent="0.3">
      <c r="E853" s="678" t="s">
        <v>1122</v>
      </c>
      <c r="F853" s="1017" t="s">
        <v>1630</v>
      </c>
      <c r="G853" s="1018"/>
      <c r="H853" s="344"/>
      <c r="I853" s="1019" t="s">
        <v>1628</v>
      </c>
      <c r="J853" s="1020"/>
      <c r="K853" s="679" t="b">
        <v>0</v>
      </c>
      <c r="AJ853" s="718"/>
    </row>
    <row r="854" spans="1:39" ht="38.25" thickBot="1" x14ac:dyDescent="0.35">
      <c r="A854" s="477" t="s">
        <v>1063</v>
      </c>
      <c r="B854" s="477" t="s">
        <v>348</v>
      </c>
      <c r="C854" s="477" t="s">
        <v>349</v>
      </c>
      <c r="D854" s="666" t="s">
        <v>0</v>
      </c>
      <c r="E854" s="477" t="s">
        <v>1</v>
      </c>
      <c r="F854" s="480" t="s">
        <v>2</v>
      </c>
      <c r="G854" s="480" t="s">
        <v>1123</v>
      </c>
      <c r="H854" s="480" t="s">
        <v>3</v>
      </c>
      <c r="I854" s="483" t="s">
        <v>4</v>
      </c>
      <c r="J854" s="480" t="s">
        <v>1124</v>
      </c>
      <c r="K854" s="680" t="s">
        <v>5</v>
      </c>
      <c r="L854" s="480" t="s">
        <v>6</v>
      </c>
      <c r="M854" s="484" t="s">
        <v>7</v>
      </c>
      <c r="N854" s="1013" t="s">
        <v>1079</v>
      </c>
      <c r="O854" s="1014"/>
      <c r="P854" s="1009" t="s">
        <v>1629</v>
      </c>
      <c r="Q854" s="1009" t="s">
        <v>1147</v>
      </c>
      <c r="R854" s="1009" t="s">
        <v>1792</v>
      </c>
      <c r="T854" s="2"/>
      <c r="AJ854" s="718"/>
    </row>
    <row r="855" spans="1:39" ht="16.5" thickBot="1" x14ac:dyDescent="0.3">
      <c r="A855" s="183"/>
      <c r="B855" s="183"/>
      <c r="C855" s="183"/>
      <c r="D855" s="671"/>
      <c r="E855" s="183"/>
      <c r="F855" s="183"/>
      <c r="G855" s="183"/>
      <c r="H855" s="183"/>
      <c r="I855" s="183"/>
      <c r="J855" s="183"/>
      <c r="K855" s="183"/>
      <c r="L855" s="183"/>
      <c r="M855" s="183"/>
      <c r="N855" s="1015"/>
      <c r="O855" s="1016"/>
      <c r="P855" s="1010" t="s">
        <v>1362</v>
      </c>
      <c r="Q855" s="1010"/>
      <c r="R855" s="1010"/>
      <c r="T855" s="1"/>
      <c r="AJ855" s="718"/>
    </row>
    <row r="856" spans="1:39" ht="15.75" x14ac:dyDescent="0.25">
      <c r="A856" s="561"/>
      <c r="B856" s="561"/>
      <c r="C856" s="561"/>
      <c r="D856" s="672"/>
      <c r="E856" s="209"/>
      <c r="F856" s="209"/>
      <c r="G856" s="209"/>
      <c r="H856" s="176">
        <f t="shared" ref="H856:H881" si="680">IF(SM_ExludeGroup27=TRUE,0,IF(G856="",E856*F856*IF(AND(S856="LOP",R856="SWING"),1+CrewRate_PlumbFitter_SwingLOP,1)*IF(AND(S856="LOP",R856="GRAVE"),1+CrewRate_PlumbFitter_GraveLOP,1)*IF(AND(S856="LOP",R856="SPECIAL"),1+CrewRate_PlumbFitter_SwingLOP,1),E856*F856*G856*IF(AND(S856="LOP",R856="SWING"),1+CrewRate_PlumbFitter_SwingLOP,1)*IF(AND(S856="LOP",R856="GRAVE"),1+CrewRate_PlumbFitter_GraveLOP,1)*IF(AND(S856="LOP",R856="SPECIAL"),1+CrewRate_PlumbFitter_SwingLOP,1)))</f>
        <v>0</v>
      </c>
      <c r="I856" s="209"/>
      <c r="J856" s="209"/>
      <c r="K856" s="176">
        <f t="shared" ref="K856:K881" si="681">IF(SM_ExludeGroup27=TRUE,0,IF(J856="",E856*I856,E856*I856*J856))</f>
        <v>0</v>
      </c>
      <c r="L856" s="209"/>
      <c r="M856" s="177">
        <f t="shared" ref="M856:M881" si="682">IF(SM_ExludeGroup27=TRUE,0,E856*L856)</f>
        <v>0</v>
      </c>
      <c r="N856" s="1012"/>
      <c r="O856" s="1012"/>
      <c r="P856" s="485"/>
      <c r="Q856" s="778"/>
      <c r="R856" s="778"/>
      <c r="S856" s="785" t="str">
        <f>IF(T856="Sheet Metal Takeoff","",IF(R856="","","LOP"))</f>
        <v/>
      </c>
      <c r="T856" s="548" t="str">
        <f t="shared" ref="T856:T881" si="683">IF($F$853="","Sheet Metal Takeoff",$F$853)</f>
        <v>Sheet Metal Takeoff</v>
      </c>
      <c r="U856" s="83">
        <f>ROUND(IF($T856="Plumb Takeoff",$H856*U$3,IF($T856="Pipe Takeoff",$H856*U$4,$H856*U$2)),2)</f>
        <v>0</v>
      </c>
      <c r="V856" s="83">
        <f>ROUND(IF($T856="Plumb Takeoff",IF($Q856="OT",$H856*V$3,0),IF($T856="Pipe Takeoff",IF($Q856="OT",$H856*V$4,0),IF($Q856="OT",$H856*V$2,0))),2)</f>
        <v>0</v>
      </c>
      <c r="W856" s="83">
        <f>ROUND(IF($T856="Plumb Takeoff",IF($Q856="DBLT",$H856*W$3,0),IF($T856="Pipe Takeoff",IF($Q856="DBLT",$H856*W$4,0),IF($Q856="DBLT",$H856*W$2,0))),2)</f>
        <v>0</v>
      </c>
      <c r="X856" s="781">
        <f>ROUND(SUM(IF($T856="Plumb Takeoff",IF($R856="SWING",ROUND(SUM($H856)*X$3,2))),IF($T856="Pipe Takeoff",IF($R856="SWING",ROUND(SUM($H856)*X$4,2))),IF($T856="Sheet Metal Takeoff",IF($R856="SWING",ROUND(SUM($H856)*X$2,2)))),2)</f>
        <v>0</v>
      </c>
      <c r="Y856" s="781">
        <f>ROUND(SUM(IF($T856="Plumb Takeoff",IF($R856="GRAVE",ROUND(SUM($H856)*Y$3,2))),IF($T856="Pipe Takeoff",IF($R856="GRAVE",ROUND(SUM($H856)*Y$4,2))),IF($T856="Sheet Metal Takeoff",IF($R856="GRAVE",ROUND(SUM($H856)*Y$2,2)))),2)</f>
        <v>0</v>
      </c>
      <c r="Z856" s="781">
        <f>ROUND(SUM(IF($T856="Plumb Takeoff",IF($R856="SPECIAL",ROUND(SUM($H856)*Z$3,2))),IF($T856="Pipe Takeoff",IF($R856="SPECIAL",ROUND(SUM($H856)*Z$4,2))),IF($T856="Sheet Metal Takeoff",IF($R856="SPECIAL",ROUND(SUM($H856)*Z$2,2)))),2)</f>
        <v>0</v>
      </c>
      <c r="AA856" s="83">
        <f t="shared" ref="AA856:AA881" si="684">ROUND($K856*AA$2,2)</f>
        <v>0</v>
      </c>
      <c r="AB856" s="83">
        <f>ROUND(IF($Q856="OT",$K856*AB$2,0),2)</f>
        <v>0</v>
      </c>
      <c r="AC856" s="83">
        <f>ROUND(IF($Q856="DBLT",$K856*AC$2,0),2)</f>
        <v>0</v>
      </c>
      <c r="AD856" s="83">
        <f>ROUND(IF($R856="SWING",$K856*AD$2,0),2)</f>
        <v>0</v>
      </c>
      <c r="AE856" s="83">
        <f>ROUND(IF($R856="GRAVE",$K856*AE$2,0),2)</f>
        <v>0</v>
      </c>
      <c r="AF856" s="83">
        <f>ROUND(IF($R856="SPECIAL",$K856*AF$2,0),2)</f>
        <v>0</v>
      </c>
      <c r="AG856" s="83">
        <f>SUM(U856:Z856)</f>
        <v>0</v>
      </c>
      <c r="AH856" s="83">
        <f>SUM(AA856:AF856)</f>
        <v>0</v>
      </c>
      <c r="AI856" s="83">
        <f>SUM(U856:AF856)</f>
        <v>0</v>
      </c>
      <c r="AJ856" s="718">
        <f>SUM(M856,AI856)</f>
        <v>0</v>
      </c>
      <c r="AL856">
        <f>SUM(V856:Z856)</f>
        <v>0</v>
      </c>
      <c r="AM856">
        <f>SUM(AB856:AF856)</f>
        <v>0</v>
      </c>
    </row>
    <row r="857" spans="1:39" ht="15.75" x14ac:dyDescent="0.25">
      <c r="A857" s="561"/>
      <c r="B857" s="561"/>
      <c r="C857" s="561"/>
      <c r="D857" s="672"/>
      <c r="E857" s="209"/>
      <c r="F857" s="209"/>
      <c r="G857" s="209"/>
      <c r="H857" s="176">
        <f t="shared" si="680"/>
        <v>0</v>
      </c>
      <c r="I857" s="209"/>
      <c r="J857" s="209"/>
      <c r="K857" s="176">
        <f t="shared" si="681"/>
        <v>0</v>
      </c>
      <c r="L857" s="209"/>
      <c r="M857" s="177">
        <f t="shared" si="682"/>
        <v>0</v>
      </c>
      <c r="N857" s="1012"/>
      <c r="O857" s="1012"/>
      <c r="P857" s="485"/>
      <c r="Q857" s="778"/>
      <c r="R857" s="778"/>
      <c r="S857" s="785" t="str">
        <f t="shared" ref="S857:S881" si="685">IF(T857="Sheet Metal Takeoff","",IF(R857="","","LOP"))</f>
        <v/>
      </c>
      <c r="T857" s="548" t="str">
        <f t="shared" si="683"/>
        <v>Sheet Metal Takeoff</v>
      </c>
      <c r="U857" s="83">
        <f t="shared" ref="U857:U880" si="686">ROUND(IF($T857="Plumb Takeoff",$H857*U$3,IF($T857="Pipe Takeoff",$H857*U$4,$H857*U$2)),2)</f>
        <v>0</v>
      </c>
      <c r="V857" s="83">
        <f t="shared" ref="V857:V881" si="687">ROUND(IF($T857="Plumb Takeoff",IF($Q857="OT",$H857*V$3,0),IF($T857="Pipe Takeoff",IF($Q857="OT",$H857*V$4,0),IF($Q857="OT",$H857*V$2,0))),2)</f>
        <v>0</v>
      </c>
      <c r="W857" s="83">
        <f t="shared" ref="W857:W881" si="688">ROUND(IF($T857="Plumb Takeoff",IF($Q857="DBLT",$H857*W$3,0),IF($T857="Pipe Takeoff",IF($Q857="DBLT",$H857*W$4,0),IF($Q857="DBLT",$H857*W$2,0))),2)</f>
        <v>0</v>
      </c>
      <c r="X857" s="781">
        <f t="shared" ref="X857:X881" si="689">ROUND(SUM(IF($T857="Plumb Takeoff",IF($R857="SWING",ROUND(SUM($H857)*X$3,2))),IF($T857="Pipe Takeoff",IF($R857="SWING",ROUND(SUM($H857)*X$4,2))),IF($T857="Sheet Metal Takeoff",IF($R857="SWING",ROUND(SUM($H857)*X$2,2)))),2)</f>
        <v>0</v>
      </c>
      <c r="Y857" s="781">
        <f t="shared" ref="Y857:Y881" si="690">ROUND(SUM(IF($T857="Plumb Takeoff",IF($R857="GRAVE",ROUND(SUM($H857)*Y$3,2))),IF($T857="Pipe Takeoff",IF($R857="GRAVE",ROUND(SUM($H857)*Y$4,2))),IF($T857="Sheet Metal Takeoff",IF($R857="GRAVE",ROUND(SUM($H857)*Y$2,2)))),2)</f>
        <v>0</v>
      </c>
      <c r="Z857" s="781">
        <f t="shared" ref="Z857:Z881" si="691">ROUND(SUM(IF($T857="Plumb Takeoff",IF($R857="SPECIAL",ROUND(SUM($H857)*Z$3,2))),IF($T857="Pipe Takeoff",IF($R857="SPECIAL",ROUND(SUM($H857)*Z$4,2))),IF($T857="Sheet Metal Takeoff",IF($R857="SPECIAL",ROUND(SUM($H857)*Z$2,2)))),2)</f>
        <v>0</v>
      </c>
      <c r="AA857" s="83">
        <f t="shared" si="684"/>
        <v>0</v>
      </c>
      <c r="AB857" s="83">
        <f t="shared" ref="AB857:AB881" si="692">ROUND(IF($Q857="OT",$K857*AB$2,0),2)</f>
        <v>0</v>
      </c>
      <c r="AC857" s="83">
        <f t="shared" ref="AC857:AC881" si="693">ROUND(IF($Q857="DBLT",$K857*AC$2,0),2)</f>
        <v>0</v>
      </c>
      <c r="AD857" s="83">
        <f t="shared" ref="AD857:AD881" si="694">ROUND(IF($R857="SWING",$K857*AD$2,0),2)</f>
        <v>0</v>
      </c>
      <c r="AE857" s="83">
        <f t="shared" ref="AE857:AE881" si="695">ROUND(IF($R857="GRAVE",$K857*AE$2,0),2)</f>
        <v>0</v>
      </c>
      <c r="AF857" s="83">
        <f t="shared" ref="AF857:AF881" si="696">ROUND(IF($R857="SPECIAL",$K857*AF$2,0),2)</f>
        <v>0</v>
      </c>
      <c r="AG857" s="83">
        <f t="shared" ref="AG857:AG881" si="697">SUM(U857:Z857)</f>
        <v>0</v>
      </c>
      <c r="AH857" s="83">
        <f t="shared" ref="AH857:AH881" si="698">SUM(AA857:AF857)</f>
        <v>0</v>
      </c>
      <c r="AI857" s="83">
        <f t="shared" ref="AI857:AI881" si="699">SUM(U857:AF857)</f>
        <v>0</v>
      </c>
      <c r="AJ857" s="718">
        <f t="shared" ref="AJ857:AJ881" si="700">SUM(M857,AI857)</f>
        <v>0</v>
      </c>
      <c r="AL857">
        <f t="shared" ref="AL857:AL881" si="701">SUM(V857:Z857)</f>
        <v>0</v>
      </c>
      <c r="AM857">
        <f t="shared" ref="AM857:AM881" si="702">SUM(AB857:AF857)</f>
        <v>0</v>
      </c>
    </row>
    <row r="858" spans="1:39" ht="15.75" x14ac:dyDescent="0.25">
      <c r="A858" s="561"/>
      <c r="B858" s="561"/>
      <c r="C858" s="561"/>
      <c r="D858" s="672"/>
      <c r="E858" s="209"/>
      <c r="F858" s="209"/>
      <c r="G858" s="209"/>
      <c r="H858" s="176">
        <f t="shared" si="680"/>
        <v>0</v>
      </c>
      <c r="I858" s="209"/>
      <c r="J858" s="209"/>
      <c r="K858" s="176">
        <f t="shared" si="681"/>
        <v>0</v>
      </c>
      <c r="L858" s="209"/>
      <c r="M858" s="177">
        <f t="shared" si="682"/>
        <v>0</v>
      </c>
      <c r="N858" s="1012"/>
      <c r="O858" s="1012"/>
      <c r="P858" s="485"/>
      <c r="Q858" s="778"/>
      <c r="R858" s="778"/>
      <c r="S858" s="785" t="str">
        <f t="shared" si="685"/>
        <v/>
      </c>
      <c r="T858" s="548" t="str">
        <f t="shared" si="683"/>
        <v>Sheet Metal Takeoff</v>
      </c>
      <c r="U858" s="83">
        <f t="shared" si="686"/>
        <v>0</v>
      </c>
      <c r="V858" s="83">
        <f t="shared" si="687"/>
        <v>0</v>
      </c>
      <c r="W858" s="83">
        <f t="shared" si="688"/>
        <v>0</v>
      </c>
      <c r="X858" s="781">
        <f t="shared" si="689"/>
        <v>0</v>
      </c>
      <c r="Y858" s="781">
        <f t="shared" si="690"/>
        <v>0</v>
      </c>
      <c r="Z858" s="781">
        <f t="shared" si="691"/>
        <v>0</v>
      </c>
      <c r="AA858" s="83">
        <f t="shared" si="684"/>
        <v>0</v>
      </c>
      <c r="AB858" s="83">
        <f t="shared" si="692"/>
        <v>0</v>
      </c>
      <c r="AC858" s="83">
        <f t="shared" si="693"/>
        <v>0</v>
      </c>
      <c r="AD858" s="83">
        <f t="shared" si="694"/>
        <v>0</v>
      </c>
      <c r="AE858" s="83">
        <f t="shared" si="695"/>
        <v>0</v>
      </c>
      <c r="AF858" s="83">
        <f t="shared" si="696"/>
        <v>0</v>
      </c>
      <c r="AG858" s="83">
        <f t="shared" si="697"/>
        <v>0</v>
      </c>
      <c r="AH858" s="83">
        <f t="shared" si="698"/>
        <v>0</v>
      </c>
      <c r="AI858" s="83">
        <f t="shared" si="699"/>
        <v>0</v>
      </c>
      <c r="AJ858" s="718">
        <f t="shared" si="700"/>
        <v>0</v>
      </c>
      <c r="AL858">
        <f t="shared" si="701"/>
        <v>0</v>
      </c>
      <c r="AM858">
        <f t="shared" si="702"/>
        <v>0</v>
      </c>
    </row>
    <row r="859" spans="1:39" ht="15.75" x14ac:dyDescent="0.25">
      <c r="A859" s="561"/>
      <c r="B859" s="561"/>
      <c r="C859" s="561"/>
      <c r="D859" s="672"/>
      <c r="E859" s="209"/>
      <c r="F859" s="209"/>
      <c r="G859" s="209"/>
      <c r="H859" s="176">
        <f t="shared" si="680"/>
        <v>0</v>
      </c>
      <c r="I859" s="209"/>
      <c r="J859" s="209"/>
      <c r="K859" s="176">
        <f t="shared" si="681"/>
        <v>0</v>
      </c>
      <c r="L859" s="209"/>
      <c r="M859" s="177">
        <f t="shared" si="682"/>
        <v>0</v>
      </c>
      <c r="N859" s="1012"/>
      <c r="O859" s="1012"/>
      <c r="P859" s="485"/>
      <c r="Q859" s="778"/>
      <c r="R859" s="778"/>
      <c r="S859" s="785" t="str">
        <f t="shared" si="685"/>
        <v/>
      </c>
      <c r="T859" s="548" t="str">
        <f t="shared" si="683"/>
        <v>Sheet Metal Takeoff</v>
      </c>
      <c r="U859" s="83">
        <f t="shared" si="686"/>
        <v>0</v>
      </c>
      <c r="V859" s="83">
        <f t="shared" si="687"/>
        <v>0</v>
      </c>
      <c r="W859" s="83">
        <f t="shared" si="688"/>
        <v>0</v>
      </c>
      <c r="X859" s="781">
        <f t="shared" si="689"/>
        <v>0</v>
      </c>
      <c r="Y859" s="781">
        <f t="shared" si="690"/>
        <v>0</v>
      </c>
      <c r="Z859" s="781">
        <f t="shared" si="691"/>
        <v>0</v>
      </c>
      <c r="AA859" s="83">
        <f t="shared" si="684"/>
        <v>0</v>
      </c>
      <c r="AB859" s="83">
        <f t="shared" si="692"/>
        <v>0</v>
      </c>
      <c r="AC859" s="83">
        <f t="shared" si="693"/>
        <v>0</v>
      </c>
      <c r="AD859" s="83">
        <f t="shared" si="694"/>
        <v>0</v>
      </c>
      <c r="AE859" s="83">
        <f t="shared" si="695"/>
        <v>0</v>
      </c>
      <c r="AF859" s="83">
        <f t="shared" si="696"/>
        <v>0</v>
      </c>
      <c r="AG859" s="83">
        <f t="shared" si="697"/>
        <v>0</v>
      </c>
      <c r="AH859" s="83">
        <f t="shared" si="698"/>
        <v>0</v>
      </c>
      <c r="AI859" s="83">
        <f t="shared" si="699"/>
        <v>0</v>
      </c>
      <c r="AJ859" s="718">
        <f t="shared" si="700"/>
        <v>0</v>
      </c>
      <c r="AL859">
        <f t="shared" si="701"/>
        <v>0</v>
      </c>
      <c r="AM859">
        <f t="shared" si="702"/>
        <v>0</v>
      </c>
    </row>
    <row r="860" spans="1:39" ht="15.75" x14ac:dyDescent="0.25">
      <c r="A860" s="561"/>
      <c r="B860" s="561"/>
      <c r="C860" s="561"/>
      <c r="D860" s="672"/>
      <c r="E860" s="209"/>
      <c r="F860" s="209"/>
      <c r="G860" s="209"/>
      <c r="H860" s="176">
        <f t="shared" si="680"/>
        <v>0</v>
      </c>
      <c r="I860" s="209"/>
      <c r="J860" s="209"/>
      <c r="K860" s="176">
        <f t="shared" si="681"/>
        <v>0</v>
      </c>
      <c r="L860" s="209"/>
      <c r="M860" s="177">
        <f t="shared" si="682"/>
        <v>0</v>
      </c>
      <c r="N860" s="1012"/>
      <c r="O860" s="1012"/>
      <c r="P860" s="485"/>
      <c r="Q860" s="778"/>
      <c r="R860" s="778"/>
      <c r="S860" s="785" t="str">
        <f t="shared" si="685"/>
        <v/>
      </c>
      <c r="T860" s="548" t="str">
        <f t="shared" si="683"/>
        <v>Sheet Metal Takeoff</v>
      </c>
      <c r="U860" s="83">
        <f t="shared" si="686"/>
        <v>0</v>
      </c>
      <c r="V860" s="83">
        <f t="shared" si="687"/>
        <v>0</v>
      </c>
      <c r="W860" s="83">
        <f t="shared" si="688"/>
        <v>0</v>
      </c>
      <c r="X860" s="781">
        <f t="shared" si="689"/>
        <v>0</v>
      </c>
      <c r="Y860" s="781">
        <f t="shared" si="690"/>
        <v>0</v>
      </c>
      <c r="Z860" s="781">
        <f t="shared" si="691"/>
        <v>0</v>
      </c>
      <c r="AA860" s="83">
        <f t="shared" si="684"/>
        <v>0</v>
      </c>
      <c r="AB860" s="83">
        <f t="shared" si="692"/>
        <v>0</v>
      </c>
      <c r="AC860" s="83">
        <f t="shared" si="693"/>
        <v>0</v>
      </c>
      <c r="AD860" s="83">
        <f t="shared" si="694"/>
        <v>0</v>
      </c>
      <c r="AE860" s="83">
        <f t="shared" si="695"/>
        <v>0</v>
      </c>
      <c r="AF860" s="83">
        <f t="shared" si="696"/>
        <v>0</v>
      </c>
      <c r="AG860" s="83">
        <f t="shared" si="697"/>
        <v>0</v>
      </c>
      <c r="AH860" s="83">
        <f t="shared" si="698"/>
        <v>0</v>
      </c>
      <c r="AI860" s="83">
        <f t="shared" si="699"/>
        <v>0</v>
      </c>
      <c r="AJ860" s="718">
        <f t="shared" si="700"/>
        <v>0</v>
      </c>
      <c r="AL860">
        <f t="shared" si="701"/>
        <v>0</v>
      </c>
      <c r="AM860">
        <f t="shared" si="702"/>
        <v>0</v>
      </c>
    </row>
    <row r="861" spans="1:39" ht="15.75" x14ac:dyDescent="0.25">
      <c r="A861" s="561"/>
      <c r="B861" s="561"/>
      <c r="C861" s="561"/>
      <c r="D861" s="672"/>
      <c r="E861" s="209"/>
      <c r="F861" s="209"/>
      <c r="G861" s="209"/>
      <c r="H861" s="176">
        <f t="shared" si="680"/>
        <v>0</v>
      </c>
      <c r="I861" s="209"/>
      <c r="J861" s="209"/>
      <c r="K861" s="176">
        <f t="shared" si="681"/>
        <v>0</v>
      </c>
      <c r="L861" s="209"/>
      <c r="M861" s="177">
        <f t="shared" si="682"/>
        <v>0</v>
      </c>
      <c r="N861" s="1012"/>
      <c r="O861" s="1012"/>
      <c r="P861" s="485"/>
      <c r="Q861" s="778"/>
      <c r="R861" s="778"/>
      <c r="S861" s="785" t="str">
        <f t="shared" si="685"/>
        <v/>
      </c>
      <c r="T861" s="548" t="str">
        <f t="shared" si="683"/>
        <v>Sheet Metal Takeoff</v>
      </c>
      <c r="U861" s="83">
        <f t="shared" si="686"/>
        <v>0</v>
      </c>
      <c r="V861" s="83">
        <f t="shared" si="687"/>
        <v>0</v>
      </c>
      <c r="W861" s="83">
        <f t="shared" si="688"/>
        <v>0</v>
      </c>
      <c r="X861" s="781">
        <f t="shared" si="689"/>
        <v>0</v>
      </c>
      <c r="Y861" s="781">
        <f t="shared" si="690"/>
        <v>0</v>
      </c>
      <c r="Z861" s="781">
        <f t="shared" si="691"/>
        <v>0</v>
      </c>
      <c r="AA861" s="83">
        <f t="shared" si="684"/>
        <v>0</v>
      </c>
      <c r="AB861" s="83">
        <f t="shared" si="692"/>
        <v>0</v>
      </c>
      <c r="AC861" s="83">
        <f t="shared" si="693"/>
        <v>0</v>
      </c>
      <c r="AD861" s="83">
        <f t="shared" si="694"/>
        <v>0</v>
      </c>
      <c r="AE861" s="83">
        <f t="shared" si="695"/>
        <v>0</v>
      </c>
      <c r="AF861" s="83">
        <f t="shared" si="696"/>
        <v>0</v>
      </c>
      <c r="AG861" s="83">
        <f t="shared" si="697"/>
        <v>0</v>
      </c>
      <c r="AH861" s="83">
        <f t="shared" si="698"/>
        <v>0</v>
      </c>
      <c r="AI861" s="83">
        <f t="shared" si="699"/>
        <v>0</v>
      </c>
      <c r="AJ861" s="718">
        <f t="shared" si="700"/>
        <v>0</v>
      </c>
      <c r="AL861">
        <f t="shared" si="701"/>
        <v>0</v>
      </c>
      <c r="AM861">
        <f t="shared" si="702"/>
        <v>0</v>
      </c>
    </row>
    <row r="862" spans="1:39" ht="15.75" x14ac:dyDescent="0.25">
      <c r="A862" s="561"/>
      <c r="B862" s="561"/>
      <c r="C862" s="561"/>
      <c r="D862" s="672"/>
      <c r="E862" s="209"/>
      <c r="F862" s="209"/>
      <c r="G862" s="209"/>
      <c r="H862" s="176">
        <f t="shared" si="680"/>
        <v>0</v>
      </c>
      <c r="I862" s="209"/>
      <c r="J862" s="209"/>
      <c r="K862" s="176">
        <f t="shared" si="681"/>
        <v>0</v>
      </c>
      <c r="L862" s="209"/>
      <c r="M862" s="177">
        <f t="shared" si="682"/>
        <v>0</v>
      </c>
      <c r="N862" s="1012"/>
      <c r="O862" s="1012"/>
      <c r="P862" s="485"/>
      <c r="Q862" s="778"/>
      <c r="R862" s="778"/>
      <c r="S862" s="785" t="str">
        <f t="shared" si="685"/>
        <v/>
      </c>
      <c r="T862" s="548" t="str">
        <f t="shared" si="683"/>
        <v>Sheet Metal Takeoff</v>
      </c>
      <c r="U862" s="83">
        <f t="shared" si="686"/>
        <v>0</v>
      </c>
      <c r="V862" s="83">
        <f t="shared" si="687"/>
        <v>0</v>
      </c>
      <c r="W862" s="83">
        <f t="shared" si="688"/>
        <v>0</v>
      </c>
      <c r="X862" s="781">
        <f t="shared" si="689"/>
        <v>0</v>
      </c>
      <c r="Y862" s="781">
        <f t="shared" si="690"/>
        <v>0</v>
      </c>
      <c r="Z862" s="781">
        <f t="shared" si="691"/>
        <v>0</v>
      </c>
      <c r="AA862" s="83">
        <f t="shared" si="684"/>
        <v>0</v>
      </c>
      <c r="AB862" s="83">
        <f t="shared" si="692"/>
        <v>0</v>
      </c>
      <c r="AC862" s="83">
        <f t="shared" si="693"/>
        <v>0</v>
      </c>
      <c r="AD862" s="83">
        <f t="shared" si="694"/>
        <v>0</v>
      </c>
      <c r="AE862" s="83">
        <f t="shared" si="695"/>
        <v>0</v>
      </c>
      <c r="AF862" s="83">
        <f t="shared" si="696"/>
        <v>0</v>
      </c>
      <c r="AG862" s="83">
        <f t="shared" si="697"/>
        <v>0</v>
      </c>
      <c r="AH862" s="83">
        <f t="shared" si="698"/>
        <v>0</v>
      </c>
      <c r="AI862" s="83">
        <f t="shared" si="699"/>
        <v>0</v>
      </c>
      <c r="AJ862" s="718">
        <f t="shared" si="700"/>
        <v>0</v>
      </c>
      <c r="AL862">
        <f t="shared" si="701"/>
        <v>0</v>
      </c>
      <c r="AM862">
        <f t="shared" si="702"/>
        <v>0</v>
      </c>
    </row>
    <row r="863" spans="1:39" ht="15.75" x14ac:dyDescent="0.25">
      <c r="A863" s="561"/>
      <c r="B863" s="561"/>
      <c r="C863" s="561"/>
      <c r="D863" s="672"/>
      <c r="E863" s="209"/>
      <c r="F863" s="209"/>
      <c r="G863" s="209"/>
      <c r="H863" s="176">
        <f t="shared" si="680"/>
        <v>0</v>
      </c>
      <c r="I863" s="209"/>
      <c r="J863" s="209"/>
      <c r="K863" s="176">
        <f t="shared" si="681"/>
        <v>0</v>
      </c>
      <c r="L863" s="209"/>
      <c r="M863" s="177">
        <f t="shared" si="682"/>
        <v>0</v>
      </c>
      <c r="N863" s="1012"/>
      <c r="O863" s="1012"/>
      <c r="P863" s="485"/>
      <c r="Q863" s="778"/>
      <c r="R863" s="778"/>
      <c r="S863" s="785" t="str">
        <f t="shared" si="685"/>
        <v/>
      </c>
      <c r="T863" s="548" t="str">
        <f t="shared" si="683"/>
        <v>Sheet Metal Takeoff</v>
      </c>
      <c r="U863" s="83">
        <f t="shared" si="686"/>
        <v>0</v>
      </c>
      <c r="V863" s="83">
        <f t="shared" si="687"/>
        <v>0</v>
      </c>
      <c r="W863" s="83">
        <f t="shared" si="688"/>
        <v>0</v>
      </c>
      <c r="X863" s="781">
        <f t="shared" si="689"/>
        <v>0</v>
      </c>
      <c r="Y863" s="781">
        <f t="shared" si="690"/>
        <v>0</v>
      </c>
      <c r="Z863" s="781">
        <f t="shared" si="691"/>
        <v>0</v>
      </c>
      <c r="AA863" s="83">
        <f t="shared" si="684"/>
        <v>0</v>
      </c>
      <c r="AB863" s="83">
        <f t="shared" si="692"/>
        <v>0</v>
      </c>
      <c r="AC863" s="83">
        <f t="shared" si="693"/>
        <v>0</v>
      </c>
      <c r="AD863" s="83">
        <f t="shared" si="694"/>
        <v>0</v>
      </c>
      <c r="AE863" s="83">
        <f t="shared" si="695"/>
        <v>0</v>
      </c>
      <c r="AF863" s="83">
        <f t="shared" si="696"/>
        <v>0</v>
      </c>
      <c r="AG863" s="83">
        <f t="shared" si="697"/>
        <v>0</v>
      </c>
      <c r="AH863" s="83">
        <f t="shared" si="698"/>
        <v>0</v>
      </c>
      <c r="AI863" s="83">
        <f t="shared" si="699"/>
        <v>0</v>
      </c>
      <c r="AJ863" s="718">
        <f t="shared" si="700"/>
        <v>0</v>
      </c>
      <c r="AL863">
        <f t="shared" si="701"/>
        <v>0</v>
      </c>
      <c r="AM863">
        <f t="shared" si="702"/>
        <v>0</v>
      </c>
    </row>
    <row r="864" spans="1:39" ht="15.75" x14ac:dyDescent="0.25">
      <c r="A864" s="561"/>
      <c r="B864" s="561"/>
      <c r="C864" s="561"/>
      <c r="D864" s="672"/>
      <c r="E864" s="209"/>
      <c r="F864" s="209"/>
      <c r="G864" s="209"/>
      <c r="H864" s="176">
        <f t="shared" si="680"/>
        <v>0</v>
      </c>
      <c r="I864" s="209"/>
      <c r="J864" s="209"/>
      <c r="K864" s="176">
        <f t="shared" si="681"/>
        <v>0</v>
      </c>
      <c r="L864" s="209"/>
      <c r="M864" s="177">
        <f t="shared" si="682"/>
        <v>0</v>
      </c>
      <c r="N864" s="1012"/>
      <c r="O864" s="1012"/>
      <c r="P864" s="485"/>
      <c r="Q864" s="778"/>
      <c r="R864" s="778"/>
      <c r="S864" s="785" t="str">
        <f t="shared" si="685"/>
        <v/>
      </c>
      <c r="T864" s="548" t="str">
        <f t="shared" si="683"/>
        <v>Sheet Metal Takeoff</v>
      </c>
      <c r="U864" s="83">
        <f t="shared" si="686"/>
        <v>0</v>
      </c>
      <c r="V864" s="83">
        <f t="shared" si="687"/>
        <v>0</v>
      </c>
      <c r="W864" s="83">
        <f t="shared" si="688"/>
        <v>0</v>
      </c>
      <c r="X864" s="781">
        <f t="shared" si="689"/>
        <v>0</v>
      </c>
      <c r="Y864" s="781">
        <f t="shared" si="690"/>
        <v>0</v>
      </c>
      <c r="Z864" s="781">
        <f t="shared" si="691"/>
        <v>0</v>
      </c>
      <c r="AA864" s="83">
        <f t="shared" si="684"/>
        <v>0</v>
      </c>
      <c r="AB864" s="83">
        <f t="shared" si="692"/>
        <v>0</v>
      </c>
      <c r="AC864" s="83">
        <f t="shared" si="693"/>
        <v>0</v>
      </c>
      <c r="AD864" s="83">
        <f t="shared" si="694"/>
        <v>0</v>
      </c>
      <c r="AE864" s="83">
        <f t="shared" si="695"/>
        <v>0</v>
      </c>
      <c r="AF864" s="83">
        <f t="shared" si="696"/>
        <v>0</v>
      </c>
      <c r="AG864" s="83">
        <f t="shared" si="697"/>
        <v>0</v>
      </c>
      <c r="AH864" s="83">
        <f t="shared" si="698"/>
        <v>0</v>
      </c>
      <c r="AI864" s="83">
        <f t="shared" si="699"/>
        <v>0</v>
      </c>
      <c r="AJ864" s="718">
        <f t="shared" si="700"/>
        <v>0</v>
      </c>
      <c r="AL864">
        <f t="shared" si="701"/>
        <v>0</v>
      </c>
      <c r="AM864">
        <f t="shared" si="702"/>
        <v>0</v>
      </c>
    </row>
    <row r="865" spans="1:39" ht="15.75" x14ac:dyDescent="0.25">
      <c r="A865" s="561"/>
      <c r="B865" s="561"/>
      <c r="C865" s="561"/>
      <c r="D865" s="672"/>
      <c r="E865" s="209"/>
      <c r="F865" s="209"/>
      <c r="G865" s="209"/>
      <c r="H865" s="176">
        <f t="shared" si="680"/>
        <v>0</v>
      </c>
      <c r="I865" s="209"/>
      <c r="J865" s="209"/>
      <c r="K865" s="176">
        <f t="shared" si="681"/>
        <v>0</v>
      </c>
      <c r="L865" s="209"/>
      <c r="M865" s="177">
        <f t="shared" si="682"/>
        <v>0</v>
      </c>
      <c r="N865" s="1012"/>
      <c r="O865" s="1012"/>
      <c r="P865" s="485"/>
      <c r="Q865" s="778"/>
      <c r="R865" s="778"/>
      <c r="S865" s="785" t="str">
        <f t="shared" si="685"/>
        <v/>
      </c>
      <c r="T865" s="548" t="str">
        <f t="shared" si="683"/>
        <v>Sheet Metal Takeoff</v>
      </c>
      <c r="U865" s="83">
        <f t="shared" si="686"/>
        <v>0</v>
      </c>
      <c r="V865" s="83">
        <f t="shared" si="687"/>
        <v>0</v>
      </c>
      <c r="W865" s="83">
        <f t="shared" si="688"/>
        <v>0</v>
      </c>
      <c r="X865" s="781">
        <f t="shared" si="689"/>
        <v>0</v>
      </c>
      <c r="Y865" s="781">
        <f t="shared" si="690"/>
        <v>0</v>
      </c>
      <c r="Z865" s="781">
        <f t="shared" si="691"/>
        <v>0</v>
      </c>
      <c r="AA865" s="83">
        <f t="shared" si="684"/>
        <v>0</v>
      </c>
      <c r="AB865" s="83">
        <f t="shared" si="692"/>
        <v>0</v>
      </c>
      <c r="AC865" s="83">
        <f t="shared" si="693"/>
        <v>0</v>
      </c>
      <c r="AD865" s="83">
        <f t="shared" si="694"/>
        <v>0</v>
      </c>
      <c r="AE865" s="83">
        <f t="shared" si="695"/>
        <v>0</v>
      </c>
      <c r="AF865" s="83">
        <f t="shared" si="696"/>
        <v>0</v>
      </c>
      <c r="AG865" s="83">
        <f t="shared" si="697"/>
        <v>0</v>
      </c>
      <c r="AH865" s="83">
        <f t="shared" si="698"/>
        <v>0</v>
      </c>
      <c r="AI865" s="83">
        <f t="shared" si="699"/>
        <v>0</v>
      </c>
      <c r="AJ865" s="718">
        <f t="shared" si="700"/>
        <v>0</v>
      </c>
      <c r="AL865">
        <f t="shared" si="701"/>
        <v>0</v>
      </c>
      <c r="AM865">
        <f t="shared" si="702"/>
        <v>0</v>
      </c>
    </row>
    <row r="866" spans="1:39" ht="15.75" x14ac:dyDescent="0.25">
      <c r="A866" s="561"/>
      <c r="B866" s="561"/>
      <c r="C866" s="561"/>
      <c r="D866" s="672"/>
      <c r="E866" s="209"/>
      <c r="F866" s="209"/>
      <c r="G866" s="209"/>
      <c r="H866" s="176">
        <f t="shared" si="680"/>
        <v>0</v>
      </c>
      <c r="I866" s="209"/>
      <c r="J866" s="209"/>
      <c r="K866" s="176">
        <f t="shared" si="681"/>
        <v>0</v>
      </c>
      <c r="L866" s="209"/>
      <c r="M866" s="177">
        <f t="shared" si="682"/>
        <v>0</v>
      </c>
      <c r="N866" s="1012"/>
      <c r="O866" s="1012"/>
      <c r="P866" s="485"/>
      <c r="Q866" s="778"/>
      <c r="R866" s="778"/>
      <c r="S866" s="785" t="str">
        <f t="shared" si="685"/>
        <v/>
      </c>
      <c r="T866" s="548" t="str">
        <f t="shared" si="683"/>
        <v>Sheet Metal Takeoff</v>
      </c>
      <c r="U866" s="83">
        <f t="shared" si="686"/>
        <v>0</v>
      </c>
      <c r="V866" s="83">
        <f t="shared" si="687"/>
        <v>0</v>
      </c>
      <c r="W866" s="83">
        <f t="shared" si="688"/>
        <v>0</v>
      </c>
      <c r="X866" s="781">
        <f t="shared" si="689"/>
        <v>0</v>
      </c>
      <c r="Y866" s="781">
        <f t="shared" si="690"/>
        <v>0</v>
      </c>
      <c r="Z866" s="781">
        <f t="shared" si="691"/>
        <v>0</v>
      </c>
      <c r="AA866" s="83">
        <f t="shared" si="684"/>
        <v>0</v>
      </c>
      <c r="AB866" s="83">
        <f t="shared" si="692"/>
        <v>0</v>
      </c>
      <c r="AC866" s="83">
        <f t="shared" si="693"/>
        <v>0</v>
      </c>
      <c r="AD866" s="83">
        <f t="shared" si="694"/>
        <v>0</v>
      </c>
      <c r="AE866" s="83">
        <f t="shared" si="695"/>
        <v>0</v>
      </c>
      <c r="AF866" s="83">
        <f t="shared" si="696"/>
        <v>0</v>
      </c>
      <c r="AG866" s="83">
        <f t="shared" si="697"/>
        <v>0</v>
      </c>
      <c r="AH866" s="83">
        <f t="shared" si="698"/>
        <v>0</v>
      </c>
      <c r="AI866" s="83">
        <f t="shared" si="699"/>
        <v>0</v>
      </c>
      <c r="AJ866" s="718">
        <f t="shared" si="700"/>
        <v>0</v>
      </c>
      <c r="AL866">
        <f t="shared" si="701"/>
        <v>0</v>
      </c>
      <c r="AM866">
        <f t="shared" si="702"/>
        <v>0</v>
      </c>
    </row>
    <row r="867" spans="1:39" ht="15.75" x14ac:dyDescent="0.25">
      <c r="A867" s="561"/>
      <c r="B867" s="561"/>
      <c r="C867" s="561"/>
      <c r="D867" s="672"/>
      <c r="E867" s="209"/>
      <c r="F867" s="209"/>
      <c r="G867" s="209"/>
      <c r="H867" s="176">
        <f t="shared" si="680"/>
        <v>0</v>
      </c>
      <c r="I867" s="209"/>
      <c r="J867" s="209"/>
      <c r="K867" s="176">
        <f t="shared" si="681"/>
        <v>0</v>
      </c>
      <c r="L867" s="209"/>
      <c r="M867" s="177">
        <f t="shared" si="682"/>
        <v>0</v>
      </c>
      <c r="N867" s="1012"/>
      <c r="O867" s="1012"/>
      <c r="P867" s="485"/>
      <c r="Q867" s="778"/>
      <c r="R867" s="778"/>
      <c r="S867" s="785" t="str">
        <f t="shared" si="685"/>
        <v/>
      </c>
      <c r="T867" s="548" t="str">
        <f t="shared" si="683"/>
        <v>Sheet Metal Takeoff</v>
      </c>
      <c r="U867" s="83">
        <f t="shared" si="686"/>
        <v>0</v>
      </c>
      <c r="V867" s="83">
        <f t="shared" si="687"/>
        <v>0</v>
      </c>
      <c r="W867" s="83">
        <f t="shared" si="688"/>
        <v>0</v>
      </c>
      <c r="X867" s="781">
        <f t="shared" si="689"/>
        <v>0</v>
      </c>
      <c r="Y867" s="781">
        <f t="shared" si="690"/>
        <v>0</v>
      </c>
      <c r="Z867" s="781">
        <f t="shared" si="691"/>
        <v>0</v>
      </c>
      <c r="AA867" s="83">
        <f t="shared" si="684"/>
        <v>0</v>
      </c>
      <c r="AB867" s="83">
        <f t="shared" si="692"/>
        <v>0</v>
      </c>
      <c r="AC867" s="83">
        <f t="shared" si="693"/>
        <v>0</v>
      </c>
      <c r="AD867" s="83">
        <f t="shared" si="694"/>
        <v>0</v>
      </c>
      <c r="AE867" s="83">
        <f t="shared" si="695"/>
        <v>0</v>
      </c>
      <c r="AF867" s="83">
        <f t="shared" si="696"/>
        <v>0</v>
      </c>
      <c r="AG867" s="83">
        <f t="shared" si="697"/>
        <v>0</v>
      </c>
      <c r="AH867" s="83">
        <f t="shared" si="698"/>
        <v>0</v>
      </c>
      <c r="AI867" s="83">
        <f t="shared" si="699"/>
        <v>0</v>
      </c>
      <c r="AJ867" s="718">
        <f t="shared" si="700"/>
        <v>0</v>
      </c>
      <c r="AL867">
        <f t="shared" si="701"/>
        <v>0</v>
      </c>
      <c r="AM867">
        <f t="shared" si="702"/>
        <v>0</v>
      </c>
    </row>
    <row r="868" spans="1:39" ht="15.75" x14ac:dyDescent="0.25">
      <c r="A868" s="561"/>
      <c r="B868" s="561"/>
      <c r="C868" s="561"/>
      <c r="D868" s="672"/>
      <c r="E868" s="209"/>
      <c r="F868" s="209"/>
      <c r="G868" s="209"/>
      <c r="H868" s="176">
        <f t="shared" si="680"/>
        <v>0</v>
      </c>
      <c r="I868" s="209"/>
      <c r="J868" s="209"/>
      <c r="K868" s="176">
        <f t="shared" si="681"/>
        <v>0</v>
      </c>
      <c r="L868" s="209"/>
      <c r="M868" s="177">
        <f t="shared" si="682"/>
        <v>0</v>
      </c>
      <c r="N868" s="1012"/>
      <c r="O868" s="1012"/>
      <c r="P868" s="485"/>
      <c r="Q868" s="778"/>
      <c r="R868" s="778"/>
      <c r="S868" s="785" t="str">
        <f t="shared" si="685"/>
        <v/>
      </c>
      <c r="T868" s="548" t="str">
        <f t="shared" si="683"/>
        <v>Sheet Metal Takeoff</v>
      </c>
      <c r="U868" s="83">
        <f t="shared" si="686"/>
        <v>0</v>
      </c>
      <c r="V868" s="83">
        <f t="shared" si="687"/>
        <v>0</v>
      </c>
      <c r="W868" s="83">
        <f t="shared" si="688"/>
        <v>0</v>
      </c>
      <c r="X868" s="781">
        <f t="shared" si="689"/>
        <v>0</v>
      </c>
      <c r="Y868" s="781">
        <f t="shared" si="690"/>
        <v>0</v>
      </c>
      <c r="Z868" s="781">
        <f t="shared" si="691"/>
        <v>0</v>
      </c>
      <c r="AA868" s="83">
        <f t="shared" si="684"/>
        <v>0</v>
      </c>
      <c r="AB868" s="83">
        <f t="shared" si="692"/>
        <v>0</v>
      </c>
      <c r="AC868" s="83">
        <f t="shared" si="693"/>
        <v>0</v>
      </c>
      <c r="AD868" s="83">
        <f t="shared" si="694"/>
        <v>0</v>
      </c>
      <c r="AE868" s="83">
        <f t="shared" si="695"/>
        <v>0</v>
      </c>
      <c r="AF868" s="83">
        <f t="shared" si="696"/>
        <v>0</v>
      </c>
      <c r="AG868" s="83">
        <f t="shared" si="697"/>
        <v>0</v>
      </c>
      <c r="AH868" s="83">
        <f t="shared" si="698"/>
        <v>0</v>
      </c>
      <c r="AI868" s="83">
        <f t="shared" si="699"/>
        <v>0</v>
      </c>
      <c r="AJ868" s="718">
        <f t="shared" si="700"/>
        <v>0</v>
      </c>
      <c r="AL868">
        <f t="shared" si="701"/>
        <v>0</v>
      </c>
      <c r="AM868">
        <f t="shared" si="702"/>
        <v>0</v>
      </c>
    </row>
    <row r="869" spans="1:39" ht="15.75" x14ac:dyDescent="0.25">
      <c r="A869" s="561"/>
      <c r="B869" s="561"/>
      <c r="C869" s="561"/>
      <c r="D869" s="672"/>
      <c r="E869" s="209"/>
      <c r="F869" s="209"/>
      <c r="G869" s="209"/>
      <c r="H869" s="176">
        <f t="shared" si="680"/>
        <v>0</v>
      </c>
      <c r="I869" s="209"/>
      <c r="J869" s="209"/>
      <c r="K869" s="176">
        <f t="shared" si="681"/>
        <v>0</v>
      </c>
      <c r="L869" s="209"/>
      <c r="M869" s="177">
        <f t="shared" si="682"/>
        <v>0</v>
      </c>
      <c r="N869" s="1012"/>
      <c r="O869" s="1012"/>
      <c r="P869" s="485"/>
      <c r="Q869" s="778"/>
      <c r="R869" s="778"/>
      <c r="S869" s="785" t="str">
        <f t="shared" si="685"/>
        <v/>
      </c>
      <c r="T869" s="548" t="str">
        <f t="shared" si="683"/>
        <v>Sheet Metal Takeoff</v>
      </c>
      <c r="U869" s="83">
        <f t="shared" si="686"/>
        <v>0</v>
      </c>
      <c r="V869" s="83">
        <f t="shared" si="687"/>
        <v>0</v>
      </c>
      <c r="W869" s="83">
        <f t="shared" si="688"/>
        <v>0</v>
      </c>
      <c r="X869" s="781">
        <f t="shared" si="689"/>
        <v>0</v>
      </c>
      <c r="Y869" s="781">
        <f t="shared" si="690"/>
        <v>0</v>
      </c>
      <c r="Z869" s="781">
        <f t="shared" si="691"/>
        <v>0</v>
      </c>
      <c r="AA869" s="83">
        <f t="shared" si="684"/>
        <v>0</v>
      </c>
      <c r="AB869" s="83">
        <f t="shared" si="692"/>
        <v>0</v>
      </c>
      <c r="AC869" s="83">
        <f t="shared" si="693"/>
        <v>0</v>
      </c>
      <c r="AD869" s="83">
        <f t="shared" si="694"/>
        <v>0</v>
      </c>
      <c r="AE869" s="83">
        <f t="shared" si="695"/>
        <v>0</v>
      </c>
      <c r="AF869" s="83">
        <f t="shared" si="696"/>
        <v>0</v>
      </c>
      <c r="AG869" s="83">
        <f t="shared" si="697"/>
        <v>0</v>
      </c>
      <c r="AH869" s="83">
        <f t="shared" si="698"/>
        <v>0</v>
      </c>
      <c r="AI869" s="83">
        <f t="shared" si="699"/>
        <v>0</v>
      </c>
      <c r="AJ869" s="718">
        <f t="shared" si="700"/>
        <v>0</v>
      </c>
      <c r="AL869">
        <f t="shared" si="701"/>
        <v>0</v>
      </c>
      <c r="AM869">
        <f t="shared" si="702"/>
        <v>0</v>
      </c>
    </row>
    <row r="870" spans="1:39" ht="15.75" x14ac:dyDescent="0.25">
      <c r="A870" s="561"/>
      <c r="B870" s="561"/>
      <c r="C870" s="561"/>
      <c r="D870" s="672"/>
      <c r="E870" s="209"/>
      <c r="F870" s="209"/>
      <c r="G870" s="209"/>
      <c r="H870" s="176">
        <f t="shared" si="680"/>
        <v>0</v>
      </c>
      <c r="I870" s="209"/>
      <c r="J870" s="209"/>
      <c r="K870" s="176">
        <f t="shared" si="681"/>
        <v>0</v>
      </c>
      <c r="L870" s="209"/>
      <c r="M870" s="177">
        <f t="shared" si="682"/>
        <v>0</v>
      </c>
      <c r="N870" s="1012"/>
      <c r="O870" s="1012"/>
      <c r="P870" s="485"/>
      <c r="Q870" s="778"/>
      <c r="R870" s="778"/>
      <c r="S870" s="785" t="str">
        <f t="shared" si="685"/>
        <v/>
      </c>
      <c r="T870" s="548" t="str">
        <f t="shared" si="683"/>
        <v>Sheet Metal Takeoff</v>
      </c>
      <c r="U870" s="83">
        <f t="shared" si="686"/>
        <v>0</v>
      </c>
      <c r="V870" s="83">
        <f t="shared" si="687"/>
        <v>0</v>
      </c>
      <c r="W870" s="83">
        <f t="shared" si="688"/>
        <v>0</v>
      </c>
      <c r="X870" s="781">
        <f t="shared" si="689"/>
        <v>0</v>
      </c>
      <c r="Y870" s="781">
        <f t="shared" si="690"/>
        <v>0</v>
      </c>
      <c r="Z870" s="781">
        <f t="shared" si="691"/>
        <v>0</v>
      </c>
      <c r="AA870" s="83">
        <f t="shared" si="684"/>
        <v>0</v>
      </c>
      <c r="AB870" s="83">
        <f t="shared" si="692"/>
        <v>0</v>
      </c>
      <c r="AC870" s="83">
        <f t="shared" si="693"/>
        <v>0</v>
      </c>
      <c r="AD870" s="83">
        <f t="shared" si="694"/>
        <v>0</v>
      </c>
      <c r="AE870" s="83">
        <f t="shared" si="695"/>
        <v>0</v>
      </c>
      <c r="AF870" s="83">
        <f t="shared" si="696"/>
        <v>0</v>
      </c>
      <c r="AG870" s="83">
        <f t="shared" si="697"/>
        <v>0</v>
      </c>
      <c r="AH870" s="83">
        <f t="shared" si="698"/>
        <v>0</v>
      </c>
      <c r="AI870" s="83">
        <f t="shared" si="699"/>
        <v>0</v>
      </c>
      <c r="AJ870" s="718">
        <f t="shared" si="700"/>
        <v>0</v>
      </c>
      <c r="AL870">
        <f t="shared" si="701"/>
        <v>0</v>
      </c>
      <c r="AM870">
        <f t="shared" si="702"/>
        <v>0</v>
      </c>
    </row>
    <row r="871" spans="1:39" ht="15.75" x14ac:dyDescent="0.25">
      <c r="A871" s="561"/>
      <c r="B871" s="561"/>
      <c r="C871" s="561"/>
      <c r="D871" s="672"/>
      <c r="E871" s="209"/>
      <c r="F871" s="209"/>
      <c r="G871" s="209"/>
      <c r="H871" s="176">
        <f t="shared" si="680"/>
        <v>0</v>
      </c>
      <c r="I871" s="209"/>
      <c r="J871" s="209"/>
      <c r="K871" s="176">
        <f t="shared" si="681"/>
        <v>0</v>
      </c>
      <c r="L871" s="209"/>
      <c r="M871" s="177">
        <f t="shared" si="682"/>
        <v>0</v>
      </c>
      <c r="N871" s="1012"/>
      <c r="O871" s="1012"/>
      <c r="P871" s="485"/>
      <c r="Q871" s="778"/>
      <c r="R871" s="778"/>
      <c r="S871" s="785" t="str">
        <f t="shared" si="685"/>
        <v/>
      </c>
      <c r="T871" s="548" t="str">
        <f t="shared" si="683"/>
        <v>Sheet Metal Takeoff</v>
      </c>
      <c r="U871" s="83">
        <f t="shared" si="686"/>
        <v>0</v>
      </c>
      <c r="V871" s="83">
        <f t="shared" si="687"/>
        <v>0</v>
      </c>
      <c r="W871" s="83">
        <f t="shared" si="688"/>
        <v>0</v>
      </c>
      <c r="X871" s="781">
        <f t="shared" si="689"/>
        <v>0</v>
      </c>
      <c r="Y871" s="781">
        <f t="shared" si="690"/>
        <v>0</v>
      </c>
      <c r="Z871" s="781">
        <f t="shared" si="691"/>
        <v>0</v>
      </c>
      <c r="AA871" s="83">
        <f t="shared" si="684"/>
        <v>0</v>
      </c>
      <c r="AB871" s="83">
        <f t="shared" si="692"/>
        <v>0</v>
      </c>
      <c r="AC871" s="83">
        <f t="shared" si="693"/>
        <v>0</v>
      </c>
      <c r="AD871" s="83">
        <f t="shared" si="694"/>
        <v>0</v>
      </c>
      <c r="AE871" s="83">
        <f t="shared" si="695"/>
        <v>0</v>
      </c>
      <c r="AF871" s="83">
        <f t="shared" si="696"/>
        <v>0</v>
      </c>
      <c r="AG871" s="83">
        <f t="shared" si="697"/>
        <v>0</v>
      </c>
      <c r="AH871" s="83">
        <f t="shared" si="698"/>
        <v>0</v>
      </c>
      <c r="AI871" s="83">
        <f t="shared" si="699"/>
        <v>0</v>
      </c>
      <c r="AJ871" s="718">
        <f t="shared" si="700"/>
        <v>0</v>
      </c>
      <c r="AL871">
        <f t="shared" si="701"/>
        <v>0</v>
      </c>
      <c r="AM871">
        <f t="shared" si="702"/>
        <v>0</v>
      </c>
    </row>
    <row r="872" spans="1:39" ht="15.75" x14ac:dyDescent="0.25">
      <c r="A872" s="561"/>
      <c r="B872" s="561"/>
      <c r="C872" s="561"/>
      <c r="D872" s="672"/>
      <c r="E872" s="209"/>
      <c r="F872" s="209"/>
      <c r="G872" s="209"/>
      <c r="H872" s="176">
        <f t="shared" si="680"/>
        <v>0</v>
      </c>
      <c r="I872" s="209"/>
      <c r="J872" s="209"/>
      <c r="K872" s="176">
        <f t="shared" si="681"/>
        <v>0</v>
      </c>
      <c r="L872" s="209"/>
      <c r="M872" s="177">
        <f t="shared" si="682"/>
        <v>0</v>
      </c>
      <c r="N872" s="1012"/>
      <c r="O872" s="1012"/>
      <c r="P872" s="485"/>
      <c r="Q872" s="778"/>
      <c r="R872" s="778"/>
      <c r="S872" s="785" t="str">
        <f t="shared" si="685"/>
        <v/>
      </c>
      <c r="T872" s="548" t="str">
        <f t="shared" si="683"/>
        <v>Sheet Metal Takeoff</v>
      </c>
      <c r="U872" s="83">
        <f t="shared" si="686"/>
        <v>0</v>
      </c>
      <c r="V872" s="83">
        <f t="shared" si="687"/>
        <v>0</v>
      </c>
      <c r="W872" s="83">
        <f t="shared" si="688"/>
        <v>0</v>
      </c>
      <c r="X872" s="781">
        <f t="shared" si="689"/>
        <v>0</v>
      </c>
      <c r="Y872" s="781">
        <f t="shared" si="690"/>
        <v>0</v>
      </c>
      <c r="Z872" s="781">
        <f t="shared" si="691"/>
        <v>0</v>
      </c>
      <c r="AA872" s="83">
        <f t="shared" si="684"/>
        <v>0</v>
      </c>
      <c r="AB872" s="83">
        <f t="shared" si="692"/>
        <v>0</v>
      </c>
      <c r="AC872" s="83">
        <f t="shared" si="693"/>
        <v>0</v>
      </c>
      <c r="AD872" s="83">
        <f t="shared" si="694"/>
        <v>0</v>
      </c>
      <c r="AE872" s="83">
        <f t="shared" si="695"/>
        <v>0</v>
      </c>
      <c r="AF872" s="83">
        <f t="shared" si="696"/>
        <v>0</v>
      </c>
      <c r="AG872" s="83">
        <f t="shared" si="697"/>
        <v>0</v>
      </c>
      <c r="AH872" s="83">
        <f t="shared" si="698"/>
        <v>0</v>
      </c>
      <c r="AI872" s="83">
        <f t="shared" si="699"/>
        <v>0</v>
      </c>
      <c r="AJ872" s="718">
        <f t="shared" si="700"/>
        <v>0</v>
      </c>
      <c r="AL872">
        <f t="shared" si="701"/>
        <v>0</v>
      </c>
      <c r="AM872">
        <f t="shared" si="702"/>
        <v>0</v>
      </c>
    </row>
    <row r="873" spans="1:39" ht="15.75" x14ac:dyDescent="0.25">
      <c r="A873" s="561"/>
      <c r="B873" s="561"/>
      <c r="C873" s="561"/>
      <c r="D873" s="672"/>
      <c r="E873" s="209"/>
      <c r="F873" s="209"/>
      <c r="G873" s="209"/>
      <c r="H873" s="176">
        <f t="shared" si="680"/>
        <v>0</v>
      </c>
      <c r="I873" s="209"/>
      <c r="J873" s="209"/>
      <c r="K873" s="176">
        <f t="shared" si="681"/>
        <v>0</v>
      </c>
      <c r="L873" s="209"/>
      <c r="M873" s="177">
        <f t="shared" si="682"/>
        <v>0</v>
      </c>
      <c r="N873" s="1012"/>
      <c r="O873" s="1012"/>
      <c r="P873" s="485"/>
      <c r="Q873" s="778"/>
      <c r="R873" s="778"/>
      <c r="S873" s="785" t="str">
        <f t="shared" si="685"/>
        <v/>
      </c>
      <c r="T873" s="548" t="str">
        <f t="shared" si="683"/>
        <v>Sheet Metal Takeoff</v>
      </c>
      <c r="U873" s="83">
        <f t="shared" si="686"/>
        <v>0</v>
      </c>
      <c r="V873" s="83">
        <f t="shared" si="687"/>
        <v>0</v>
      </c>
      <c r="W873" s="83">
        <f t="shared" si="688"/>
        <v>0</v>
      </c>
      <c r="X873" s="781">
        <f t="shared" si="689"/>
        <v>0</v>
      </c>
      <c r="Y873" s="781">
        <f t="shared" si="690"/>
        <v>0</v>
      </c>
      <c r="Z873" s="781">
        <f t="shared" si="691"/>
        <v>0</v>
      </c>
      <c r="AA873" s="83">
        <f t="shared" si="684"/>
        <v>0</v>
      </c>
      <c r="AB873" s="83">
        <f t="shared" si="692"/>
        <v>0</v>
      </c>
      <c r="AC873" s="83">
        <f t="shared" si="693"/>
        <v>0</v>
      </c>
      <c r="AD873" s="83">
        <f t="shared" si="694"/>
        <v>0</v>
      </c>
      <c r="AE873" s="83">
        <f t="shared" si="695"/>
        <v>0</v>
      </c>
      <c r="AF873" s="83">
        <f t="shared" si="696"/>
        <v>0</v>
      </c>
      <c r="AG873" s="83">
        <f t="shared" si="697"/>
        <v>0</v>
      </c>
      <c r="AH873" s="83">
        <f t="shared" si="698"/>
        <v>0</v>
      </c>
      <c r="AI873" s="83">
        <f t="shared" si="699"/>
        <v>0</v>
      </c>
      <c r="AJ873" s="718">
        <f t="shared" si="700"/>
        <v>0</v>
      </c>
      <c r="AL873">
        <f t="shared" si="701"/>
        <v>0</v>
      </c>
      <c r="AM873">
        <f t="shared" si="702"/>
        <v>0</v>
      </c>
    </row>
    <row r="874" spans="1:39" ht="15.75" x14ac:dyDescent="0.25">
      <c r="A874" s="561"/>
      <c r="B874" s="561"/>
      <c r="C874" s="561"/>
      <c r="D874" s="672"/>
      <c r="E874" s="209"/>
      <c r="F874" s="209"/>
      <c r="G874" s="209"/>
      <c r="H874" s="176">
        <f t="shared" si="680"/>
        <v>0</v>
      </c>
      <c r="I874" s="209"/>
      <c r="J874" s="209"/>
      <c r="K874" s="176">
        <f t="shared" si="681"/>
        <v>0</v>
      </c>
      <c r="L874" s="209"/>
      <c r="M874" s="177">
        <f t="shared" si="682"/>
        <v>0</v>
      </c>
      <c r="N874" s="1012"/>
      <c r="O874" s="1012"/>
      <c r="P874" s="485"/>
      <c r="Q874" s="778"/>
      <c r="R874" s="778"/>
      <c r="S874" s="785" t="str">
        <f t="shared" si="685"/>
        <v/>
      </c>
      <c r="T874" s="548" t="str">
        <f t="shared" si="683"/>
        <v>Sheet Metal Takeoff</v>
      </c>
      <c r="U874" s="83">
        <f t="shared" si="686"/>
        <v>0</v>
      </c>
      <c r="V874" s="83">
        <f t="shared" si="687"/>
        <v>0</v>
      </c>
      <c r="W874" s="83">
        <f t="shared" si="688"/>
        <v>0</v>
      </c>
      <c r="X874" s="781">
        <f t="shared" si="689"/>
        <v>0</v>
      </c>
      <c r="Y874" s="781">
        <f t="shared" si="690"/>
        <v>0</v>
      </c>
      <c r="Z874" s="781">
        <f t="shared" si="691"/>
        <v>0</v>
      </c>
      <c r="AA874" s="83">
        <f t="shared" si="684"/>
        <v>0</v>
      </c>
      <c r="AB874" s="83">
        <f t="shared" si="692"/>
        <v>0</v>
      </c>
      <c r="AC874" s="83">
        <f t="shared" si="693"/>
        <v>0</v>
      </c>
      <c r="AD874" s="83">
        <f t="shared" si="694"/>
        <v>0</v>
      </c>
      <c r="AE874" s="83">
        <f t="shared" si="695"/>
        <v>0</v>
      </c>
      <c r="AF874" s="83">
        <f t="shared" si="696"/>
        <v>0</v>
      </c>
      <c r="AG874" s="83">
        <f t="shared" si="697"/>
        <v>0</v>
      </c>
      <c r="AH874" s="83">
        <f t="shared" si="698"/>
        <v>0</v>
      </c>
      <c r="AI874" s="83">
        <f t="shared" si="699"/>
        <v>0</v>
      </c>
      <c r="AJ874" s="718">
        <f t="shared" si="700"/>
        <v>0</v>
      </c>
      <c r="AL874">
        <f t="shared" si="701"/>
        <v>0</v>
      </c>
      <c r="AM874">
        <f t="shared" si="702"/>
        <v>0</v>
      </c>
    </row>
    <row r="875" spans="1:39" ht="15.75" x14ac:dyDescent="0.25">
      <c r="A875" s="561"/>
      <c r="B875" s="561"/>
      <c r="C875" s="561"/>
      <c r="D875" s="672"/>
      <c r="E875" s="209"/>
      <c r="F875" s="209"/>
      <c r="G875" s="209"/>
      <c r="H875" s="176">
        <f t="shared" si="680"/>
        <v>0</v>
      </c>
      <c r="I875" s="209"/>
      <c r="J875" s="209"/>
      <c r="K875" s="176">
        <f t="shared" si="681"/>
        <v>0</v>
      </c>
      <c r="L875" s="209"/>
      <c r="M875" s="177">
        <f t="shared" si="682"/>
        <v>0</v>
      </c>
      <c r="N875" s="1012"/>
      <c r="O875" s="1012"/>
      <c r="P875" s="485"/>
      <c r="Q875" s="778"/>
      <c r="R875" s="778"/>
      <c r="S875" s="785" t="str">
        <f t="shared" si="685"/>
        <v/>
      </c>
      <c r="T875" s="548" t="str">
        <f t="shared" si="683"/>
        <v>Sheet Metal Takeoff</v>
      </c>
      <c r="U875" s="83">
        <f t="shared" si="686"/>
        <v>0</v>
      </c>
      <c r="V875" s="83">
        <f t="shared" si="687"/>
        <v>0</v>
      </c>
      <c r="W875" s="83">
        <f t="shared" si="688"/>
        <v>0</v>
      </c>
      <c r="X875" s="781">
        <f t="shared" si="689"/>
        <v>0</v>
      </c>
      <c r="Y875" s="781">
        <f t="shared" si="690"/>
        <v>0</v>
      </c>
      <c r="Z875" s="781">
        <f t="shared" si="691"/>
        <v>0</v>
      </c>
      <c r="AA875" s="83">
        <f t="shared" si="684"/>
        <v>0</v>
      </c>
      <c r="AB875" s="83">
        <f t="shared" si="692"/>
        <v>0</v>
      </c>
      <c r="AC875" s="83">
        <f t="shared" si="693"/>
        <v>0</v>
      </c>
      <c r="AD875" s="83">
        <f t="shared" si="694"/>
        <v>0</v>
      </c>
      <c r="AE875" s="83">
        <f t="shared" si="695"/>
        <v>0</v>
      </c>
      <c r="AF875" s="83">
        <f t="shared" si="696"/>
        <v>0</v>
      </c>
      <c r="AG875" s="83">
        <f t="shared" si="697"/>
        <v>0</v>
      </c>
      <c r="AH875" s="83">
        <f t="shared" si="698"/>
        <v>0</v>
      </c>
      <c r="AI875" s="83">
        <f t="shared" si="699"/>
        <v>0</v>
      </c>
      <c r="AJ875" s="718">
        <f t="shared" si="700"/>
        <v>0</v>
      </c>
      <c r="AL875">
        <f t="shared" si="701"/>
        <v>0</v>
      </c>
      <c r="AM875">
        <f t="shared" si="702"/>
        <v>0</v>
      </c>
    </row>
    <row r="876" spans="1:39" ht="15.75" x14ac:dyDescent="0.25">
      <c r="A876" s="561"/>
      <c r="B876" s="561"/>
      <c r="C876" s="561"/>
      <c r="D876" s="672"/>
      <c r="E876" s="209"/>
      <c r="F876" s="209"/>
      <c r="G876" s="209"/>
      <c r="H876" s="176">
        <f t="shared" si="680"/>
        <v>0</v>
      </c>
      <c r="I876" s="209"/>
      <c r="J876" s="209"/>
      <c r="K876" s="176">
        <f t="shared" si="681"/>
        <v>0</v>
      </c>
      <c r="L876" s="209"/>
      <c r="M876" s="177">
        <f t="shared" si="682"/>
        <v>0</v>
      </c>
      <c r="N876" s="1012"/>
      <c r="O876" s="1012"/>
      <c r="P876" s="485"/>
      <c r="Q876" s="778"/>
      <c r="R876" s="778"/>
      <c r="S876" s="785" t="str">
        <f t="shared" si="685"/>
        <v/>
      </c>
      <c r="T876" s="548" t="str">
        <f t="shared" si="683"/>
        <v>Sheet Metal Takeoff</v>
      </c>
      <c r="U876" s="83">
        <f t="shared" si="686"/>
        <v>0</v>
      </c>
      <c r="V876" s="83">
        <f t="shared" si="687"/>
        <v>0</v>
      </c>
      <c r="W876" s="83">
        <f t="shared" si="688"/>
        <v>0</v>
      </c>
      <c r="X876" s="781">
        <f t="shared" si="689"/>
        <v>0</v>
      </c>
      <c r="Y876" s="781">
        <f t="shared" si="690"/>
        <v>0</v>
      </c>
      <c r="Z876" s="781">
        <f t="shared" si="691"/>
        <v>0</v>
      </c>
      <c r="AA876" s="83">
        <f t="shared" si="684"/>
        <v>0</v>
      </c>
      <c r="AB876" s="83">
        <f t="shared" si="692"/>
        <v>0</v>
      </c>
      <c r="AC876" s="83">
        <f t="shared" si="693"/>
        <v>0</v>
      </c>
      <c r="AD876" s="83">
        <f t="shared" si="694"/>
        <v>0</v>
      </c>
      <c r="AE876" s="83">
        <f t="shared" si="695"/>
        <v>0</v>
      </c>
      <c r="AF876" s="83">
        <f t="shared" si="696"/>
        <v>0</v>
      </c>
      <c r="AG876" s="83">
        <f t="shared" si="697"/>
        <v>0</v>
      </c>
      <c r="AH876" s="83">
        <f t="shared" si="698"/>
        <v>0</v>
      </c>
      <c r="AI876" s="83">
        <f t="shared" si="699"/>
        <v>0</v>
      </c>
      <c r="AJ876" s="718">
        <f t="shared" si="700"/>
        <v>0</v>
      </c>
      <c r="AL876">
        <f t="shared" si="701"/>
        <v>0</v>
      </c>
      <c r="AM876">
        <f t="shared" si="702"/>
        <v>0</v>
      </c>
    </row>
    <row r="877" spans="1:39" ht="15.75" x14ac:dyDescent="0.25">
      <c r="A877" s="561"/>
      <c r="B877" s="561"/>
      <c r="C877" s="561"/>
      <c r="D877" s="672"/>
      <c r="E877" s="209"/>
      <c r="F877" s="209"/>
      <c r="G877" s="209"/>
      <c r="H877" s="176">
        <f t="shared" si="680"/>
        <v>0</v>
      </c>
      <c r="I877" s="209"/>
      <c r="J877" s="209"/>
      <c r="K877" s="176">
        <f t="shared" si="681"/>
        <v>0</v>
      </c>
      <c r="L877" s="209"/>
      <c r="M877" s="177">
        <f t="shared" si="682"/>
        <v>0</v>
      </c>
      <c r="N877" s="1012"/>
      <c r="O877" s="1012"/>
      <c r="P877" s="485"/>
      <c r="Q877" s="778"/>
      <c r="R877" s="778"/>
      <c r="S877" s="785" t="str">
        <f t="shared" si="685"/>
        <v/>
      </c>
      <c r="T877" s="548" t="str">
        <f t="shared" si="683"/>
        <v>Sheet Metal Takeoff</v>
      </c>
      <c r="U877" s="83">
        <f t="shared" si="686"/>
        <v>0</v>
      </c>
      <c r="V877" s="83">
        <f t="shared" si="687"/>
        <v>0</v>
      </c>
      <c r="W877" s="83">
        <f t="shared" si="688"/>
        <v>0</v>
      </c>
      <c r="X877" s="781">
        <f t="shared" si="689"/>
        <v>0</v>
      </c>
      <c r="Y877" s="781">
        <f t="shared" si="690"/>
        <v>0</v>
      </c>
      <c r="Z877" s="781">
        <f t="shared" si="691"/>
        <v>0</v>
      </c>
      <c r="AA877" s="83">
        <f t="shared" si="684"/>
        <v>0</v>
      </c>
      <c r="AB877" s="83">
        <f t="shared" si="692"/>
        <v>0</v>
      </c>
      <c r="AC877" s="83">
        <f t="shared" si="693"/>
        <v>0</v>
      </c>
      <c r="AD877" s="83">
        <f t="shared" si="694"/>
        <v>0</v>
      </c>
      <c r="AE877" s="83">
        <f t="shared" si="695"/>
        <v>0</v>
      </c>
      <c r="AF877" s="83">
        <f t="shared" si="696"/>
        <v>0</v>
      </c>
      <c r="AG877" s="83">
        <f t="shared" si="697"/>
        <v>0</v>
      </c>
      <c r="AH877" s="83">
        <f t="shared" si="698"/>
        <v>0</v>
      </c>
      <c r="AI877" s="83">
        <f t="shared" si="699"/>
        <v>0</v>
      </c>
      <c r="AJ877" s="718">
        <f t="shared" si="700"/>
        <v>0</v>
      </c>
      <c r="AL877">
        <f t="shared" si="701"/>
        <v>0</v>
      </c>
      <c r="AM877">
        <f t="shared" si="702"/>
        <v>0</v>
      </c>
    </row>
    <row r="878" spans="1:39" ht="15.75" x14ac:dyDescent="0.25">
      <c r="A878" s="561"/>
      <c r="B878" s="561"/>
      <c r="C878" s="561"/>
      <c r="D878" s="672"/>
      <c r="E878" s="209"/>
      <c r="F878" s="209"/>
      <c r="G878" s="209"/>
      <c r="H878" s="176">
        <f t="shared" si="680"/>
        <v>0</v>
      </c>
      <c r="I878" s="209"/>
      <c r="J878" s="209"/>
      <c r="K878" s="176">
        <f t="shared" si="681"/>
        <v>0</v>
      </c>
      <c r="L878" s="209"/>
      <c r="M878" s="177">
        <f t="shared" si="682"/>
        <v>0</v>
      </c>
      <c r="N878" s="1012"/>
      <c r="O878" s="1012"/>
      <c r="P878" s="485"/>
      <c r="Q878" s="778"/>
      <c r="R878" s="778"/>
      <c r="S878" s="785" t="str">
        <f t="shared" si="685"/>
        <v/>
      </c>
      <c r="T878" s="548" t="str">
        <f t="shared" si="683"/>
        <v>Sheet Metal Takeoff</v>
      </c>
      <c r="U878" s="83">
        <f t="shared" si="686"/>
        <v>0</v>
      </c>
      <c r="V878" s="83">
        <f t="shared" si="687"/>
        <v>0</v>
      </c>
      <c r="W878" s="83">
        <f t="shared" si="688"/>
        <v>0</v>
      </c>
      <c r="X878" s="781">
        <f t="shared" si="689"/>
        <v>0</v>
      </c>
      <c r="Y878" s="781">
        <f t="shared" si="690"/>
        <v>0</v>
      </c>
      <c r="Z878" s="781">
        <f t="shared" si="691"/>
        <v>0</v>
      </c>
      <c r="AA878" s="83">
        <f t="shared" si="684"/>
        <v>0</v>
      </c>
      <c r="AB878" s="83">
        <f t="shared" si="692"/>
        <v>0</v>
      </c>
      <c r="AC878" s="83">
        <f t="shared" si="693"/>
        <v>0</v>
      </c>
      <c r="AD878" s="83">
        <f t="shared" si="694"/>
        <v>0</v>
      </c>
      <c r="AE878" s="83">
        <f t="shared" si="695"/>
        <v>0</v>
      </c>
      <c r="AF878" s="83">
        <f t="shared" si="696"/>
        <v>0</v>
      </c>
      <c r="AG878" s="83">
        <f t="shared" si="697"/>
        <v>0</v>
      </c>
      <c r="AH878" s="83">
        <f t="shared" si="698"/>
        <v>0</v>
      </c>
      <c r="AI878" s="83">
        <f t="shared" si="699"/>
        <v>0</v>
      </c>
      <c r="AJ878" s="718">
        <f t="shared" si="700"/>
        <v>0</v>
      </c>
      <c r="AL878">
        <f t="shared" si="701"/>
        <v>0</v>
      </c>
      <c r="AM878">
        <f t="shared" si="702"/>
        <v>0</v>
      </c>
    </row>
    <row r="879" spans="1:39" ht="15.75" x14ac:dyDescent="0.25">
      <c r="A879" s="561"/>
      <c r="B879" s="561"/>
      <c r="C879" s="561"/>
      <c r="D879" s="672"/>
      <c r="E879" s="209"/>
      <c r="F879" s="209"/>
      <c r="G879" s="209"/>
      <c r="H879" s="176">
        <f t="shared" si="680"/>
        <v>0</v>
      </c>
      <c r="I879" s="209"/>
      <c r="J879" s="209"/>
      <c r="K879" s="176">
        <f t="shared" si="681"/>
        <v>0</v>
      </c>
      <c r="L879" s="209"/>
      <c r="M879" s="177">
        <f t="shared" si="682"/>
        <v>0</v>
      </c>
      <c r="N879" s="1012"/>
      <c r="O879" s="1012"/>
      <c r="P879" s="485"/>
      <c r="Q879" s="778"/>
      <c r="R879" s="778"/>
      <c r="S879" s="785" t="str">
        <f t="shared" si="685"/>
        <v/>
      </c>
      <c r="T879" s="548" t="str">
        <f t="shared" si="683"/>
        <v>Sheet Metal Takeoff</v>
      </c>
      <c r="U879" s="83">
        <f t="shared" si="686"/>
        <v>0</v>
      </c>
      <c r="V879" s="83">
        <f t="shared" si="687"/>
        <v>0</v>
      </c>
      <c r="W879" s="83">
        <f t="shared" si="688"/>
        <v>0</v>
      </c>
      <c r="X879" s="781">
        <f t="shared" si="689"/>
        <v>0</v>
      </c>
      <c r="Y879" s="781">
        <f t="shared" si="690"/>
        <v>0</v>
      </c>
      <c r="Z879" s="781">
        <f t="shared" si="691"/>
        <v>0</v>
      </c>
      <c r="AA879" s="83">
        <f t="shared" si="684"/>
        <v>0</v>
      </c>
      <c r="AB879" s="83">
        <f t="shared" si="692"/>
        <v>0</v>
      </c>
      <c r="AC879" s="83">
        <f t="shared" si="693"/>
        <v>0</v>
      </c>
      <c r="AD879" s="83">
        <f t="shared" si="694"/>
        <v>0</v>
      </c>
      <c r="AE879" s="83">
        <f t="shared" si="695"/>
        <v>0</v>
      </c>
      <c r="AF879" s="83">
        <f t="shared" si="696"/>
        <v>0</v>
      </c>
      <c r="AG879" s="83">
        <f t="shared" si="697"/>
        <v>0</v>
      </c>
      <c r="AH879" s="83">
        <f t="shared" si="698"/>
        <v>0</v>
      </c>
      <c r="AI879" s="83">
        <f t="shared" si="699"/>
        <v>0</v>
      </c>
      <c r="AJ879" s="718">
        <f t="shared" si="700"/>
        <v>0</v>
      </c>
      <c r="AL879">
        <f t="shared" si="701"/>
        <v>0</v>
      </c>
      <c r="AM879">
        <f t="shared" si="702"/>
        <v>0</v>
      </c>
    </row>
    <row r="880" spans="1:39" ht="15.75" x14ac:dyDescent="0.25">
      <c r="A880" s="561"/>
      <c r="B880" s="561"/>
      <c r="C880" s="561"/>
      <c r="D880" s="672"/>
      <c r="E880" s="209"/>
      <c r="F880" s="209"/>
      <c r="G880" s="209"/>
      <c r="H880" s="176">
        <f t="shared" si="680"/>
        <v>0</v>
      </c>
      <c r="I880" s="209"/>
      <c r="J880" s="209"/>
      <c r="K880" s="176">
        <f t="shared" si="681"/>
        <v>0</v>
      </c>
      <c r="L880" s="209"/>
      <c r="M880" s="177">
        <f t="shared" si="682"/>
        <v>0</v>
      </c>
      <c r="N880" s="1012"/>
      <c r="O880" s="1012"/>
      <c r="P880" s="485"/>
      <c r="Q880" s="778"/>
      <c r="R880" s="778"/>
      <c r="S880" s="785" t="str">
        <f t="shared" si="685"/>
        <v/>
      </c>
      <c r="T880" s="548" t="str">
        <f t="shared" si="683"/>
        <v>Sheet Metal Takeoff</v>
      </c>
      <c r="U880" s="83">
        <f t="shared" si="686"/>
        <v>0</v>
      </c>
      <c r="V880" s="83">
        <f t="shared" si="687"/>
        <v>0</v>
      </c>
      <c r="W880" s="83">
        <f t="shared" si="688"/>
        <v>0</v>
      </c>
      <c r="X880" s="781">
        <f t="shared" si="689"/>
        <v>0</v>
      </c>
      <c r="Y880" s="781">
        <f t="shared" si="690"/>
        <v>0</v>
      </c>
      <c r="Z880" s="781">
        <f t="shared" si="691"/>
        <v>0</v>
      </c>
      <c r="AA880" s="83">
        <f t="shared" si="684"/>
        <v>0</v>
      </c>
      <c r="AB880" s="83">
        <f t="shared" si="692"/>
        <v>0</v>
      </c>
      <c r="AC880" s="83">
        <f t="shared" si="693"/>
        <v>0</v>
      </c>
      <c r="AD880" s="83">
        <f t="shared" si="694"/>
        <v>0</v>
      </c>
      <c r="AE880" s="83">
        <f t="shared" si="695"/>
        <v>0</v>
      </c>
      <c r="AF880" s="83">
        <f t="shared" si="696"/>
        <v>0</v>
      </c>
      <c r="AG880" s="83">
        <f t="shared" si="697"/>
        <v>0</v>
      </c>
      <c r="AH880" s="83">
        <f t="shared" si="698"/>
        <v>0</v>
      </c>
      <c r="AI880" s="83">
        <f t="shared" si="699"/>
        <v>0</v>
      </c>
      <c r="AJ880" s="718">
        <f t="shared" si="700"/>
        <v>0</v>
      </c>
      <c r="AL880">
        <f t="shared" si="701"/>
        <v>0</v>
      </c>
      <c r="AM880">
        <f t="shared" si="702"/>
        <v>0</v>
      </c>
    </row>
    <row r="881" spans="1:39" ht="15.75" hidden="1" customHeight="1" x14ac:dyDescent="0.25">
      <c r="A881" s="561"/>
      <c r="B881" s="561"/>
      <c r="C881" s="561"/>
      <c r="D881" s="672"/>
      <c r="E881" s="209"/>
      <c r="F881" s="209"/>
      <c r="G881" s="209"/>
      <c r="H881" s="176">
        <f t="shared" si="680"/>
        <v>0</v>
      </c>
      <c r="I881" s="209"/>
      <c r="J881" s="209"/>
      <c r="K881" s="176">
        <f t="shared" si="681"/>
        <v>0</v>
      </c>
      <c r="L881" s="209"/>
      <c r="M881" s="177">
        <f t="shared" si="682"/>
        <v>0</v>
      </c>
      <c r="N881" s="1012"/>
      <c r="O881" s="1012"/>
      <c r="P881" s="485"/>
      <c r="Q881" s="778"/>
      <c r="R881" s="778"/>
      <c r="S881" s="785" t="str">
        <f t="shared" si="685"/>
        <v/>
      </c>
      <c r="T881" s="548" t="str">
        <f t="shared" si="683"/>
        <v>Sheet Metal Takeoff</v>
      </c>
      <c r="U881" s="83">
        <f>ROUND(IF($T881="Plumb Takeoff",$H881*U$3,IF($T881="Pipe Takeoff",$H881*U$4,$H881*U$2)),2)</f>
        <v>0</v>
      </c>
      <c r="V881" s="83">
        <f t="shared" si="687"/>
        <v>0</v>
      </c>
      <c r="W881" s="83">
        <f t="shared" si="688"/>
        <v>0</v>
      </c>
      <c r="X881" s="781">
        <f t="shared" si="689"/>
        <v>0</v>
      </c>
      <c r="Y881" s="781">
        <f t="shared" si="690"/>
        <v>0</v>
      </c>
      <c r="Z881" s="781">
        <f t="shared" si="691"/>
        <v>0</v>
      </c>
      <c r="AA881" s="83">
        <f t="shared" si="684"/>
        <v>0</v>
      </c>
      <c r="AB881" s="83">
        <f t="shared" si="692"/>
        <v>0</v>
      </c>
      <c r="AC881" s="83">
        <f t="shared" si="693"/>
        <v>0</v>
      </c>
      <c r="AD881" s="83">
        <f t="shared" si="694"/>
        <v>0</v>
      </c>
      <c r="AE881" s="83">
        <f t="shared" si="695"/>
        <v>0</v>
      </c>
      <c r="AF881" s="83">
        <f t="shared" si="696"/>
        <v>0</v>
      </c>
      <c r="AG881" s="83">
        <f t="shared" si="697"/>
        <v>0</v>
      </c>
      <c r="AH881" s="83">
        <f t="shared" si="698"/>
        <v>0</v>
      </c>
      <c r="AI881" s="83">
        <f t="shared" si="699"/>
        <v>0</v>
      </c>
      <c r="AJ881" s="718">
        <f t="shared" si="700"/>
        <v>0</v>
      </c>
      <c r="AL881">
        <f t="shared" si="701"/>
        <v>0</v>
      </c>
      <c r="AM881">
        <f t="shared" si="702"/>
        <v>0</v>
      </c>
    </row>
    <row r="882" spans="1:39" ht="15.75" x14ac:dyDescent="0.25">
      <c r="A882" s="551"/>
      <c r="B882" s="551"/>
      <c r="C882" s="551"/>
      <c r="D882" s="673"/>
      <c r="E882" s="552"/>
      <c r="F882" s="553"/>
      <c r="G882" s="553"/>
      <c r="H882" s="181">
        <f>SUM(H856:H881)</f>
        <v>0</v>
      </c>
      <c r="I882" s="182"/>
      <c r="J882" s="182"/>
      <c r="K882" s="181">
        <f>SUM(K856:K881)</f>
        <v>0</v>
      </c>
      <c r="L882" s="182"/>
      <c r="M882" s="177">
        <f>SUM(M856:M881)</f>
        <v>0</v>
      </c>
      <c r="O882" s="486"/>
      <c r="AJ882" s="718"/>
    </row>
    <row r="883" spans="1:39" ht="15.75" thickBot="1" x14ac:dyDescent="0.3">
      <c r="AJ883" s="718"/>
    </row>
    <row r="884" spans="1:39" ht="16.5" thickBot="1" x14ac:dyDescent="0.3">
      <c r="E884" s="678" t="s">
        <v>1122</v>
      </c>
      <c r="F884" s="1017" t="s">
        <v>1630</v>
      </c>
      <c r="G884" s="1018"/>
      <c r="H884" s="344"/>
      <c r="I884" s="1019" t="s">
        <v>1628</v>
      </c>
      <c r="J884" s="1020"/>
      <c r="K884" s="679" t="b">
        <v>0</v>
      </c>
      <c r="AJ884" s="718"/>
    </row>
    <row r="885" spans="1:39" ht="38.25" thickBot="1" x14ac:dyDescent="0.35">
      <c r="A885" s="477" t="s">
        <v>1063</v>
      </c>
      <c r="B885" s="477" t="s">
        <v>348</v>
      </c>
      <c r="C885" s="477" t="s">
        <v>349</v>
      </c>
      <c r="D885" s="666" t="s">
        <v>0</v>
      </c>
      <c r="E885" s="477" t="s">
        <v>1</v>
      </c>
      <c r="F885" s="480" t="s">
        <v>2</v>
      </c>
      <c r="G885" s="480" t="s">
        <v>1123</v>
      </c>
      <c r="H885" s="480" t="s">
        <v>3</v>
      </c>
      <c r="I885" s="483" t="s">
        <v>4</v>
      </c>
      <c r="J885" s="480" t="s">
        <v>1124</v>
      </c>
      <c r="K885" s="680" t="s">
        <v>5</v>
      </c>
      <c r="L885" s="480" t="s">
        <v>6</v>
      </c>
      <c r="M885" s="484" t="s">
        <v>7</v>
      </c>
      <c r="N885" s="1013" t="s">
        <v>1079</v>
      </c>
      <c r="O885" s="1014"/>
      <c r="P885" s="1009" t="s">
        <v>1629</v>
      </c>
      <c r="Q885" s="1009" t="s">
        <v>1147</v>
      </c>
      <c r="R885" s="1009" t="s">
        <v>1792</v>
      </c>
      <c r="T885" s="2"/>
      <c r="AJ885" s="718"/>
    </row>
    <row r="886" spans="1:39" ht="16.5" thickBot="1" x14ac:dyDescent="0.3">
      <c r="A886" s="183"/>
      <c r="B886" s="183"/>
      <c r="C886" s="183"/>
      <c r="D886" s="671"/>
      <c r="E886" s="183"/>
      <c r="F886" s="183"/>
      <c r="G886" s="183"/>
      <c r="H886" s="183"/>
      <c r="I886" s="183"/>
      <c r="J886" s="183"/>
      <c r="K886" s="183"/>
      <c r="L886" s="183"/>
      <c r="M886" s="183"/>
      <c r="N886" s="1015"/>
      <c r="O886" s="1016"/>
      <c r="P886" s="1010" t="s">
        <v>1362</v>
      </c>
      <c r="Q886" s="1010"/>
      <c r="R886" s="1010"/>
      <c r="T886" s="1"/>
      <c r="AJ886" s="718"/>
    </row>
    <row r="887" spans="1:39" ht="15.75" x14ac:dyDescent="0.25">
      <c r="A887" s="561"/>
      <c r="B887" s="561"/>
      <c r="C887" s="561"/>
      <c r="D887" s="672"/>
      <c r="E887" s="209"/>
      <c r="F887" s="209"/>
      <c r="G887" s="209"/>
      <c r="H887" s="176">
        <f t="shared" ref="H887:H912" si="703">IF(SM_ExludeGroup28=TRUE,0,IF(G887="",E887*F887*IF(AND(S887="LOP",R887="SWING"),1+CrewRate_PlumbFitter_SwingLOP,1)*IF(AND(S887="LOP",R887="GRAVE"),1+CrewRate_PlumbFitter_GraveLOP,1)*IF(AND(S887="LOP",R887="SPECIAL"),1+CrewRate_PlumbFitter_SwingLOP,1),E887*F887*G887*IF(AND(S887="LOP",R887="SWING"),1+CrewRate_PlumbFitter_SwingLOP,1)*IF(AND(S887="LOP",R887="GRAVE"),1+CrewRate_PlumbFitter_GraveLOP,1)*IF(AND(S887="LOP",R887="SPECIAL"),1+CrewRate_PlumbFitter_SwingLOP,1)))</f>
        <v>0</v>
      </c>
      <c r="I887" s="209"/>
      <c r="J887" s="209"/>
      <c r="K887" s="176">
        <f t="shared" ref="K887:K912" si="704">IF(SM_ExludeGroup28=TRUE,0,IF(J887="",E887*I887,E887*I887*J887))</f>
        <v>0</v>
      </c>
      <c r="L887" s="209"/>
      <c r="M887" s="177">
        <f t="shared" ref="M887:M912" si="705">IF(SM_ExludeGroup28=TRUE,0,E887*L887)</f>
        <v>0</v>
      </c>
      <c r="N887" s="1012"/>
      <c r="O887" s="1012"/>
      <c r="P887" s="485"/>
      <c r="Q887" s="778"/>
      <c r="R887" s="778"/>
      <c r="S887" s="785" t="str">
        <f>IF(T887="Sheet Metal Takeoff","",IF(R887="","","LOP"))</f>
        <v/>
      </c>
      <c r="T887" s="548" t="str">
        <f t="shared" ref="T887:T912" si="706">IF($F$884="","Sheet Metal Takeoff",$F$884)</f>
        <v>Sheet Metal Takeoff</v>
      </c>
      <c r="U887" s="83">
        <f>ROUND(IF($T887="Plumb Takeoff",$H887*U$3,IF($T887="Pipe Takeoff",$H887*U$4,$H887*U$2)),2)</f>
        <v>0</v>
      </c>
      <c r="V887" s="83">
        <f>ROUND(IF($T887="Plumb Takeoff",IF($Q887="OT",$H887*V$3,0),IF($T887="Pipe Takeoff",IF($Q887="OT",$H887*V$4,0),IF($Q887="OT",$H887*V$2,0))),2)</f>
        <v>0</v>
      </c>
      <c r="W887" s="83">
        <f>ROUND(IF($T887="Plumb Takeoff",IF($Q887="DBLT",$H887*W$3,0),IF($T887="Pipe Takeoff",IF($Q887="DBLT",$H887*W$4,0),IF($Q887="DBLT",$H887*W$2,0))),2)</f>
        <v>0</v>
      </c>
      <c r="X887" s="781">
        <f>ROUND(SUM(IF($T887="Plumb Takeoff",IF($R887="SWING",ROUND(SUM($H887)*X$3,2))),IF($T887="Pipe Takeoff",IF($R887="SWING",ROUND(SUM($H887)*X$4,2))),IF($T887="Sheet Metal Takeoff",IF($R887="SWING",ROUND(SUM($H887)*X$2,2)))),2)</f>
        <v>0</v>
      </c>
      <c r="Y887" s="781">
        <f>ROUND(SUM(IF($T887="Plumb Takeoff",IF($R887="GRAVE",ROUND(SUM($H887)*Y$3,2))),IF($T887="Pipe Takeoff",IF($R887="GRAVE",ROUND(SUM($H887)*Y$4,2))),IF($T887="Sheet Metal Takeoff",IF($R887="GRAVE",ROUND(SUM($H887)*Y$2,2)))),2)</f>
        <v>0</v>
      </c>
      <c r="Z887" s="781">
        <f>ROUND(SUM(IF($T887="Plumb Takeoff",IF($R887="SPECIAL",ROUND(SUM($H887)*Z$3,2))),IF($T887="Pipe Takeoff",IF($R887="SPECIAL",ROUND(SUM($H887)*Z$4,2))),IF($T887="Sheet Metal Takeoff",IF($R887="SPECIAL",ROUND(SUM($H887)*Z$2,2)))),2)</f>
        <v>0</v>
      </c>
      <c r="AA887" s="83">
        <f t="shared" ref="AA887:AA912" si="707">ROUND($K887*AA$2,2)</f>
        <v>0</v>
      </c>
      <c r="AB887" s="83">
        <f>ROUND(IF($Q887="OT",$K887*AB$2,0),2)</f>
        <v>0</v>
      </c>
      <c r="AC887" s="83">
        <f>ROUND(IF($Q887="DBLT",$K887*AC$2,0),2)</f>
        <v>0</v>
      </c>
      <c r="AD887" s="83">
        <f>ROUND(IF($R887="SWING",$K887*AD$2,0),2)</f>
        <v>0</v>
      </c>
      <c r="AE887" s="83">
        <f>ROUND(IF($R887="GRAVE",$K887*AE$2,0),2)</f>
        <v>0</v>
      </c>
      <c r="AF887" s="83">
        <f>ROUND(IF($R887="SPECIAL",$K887*AF$2,0),2)</f>
        <v>0</v>
      </c>
      <c r="AG887" s="83">
        <f>SUM(U887:Z887)</f>
        <v>0</v>
      </c>
      <c r="AH887" s="83">
        <f>SUM(AA887:AF887)</f>
        <v>0</v>
      </c>
      <c r="AI887" s="83">
        <f>SUM(U887:AF887)</f>
        <v>0</v>
      </c>
      <c r="AJ887" s="718">
        <f>SUM(M887,AI887)</f>
        <v>0</v>
      </c>
      <c r="AL887">
        <f>SUM(V887:Z887)</f>
        <v>0</v>
      </c>
      <c r="AM887">
        <f>SUM(AB887:AF887)</f>
        <v>0</v>
      </c>
    </row>
    <row r="888" spans="1:39" ht="15.75" x14ac:dyDescent="0.25">
      <c r="A888" s="561"/>
      <c r="B888" s="561"/>
      <c r="C888" s="561"/>
      <c r="D888" s="672"/>
      <c r="E888" s="209"/>
      <c r="F888" s="209"/>
      <c r="G888" s="209"/>
      <c r="H888" s="176">
        <f t="shared" si="703"/>
        <v>0</v>
      </c>
      <c r="I888" s="209"/>
      <c r="J888" s="209"/>
      <c r="K888" s="176">
        <f t="shared" si="704"/>
        <v>0</v>
      </c>
      <c r="L888" s="209"/>
      <c r="M888" s="177">
        <f t="shared" si="705"/>
        <v>0</v>
      </c>
      <c r="N888" s="1012"/>
      <c r="O888" s="1012"/>
      <c r="P888" s="485"/>
      <c r="Q888" s="778"/>
      <c r="R888" s="778"/>
      <c r="S888" s="785" t="str">
        <f t="shared" ref="S888:S912" si="708">IF(T888="Sheet Metal Takeoff","",IF(R888="","","LOP"))</f>
        <v/>
      </c>
      <c r="T888" s="548" t="str">
        <f t="shared" si="706"/>
        <v>Sheet Metal Takeoff</v>
      </c>
      <c r="U888" s="83">
        <f t="shared" ref="U888:U911" si="709">ROUND(IF($T888="Plumb Takeoff",$H888*U$3,IF($T888="Pipe Takeoff",$H888*U$4,$H888*U$2)),2)</f>
        <v>0</v>
      </c>
      <c r="V888" s="83">
        <f t="shared" ref="V888:V912" si="710">ROUND(IF($T888="Plumb Takeoff",IF($Q888="OT",$H888*V$3,0),IF($T888="Pipe Takeoff",IF($Q888="OT",$H888*V$4,0),IF($Q888="OT",$H888*V$2,0))),2)</f>
        <v>0</v>
      </c>
      <c r="W888" s="83">
        <f t="shared" ref="W888:W912" si="711">ROUND(IF($T888="Plumb Takeoff",IF($Q888="DBLT",$H888*W$3,0),IF($T888="Pipe Takeoff",IF($Q888="DBLT",$H888*W$4,0),IF($Q888="DBLT",$H888*W$2,0))),2)</f>
        <v>0</v>
      </c>
      <c r="X888" s="781">
        <f t="shared" ref="X888:X912" si="712">ROUND(SUM(IF($T888="Plumb Takeoff",IF($R888="SWING",ROUND(SUM($H888)*X$3,2))),IF($T888="Pipe Takeoff",IF($R888="SWING",ROUND(SUM($H888)*X$4,2))),IF($T888="Sheet Metal Takeoff",IF($R888="SWING",ROUND(SUM($H888)*X$2,2)))),2)</f>
        <v>0</v>
      </c>
      <c r="Y888" s="781">
        <f t="shared" ref="Y888:Y912" si="713">ROUND(SUM(IF($T888="Plumb Takeoff",IF($R888="GRAVE",ROUND(SUM($H888)*Y$3,2))),IF($T888="Pipe Takeoff",IF($R888="GRAVE",ROUND(SUM($H888)*Y$4,2))),IF($T888="Sheet Metal Takeoff",IF($R888="GRAVE",ROUND(SUM($H888)*Y$2,2)))),2)</f>
        <v>0</v>
      </c>
      <c r="Z888" s="781">
        <f t="shared" ref="Z888:Z912" si="714">ROUND(SUM(IF($T888="Plumb Takeoff",IF($R888="SPECIAL",ROUND(SUM($H888)*Z$3,2))),IF($T888="Pipe Takeoff",IF($R888="SPECIAL",ROUND(SUM($H888)*Z$4,2))),IF($T888="Sheet Metal Takeoff",IF($R888="SPECIAL",ROUND(SUM($H888)*Z$2,2)))),2)</f>
        <v>0</v>
      </c>
      <c r="AA888" s="83">
        <f t="shared" si="707"/>
        <v>0</v>
      </c>
      <c r="AB888" s="83">
        <f t="shared" ref="AB888:AB912" si="715">ROUND(IF($Q888="OT",$K888*AB$2,0),2)</f>
        <v>0</v>
      </c>
      <c r="AC888" s="83">
        <f t="shared" ref="AC888:AC912" si="716">ROUND(IF($Q888="DBLT",$K888*AC$2,0),2)</f>
        <v>0</v>
      </c>
      <c r="AD888" s="83">
        <f t="shared" ref="AD888:AD912" si="717">ROUND(IF($R888="SWING",$K888*AD$2,0),2)</f>
        <v>0</v>
      </c>
      <c r="AE888" s="83">
        <f t="shared" ref="AE888:AE912" si="718">ROUND(IF($R888="GRAVE",$K888*AE$2,0),2)</f>
        <v>0</v>
      </c>
      <c r="AF888" s="83">
        <f t="shared" ref="AF888:AF912" si="719">ROUND(IF($R888="SPECIAL",$K888*AF$2,0),2)</f>
        <v>0</v>
      </c>
      <c r="AG888" s="83">
        <f t="shared" ref="AG888:AG912" si="720">SUM(U888:Z888)</f>
        <v>0</v>
      </c>
      <c r="AH888" s="83">
        <f t="shared" ref="AH888:AH912" si="721">SUM(AA888:AF888)</f>
        <v>0</v>
      </c>
      <c r="AI888" s="83">
        <f t="shared" ref="AI888:AI912" si="722">SUM(U888:AF888)</f>
        <v>0</v>
      </c>
      <c r="AJ888" s="718">
        <f t="shared" ref="AJ888:AJ912" si="723">SUM(M888,AI888)</f>
        <v>0</v>
      </c>
      <c r="AL888">
        <f t="shared" ref="AL888:AL912" si="724">SUM(V888:Z888)</f>
        <v>0</v>
      </c>
      <c r="AM888">
        <f t="shared" ref="AM888:AM912" si="725">SUM(AB888:AF888)</f>
        <v>0</v>
      </c>
    </row>
    <row r="889" spans="1:39" ht="15.75" x14ac:dyDescent="0.25">
      <c r="A889" s="561"/>
      <c r="B889" s="561"/>
      <c r="C889" s="561"/>
      <c r="D889" s="672"/>
      <c r="E889" s="209"/>
      <c r="F889" s="209"/>
      <c r="G889" s="209"/>
      <c r="H889" s="176">
        <f t="shared" si="703"/>
        <v>0</v>
      </c>
      <c r="I889" s="209"/>
      <c r="J889" s="209"/>
      <c r="K889" s="176">
        <f t="shared" si="704"/>
        <v>0</v>
      </c>
      <c r="L889" s="209"/>
      <c r="M889" s="177">
        <f t="shared" si="705"/>
        <v>0</v>
      </c>
      <c r="N889" s="1012"/>
      <c r="O889" s="1012"/>
      <c r="P889" s="485"/>
      <c r="Q889" s="778"/>
      <c r="R889" s="778"/>
      <c r="S889" s="785" t="str">
        <f t="shared" si="708"/>
        <v/>
      </c>
      <c r="T889" s="548" t="str">
        <f t="shared" si="706"/>
        <v>Sheet Metal Takeoff</v>
      </c>
      <c r="U889" s="83">
        <f t="shared" si="709"/>
        <v>0</v>
      </c>
      <c r="V889" s="83">
        <f t="shared" si="710"/>
        <v>0</v>
      </c>
      <c r="W889" s="83">
        <f t="shared" si="711"/>
        <v>0</v>
      </c>
      <c r="X889" s="781">
        <f t="shared" si="712"/>
        <v>0</v>
      </c>
      <c r="Y889" s="781">
        <f t="shared" si="713"/>
        <v>0</v>
      </c>
      <c r="Z889" s="781">
        <f t="shared" si="714"/>
        <v>0</v>
      </c>
      <c r="AA889" s="83">
        <f t="shared" si="707"/>
        <v>0</v>
      </c>
      <c r="AB889" s="83">
        <f t="shared" si="715"/>
        <v>0</v>
      </c>
      <c r="AC889" s="83">
        <f t="shared" si="716"/>
        <v>0</v>
      </c>
      <c r="AD889" s="83">
        <f t="shared" si="717"/>
        <v>0</v>
      </c>
      <c r="AE889" s="83">
        <f t="shared" si="718"/>
        <v>0</v>
      </c>
      <c r="AF889" s="83">
        <f t="shared" si="719"/>
        <v>0</v>
      </c>
      <c r="AG889" s="83">
        <f t="shared" si="720"/>
        <v>0</v>
      </c>
      <c r="AH889" s="83">
        <f t="shared" si="721"/>
        <v>0</v>
      </c>
      <c r="AI889" s="83">
        <f t="shared" si="722"/>
        <v>0</v>
      </c>
      <c r="AJ889" s="718">
        <f t="shared" si="723"/>
        <v>0</v>
      </c>
      <c r="AL889">
        <f t="shared" si="724"/>
        <v>0</v>
      </c>
      <c r="AM889">
        <f t="shared" si="725"/>
        <v>0</v>
      </c>
    </row>
    <row r="890" spans="1:39" ht="15.75" x14ac:dyDescent="0.25">
      <c r="A890" s="561"/>
      <c r="B890" s="561"/>
      <c r="C890" s="561"/>
      <c r="D890" s="672"/>
      <c r="E890" s="209"/>
      <c r="F890" s="209"/>
      <c r="G890" s="209"/>
      <c r="H890" s="176">
        <f t="shared" si="703"/>
        <v>0</v>
      </c>
      <c r="I890" s="209"/>
      <c r="J890" s="209"/>
      <c r="K890" s="176">
        <f t="shared" si="704"/>
        <v>0</v>
      </c>
      <c r="L890" s="209"/>
      <c r="M890" s="177">
        <f t="shared" si="705"/>
        <v>0</v>
      </c>
      <c r="N890" s="1012"/>
      <c r="O890" s="1012"/>
      <c r="P890" s="485"/>
      <c r="Q890" s="778"/>
      <c r="R890" s="778"/>
      <c r="S890" s="785" t="str">
        <f t="shared" si="708"/>
        <v/>
      </c>
      <c r="T890" s="548" t="str">
        <f t="shared" si="706"/>
        <v>Sheet Metal Takeoff</v>
      </c>
      <c r="U890" s="83">
        <f t="shared" si="709"/>
        <v>0</v>
      </c>
      <c r="V890" s="83">
        <f t="shared" si="710"/>
        <v>0</v>
      </c>
      <c r="W890" s="83">
        <f t="shared" si="711"/>
        <v>0</v>
      </c>
      <c r="X890" s="781">
        <f t="shared" si="712"/>
        <v>0</v>
      </c>
      <c r="Y890" s="781">
        <f t="shared" si="713"/>
        <v>0</v>
      </c>
      <c r="Z890" s="781">
        <f t="shared" si="714"/>
        <v>0</v>
      </c>
      <c r="AA890" s="83">
        <f t="shared" si="707"/>
        <v>0</v>
      </c>
      <c r="AB890" s="83">
        <f t="shared" si="715"/>
        <v>0</v>
      </c>
      <c r="AC890" s="83">
        <f t="shared" si="716"/>
        <v>0</v>
      </c>
      <c r="AD890" s="83">
        <f t="shared" si="717"/>
        <v>0</v>
      </c>
      <c r="AE890" s="83">
        <f t="shared" si="718"/>
        <v>0</v>
      </c>
      <c r="AF890" s="83">
        <f t="shared" si="719"/>
        <v>0</v>
      </c>
      <c r="AG890" s="83">
        <f t="shared" si="720"/>
        <v>0</v>
      </c>
      <c r="AH890" s="83">
        <f t="shared" si="721"/>
        <v>0</v>
      </c>
      <c r="AI890" s="83">
        <f t="shared" si="722"/>
        <v>0</v>
      </c>
      <c r="AJ890" s="718">
        <f t="shared" si="723"/>
        <v>0</v>
      </c>
      <c r="AL890">
        <f t="shared" si="724"/>
        <v>0</v>
      </c>
      <c r="AM890">
        <f t="shared" si="725"/>
        <v>0</v>
      </c>
    </row>
    <row r="891" spans="1:39" ht="15.75" x14ac:dyDescent="0.25">
      <c r="A891" s="561"/>
      <c r="B891" s="561"/>
      <c r="C891" s="561"/>
      <c r="D891" s="672"/>
      <c r="E891" s="209"/>
      <c r="F891" s="209"/>
      <c r="G891" s="209"/>
      <c r="H891" s="176">
        <f t="shared" si="703"/>
        <v>0</v>
      </c>
      <c r="I891" s="209"/>
      <c r="J891" s="209"/>
      <c r="K891" s="176">
        <f t="shared" si="704"/>
        <v>0</v>
      </c>
      <c r="L891" s="209"/>
      <c r="M891" s="177">
        <f t="shared" si="705"/>
        <v>0</v>
      </c>
      <c r="N891" s="1012"/>
      <c r="O891" s="1012"/>
      <c r="P891" s="485"/>
      <c r="Q891" s="778"/>
      <c r="R891" s="778"/>
      <c r="S891" s="785" t="str">
        <f t="shared" si="708"/>
        <v/>
      </c>
      <c r="T891" s="548" t="str">
        <f t="shared" si="706"/>
        <v>Sheet Metal Takeoff</v>
      </c>
      <c r="U891" s="83">
        <f t="shared" si="709"/>
        <v>0</v>
      </c>
      <c r="V891" s="83">
        <f t="shared" si="710"/>
        <v>0</v>
      </c>
      <c r="W891" s="83">
        <f t="shared" si="711"/>
        <v>0</v>
      </c>
      <c r="X891" s="781">
        <f t="shared" si="712"/>
        <v>0</v>
      </c>
      <c r="Y891" s="781">
        <f t="shared" si="713"/>
        <v>0</v>
      </c>
      <c r="Z891" s="781">
        <f t="shared" si="714"/>
        <v>0</v>
      </c>
      <c r="AA891" s="83">
        <f t="shared" si="707"/>
        <v>0</v>
      </c>
      <c r="AB891" s="83">
        <f t="shared" si="715"/>
        <v>0</v>
      </c>
      <c r="AC891" s="83">
        <f t="shared" si="716"/>
        <v>0</v>
      </c>
      <c r="AD891" s="83">
        <f t="shared" si="717"/>
        <v>0</v>
      </c>
      <c r="AE891" s="83">
        <f t="shared" si="718"/>
        <v>0</v>
      </c>
      <c r="AF891" s="83">
        <f t="shared" si="719"/>
        <v>0</v>
      </c>
      <c r="AG891" s="83">
        <f t="shared" si="720"/>
        <v>0</v>
      </c>
      <c r="AH891" s="83">
        <f t="shared" si="721"/>
        <v>0</v>
      </c>
      <c r="AI891" s="83">
        <f t="shared" si="722"/>
        <v>0</v>
      </c>
      <c r="AJ891" s="718">
        <f t="shared" si="723"/>
        <v>0</v>
      </c>
      <c r="AL891">
        <f t="shared" si="724"/>
        <v>0</v>
      </c>
      <c r="AM891">
        <f t="shared" si="725"/>
        <v>0</v>
      </c>
    </row>
    <row r="892" spans="1:39" ht="15.75" x14ac:dyDescent="0.25">
      <c r="A892" s="561"/>
      <c r="B892" s="561"/>
      <c r="C892" s="561"/>
      <c r="D892" s="672"/>
      <c r="E892" s="209"/>
      <c r="F892" s="209"/>
      <c r="G892" s="209"/>
      <c r="H892" s="176">
        <f t="shared" si="703"/>
        <v>0</v>
      </c>
      <c r="I892" s="209"/>
      <c r="J892" s="209"/>
      <c r="K892" s="176">
        <f t="shared" si="704"/>
        <v>0</v>
      </c>
      <c r="L892" s="209"/>
      <c r="M892" s="177">
        <f t="shared" si="705"/>
        <v>0</v>
      </c>
      <c r="N892" s="1012"/>
      <c r="O892" s="1012"/>
      <c r="P892" s="485"/>
      <c r="Q892" s="778"/>
      <c r="R892" s="778"/>
      <c r="S892" s="785" t="str">
        <f t="shared" si="708"/>
        <v/>
      </c>
      <c r="T892" s="548" t="str">
        <f t="shared" si="706"/>
        <v>Sheet Metal Takeoff</v>
      </c>
      <c r="U892" s="83">
        <f t="shared" si="709"/>
        <v>0</v>
      </c>
      <c r="V892" s="83">
        <f t="shared" si="710"/>
        <v>0</v>
      </c>
      <c r="W892" s="83">
        <f t="shared" si="711"/>
        <v>0</v>
      </c>
      <c r="X892" s="781">
        <f t="shared" si="712"/>
        <v>0</v>
      </c>
      <c r="Y892" s="781">
        <f t="shared" si="713"/>
        <v>0</v>
      </c>
      <c r="Z892" s="781">
        <f t="shared" si="714"/>
        <v>0</v>
      </c>
      <c r="AA892" s="83">
        <f t="shared" si="707"/>
        <v>0</v>
      </c>
      <c r="AB892" s="83">
        <f t="shared" si="715"/>
        <v>0</v>
      </c>
      <c r="AC892" s="83">
        <f t="shared" si="716"/>
        <v>0</v>
      </c>
      <c r="AD892" s="83">
        <f t="shared" si="717"/>
        <v>0</v>
      </c>
      <c r="AE892" s="83">
        <f t="shared" si="718"/>
        <v>0</v>
      </c>
      <c r="AF892" s="83">
        <f t="shared" si="719"/>
        <v>0</v>
      </c>
      <c r="AG892" s="83">
        <f t="shared" si="720"/>
        <v>0</v>
      </c>
      <c r="AH892" s="83">
        <f t="shared" si="721"/>
        <v>0</v>
      </c>
      <c r="AI892" s="83">
        <f t="shared" si="722"/>
        <v>0</v>
      </c>
      <c r="AJ892" s="718">
        <f t="shared" si="723"/>
        <v>0</v>
      </c>
      <c r="AL892">
        <f t="shared" si="724"/>
        <v>0</v>
      </c>
      <c r="AM892">
        <f t="shared" si="725"/>
        <v>0</v>
      </c>
    </row>
    <row r="893" spans="1:39" ht="15.75" x14ac:dyDescent="0.25">
      <c r="A893" s="561"/>
      <c r="B893" s="561"/>
      <c r="C893" s="561"/>
      <c r="D893" s="672"/>
      <c r="E893" s="209"/>
      <c r="F893" s="209"/>
      <c r="G893" s="209"/>
      <c r="H893" s="176">
        <f t="shared" si="703"/>
        <v>0</v>
      </c>
      <c r="I893" s="209"/>
      <c r="J893" s="209"/>
      <c r="K893" s="176">
        <f t="shared" si="704"/>
        <v>0</v>
      </c>
      <c r="L893" s="209"/>
      <c r="M893" s="177">
        <f t="shared" si="705"/>
        <v>0</v>
      </c>
      <c r="N893" s="1012"/>
      <c r="O893" s="1012"/>
      <c r="P893" s="485"/>
      <c r="Q893" s="778"/>
      <c r="R893" s="778"/>
      <c r="S893" s="785" t="str">
        <f t="shared" si="708"/>
        <v/>
      </c>
      <c r="T893" s="548" t="str">
        <f t="shared" si="706"/>
        <v>Sheet Metal Takeoff</v>
      </c>
      <c r="U893" s="83">
        <f t="shared" si="709"/>
        <v>0</v>
      </c>
      <c r="V893" s="83">
        <f t="shared" si="710"/>
        <v>0</v>
      </c>
      <c r="W893" s="83">
        <f t="shared" si="711"/>
        <v>0</v>
      </c>
      <c r="X893" s="781">
        <f t="shared" si="712"/>
        <v>0</v>
      </c>
      <c r="Y893" s="781">
        <f t="shared" si="713"/>
        <v>0</v>
      </c>
      <c r="Z893" s="781">
        <f t="shared" si="714"/>
        <v>0</v>
      </c>
      <c r="AA893" s="83">
        <f t="shared" si="707"/>
        <v>0</v>
      </c>
      <c r="AB893" s="83">
        <f t="shared" si="715"/>
        <v>0</v>
      </c>
      <c r="AC893" s="83">
        <f t="shared" si="716"/>
        <v>0</v>
      </c>
      <c r="AD893" s="83">
        <f t="shared" si="717"/>
        <v>0</v>
      </c>
      <c r="AE893" s="83">
        <f t="shared" si="718"/>
        <v>0</v>
      </c>
      <c r="AF893" s="83">
        <f t="shared" si="719"/>
        <v>0</v>
      </c>
      <c r="AG893" s="83">
        <f t="shared" si="720"/>
        <v>0</v>
      </c>
      <c r="AH893" s="83">
        <f t="shared" si="721"/>
        <v>0</v>
      </c>
      <c r="AI893" s="83">
        <f t="shared" si="722"/>
        <v>0</v>
      </c>
      <c r="AJ893" s="718">
        <f t="shared" si="723"/>
        <v>0</v>
      </c>
      <c r="AL893">
        <f t="shared" si="724"/>
        <v>0</v>
      </c>
      <c r="AM893">
        <f t="shared" si="725"/>
        <v>0</v>
      </c>
    </row>
    <row r="894" spans="1:39" ht="15.75" x14ac:dyDescent="0.25">
      <c r="A894" s="561"/>
      <c r="B894" s="561"/>
      <c r="C894" s="561"/>
      <c r="D894" s="672"/>
      <c r="E894" s="209"/>
      <c r="F894" s="209"/>
      <c r="G894" s="209"/>
      <c r="H894" s="176">
        <f t="shared" si="703"/>
        <v>0</v>
      </c>
      <c r="I894" s="209"/>
      <c r="J894" s="209"/>
      <c r="K894" s="176">
        <f t="shared" si="704"/>
        <v>0</v>
      </c>
      <c r="L894" s="209"/>
      <c r="M894" s="177">
        <f t="shared" si="705"/>
        <v>0</v>
      </c>
      <c r="N894" s="1012"/>
      <c r="O894" s="1012"/>
      <c r="P894" s="485"/>
      <c r="Q894" s="778"/>
      <c r="R894" s="778"/>
      <c r="S894" s="785" t="str">
        <f t="shared" si="708"/>
        <v/>
      </c>
      <c r="T894" s="548" t="str">
        <f t="shared" si="706"/>
        <v>Sheet Metal Takeoff</v>
      </c>
      <c r="U894" s="83">
        <f t="shared" si="709"/>
        <v>0</v>
      </c>
      <c r="V894" s="83">
        <f t="shared" si="710"/>
        <v>0</v>
      </c>
      <c r="W894" s="83">
        <f t="shared" si="711"/>
        <v>0</v>
      </c>
      <c r="X894" s="781">
        <f t="shared" si="712"/>
        <v>0</v>
      </c>
      <c r="Y894" s="781">
        <f t="shared" si="713"/>
        <v>0</v>
      </c>
      <c r="Z894" s="781">
        <f t="shared" si="714"/>
        <v>0</v>
      </c>
      <c r="AA894" s="83">
        <f t="shared" si="707"/>
        <v>0</v>
      </c>
      <c r="AB894" s="83">
        <f t="shared" si="715"/>
        <v>0</v>
      </c>
      <c r="AC894" s="83">
        <f t="shared" si="716"/>
        <v>0</v>
      </c>
      <c r="AD894" s="83">
        <f t="shared" si="717"/>
        <v>0</v>
      </c>
      <c r="AE894" s="83">
        <f t="shared" si="718"/>
        <v>0</v>
      </c>
      <c r="AF894" s="83">
        <f t="shared" si="719"/>
        <v>0</v>
      </c>
      <c r="AG894" s="83">
        <f t="shared" si="720"/>
        <v>0</v>
      </c>
      <c r="AH894" s="83">
        <f t="shared" si="721"/>
        <v>0</v>
      </c>
      <c r="AI894" s="83">
        <f t="shared" si="722"/>
        <v>0</v>
      </c>
      <c r="AJ894" s="718">
        <f t="shared" si="723"/>
        <v>0</v>
      </c>
      <c r="AL894">
        <f t="shared" si="724"/>
        <v>0</v>
      </c>
      <c r="AM894">
        <f t="shared" si="725"/>
        <v>0</v>
      </c>
    </row>
    <row r="895" spans="1:39" ht="15.75" x14ac:dyDescent="0.25">
      <c r="A895" s="561"/>
      <c r="B895" s="561"/>
      <c r="C895" s="561"/>
      <c r="D895" s="672"/>
      <c r="E895" s="209"/>
      <c r="F895" s="209"/>
      <c r="G895" s="209"/>
      <c r="H895" s="176">
        <f t="shared" si="703"/>
        <v>0</v>
      </c>
      <c r="I895" s="209"/>
      <c r="J895" s="209"/>
      <c r="K895" s="176">
        <f t="shared" si="704"/>
        <v>0</v>
      </c>
      <c r="L895" s="209"/>
      <c r="M895" s="177">
        <f t="shared" si="705"/>
        <v>0</v>
      </c>
      <c r="N895" s="1012"/>
      <c r="O895" s="1012"/>
      <c r="P895" s="485"/>
      <c r="Q895" s="778"/>
      <c r="R895" s="778"/>
      <c r="S895" s="785" t="str">
        <f t="shared" si="708"/>
        <v/>
      </c>
      <c r="T895" s="548" t="str">
        <f t="shared" si="706"/>
        <v>Sheet Metal Takeoff</v>
      </c>
      <c r="U895" s="83">
        <f t="shared" si="709"/>
        <v>0</v>
      </c>
      <c r="V895" s="83">
        <f t="shared" si="710"/>
        <v>0</v>
      </c>
      <c r="W895" s="83">
        <f t="shared" si="711"/>
        <v>0</v>
      </c>
      <c r="X895" s="781">
        <f t="shared" si="712"/>
        <v>0</v>
      </c>
      <c r="Y895" s="781">
        <f t="shared" si="713"/>
        <v>0</v>
      </c>
      <c r="Z895" s="781">
        <f t="shared" si="714"/>
        <v>0</v>
      </c>
      <c r="AA895" s="83">
        <f t="shared" si="707"/>
        <v>0</v>
      </c>
      <c r="AB895" s="83">
        <f t="shared" si="715"/>
        <v>0</v>
      </c>
      <c r="AC895" s="83">
        <f t="shared" si="716"/>
        <v>0</v>
      </c>
      <c r="AD895" s="83">
        <f t="shared" si="717"/>
        <v>0</v>
      </c>
      <c r="AE895" s="83">
        <f t="shared" si="718"/>
        <v>0</v>
      </c>
      <c r="AF895" s="83">
        <f t="shared" si="719"/>
        <v>0</v>
      </c>
      <c r="AG895" s="83">
        <f t="shared" si="720"/>
        <v>0</v>
      </c>
      <c r="AH895" s="83">
        <f t="shared" si="721"/>
        <v>0</v>
      </c>
      <c r="AI895" s="83">
        <f t="shared" si="722"/>
        <v>0</v>
      </c>
      <c r="AJ895" s="718">
        <f t="shared" si="723"/>
        <v>0</v>
      </c>
      <c r="AL895">
        <f t="shared" si="724"/>
        <v>0</v>
      </c>
      <c r="AM895">
        <f t="shared" si="725"/>
        <v>0</v>
      </c>
    </row>
    <row r="896" spans="1:39" ht="15.75" x14ac:dyDescent="0.25">
      <c r="A896" s="561"/>
      <c r="B896" s="561"/>
      <c r="C896" s="561"/>
      <c r="D896" s="672"/>
      <c r="E896" s="209"/>
      <c r="F896" s="209"/>
      <c r="G896" s="209"/>
      <c r="H896" s="176">
        <f t="shared" si="703"/>
        <v>0</v>
      </c>
      <c r="I896" s="209"/>
      <c r="J896" s="209"/>
      <c r="K896" s="176">
        <f t="shared" si="704"/>
        <v>0</v>
      </c>
      <c r="L896" s="209"/>
      <c r="M896" s="177">
        <f t="shared" si="705"/>
        <v>0</v>
      </c>
      <c r="N896" s="1012"/>
      <c r="O896" s="1012"/>
      <c r="P896" s="485"/>
      <c r="Q896" s="778"/>
      <c r="R896" s="778"/>
      <c r="S896" s="785" t="str">
        <f t="shared" si="708"/>
        <v/>
      </c>
      <c r="T896" s="548" t="str">
        <f t="shared" si="706"/>
        <v>Sheet Metal Takeoff</v>
      </c>
      <c r="U896" s="83">
        <f t="shared" si="709"/>
        <v>0</v>
      </c>
      <c r="V896" s="83">
        <f t="shared" si="710"/>
        <v>0</v>
      </c>
      <c r="W896" s="83">
        <f t="shared" si="711"/>
        <v>0</v>
      </c>
      <c r="X896" s="781">
        <f t="shared" si="712"/>
        <v>0</v>
      </c>
      <c r="Y896" s="781">
        <f t="shared" si="713"/>
        <v>0</v>
      </c>
      <c r="Z896" s="781">
        <f t="shared" si="714"/>
        <v>0</v>
      </c>
      <c r="AA896" s="83">
        <f t="shared" si="707"/>
        <v>0</v>
      </c>
      <c r="AB896" s="83">
        <f t="shared" si="715"/>
        <v>0</v>
      </c>
      <c r="AC896" s="83">
        <f t="shared" si="716"/>
        <v>0</v>
      </c>
      <c r="AD896" s="83">
        <f t="shared" si="717"/>
        <v>0</v>
      </c>
      <c r="AE896" s="83">
        <f t="shared" si="718"/>
        <v>0</v>
      </c>
      <c r="AF896" s="83">
        <f t="shared" si="719"/>
        <v>0</v>
      </c>
      <c r="AG896" s="83">
        <f t="shared" si="720"/>
        <v>0</v>
      </c>
      <c r="AH896" s="83">
        <f t="shared" si="721"/>
        <v>0</v>
      </c>
      <c r="AI896" s="83">
        <f t="shared" si="722"/>
        <v>0</v>
      </c>
      <c r="AJ896" s="718">
        <f t="shared" si="723"/>
        <v>0</v>
      </c>
      <c r="AL896">
        <f t="shared" si="724"/>
        <v>0</v>
      </c>
      <c r="AM896">
        <f t="shared" si="725"/>
        <v>0</v>
      </c>
    </row>
    <row r="897" spans="1:39" ht="15.75" x14ac:dyDescent="0.25">
      <c r="A897" s="561"/>
      <c r="B897" s="561"/>
      <c r="C897" s="561"/>
      <c r="D897" s="672"/>
      <c r="E897" s="209"/>
      <c r="F897" s="209"/>
      <c r="G897" s="209"/>
      <c r="H897" s="176">
        <f t="shared" si="703"/>
        <v>0</v>
      </c>
      <c r="I897" s="209"/>
      <c r="J897" s="209"/>
      <c r="K897" s="176">
        <f t="shared" si="704"/>
        <v>0</v>
      </c>
      <c r="L897" s="209"/>
      <c r="M897" s="177">
        <f t="shared" si="705"/>
        <v>0</v>
      </c>
      <c r="N897" s="1012"/>
      <c r="O897" s="1012"/>
      <c r="P897" s="485"/>
      <c r="Q897" s="778"/>
      <c r="R897" s="778"/>
      <c r="S897" s="785" t="str">
        <f t="shared" si="708"/>
        <v/>
      </c>
      <c r="T897" s="548" t="str">
        <f t="shared" si="706"/>
        <v>Sheet Metal Takeoff</v>
      </c>
      <c r="U897" s="83">
        <f t="shared" si="709"/>
        <v>0</v>
      </c>
      <c r="V897" s="83">
        <f t="shared" si="710"/>
        <v>0</v>
      </c>
      <c r="W897" s="83">
        <f t="shared" si="711"/>
        <v>0</v>
      </c>
      <c r="X897" s="781">
        <f t="shared" si="712"/>
        <v>0</v>
      </c>
      <c r="Y897" s="781">
        <f t="shared" si="713"/>
        <v>0</v>
      </c>
      <c r="Z897" s="781">
        <f t="shared" si="714"/>
        <v>0</v>
      </c>
      <c r="AA897" s="83">
        <f t="shared" si="707"/>
        <v>0</v>
      </c>
      <c r="AB897" s="83">
        <f t="shared" si="715"/>
        <v>0</v>
      </c>
      <c r="AC897" s="83">
        <f t="shared" si="716"/>
        <v>0</v>
      </c>
      <c r="AD897" s="83">
        <f t="shared" si="717"/>
        <v>0</v>
      </c>
      <c r="AE897" s="83">
        <f t="shared" si="718"/>
        <v>0</v>
      </c>
      <c r="AF897" s="83">
        <f t="shared" si="719"/>
        <v>0</v>
      </c>
      <c r="AG897" s="83">
        <f t="shared" si="720"/>
        <v>0</v>
      </c>
      <c r="AH897" s="83">
        <f t="shared" si="721"/>
        <v>0</v>
      </c>
      <c r="AI897" s="83">
        <f t="shared" si="722"/>
        <v>0</v>
      </c>
      <c r="AJ897" s="718">
        <f t="shared" si="723"/>
        <v>0</v>
      </c>
      <c r="AL897">
        <f t="shared" si="724"/>
        <v>0</v>
      </c>
      <c r="AM897">
        <f t="shared" si="725"/>
        <v>0</v>
      </c>
    </row>
    <row r="898" spans="1:39" ht="15.75" x14ac:dyDescent="0.25">
      <c r="A898" s="561"/>
      <c r="B898" s="561"/>
      <c r="C898" s="561"/>
      <c r="D898" s="672"/>
      <c r="E898" s="209"/>
      <c r="F898" s="209"/>
      <c r="G898" s="209"/>
      <c r="H898" s="176">
        <f t="shared" si="703"/>
        <v>0</v>
      </c>
      <c r="I898" s="209"/>
      <c r="J898" s="209"/>
      <c r="K898" s="176">
        <f t="shared" si="704"/>
        <v>0</v>
      </c>
      <c r="L898" s="209"/>
      <c r="M898" s="177">
        <f t="shared" si="705"/>
        <v>0</v>
      </c>
      <c r="N898" s="1012"/>
      <c r="O898" s="1012"/>
      <c r="P898" s="485"/>
      <c r="Q898" s="778"/>
      <c r="R898" s="778"/>
      <c r="S898" s="785" t="str">
        <f t="shared" si="708"/>
        <v/>
      </c>
      <c r="T898" s="548" t="str">
        <f t="shared" si="706"/>
        <v>Sheet Metal Takeoff</v>
      </c>
      <c r="U898" s="83">
        <f t="shared" si="709"/>
        <v>0</v>
      </c>
      <c r="V898" s="83">
        <f t="shared" si="710"/>
        <v>0</v>
      </c>
      <c r="W898" s="83">
        <f t="shared" si="711"/>
        <v>0</v>
      </c>
      <c r="X898" s="781">
        <f t="shared" si="712"/>
        <v>0</v>
      </c>
      <c r="Y898" s="781">
        <f t="shared" si="713"/>
        <v>0</v>
      </c>
      <c r="Z898" s="781">
        <f t="shared" si="714"/>
        <v>0</v>
      </c>
      <c r="AA898" s="83">
        <f t="shared" si="707"/>
        <v>0</v>
      </c>
      <c r="AB898" s="83">
        <f t="shared" si="715"/>
        <v>0</v>
      </c>
      <c r="AC898" s="83">
        <f t="shared" si="716"/>
        <v>0</v>
      </c>
      <c r="AD898" s="83">
        <f t="shared" si="717"/>
        <v>0</v>
      </c>
      <c r="AE898" s="83">
        <f t="shared" si="718"/>
        <v>0</v>
      </c>
      <c r="AF898" s="83">
        <f t="shared" si="719"/>
        <v>0</v>
      </c>
      <c r="AG898" s="83">
        <f t="shared" si="720"/>
        <v>0</v>
      </c>
      <c r="AH898" s="83">
        <f t="shared" si="721"/>
        <v>0</v>
      </c>
      <c r="AI898" s="83">
        <f t="shared" si="722"/>
        <v>0</v>
      </c>
      <c r="AJ898" s="718">
        <f t="shared" si="723"/>
        <v>0</v>
      </c>
      <c r="AL898">
        <f t="shared" si="724"/>
        <v>0</v>
      </c>
      <c r="AM898">
        <f t="shared" si="725"/>
        <v>0</v>
      </c>
    </row>
    <row r="899" spans="1:39" ht="15.75" x14ac:dyDescent="0.25">
      <c r="A899" s="561"/>
      <c r="B899" s="561"/>
      <c r="C899" s="561"/>
      <c r="D899" s="672"/>
      <c r="E899" s="209"/>
      <c r="F899" s="209"/>
      <c r="G899" s="209"/>
      <c r="H899" s="176">
        <f t="shared" si="703"/>
        <v>0</v>
      </c>
      <c r="I899" s="209"/>
      <c r="J899" s="209"/>
      <c r="K899" s="176">
        <f t="shared" si="704"/>
        <v>0</v>
      </c>
      <c r="L899" s="209"/>
      <c r="M899" s="177">
        <f t="shared" si="705"/>
        <v>0</v>
      </c>
      <c r="N899" s="1012"/>
      <c r="O899" s="1012"/>
      <c r="P899" s="485"/>
      <c r="Q899" s="778"/>
      <c r="R899" s="778"/>
      <c r="S899" s="785" t="str">
        <f t="shared" si="708"/>
        <v/>
      </c>
      <c r="T899" s="548" t="str">
        <f t="shared" si="706"/>
        <v>Sheet Metal Takeoff</v>
      </c>
      <c r="U899" s="83">
        <f t="shared" si="709"/>
        <v>0</v>
      </c>
      <c r="V899" s="83">
        <f t="shared" si="710"/>
        <v>0</v>
      </c>
      <c r="W899" s="83">
        <f t="shared" si="711"/>
        <v>0</v>
      </c>
      <c r="X899" s="781">
        <f t="shared" si="712"/>
        <v>0</v>
      </c>
      <c r="Y899" s="781">
        <f t="shared" si="713"/>
        <v>0</v>
      </c>
      <c r="Z899" s="781">
        <f t="shared" si="714"/>
        <v>0</v>
      </c>
      <c r="AA899" s="83">
        <f t="shared" si="707"/>
        <v>0</v>
      </c>
      <c r="AB899" s="83">
        <f t="shared" si="715"/>
        <v>0</v>
      </c>
      <c r="AC899" s="83">
        <f t="shared" si="716"/>
        <v>0</v>
      </c>
      <c r="AD899" s="83">
        <f t="shared" si="717"/>
        <v>0</v>
      </c>
      <c r="AE899" s="83">
        <f t="shared" si="718"/>
        <v>0</v>
      </c>
      <c r="AF899" s="83">
        <f t="shared" si="719"/>
        <v>0</v>
      </c>
      <c r="AG899" s="83">
        <f t="shared" si="720"/>
        <v>0</v>
      </c>
      <c r="AH899" s="83">
        <f t="shared" si="721"/>
        <v>0</v>
      </c>
      <c r="AI899" s="83">
        <f t="shared" si="722"/>
        <v>0</v>
      </c>
      <c r="AJ899" s="718">
        <f t="shared" si="723"/>
        <v>0</v>
      </c>
      <c r="AL899">
        <f t="shared" si="724"/>
        <v>0</v>
      </c>
      <c r="AM899">
        <f t="shared" si="725"/>
        <v>0</v>
      </c>
    </row>
    <row r="900" spans="1:39" ht="15.75" x14ac:dyDescent="0.25">
      <c r="A900" s="561"/>
      <c r="B900" s="561"/>
      <c r="C900" s="561"/>
      <c r="D900" s="672"/>
      <c r="E900" s="209"/>
      <c r="F900" s="209"/>
      <c r="G900" s="209"/>
      <c r="H900" s="176">
        <f t="shared" si="703"/>
        <v>0</v>
      </c>
      <c r="I900" s="209"/>
      <c r="J900" s="209"/>
      <c r="K900" s="176">
        <f t="shared" si="704"/>
        <v>0</v>
      </c>
      <c r="L900" s="209"/>
      <c r="M900" s="177">
        <f t="shared" si="705"/>
        <v>0</v>
      </c>
      <c r="N900" s="1012"/>
      <c r="O900" s="1012"/>
      <c r="P900" s="485"/>
      <c r="Q900" s="778"/>
      <c r="R900" s="778"/>
      <c r="S900" s="785" t="str">
        <f t="shared" si="708"/>
        <v/>
      </c>
      <c r="T900" s="548" t="str">
        <f t="shared" si="706"/>
        <v>Sheet Metal Takeoff</v>
      </c>
      <c r="U900" s="83">
        <f t="shared" si="709"/>
        <v>0</v>
      </c>
      <c r="V900" s="83">
        <f t="shared" si="710"/>
        <v>0</v>
      </c>
      <c r="W900" s="83">
        <f t="shared" si="711"/>
        <v>0</v>
      </c>
      <c r="X900" s="781">
        <f t="shared" si="712"/>
        <v>0</v>
      </c>
      <c r="Y900" s="781">
        <f t="shared" si="713"/>
        <v>0</v>
      </c>
      <c r="Z900" s="781">
        <f t="shared" si="714"/>
        <v>0</v>
      </c>
      <c r="AA900" s="83">
        <f t="shared" si="707"/>
        <v>0</v>
      </c>
      <c r="AB900" s="83">
        <f t="shared" si="715"/>
        <v>0</v>
      </c>
      <c r="AC900" s="83">
        <f t="shared" si="716"/>
        <v>0</v>
      </c>
      <c r="AD900" s="83">
        <f t="shared" si="717"/>
        <v>0</v>
      </c>
      <c r="AE900" s="83">
        <f t="shared" si="718"/>
        <v>0</v>
      </c>
      <c r="AF900" s="83">
        <f t="shared" si="719"/>
        <v>0</v>
      </c>
      <c r="AG900" s="83">
        <f t="shared" si="720"/>
        <v>0</v>
      </c>
      <c r="AH900" s="83">
        <f t="shared" si="721"/>
        <v>0</v>
      </c>
      <c r="AI900" s="83">
        <f t="shared" si="722"/>
        <v>0</v>
      </c>
      <c r="AJ900" s="718">
        <f t="shared" si="723"/>
        <v>0</v>
      </c>
      <c r="AL900">
        <f t="shared" si="724"/>
        <v>0</v>
      </c>
      <c r="AM900">
        <f t="shared" si="725"/>
        <v>0</v>
      </c>
    </row>
    <row r="901" spans="1:39" ht="15.75" x14ac:dyDescent="0.25">
      <c r="A901" s="561"/>
      <c r="B901" s="561"/>
      <c r="C901" s="561"/>
      <c r="D901" s="672"/>
      <c r="E901" s="209"/>
      <c r="F901" s="209"/>
      <c r="G901" s="209"/>
      <c r="H901" s="176">
        <f t="shared" si="703"/>
        <v>0</v>
      </c>
      <c r="I901" s="209"/>
      <c r="J901" s="209"/>
      <c r="K901" s="176">
        <f t="shared" si="704"/>
        <v>0</v>
      </c>
      <c r="L901" s="209"/>
      <c r="M901" s="177">
        <f t="shared" si="705"/>
        <v>0</v>
      </c>
      <c r="N901" s="1012"/>
      <c r="O901" s="1012"/>
      <c r="P901" s="485"/>
      <c r="Q901" s="778"/>
      <c r="R901" s="778"/>
      <c r="S901" s="785" t="str">
        <f t="shared" si="708"/>
        <v/>
      </c>
      <c r="T901" s="548" t="str">
        <f t="shared" si="706"/>
        <v>Sheet Metal Takeoff</v>
      </c>
      <c r="U901" s="83">
        <f t="shared" si="709"/>
        <v>0</v>
      </c>
      <c r="V901" s="83">
        <f t="shared" si="710"/>
        <v>0</v>
      </c>
      <c r="W901" s="83">
        <f t="shared" si="711"/>
        <v>0</v>
      </c>
      <c r="X901" s="781">
        <f t="shared" si="712"/>
        <v>0</v>
      </c>
      <c r="Y901" s="781">
        <f t="shared" si="713"/>
        <v>0</v>
      </c>
      <c r="Z901" s="781">
        <f t="shared" si="714"/>
        <v>0</v>
      </c>
      <c r="AA901" s="83">
        <f t="shared" si="707"/>
        <v>0</v>
      </c>
      <c r="AB901" s="83">
        <f t="shared" si="715"/>
        <v>0</v>
      </c>
      <c r="AC901" s="83">
        <f t="shared" si="716"/>
        <v>0</v>
      </c>
      <c r="AD901" s="83">
        <f t="shared" si="717"/>
        <v>0</v>
      </c>
      <c r="AE901" s="83">
        <f t="shared" si="718"/>
        <v>0</v>
      </c>
      <c r="AF901" s="83">
        <f t="shared" si="719"/>
        <v>0</v>
      </c>
      <c r="AG901" s="83">
        <f t="shared" si="720"/>
        <v>0</v>
      </c>
      <c r="AH901" s="83">
        <f t="shared" si="721"/>
        <v>0</v>
      </c>
      <c r="AI901" s="83">
        <f t="shared" si="722"/>
        <v>0</v>
      </c>
      <c r="AJ901" s="718">
        <f t="shared" si="723"/>
        <v>0</v>
      </c>
      <c r="AL901">
        <f t="shared" si="724"/>
        <v>0</v>
      </c>
      <c r="AM901">
        <f t="shared" si="725"/>
        <v>0</v>
      </c>
    </row>
    <row r="902" spans="1:39" ht="15.75" x14ac:dyDescent="0.25">
      <c r="A902" s="561"/>
      <c r="B902" s="561"/>
      <c r="C902" s="561"/>
      <c r="D902" s="672"/>
      <c r="E902" s="209"/>
      <c r="F902" s="209"/>
      <c r="G902" s="209"/>
      <c r="H902" s="176">
        <f t="shared" si="703"/>
        <v>0</v>
      </c>
      <c r="I902" s="209"/>
      <c r="J902" s="209"/>
      <c r="K902" s="176">
        <f t="shared" si="704"/>
        <v>0</v>
      </c>
      <c r="L902" s="209"/>
      <c r="M902" s="177">
        <f t="shared" si="705"/>
        <v>0</v>
      </c>
      <c r="N902" s="1012"/>
      <c r="O902" s="1012"/>
      <c r="P902" s="485"/>
      <c r="Q902" s="778"/>
      <c r="R902" s="778"/>
      <c r="S902" s="785" t="str">
        <f t="shared" si="708"/>
        <v/>
      </c>
      <c r="T902" s="548" t="str">
        <f t="shared" si="706"/>
        <v>Sheet Metal Takeoff</v>
      </c>
      <c r="U902" s="83">
        <f t="shared" si="709"/>
        <v>0</v>
      </c>
      <c r="V902" s="83">
        <f t="shared" si="710"/>
        <v>0</v>
      </c>
      <c r="W902" s="83">
        <f t="shared" si="711"/>
        <v>0</v>
      </c>
      <c r="X902" s="781">
        <f t="shared" si="712"/>
        <v>0</v>
      </c>
      <c r="Y902" s="781">
        <f t="shared" si="713"/>
        <v>0</v>
      </c>
      <c r="Z902" s="781">
        <f t="shared" si="714"/>
        <v>0</v>
      </c>
      <c r="AA902" s="83">
        <f t="shared" si="707"/>
        <v>0</v>
      </c>
      <c r="AB902" s="83">
        <f t="shared" si="715"/>
        <v>0</v>
      </c>
      <c r="AC902" s="83">
        <f t="shared" si="716"/>
        <v>0</v>
      </c>
      <c r="AD902" s="83">
        <f t="shared" si="717"/>
        <v>0</v>
      </c>
      <c r="AE902" s="83">
        <f t="shared" si="718"/>
        <v>0</v>
      </c>
      <c r="AF902" s="83">
        <f t="shared" si="719"/>
        <v>0</v>
      </c>
      <c r="AG902" s="83">
        <f t="shared" si="720"/>
        <v>0</v>
      </c>
      <c r="AH902" s="83">
        <f t="shared" si="721"/>
        <v>0</v>
      </c>
      <c r="AI902" s="83">
        <f t="shared" si="722"/>
        <v>0</v>
      </c>
      <c r="AJ902" s="718">
        <f t="shared" si="723"/>
        <v>0</v>
      </c>
      <c r="AL902">
        <f t="shared" si="724"/>
        <v>0</v>
      </c>
      <c r="AM902">
        <f t="shared" si="725"/>
        <v>0</v>
      </c>
    </row>
    <row r="903" spans="1:39" ht="15.75" x14ac:dyDescent="0.25">
      <c r="A903" s="561"/>
      <c r="B903" s="561"/>
      <c r="C903" s="561"/>
      <c r="D903" s="672"/>
      <c r="E903" s="209"/>
      <c r="F903" s="209"/>
      <c r="G903" s="209"/>
      <c r="H903" s="176">
        <f t="shared" si="703"/>
        <v>0</v>
      </c>
      <c r="I903" s="209"/>
      <c r="J903" s="209"/>
      <c r="K903" s="176">
        <f t="shared" si="704"/>
        <v>0</v>
      </c>
      <c r="L903" s="209"/>
      <c r="M903" s="177">
        <f t="shared" si="705"/>
        <v>0</v>
      </c>
      <c r="N903" s="1012"/>
      <c r="O903" s="1012"/>
      <c r="P903" s="485"/>
      <c r="Q903" s="778"/>
      <c r="R903" s="778"/>
      <c r="S903" s="785" t="str">
        <f t="shared" si="708"/>
        <v/>
      </c>
      <c r="T903" s="548" t="str">
        <f t="shared" si="706"/>
        <v>Sheet Metal Takeoff</v>
      </c>
      <c r="U903" s="83">
        <f t="shared" si="709"/>
        <v>0</v>
      </c>
      <c r="V903" s="83">
        <f t="shared" si="710"/>
        <v>0</v>
      </c>
      <c r="W903" s="83">
        <f t="shared" si="711"/>
        <v>0</v>
      </c>
      <c r="X903" s="781">
        <f t="shared" si="712"/>
        <v>0</v>
      </c>
      <c r="Y903" s="781">
        <f t="shared" si="713"/>
        <v>0</v>
      </c>
      <c r="Z903" s="781">
        <f t="shared" si="714"/>
        <v>0</v>
      </c>
      <c r="AA903" s="83">
        <f t="shared" si="707"/>
        <v>0</v>
      </c>
      <c r="AB903" s="83">
        <f t="shared" si="715"/>
        <v>0</v>
      </c>
      <c r="AC903" s="83">
        <f t="shared" si="716"/>
        <v>0</v>
      </c>
      <c r="AD903" s="83">
        <f t="shared" si="717"/>
        <v>0</v>
      </c>
      <c r="AE903" s="83">
        <f t="shared" si="718"/>
        <v>0</v>
      </c>
      <c r="AF903" s="83">
        <f t="shared" si="719"/>
        <v>0</v>
      </c>
      <c r="AG903" s="83">
        <f t="shared" si="720"/>
        <v>0</v>
      </c>
      <c r="AH903" s="83">
        <f t="shared" si="721"/>
        <v>0</v>
      </c>
      <c r="AI903" s="83">
        <f t="shared" si="722"/>
        <v>0</v>
      </c>
      <c r="AJ903" s="718">
        <f t="shared" si="723"/>
        <v>0</v>
      </c>
      <c r="AL903">
        <f t="shared" si="724"/>
        <v>0</v>
      </c>
      <c r="AM903">
        <f t="shared" si="725"/>
        <v>0</v>
      </c>
    </row>
    <row r="904" spans="1:39" ht="15.75" x14ac:dyDescent="0.25">
      <c r="A904" s="561"/>
      <c r="B904" s="561"/>
      <c r="C904" s="561"/>
      <c r="D904" s="672"/>
      <c r="E904" s="209"/>
      <c r="F904" s="209"/>
      <c r="G904" s="209"/>
      <c r="H904" s="176">
        <f t="shared" si="703"/>
        <v>0</v>
      </c>
      <c r="I904" s="209"/>
      <c r="J904" s="209"/>
      <c r="K904" s="176">
        <f t="shared" si="704"/>
        <v>0</v>
      </c>
      <c r="L904" s="209"/>
      <c r="M904" s="177">
        <f t="shared" si="705"/>
        <v>0</v>
      </c>
      <c r="N904" s="1012"/>
      <c r="O904" s="1012"/>
      <c r="P904" s="485"/>
      <c r="Q904" s="778"/>
      <c r="R904" s="778"/>
      <c r="S904" s="785" t="str">
        <f t="shared" si="708"/>
        <v/>
      </c>
      <c r="T904" s="548" t="str">
        <f t="shared" si="706"/>
        <v>Sheet Metal Takeoff</v>
      </c>
      <c r="U904" s="83">
        <f t="shared" si="709"/>
        <v>0</v>
      </c>
      <c r="V904" s="83">
        <f t="shared" si="710"/>
        <v>0</v>
      </c>
      <c r="W904" s="83">
        <f t="shared" si="711"/>
        <v>0</v>
      </c>
      <c r="X904" s="781">
        <f t="shared" si="712"/>
        <v>0</v>
      </c>
      <c r="Y904" s="781">
        <f t="shared" si="713"/>
        <v>0</v>
      </c>
      <c r="Z904" s="781">
        <f t="shared" si="714"/>
        <v>0</v>
      </c>
      <c r="AA904" s="83">
        <f t="shared" si="707"/>
        <v>0</v>
      </c>
      <c r="AB904" s="83">
        <f t="shared" si="715"/>
        <v>0</v>
      </c>
      <c r="AC904" s="83">
        <f t="shared" si="716"/>
        <v>0</v>
      </c>
      <c r="AD904" s="83">
        <f t="shared" si="717"/>
        <v>0</v>
      </c>
      <c r="AE904" s="83">
        <f t="shared" si="718"/>
        <v>0</v>
      </c>
      <c r="AF904" s="83">
        <f t="shared" si="719"/>
        <v>0</v>
      </c>
      <c r="AG904" s="83">
        <f t="shared" si="720"/>
        <v>0</v>
      </c>
      <c r="AH904" s="83">
        <f t="shared" si="721"/>
        <v>0</v>
      </c>
      <c r="AI904" s="83">
        <f t="shared" si="722"/>
        <v>0</v>
      </c>
      <c r="AJ904" s="718">
        <f t="shared" si="723"/>
        <v>0</v>
      </c>
      <c r="AL904">
        <f t="shared" si="724"/>
        <v>0</v>
      </c>
      <c r="AM904">
        <f t="shared" si="725"/>
        <v>0</v>
      </c>
    </row>
    <row r="905" spans="1:39" ht="15.75" x14ac:dyDescent="0.25">
      <c r="A905" s="561"/>
      <c r="B905" s="561"/>
      <c r="C905" s="561"/>
      <c r="D905" s="672"/>
      <c r="E905" s="209"/>
      <c r="F905" s="209"/>
      <c r="G905" s="209"/>
      <c r="H905" s="176">
        <f t="shared" si="703"/>
        <v>0</v>
      </c>
      <c r="I905" s="209"/>
      <c r="J905" s="209"/>
      <c r="K905" s="176">
        <f t="shared" si="704"/>
        <v>0</v>
      </c>
      <c r="L905" s="209"/>
      <c r="M905" s="177">
        <f t="shared" si="705"/>
        <v>0</v>
      </c>
      <c r="N905" s="1012"/>
      <c r="O905" s="1012"/>
      <c r="P905" s="485"/>
      <c r="Q905" s="778"/>
      <c r="R905" s="778"/>
      <c r="S905" s="785" t="str">
        <f t="shared" si="708"/>
        <v/>
      </c>
      <c r="T905" s="548" t="str">
        <f t="shared" si="706"/>
        <v>Sheet Metal Takeoff</v>
      </c>
      <c r="U905" s="83">
        <f t="shared" si="709"/>
        <v>0</v>
      </c>
      <c r="V905" s="83">
        <f t="shared" si="710"/>
        <v>0</v>
      </c>
      <c r="W905" s="83">
        <f t="shared" si="711"/>
        <v>0</v>
      </c>
      <c r="X905" s="781">
        <f t="shared" si="712"/>
        <v>0</v>
      </c>
      <c r="Y905" s="781">
        <f t="shared" si="713"/>
        <v>0</v>
      </c>
      <c r="Z905" s="781">
        <f t="shared" si="714"/>
        <v>0</v>
      </c>
      <c r="AA905" s="83">
        <f t="shared" si="707"/>
        <v>0</v>
      </c>
      <c r="AB905" s="83">
        <f t="shared" si="715"/>
        <v>0</v>
      </c>
      <c r="AC905" s="83">
        <f t="shared" si="716"/>
        <v>0</v>
      </c>
      <c r="AD905" s="83">
        <f t="shared" si="717"/>
        <v>0</v>
      </c>
      <c r="AE905" s="83">
        <f t="shared" si="718"/>
        <v>0</v>
      </c>
      <c r="AF905" s="83">
        <f t="shared" si="719"/>
        <v>0</v>
      </c>
      <c r="AG905" s="83">
        <f t="shared" si="720"/>
        <v>0</v>
      </c>
      <c r="AH905" s="83">
        <f t="shared" si="721"/>
        <v>0</v>
      </c>
      <c r="AI905" s="83">
        <f t="shared" si="722"/>
        <v>0</v>
      </c>
      <c r="AJ905" s="718">
        <f t="shared" si="723"/>
        <v>0</v>
      </c>
      <c r="AL905">
        <f t="shared" si="724"/>
        <v>0</v>
      </c>
      <c r="AM905">
        <f t="shared" si="725"/>
        <v>0</v>
      </c>
    </row>
    <row r="906" spans="1:39" ht="15.75" x14ac:dyDescent="0.25">
      <c r="A906" s="561"/>
      <c r="B906" s="561"/>
      <c r="C906" s="561"/>
      <c r="D906" s="672"/>
      <c r="E906" s="209"/>
      <c r="F906" s="209"/>
      <c r="G906" s="209"/>
      <c r="H906" s="176">
        <f t="shared" si="703"/>
        <v>0</v>
      </c>
      <c r="I906" s="209"/>
      <c r="J906" s="209"/>
      <c r="K906" s="176">
        <f t="shared" si="704"/>
        <v>0</v>
      </c>
      <c r="L906" s="209"/>
      <c r="M906" s="177">
        <f t="shared" si="705"/>
        <v>0</v>
      </c>
      <c r="N906" s="1012"/>
      <c r="O906" s="1012"/>
      <c r="P906" s="485"/>
      <c r="Q906" s="778"/>
      <c r="R906" s="778"/>
      <c r="S906" s="785" t="str">
        <f t="shared" si="708"/>
        <v/>
      </c>
      <c r="T906" s="548" t="str">
        <f t="shared" si="706"/>
        <v>Sheet Metal Takeoff</v>
      </c>
      <c r="U906" s="83">
        <f t="shared" si="709"/>
        <v>0</v>
      </c>
      <c r="V906" s="83">
        <f t="shared" si="710"/>
        <v>0</v>
      </c>
      <c r="W906" s="83">
        <f t="shared" si="711"/>
        <v>0</v>
      </c>
      <c r="X906" s="781">
        <f t="shared" si="712"/>
        <v>0</v>
      </c>
      <c r="Y906" s="781">
        <f t="shared" si="713"/>
        <v>0</v>
      </c>
      <c r="Z906" s="781">
        <f t="shared" si="714"/>
        <v>0</v>
      </c>
      <c r="AA906" s="83">
        <f t="shared" si="707"/>
        <v>0</v>
      </c>
      <c r="AB906" s="83">
        <f t="shared" si="715"/>
        <v>0</v>
      </c>
      <c r="AC906" s="83">
        <f t="shared" si="716"/>
        <v>0</v>
      </c>
      <c r="AD906" s="83">
        <f t="shared" si="717"/>
        <v>0</v>
      </c>
      <c r="AE906" s="83">
        <f t="shared" si="718"/>
        <v>0</v>
      </c>
      <c r="AF906" s="83">
        <f t="shared" si="719"/>
        <v>0</v>
      </c>
      <c r="AG906" s="83">
        <f t="shared" si="720"/>
        <v>0</v>
      </c>
      <c r="AH906" s="83">
        <f t="shared" si="721"/>
        <v>0</v>
      </c>
      <c r="AI906" s="83">
        <f t="shared" si="722"/>
        <v>0</v>
      </c>
      <c r="AJ906" s="718">
        <f t="shared" si="723"/>
        <v>0</v>
      </c>
      <c r="AL906">
        <f t="shared" si="724"/>
        <v>0</v>
      </c>
      <c r="AM906">
        <f t="shared" si="725"/>
        <v>0</v>
      </c>
    </row>
    <row r="907" spans="1:39" ht="15.75" x14ac:dyDescent="0.25">
      <c r="A907" s="561"/>
      <c r="B907" s="561"/>
      <c r="C907" s="561"/>
      <c r="D907" s="672"/>
      <c r="E907" s="209"/>
      <c r="F907" s="209"/>
      <c r="G907" s="209"/>
      <c r="H907" s="176">
        <f t="shared" si="703"/>
        <v>0</v>
      </c>
      <c r="I907" s="209"/>
      <c r="J907" s="209"/>
      <c r="K907" s="176">
        <f t="shared" si="704"/>
        <v>0</v>
      </c>
      <c r="L907" s="209"/>
      <c r="M907" s="177">
        <f t="shared" si="705"/>
        <v>0</v>
      </c>
      <c r="N907" s="1012"/>
      <c r="O907" s="1012"/>
      <c r="P907" s="485"/>
      <c r="Q907" s="778"/>
      <c r="R907" s="778"/>
      <c r="S907" s="785" t="str">
        <f t="shared" si="708"/>
        <v/>
      </c>
      <c r="T907" s="548" t="str">
        <f t="shared" si="706"/>
        <v>Sheet Metal Takeoff</v>
      </c>
      <c r="U907" s="83">
        <f t="shared" si="709"/>
        <v>0</v>
      </c>
      <c r="V907" s="83">
        <f t="shared" si="710"/>
        <v>0</v>
      </c>
      <c r="W907" s="83">
        <f t="shared" si="711"/>
        <v>0</v>
      </c>
      <c r="X907" s="781">
        <f t="shared" si="712"/>
        <v>0</v>
      </c>
      <c r="Y907" s="781">
        <f t="shared" si="713"/>
        <v>0</v>
      </c>
      <c r="Z907" s="781">
        <f t="shared" si="714"/>
        <v>0</v>
      </c>
      <c r="AA907" s="83">
        <f t="shared" si="707"/>
        <v>0</v>
      </c>
      <c r="AB907" s="83">
        <f t="shared" si="715"/>
        <v>0</v>
      </c>
      <c r="AC907" s="83">
        <f t="shared" si="716"/>
        <v>0</v>
      </c>
      <c r="AD907" s="83">
        <f t="shared" si="717"/>
        <v>0</v>
      </c>
      <c r="AE907" s="83">
        <f t="shared" si="718"/>
        <v>0</v>
      </c>
      <c r="AF907" s="83">
        <f t="shared" si="719"/>
        <v>0</v>
      </c>
      <c r="AG907" s="83">
        <f t="shared" si="720"/>
        <v>0</v>
      </c>
      <c r="AH907" s="83">
        <f t="shared" si="721"/>
        <v>0</v>
      </c>
      <c r="AI907" s="83">
        <f t="shared" si="722"/>
        <v>0</v>
      </c>
      <c r="AJ907" s="718">
        <f t="shared" si="723"/>
        <v>0</v>
      </c>
      <c r="AL907">
        <f t="shared" si="724"/>
        <v>0</v>
      </c>
      <c r="AM907">
        <f t="shared" si="725"/>
        <v>0</v>
      </c>
    </row>
    <row r="908" spans="1:39" ht="15.75" x14ac:dyDescent="0.25">
      <c r="A908" s="561"/>
      <c r="B908" s="561"/>
      <c r="C908" s="561"/>
      <c r="D908" s="672"/>
      <c r="E908" s="209"/>
      <c r="F908" s="209"/>
      <c r="G908" s="209"/>
      <c r="H908" s="176">
        <f t="shared" si="703"/>
        <v>0</v>
      </c>
      <c r="I908" s="209"/>
      <c r="J908" s="209"/>
      <c r="K908" s="176">
        <f t="shared" si="704"/>
        <v>0</v>
      </c>
      <c r="L908" s="209"/>
      <c r="M908" s="177">
        <f t="shared" si="705"/>
        <v>0</v>
      </c>
      <c r="N908" s="1012"/>
      <c r="O908" s="1012"/>
      <c r="P908" s="485"/>
      <c r="Q908" s="778"/>
      <c r="R908" s="778"/>
      <c r="S908" s="785" t="str">
        <f t="shared" si="708"/>
        <v/>
      </c>
      <c r="T908" s="548" t="str">
        <f t="shared" si="706"/>
        <v>Sheet Metal Takeoff</v>
      </c>
      <c r="U908" s="83">
        <f t="shared" si="709"/>
        <v>0</v>
      </c>
      <c r="V908" s="83">
        <f t="shared" si="710"/>
        <v>0</v>
      </c>
      <c r="W908" s="83">
        <f t="shared" si="711"/>
        <v>0</v>
      </c>
      <c r="X908" s="781">
        <f t="shared" si="712"/>
        <v>0</v>
      </c>
      <c r="Y908" s="781">
        <f t="shared" si="713"/>
        <v>0</v>
      </c>
      <c r="Z908" s="781">
        <f t="shared" si="714"/>
        <v>0</v>
      </c>
      <c r="AA908" s="83">
        <f t="shared" si="707"/>
        <v>0</v>
      </c>
      <c r="AB908" s="83">
        <f t="shared" si="715"/>
        <v>0</v>
      </c>
      <c r="AC908" s="83">
        <f t="shared" si="716"/>
        <v>0</v>
      </c>
      <c r="AD908" s="83">
        <f t="shared" si="717"/>
        <v>0</v>
      </c>
      <c r="AE908" s="83">
        <f t="shared" si="718"/>
        <v>0</v>
      </c>
      <c r="AF908" s="83">
        <f t="shared" si="719"/>
        <v>0</v>
      </c>
      <c r="AG908" s="83">
        <f t="shared" si="720"/>
        <v>0</v>
      </c>
      <c r="AH908" s="83">
        <f t="shared" si="721"/>
        <v>0</v>
      </c>
      <c r="AI908" s="83">
        <f t="shared" si="722"/>
        <v>0</v>
      </c>
      <c r="AJ908" s="718">
        <f t="shared" si="723"/>
        <v>0</v>
      </c>
      <c r="AL908">
        <f t="shared" si="724"/>
        <v>0</v>
      </c>
      <c r="AM908">
        <f t="shared" si="725"/>
        <v>0</v>
      </c>
    </row>
    <row r="909" spans="1:39" ht="15.75" x14ac:dyDescent="0.25">
      <c r="A909" s="561"/>
      <c r="B909" s="561"/>
      <c r="C909" s="561"/>
      <c r="D909" s="672"/>
      <c r="E909" s="209"/>
      <c r="F909" s="209"/>
      <c r="G909" s="209"/>
      <c r="H909" s="176">
        <f t="shared" si="703"/>
        <v>0</v>
      </c>
      <c r="I909" s="209"/>
      <c r="J909" s="209"/>
      <c r="K909" s="176">
        <f t="shared" si="704"/>
        <v>0</v>
      </c>
      <c r="L909" s="209"/>
      <c r="M909" s="177">
        <f t="shared" si="705"/>
        <v>0</v>
      </c>
      <c r="N909" s="1012"/>
      <c r="O909" s="1012"/>
      <c r="P909" s="485"/>
      <c r="Q909" s="778"/>
      <c r="R909" s="778"/>
      <c r="S909" s="785" t="str">
        <f t="shared" si="708"/>
        <v/>
      </c>
      <c r="T909" s="548" t="str">
        <f t="shared" si="706"/>
        <v>Sheet Metal Takeoff</v>
      </c>
      <c r="U909" s="83">
        <f t="shared" si="709"/>
        <v>0</v>
      </c>
      <c r="V909" s="83">
        <f t="shared" si="710"/>
        <v>0</v>
      </c>
      <c r="W909" s="83">
        <f t="shared" si="711"/>
        <v>0</v>
      </c>
      <c r="X909" s="781">
        <f t="shared" si="712"/>
        <v>0</v>
      </c>
      <c r="Y909" s="781">
        <f t="shared" si="713"/>
        <v>0</v>
      </c>
      <c r="Z909" s="781">
        <f t="shared" si="714"/>
        <v>0</v>
      </c>
      <c r="AA909" s="83">
        <f t="shared" si="707"/>
        <v>0</v>
      </c>
      <c r="AB909" s="83">
        <f t="shared" si="715"/>
        <v>0</v>
      </c>
      <c r="AC909" s="83">
        <f t="shared" si="716"/>
        <v>0</v>
      </c>
      <c r="AD909" s="83">
        <f t="shared" si="717"/>
        <v>0</v>
      </c>
      <c r="AE909" s="83">
        <f t="shared" si="718"/>
        <v>0</v>
      </c>
      <c r="AF909" s="83">
        <f t="shared" si="719"/>
        <v>0</v>
      </c>
      <c r="AG909" s="83">
        <f t="shared" si="720"/>
        <v>0</v>
      </c>
      <c r="AH909" s="83">
        <f t="shared" si="721"/>
        <v>0</v>
      </c>
      <c r="AI909" s="83">
        <f t="shared" si="722"/>
        <v>0</v>
      </c>
      <c r="AJ909" s="718">
        <f t="shared" si="723"/>
        <v>0</v>
      </c>
      <c r="AL909">
        <f t="shared" si="724"/>
        <v>0</v>
      </c>
      <c r="AM909">
        <f t="shared" si="725"/>
        <v>0</v>
      </c>
    </row>
    <row r="910" spans="1:39" ht="15.75" x14ac:dyDescent="0.25">
      <c r="A910" s="561"/>
      <c r="B910" s="561"/>
      <c r="C910" s="561"/>
      <c r="D910" s="672"/>
      <c r="E910" s="209"/>
      <c r="F910" s="209"/>
      <c r="G910" s="209"/>
      <c r="H910" s="176">
        <f t="shared" si="703"/>
        <v>0</v>
      </c>
      <c r="I910" s="209"/>
      <c r="J910" s="209"/>
      <c r="K910" s="176">
        <f t="shared" si="704"/>
        <v>0</v>
      </c>
      <c r="L910" s="209"/>
      <c r="M910" s="177">
        <f t="shared" si="705"/>
        <v>0</v>
      </c>
      <c r="N910" s="1012"/>
      <c r="O910" s="1012"/>
      <c r="P910" s="485"/>
      <c r="Q910" s="778"/>
      <c r="R910" s="778"/>
      <c r="S910" s="785" t="str">
        <f t="shared" si="708"/>
        <v/>
      </c>
      <c r="T910" s="548" t="str">
        <f t="shared" si="706"/>
        <v>Sheet Metal Takeoff</v>
      </c>
      <c r="U910" s="83">
        <f t="shared" si="709"/>
        <v>0</v>
      </c>
      <c r="V910" s="83">
        <f t="shared" si="710"/>
        <v>0</v>
      </c>
      <c r="W910" s="83">
        <f t="shared" si="711"/>
        <v>0</v>
      </c>
      <c r="X910" s="781">
        <f t="shared" si="712"/>
        <v>0</v>
      </c>
      <c r="Y910" s="781">
        <f t="shared" si="713"/>
        <v>0</v>
      </c>
      <c r="Z910" s="781">
        <f t="shared" si="714"/>
        <v>0</v>
      </c>
      <c r="AA910" s="83">
        <f t="shared" si="707"/>
        <v>0</v>
      </c>
      <c r="AB910" s="83">
        <f t="shared" si="715"/>
        <v>0</v>
      </c>
      <c r="AC910" s="83">
        <f t="shared" si="716"/>
        <v>0</v>
      </c>
      <c r="AD910" s="83">
        <f t="shared" si="717"/>
        <v>0</v>
      </c>
      <c r="AE910" s="83">
        <f t="shared" si="718"/>
        <v>0</v>
      </c>
      <c r="AF910" s="83">
        <f t="shared" si="719"/>
        <v>0</v>
      </c>
      <c r="AG910" s="83">
        <f t="shared" si="720"/>
        <v>0</v>
      </c>
      <c r="AH910" s="83">
        <f t="shared" si="721"/>
        <v>0</v>
      </c>
      <c r="AI910" s="83">
        <f t="shared" si="722"/>
        <v>0</v>
      </c>
      <c r="AJ910" s="718">
        <f t="shared" si="723"/>
        <v>0</v>
      </c>
      <c r="AL910">
        <f t="shared" si="724"/>
        <v>0</v>
      </c>
      <c r="AM910">
        <f t="shared" si="725"/>
        <v>0</v>
      </c>
    </row>
    <row r="911" spans="1:39" ht="15.75" x14ac:dyDescent="0.25">
      <c r="A911" s="561"/>
      <c r="B911" s="561"/>
      <c r="C911" s="561"/>
      <c r="D911" s="672"/>
      <c r="E911" s="209"/>
      <c r="F911" s="209"/>
      <c r="G911" s="209"/>
      <c r="H911" s="176">
        <f t="shared" si="703"/>
        <v>0</v>
      </c>
      <c r="I911" s="209"/>
      <c r="J911" s="209"/>
      <c r="K911" s="176">
        <f t="shared" si="704"/>
        <v>0</v>
      </c>
      <c r="L911" s="209"/>
      <c r="M911" s="177">
        <f t="shared" si="705"/>
        <v>0</v>
      </c>
      <c r="N911" s="1012"/>
      <c r="O911" s="1012"/>
      <c r="P911" s="485"/>
      <c r="Q911" s="778"/>
      <c r="R911" s="778"/>
      <c r="S911" s="785" t="str">
        <f t="shared" si="708"/>
        <v/>
      </c>
      <c r="T911" s="548" t="str">
        <f t="shared" si="706"/>
        <v>Sheet Metal Takeoff</v>
      </c>
      <c r="U911" s="83">
        <f t="shared" si="709"/>
        <v>0</v>
      </c>
      <c r="V911" s="83">
        <f t="shared" si="710"/>
        <v>0</v>
      </c>
      <c r="W911" s="83">
        <f t="shared" si="711"/>
        <v>0</v>
      </c>
      <c r="X911" s="781">
        <f t="shared" si="712"/>
        <v>0</v>
      </c>
      <c r="Y911" s="781">
        <f t="shared" si="713"/>
        <v>0</v>
      </c>
      <c r="Z911" s="781">
        <f t="shared" si="714"/>
        <v>0</v>
      </c>
      <c r="AA911" s="83">
        <f t="shared" si="707"/>
        <v>0</v>
      </c>
      <c r="AB911" s="83">
        <f t="shared" si="715"/>
        <v>0</v>
      </c>
      <c r="AC911" s="83">
        <f t="shared" si="716"/>
        <v>0</v>
      </c>
      <c r="AD911" s="83">
        <f t="shared" si="717"/>
        <v>0</v>
      </c>
      <c r="AE911" s="83">
        <f t="shared" si="718"/>
        <v>0</v>
      </c>
      <c r="AF911" s="83">
        <f t="shared" si="719"/>
        <v>0</v>
      </c>
      <c r="AG911" s="83">
        <f t="shared" si="720"/>
        <v>0</v>
      </c>
      <c r="AH911" s="83">
        <f t="shared" si="721"/>
        <v>0</v>
      </c>
      <c r="AI911" s="83">
        <f t="shared" si="722"/>
        <v>0</v>
      </c>
      <c r="AJ911" s="718">
        <f t="shared" si="723"/>
        <v>0</v>
      </c>
      <c r="AL911">
        <f t="shared" si="724"/>
        <v>0</v>
      </c>
      <c r="AM911">
        <f t="shared" si="725"/>
        <v>0</v>
      </c>
    </row>
    <row r="912" spans="1:39" ht="15.75" hidden="1" customHeight="1" x14ac:dyDescent="0.25">
      <c r="A912" s="561"/>
      <c r="B912" s="561"/>
      <c r="C912" s="561"/>
      <c r="D912" s="672"/>
      <c r="E912" s="209"/>
      <c r="F912" s="209"/>
      <c r="G912" s="209"/>
      <c r="H912" s="176">
        <f t="shared" si="703"/>
        <v>0</v>
      </c>
      <c r="I912" s="209"/>
      <c r="J912" s="209"/>
      <c r="K912" s="176">
        <f t="shared" si="704"/>
        <v>0</v>
      </c>
      <c r="L912" s="209"/>
      <c r="M912" s="177">
        <f t="shared" si="705"/>
        <v>0</v>
      </c>
      <c r="N912" s="1012"/>
      <c r="O912" s="1012"/>
      <c r="P912" s="485"/>
      <c r="Q912" s="778"/>
      <c r="R912" s="778"/>
      <c r="S912" s="785" t="str">
        <f t="shared" si="708"/>
        <v/>
      </c>
      <c r="T912" s="548" t="str">
        <f t="shared" si="706"/>
        <v>Sheet Metal Takeoff</v>
      </c>
      <c r="U912" s="83">
        <f>ROUND(IF($T912="Plumb Takeoff",$H912*U$3,IF($T912="Pipe Takeoff",$H912*U$4,$H912*U$2)),2)</f>
        <v>0</v>
      </c>
      <c r="V912" s="83">
        <f t="shared" si="710"/>
        <v>0</v>
      </c>
      <c r="W912" s="83">
        <f t="shared" si="711"/>
        <v>0</v>
      </c>
      <c r="X912" s="781">
        <f t="shared" si="712"/>
        <v>0</v>
      </c>
      <c r="Y912" s="781">
        <f t="shared" si="713"/>
        <v>0</v>
      </c>
      <c r="Z912" s="781">
        <f t="shared" si="714"/>
        <v>0</v>
      </c>
      <c r="AA912" s="83">
        <f t="shared" si="707"/>
        <v>0</v>
      </c>
      <c r="AB912" s="83">
        <f t="shared" si="715"/>
        <v>0</v>
      </c>
      <c r="AC912" s="83">
        <f t="shared" si="716"/>
        <v>0</v>
      </c>
      <c r="AD912" s="83">
        <f t="shared" si="717"/>
        <v>0</v>
      </c>
      <c r="AE912" s="83">
        <f t="shared" si="718"/>
        <v>0</v>
      </c>
      <c r="AF912" s="83">
        <f t="shared" si="719"/>
        <v>0</v>
      </c>
      <c r="AG912" s="83">
        <f t="shared" si="720"/>
        <v>0</v>
      </c>
      <c r="AH912" s="83">
        <f t="shared" si="721"/>
        <v>0</v>
      </c>
      <c r="AI912" s="83">
        <f t="shared" si="722"/>
        <v>0</v>
      </c>
      <c r="AJ912" s="718">
        <f t="shared" si="723"/>
        <v>0</v>
      </c>
      <c r="AL912">
        <f t="shared" si="724"/>
        <v>0</v>
      </c>
      <c r="AM912">
        <f t="shared" si="725"/>
        <v>0</v>
      </c>
    </row>
    <row r="913" spans="1:39" ht="15.75" x14ac:dyDescent="0.25">
      <c r="A913" s="551"/>
      <c r="B913" s="551"/>
      <c r="C913" s="551"/>
      <c r="D913" s="673"/>
      <c r="E913" s="552"/>
      <c r="F913" s="553"/>
      <c r="G913" s="553"/>
      <c r="H913" s="181">
        <f>SUM(H887:H912)</f>
        <v>0</v>
      </c>
      <c r="I913" s="182"/>
      <c r="J913" s="182"/>
      <c r="K913" s="181">
        <f>SUM(K887:K912)</f>
        <v>0</v>
      </c>
      <c r="L913" s="182"/>
      <c r="M913" s="177">
        <f>SUM(M887:M912)</f>
        <v>0</v>
      </c>
      <c r="O913" s="486"/>
      <c r="AJ913" s="718"/>
    </row>
    <row r="914" spans="1:39" ht="15.75" thickBot="1" x14ac:dyDescent="0.3">
      <c r="AJ914" s="718"/>
    </row>
    <row r="915" spans="1:39" ht="16.5" thickBot="1" x14ac:dyDescent="0.3">
      <c r="E915" s="678" t="s">
        <v>1122</v>
      </c>
      <c r="F915" s="1017" t="s">
        <v>1630</v>
      </c>
      <c r="G915" s="1018"/>
      <c r="H915" s="344"/>
      <c r="I915" s="1019" t="s">
        <v>1628</v>
      </c>
      <c r="J915" s="1020"/>
      <c r="K915" s="679" t="b">
        <v>0</v>
      </c>
      <c r="AJ915" s="718"/>
    </row>
    <row r="916" spans="1:39" ht="38.25" thickBot="1" x14ac:dyDescent="0.35">
      <c r="A916" s="477" t="s">
        <v>1063</v>
      </c>
      <c r="B916" s="477" t="s">
        <v>348</v>
      </c>
      <c r="C916" s="477" t="s">
        <v>349</v>
      </c>
      <c r="D916" s="666" t="s">
        <v>0</v>
      </c>
      <c r="E916" s="477" t="s">
        <v>1</v>
      </c>
      <c r="F916" s="480" t="s">
        <v>2</v>
      </c>
      <c r="G916" s="480" t="s">
        <v>1123</v>
      </c>
      <c r="H916" s="480" t="s">
        <v>3</v>
      </c>
      <c r="I916" s="483" t="s">
        <v>4</v>
      </c>
      <c r="J916" s="480" t="s">
        <v>1124</v>
      </c>
      <c r="K916" s="680" t="s">
        <v>5</v>
      </c>
      <c r="L916" s="480" t="s">
        <v>6</v>
      </c>
      <c r="M916" s="484" t="s">
        <v>7</v>
      </c>
      <c r="N916" s="1013" t="s">
        <v>1079</v>
      </c>
      <c r="O916" s="1014"/>
      <c r="P916" s="1009" t="s">
        <v>1629</v>
      </c>
      <c r="Q916" s="1009" t="s">
        <v>1147</v>
      </c>
      <c r="R916" s="1009" t="s">
        <v>1792</v>
      </c>
      <c r="T916" s="2"/>
      <c r="AJ916" s="718"/>
    </row>
    <row r="917" spans="1:39" ht="16.5" thickBot="1" x14ac:dyDescent="0.3">
      <c r="A917" s="183"/>
      <c r="B917" s="183"/>
      <c r="C917" s="183"/>
      <c r="D917" s="671"/>
      <c r="E917" s="183"/>
      <c r="F917" s="183"/>
      <c r="G917" s="183"/>
      <c r="H917" s="183"/>
      <c r="I917" s="183"/>
      <c r="J917" s="183"/>
      <c r="K917" s="183"/>
      <c r="L917" s="183"/>
      <c r="M917" s="183"/>
      <c r="N917" s="1015"/>
      <c r="O917" s="1016"/>
      <c r="P917" s="1010" t="s">
        <v>1362</v>
      </c>
      <c r="Q917" s="1010"/>
      <c r="R917" s="1010"/>
      <c r="T917" s="1"/>
      <c r="AJ917" s="718"/>
    </row>
    <row r="918" spans="1:39" ht="15.75" x14ac:dyDescent="0.25">
      <c r="A918" s="561"/>
      <c r="B918" s="561"/>
      <c r="C918" s="561"/>
      <c r="D918" s="672"/>
      <c r="E918" s="209"/>
      <c r="F918" s="209"/>
      <c r="G918" s="209"/>
      <c r="H918" s="176">
        <f t="shared" ref="H918:H943" si="726">IF(SM_ExludeGroup29=TRUE,0,IF(G918="",E918*F918*IF(AND(S918="LOP",R918="SWING"),1+CrewRate_PlumbFitter_SwingLOP,1)*IF(AND(S918="LOP",R918="GRAVE"),1+CrewRate_PlumbFitter_GraveLOP,1)*IF(AND(S918="LOP",R918="SPECIAL"),1+CrewRate_PlumbFitter_SwingLOP,1),E918*F918*G918*IF(AND(S918="LOP",R918="SWING"),1+CrewRate_PlumbFitter_SwingLOP,1)*IF(AND(S918="LOP",R918="GRAVE"),1+CrewRate_PlumbFitter_GraveLOP,1)*IF(AND(S918="LOP",R918="SPECIAL"),1+CrewRate_PlumbFitter_SwingLOP,1)))</f>
        <v>0</v>
      </c>
      <c r="I918" s="209"/>
      <c r="J918" s="209"/>
      <c r="K918" s="176">
        <f t="shared" ref="K918:K943" si="727">IF(SM_ExludeGroup29=TRUE,0,IF(J918="",E918*I918,E918*I918*J918))</f>
        <v>0</v>
      </c>
      <c r="L918" s="209"/>
      <c r="M918" s="177">
        <f t="shared" ref="M918:M943" si="728">IF(SM_ExludeGroup29=TRUE,0,E918*L918)</f>
        <v>0</v>
      </c>
      <c r="N918" s="1012"/>
      <c r="O918" s="1012"/>
      <c r="P918" s="485"/>
      <c r="Q918" s="778"/>
      <c r="R918" s="778"/>
      <c r="S918" s="785" t="str">
        <f>IF(T918="Sheet Metal Takeoff","",IF(R918="","","LOP"))</f>
        <v/>
      </c>
      <c r="T918" s="548" t="str">
        <f t="shared" ref="T918:T943" si="729">IF($F$915="","Sheet Metal Takeoff",$F$915)</f>
        <v>Sheet Metal Takeoff</v>
      </c>
      <c r="U918" s="83">
        <f>ROUND(IF($T918="Plumb Takeoff",$H918*U$3,IF($T918="Pipe Takeoff",$H918*U$4,$H918*U$2)),2)</f>
        <v>0</v>
      </c>
      <c r="V918" s="83">
        <f>ROUND(IF($T918="Plumb Takeoff",IF($Q918="OT",$H918*V$3,0),IF($T918="Pipe Takeoff",IF($Q918="OT",$H918*V$4,0),IF($Q918="OT",$H918*V$2,0))),2)</f>
        <v>0</v>
      </c>
      <c r="W918" s="83">
        <f>ROUND(IF($T918="Plumb Takeoff",IF($Q918="DBLT",$H918*W$3,0),IF($T918="Pipe Takeoff",IF($Q918="DBLT",$H918*W$4,0),IF($Q918="DBLT",$H918*W$2,0))),2)</f>
        <v>0</v>
      </c>
      <c r="X918" s="781">
        <f>ROUND(SUM(IF($T918="Plumb Takeoff",IF($R918="SWING",ROUND(SUM($H918)*X$3,2))),IF($T918="Pipe Takeoff",IF($R918="SWING",ROUND(SUM($H918)*X$4,2))),IF($T918="Sheet Metal Takeoff",IF($R918="SWING",ROUND(SUM($H918)*X$2,2)))),2)</f>
        <v>0</v>
      </c>
      <c r="Y918" s="781">
        <f>ROUND(SUM(IF($T918="Plumb Takeoff",IF($R918="GRAVE",ROUND(SUM($H918)*Y$3,2))),IF($T918="Pipe Takeoff",IF($R918="GRAVE",ROUND(SUM($H918)*Y$4,2))),IF($T918="Sheet Metal Takeoff",IF($R918="GRAVE",ROUND(SUM($H918)*Y$2,2)))),2)</f>
        <v>0</v>
      </c>
      <c r="Z918" s="781">
        <f>ROUND(SUM(IF($T918="Plumb Takeoff",IF($R918="SPECIAL",ROUND(SUM($H918)*Z$3,2))),IF($T918="Pipe Takeoff",IF($R918="SPECIAL",ROUND(SUM($H918)*Z$4,2))),IF($T918="Sheet Metal Takeoff",IF($R918="SPECIAL",ROUND(SUM($H918)*Z$2,2)))),2)</f>
        <v>0</v>
      </c>
      <c r="AA918" s="83">
        <f t="shared" ref="AA918:AA943" si="730">ROUND($K918*AA$2,2)</f>
        <v>0</v>
      </c>
      <c r="AB918" s="83">
        <f>ROUND(IF($Q918="OT",$K918*AB$2,0),2)</f>
        <v>0</v>
      </c>
      <c r="AC918" s="83">
        <f>ROUND(IF($Q918="DBLT",$K918*AC$2,0),2)</f>
        <v>0</v>
      </c>
      <c r="AD918" s="83">
        <f>ROUND(IF($R918="SWING",$K918*AD$2,0),2)</f>
        <v>0</v>
      </c>
      <c r="AE918" s="83">
        <f>ROUND(IF($R918="GRAVE",$K918*AE$2,0),2)</f>
        <v>0</v>
      </c>
      <c r="AF918" s="83">
        <f>ROUND(IF($R918="SPECIAL",$K918*AF$2,0),2)</f>
        <v>0</v>
      </c>
      <c r="AG918" s="83">
        <f>SUM(U918:Z918)</f>
        <v>0</v>
      </c>
      <c r="AH918" s="83">
        <f>SUM(AA918:AF918)</f>
        <v>0</v>
      </c>
      <c r="AI918" s="83">
        <f>SUM(U918:AF918)</f>
        <v>0</v>
      </c>
      <c r="AJ918" s="718">
        <f>SUM(M918,AI918)</f>
        <v>0</v>
      </c>
      <c r="AL918">
        <f>SUM(V918:Z918)</f>
        <v>0</v>
      </c>
      <c r="AM918">
        <f>SUM(AB918:AF918)</f>
        <v>0</v>
      </c>
    </row>
    <row r="919" spans="1:39" ht="15.75" x14ac:dyDescent="0.25">
      <c r="A919" s="561"/>
      <c r="B919" s="561"/>
      <c r="C919" s="561"/>
      <c r="D919" s="672"/>
      <c r="E919" s="209"/>
      <c r="F919" s="209"/>
      <c r="G919" s="209"/>
      <c r="H919" s="176">
        <f t="shared" si="726"/>
        <v>0</v>
      </c>
      <c r="I919" s="209"/>
      <c r="J919" s="209"/>
      <c r="K919" s="176">
        <f t="shared" si="727"/>
        <v>0</v>
      </c>
      <c r="L919" s="209"/>
      <c r="M919" s="177">
        <f t="shared" si="728"/>
        <v>0</v>
      </c>
      <c r="N919" s="1012"/>
      <c r="O919" s="1012"/>
      <c r="P919" s="485"/>
      <c r="Q919" s="778"/>
      <c r="R919" s="778"/>
      <c r="S919" s="785" t="str">
        <f t="shared" ref="S919:S943" si="731">IF(T919="Sheet Metal Takeoff","",IF(R919="","","LOP"))</f>
        <v/>
      </c>
      <c r="T919" s="548" t="str">
        <f t="shared" si="729"/>
        <v>Sheet Metal Takeoff</v>
      </c>
      <c r="U919" s="83">
        <f t="shared" ref="U919:U942" si="732">ROUND(IF($T919="Plumb Takeoff",$H919*U$3,IF($T919="Pipe Takeoff",$H919*U$4,$H919*U$2)),2)</f>
        <v>0</v>
      </c>
      <c r="V919" s="83">
        <f t="shared" ref="V919:V943" si="733">ROUND(IF($T919="Plumb Takeoff",IF($Q919="OT",$H919*V$3,0),IF($T919="Pipe Takeoff",IF($Q919="OT",$H919*V$4,0),IF($Q919="OT",$H919*V$2,0))),2)</f>
        <v>0</v>
      </c>
      <c r="W919" s="83">
        <f t="shared" ref="W919:W943" si="734">ROUND(IF($T919="Plumb Takeoff",IF($Q919="DBLT",$H919*W$3,0),IF($T919="Pipe Takeoff",IF($Q919="DBLT",$H919*W$4,0),IF($Q919="DBLT",$H919*W$2,0))),2)</f>
        <v>0</v>
      </c>
      <c r="X919" s="781">
        <f t="shared" ref="X919:X943" si="735">ROUND(SUM(IF($T919="Plumb Takeoff",IF($R919="SWING",ROUND(SUM($H919)*X$3,2))),IF($T919="Pipe Takeoff",IF($R919="SWING",ROUND(SUM($H919)*X$4,2))),IF($T919="Sheet Metal Takeoff",IF($R919="SWING",ROUND(SUM($H919)*X$2,2)))),2)</f>
        <v>0</v>
      </c>
      <c r="Y919" s="781">
        <f t="shared" ref="Y919:Y943" si="736">ROUND(SUM(IF($T919="Plumb Takeoff",IF($R919="GRAVE",ROUND(SUM($H919)*Y$3,2))),IF($T919="Pipe Takeoff",IF($R919="GRAVE",ROUND(SUM($H919)*Y$4,2))),IF($T919="Sheet Metal Takeoff",IF($R919="GRAVE",ROUND(SUM($H919)*Y$2,2)))),2)</f>
        <v>0</v>
      </c>
      <c r="Z919" s="781">
        <f t="shared" ref="Z919:Z943" si="737">ROUND(SUM(IF($T919="Plumb Takeoff",IF($R919="SPECIAL",ROUND(SUM($H919)*Z$3,2))),IF($T919="Pipe Takeoff",IF($R919="SPECIAL",ROUND(SUM($H919)*Z$4,2))),IF($T919="Sheet Metal Takeoff",IF($R919="SPECIAL",ROUND(SUM($H919)*Z$2,2)))),2)</f>
        <v>0</v>
      </c>
      <c r="AA919" s="83">
        <f t="shared" si="730"/>
        <v>0</v>
      </c>
      <c r="AB919" s="83">
        <f t="shared" ref="AB919:AB943" si="738">ROUND(IF($Q919="OT",$K919*AB$2,0),2)</f>
        <v>0</v>
      </c>
      <c r="AC919" s="83">
        <f t="shared" ref="AC919:AC943" si="739">ROUND(IF($Q919="DBLT",$K919*AC$2,0),2)</f>
        <v>0</v>
      </c>
      <c r="AD919" s="83">
        <f t="shared" ref="AD919:AD943" si="740">ROUND(IF($R919="SWING",$K919*AD$2,0),2)</f>
        <v>0</v>
      </c>
      <c r="AE919" s="83">
        <f t="shared" ref="AE919:AE943" si="741">ROUND(IF($R919="GRAVE",$K919*AE$2,0),2)</f>
        <v>0</v>
      </c>
      <c r="AF919" s="83">
        <f t="shared" ref="AF919:AF943" si="742">ROUND(IF($R919="SPECIAL",$K919*AF$2,0),2)</f>
        <v>0</v>
      </c>
      <c r="AG919" s="83">
        <f t="shared" ref="AG919:AG943" si="743">SUM(U919:Z919)</f>
        <v>0</v>
      </c>
      <c r="AH919" s="83">
        <f t="shared" ref="AH919:AH943" si="744">SUM(AA919:AF919)</f>
        <v>0</v>
      </c>
      <c r="AI919" s="83">
        <f t="shared" ref="AI919:AI943" si="745">SUM(U919:AF919)</f>
        <v>0</v>
      </c>
      <c r="AJ919" s="718">
        <f t="shared" ref="AJ919:AJ943" si="746">SUM(M919,AI919)</f>
        <v>0</v>
      </c>
      <c r="AL919">
        <f t="shared" ref="AL919:AL943" si="747">SUM(V919:Z919)</f>
        <v>0</v>
      </c>
      <c r="AM919">
        <f t="shared" ref="AM919:AM943" si="748">SUM(AB919:AF919)</f>
        <v>0</v>
      </c>
    </row>
    <row r="920" spans="1:39" ht="15.75" x14ac:dyDescent="0.25">
      <c r="A920" s="561"/>
      <c r="B920" s="561"/>
      <c r="C920" s="561"/>
      <c r="D920" s="672"/>
      <c r="E920" s="209"/>
      <c r="F920" s="209"/>
      <c r="G920" s="209"/>
      <c r="H920" s="176">
        <f t="shared" si="726"/>
        <v>0</v>
      </c>
      <c r="I920" s="209"/>
      <c r="J920" s="209"/>
      <c r="K920" s="176">
        <f t="shared" si="727"/>
        <v>0</v>
      </c>
      <c r="L920" s="209"/>
      <c r="M920" s="177">
        <f t="shared" si="728"/>
        <v>0</v>
      </c>
      <c r="N920" s="1012"/>
      <c r="O920" s="1012"/>
      <c r="P920" s="485"/>
      <c r="Q920" s="778"/>
      <c r="R920" s="778"/>
      <c r="S920" s="785" t="str">
        <f t="shared" si="731"/>
        <v/>
      </c>
      <c r="T920" s="548" t="str">
        <f t="shared" si="729"/>
        <v>Sheet Metal Takeoff</v>
      </c>
      <c r="U920" s="83">
        <f t="shared" si="732"/>
        <v>0</v>
      </c>
      <c r="V920" s="83">
        <f t="shared" si="733"/>
        <v>0</v>
      </c>
      <c r="W920" s="83">
        <f t="shared" si="734"/>
        <v>0</v>
      </c>
      <c r="X920" s="781">
        <f t="shared" si="735"/>
        <v>0</v>
      </c>
      <c r="Y920" s="781">
        <f t="shared" si="736"/>
        <v>0</v>
      </c>
      <c r="Z920" s="781">
        <f t="shared" si="737"/>
        <v>0</v>
      </c>
      <c r="AA920" s="83">
        <f t="shared" si="730"/>
        <v>0</v>
      </c>
      <c r="AB920" s="83">
        <f t="shared" si="738"/>
        <v>0</v>
      </c>
      <c r="AC920" s="83">
        <f t="shared" si="739"/>
        <v>0</v>
      </c>
      <c r="AD920" s="83">
        <f t="shared" si="740"/>
        <v>0</v>
      </c>
      <c r="AE920" s="83">
        <f t="shared" si="741"/>
        <v>0</v>
      </c>
      <c r="AF920" s="83">
        <f t="shared" si="742"/>
        <v>0</v>
      </c>
      <c r="AG920" s="83">
        <f t="shared" si="743"/>
        <v>0</v>
      </c>
      <c r="AH920" s="83">
        <f t="shared" si="744"/>
        <v>0</v>
      </c>
      <c r="AI920" s="83">
        <f t="shared" si="745"/>
        <v>0</v>
      </c>
      <c r="AJ920" s="718">
        <f t="shared" si="746"/>
        <v>0</v>
      </c>
      <c r="AL920">
        <f t="shared" si="747"/>
        <v>0</v>
      </c>
      <c r="AM920">
        <f t="shared" si="748"/>
        <v>0</v>
      </c>
    </row>
    <row r="921" spans="1:39" ht="15.75" x14ac:dyDescent="0.25">
      <c r="A921" s="561"/>
      <c r="B921" s="561"/>
      <c r="C921" s="561"/>
      <c r="D921" s="672"/>
      <c r="E921" s="209"/>
      <c r="F921" s="209"/>
      <c r="G921" s="209"/>
      <c r="H921" s="176">
        <f t="shared" si="726"/>
        <v>0</v>
      </c>
      <c r="I921" s="209"/>
      <c r="J921" s="209"/>
      <c r="K921" s="176">
        <f t="shared" si="727"/>
        <v>0</v>
      </c>
      <c r="L921" s="209"/>
      <c r="M921" s="177">
        <f t="shared" si="728"/>
        <v>0</v>
      </c>
      <c r="N921" s="1012"/>
      <c r="O921" s="1012"/>
      <c r="P921" s="485"/>
      <c r="Q921" s="778"/>
      <c r="R921" s="778"/>
      <c r="S921" s="785" t="str">
        <f t="shared" si="731"/>
        <v/>
      </c>
      <c r="T921" s="548" t="str">
        <f t="shared" si="729"/>
        <v>Sheet Metal Takeoff</v>
      </c>
      <c r="U921" s="83">
        <f t="shared" si="732"/>
        <v>0</v>
      </c>
      <c r="V921" s="83">
        <f t="shared" si="733"/>
        <v>0</v>
      </c>
      <c r="W921" s="83">
        <f t="shared" si="734"/>
        <v>0</v>
      </c>
      <c r="X921" s="781">
        <f t="shared" si="735"/>
        <v>0</v>
      </c>
      <c r="Y921" s="781">
        <f t="shared" si="736"/>
        <v>0</v>
      </c>
      <c r="Z921" s="781">
        <f t="shared" si="737"/>
        <v>0</v>
      </c>
      <c r="AA921" s="83">
        <f t="shared" si="730"/>
        <v>0</v>
      </c>
      <c r="AB921" s="83">
        <f t="shared" si="738"/>
        <v>0</v>
      </c>
      <c r="AC921" s="83">
        <f t="shared" si="739"/>
        <v>0</v>
      </c>
      <c r="AD921" s="83">
        <f t="shared" si="740"/>
        <v>0</v>
      </c>
      <c r="AE921" s="83">
        <f t="shared" si="741"/>
        <v>0</v>
      </c>
      <c r="AF921" s="83">
        <f t="shared" si="742"/>
        <v>0</v>
      </c>
      <c r="AG921" s="83">
        <f t="shared" si="743"/>
        <v>0</v>
      </c>
      <c r="AH921" s="83">
        <f t="shared" si="744"/>
        <v>0</v>
      </c>
      <c r="AI921" s="83">
        <f t="shared" si="745"/>
        <v>0</v>
      </c>
      <c r="AJ921" s="718">
        <f t="shared" si="746"/>
        <v>0</v>
      </c>
      <c r="AL921">
        <f t="shared" si="747"/>
        <v>0</v>
      </c>
      <c r="AM921">
        <f t="shared" si="748"/>
        <v>0</v>
      </c>
    </row>
    <row r="922" spans="1:39" ht="15.75" x14ac:dyDescent="0.25">
      <c r="A922" s="561"/>
      <c r="B922" s="561"/>
      <c r="C922" s="561"/>
      <c r="D922" s="672"/>
      <c r="E922" s="209"/>
      <c r="F922" s="209"/>
      <c r="G922" s="209"/>
      <c r="H922" s="176">
        <f t="shared" si="726"/>
        <v>0</v>
      </c>
      <c r="I922" s="209"/>
      <c r="J922" s="209"/>
      <c r="K922" s="176">
        <f t="shared" si="727"/>
        <v>0</v>
      </c>
      <c r="L922" s="209"/>
      <c r="M922" s="177">
        <f t="shared" si="728"/>
        <v>0</v>
      </c>
      <c r="N922" s="1012"/>
      <c r="O922" s="1012"/>
      <c r="P922" s="485"/>
      <c r="Q922" s="778"/>
      <c r="R922" s="778"/>
      <c r="S922" s="785" t="str">
        <f t="shared" si="731"/>
        <v/>
      </c>
      <c r="T922" s="548" t="str">
        <f t="shared" si="729"/>
        <v>Sheet Metal Takeoff</v>
      </c>
      <c r="U922" s="83">
        <f t="shared" si="732"/>
        <v>0</v>
      </c>
      <c r="V922" s="83">
        <f t="shared" si="733"/>
        <v>0</v>
      </c>
      <c r="W922" s="83">
        <f t="shared" si="734"/>
        <v>0</v>
      </c>
      <c r="X922" s="781">
        <f t="shared" si="735"/>
        <v>0</v>
      </c>
      <c r="Y922" s="781">
        <f t="shared" si="736"/>
        <v>0</v>
      </c>
      <c r="Z922" s="781">
        <f t="shared" si="737"/>
        <v>0</v>
      </c>
      <c r="AA922" s="83">
        <f t="shared" si="730"/>
        <v>0</v>
      </c>
      <c r="AB922" s="83">
        <f t="shared" si="738"/>
        <v>0</v>
      </c>
      <c r="AC922" s="83">
        <f t="shared" si="739"/>
        <v>0</v>
      </c>
      <c r="AD922" s="83">
        <f t="shared" si="740"/>
        <v>0</v>
      </c>
      <c r="AE922" s="83">
        <f t="shared" si="741"/>
        <v>0</v>
      </c>
      <c r="AF922" s="83">
        <f t="shared" si="742"/>
        <v>0</v>
      </c>
      <c r="AG922" s="83">
        <f t="shared" si="743"/>
        <v>0</v>
      </c>
      <c r="AH922" s="83">
        <f t="shared" si="744"/>
        <v>0</v>
      </c>
      <c r="AI922" s="83">
        <f t="shared" si="745"/>
        <v>0</v>
      </c>
      <c r="AJ922" s="718">
        <f t="shared" si="746"/>
        <v>0</v>
      </c>
      <c r="AL922">
        <f t="shared" si="747"/>
        <v>0</v>
      </c>
      <c r="AM922">
        <f t="shared" si="748"/>
        <v>0</v>
      </c>
    </row>
    <row r="923" spans="1:39" ht="15.75" x14ac:dyDescent="0.25">
      <c r="A923" s="561"/>
      <c r="B923" s="561"/>
      <c r="C923" s="561"/>
      <c r="D923" s="672"/>
      <c r="E923" s="209"/>
      <c r="F923" s="209"/>
      <c r="G923" s="209"/>
      <c r="H923" s="176">
        <f t="shared" si="726"/>
        <v>0</v>
      </c>
      <c r="I923" s="209"/>
      <c r="J923" s="209"/>
      <c r="K923" s="176">
        <f t="shared" si="727"/>
        <v>0</v>
      </c>
      <c r="L923" s="209"/>
      <c r="M923" s="177">
        <f t="shared" si="728"/>
        <v>0</v>
      </c>
      <c r="N923" s="1012"/>
      <c r="O923" s="1012"/>
      <c r="P923" s="485"/>
      <c r="Q923" s="778"/>
      <c r="R923" s="778"/>
      <c r="S923" s="785" t="str">
        <f t="shared" si="731"/>
        <v/>
      </c>
      <c r="T923" s="548" t="str">
        <f t="shared" si="729"/>
        <v>Sheet Metal Takeoff</v>
      </c>
      <c r="U923" s="83">
        <f t="shared" si="732"/>
        <v>0</v>
      </c>
      <c r="V923" s="83">
        <f t="shared" si="733"/>
        <v>0</v>
      </c>
      <c r="W923" s="83">
        <f t="shared" si="734"/>
        <v>0</v>
      </c>
      <c r="X923" s="781">
        <f t="shared" si="735"/>
        <v>0</v>
      </c>
      <c r="Y923" s="781">
        <f t="shared" si="736"/>
        <v>0</v>
      </c>
      <c r="Z923" s="781">
        <f t="shared" si="737"/>
        <v>0</v>
      </c>
      <c r="AA923" s="83">
        <f t="shared" si="730"/>
        <v>0</v>
      </c>
      <c r="AB923" s="83">
        <f t="shared" si="738"/>
        <v>0</v>
      </c>
      <c r="AC923" s="83">
        <f t="shared" si="739"/>
        <v>0</v>
      </c>
      <c r="AD923" s="83">
        <f t="shared" si="740"/>
        <v>0</v>
      </c>
      <c r="AE923" s="83">
        <f t="shared" si="741"/>
        <v>0</v>
      </c>
      <c r="AF923" s="83">
        <f t="shared" si="742"/>
        <v>0</v>
      </c>
      <c r="AG923" s="83">
        <f t="shared" si="743"/>
        <v>0</v>
      </c>
      <c r="AH923" s="83">
        <f t="shared" si="744"/>
        <v>0</v>
      </c>
      <c r="AI923" s="83">
        <f t="shared" si="745"/>
        <v>0</v>
      </c>
      <c r="AJ923" s="718">
        <f t="shared" si="746"/>
        <v>0</v>
      </c>
      <c r="AL923">
        <f t="shared" si="747"/>
        <v>0</v>
      </c>
      <c r="AM923">
        <f t="shared" si="748"/>
        <v>0</v>
      </c>
    </row>
    <row r="924" spans="1:39" ht="15.75" x14ac:dyDescent="0.25">
      <c r="A924" s="561"/>
      <c r="B924" s="561"/>
      <c r="C924" s="561"/>
      <c r="D924" s="672"/>
      <c r="E924" s="209"/>
      <c r="F924" s="209"/>
      <c r="G924" s="209"/>
      <c r="H924" s="176">
        <f t="shared" si="726"/>
        <v>0</v>
      </c>
      <c r="I924" s="209"/>
      <c r="J924" s="209"/>
      <c r="K924" s="176">
        <f t="shared" si="727"/>
        <v>0</v>
      </c>
      <c r="L924" s="209"/>
      <c r="M924" s="177">
        <f t="shared" si="728"/>
        <v>0</v>
      </c>
      <c r="N924" s="1012"/>
      <c r="O924" s="1012"/>
      <c r="P924" s="485"/>
      <c r="Q924" s="778"/>
      <c r="R924" s="778"/>
      <c r="S924" s="785" t="str">
        <f t="shared" si="731"/>
        <v/>
      </c>
      <c r="T924" s="548" t="str">
        <f t="shared" si="729"/>
        <v>Sheet Metal Takeoff</v>
      </c>
      <c r="U924" s="83">
        <f t="shared" si="732"/>
        <v>0</v>
      </c>
      <c r="V924" s="83">
        <f t="shared" si="733"/>
        <v>0</v>
      </c>
      <c r="W924" s="83">
        <f t="shared" si="734"/>
        <v>0</v>
      </c>
      <c r="X924" s="781">
        <f t="shared" si="735"/>
        <v>0</v>
      </c>
      <c r="Y924" s="781">
        <f t="shared" si="736"/>
        <v>0</v>
      </c>
      <c r="Z924" s="781">
        <f t="shared" si="737"/>
        <v>0</v>
      </c>
      <c r="AA924" s="83">
        <f t="shared" si="730"/>
        <v>0</v>
      </c>
      <c r="AB924" s="83">
        <f t="shared" si="738"/>
        <v>0</v>
      </c>
      <c r="AC924" s="83">
        <f t="shared" si="739"/>
        <v>0</v>
      </c>
      <c r="AD924" s="83">
        <f t="shared" si="740"/>
        <v>0</v>
      </c>
      <c r="AE924" s="83">
        <f t="shared" si="741"/>
        <v>0</v>
      </c>
      <c r="AF924" s="83">
        <f t="shared" si="742"/>
        <v>0</v>
      </c>
      <c r="AG924" s="83">
        <f t="shared" si="743"/>
        <v>0</v>
      </c>
      <c r="AH924" s="83">
        <f t="shared" si="744"/>
        <v>0</v>
      </c>
      <c r="AI924" s="83">
        <f t="shared" si="745"/>
        <v>0</v>
      </c>
      <c r="AJ924" s="718">
        <f t="shared" si="746"/>
        <v>0</v>
      </c>
      <c r="AL924">
        <f t="shared" si="747"/>
        <v>0</v>
      </c>
      <c r="AM924">
        <f t="shared" si="748"/>
        <v>0</v>
      </c>
    </row>
    <row r="925" spans="1:39" ht="15.75" x14ac:dyDescent="0.25">
      <c r="A925" s="561"/>
      <c r="B925" s="561"/>
      <c r="C925" s="561"/>
      <c r="D925" s="672"/>
      <c r="E925" s="209"/>
      <c r="F925" s="209"/>
      <c r="G925" s="209"/>
      <c r="H925" s="176">
        <f t="shared" si="726"/>
        <v>0</v>
      </c>
      <c r="I925" s="209"/>
      <c r="J925" s="209"/>
      <c r="K925" s="176">
        <f t="shared" si="727"/>
        <v>0</v>
      </c>
      <c r="L925" s="209"/>
      <c r="M925" s="177">
        <f t="shared" si="728"/>
        <v>0</v>
      </c>
      <c r="N925" s="1012"/>
      <c r="O925" s="1012"/>
      <c r="P925" s="485"/>
      <c r="Q925" s="778"/>
      <c r="R925" s="778"/>
      <c r="S925" s="785" t="str">
        <f t="shared" si="731"/>
        <v/>
      </c>
      <c r="T925" s="548" t="str">
        <f t="shared" si="729"/>
        <v>Sheet Metal Takeoff</v>
      </c>
      <c r="U925" s="83">
        <f t="shared" si="732"/>
        <v>0</v>
      </c>
      <c r="V925" s="83">
        <f t="shared" si="733"/>
        <v>0</v>
      </c>
      <c r="W925" s="83">
        <f t="shared" si="734"/>
        <v>0</v>
      </c>
      <c r="X925" s="781">
        <f t="shared" si="735"/>
        <v>0</v>
      </c>
      <c r="Y925" s="781">
        <f t="shared" si="736"/>
        <v>0</v>
      </c>
      <c r="Z925" s="781">
        <f t="shared" si="737"/>
        <v>0</v>
      </c>
      <c r="AA925" s="83">
        <f t="shared" si="730"/>
        <v>0</v>
      </c>
      <c r="AB925" s="83">
        <f t="shared" si="738"/>
        <v>0</v>
      </c>
      <c r="AC925" s="83">
        <f t="shared" si="739"/>
        <v>0</v>
      </c>
      <c r="AD925" s="83">
        <f t="shared" si="740"/>
        <v>0</v>
      </c>
      <c r="AE925" s="83">
        <f t="shared" si="741"/>
        <v>0</v>
      </c>
      <c r="AF925" s="83">
        <f t="shared" si="742"/>
        <v>0</v>
      </c>
      <c r="AG925" s="83">
        <f t="shared" si="743"/>
        <v>0</v>
      </c>
      <c r="AH925" s="83">
        <f t="shared" si="744"/>
        <v>0</v>
      </c>
      <c r="AI925" s="83">
        <f t="shared" si="745"/>
        <v>0</v>
      </c>
      <c r="AJ925" s="718">
        <f t="shared" si="746"/>
        <v>0</v>
      </c>
      <c r="AL925">
        <f t="shared" si="747"/>
        <v>0</v>
      </c>
      <c r="AM925">
        <f t="shared" si="748"/>
        <v>0</v>
      </c>
    </row>
    <row r="926" spans="1:39" ht="15.75" x14ac:dyDescent="0.25">
      <c r="A926" s="561"/>
      <c r="B926" s="561"/>
      <c r="C926" s="561"/>
      <c r="D926" s="672"/>
      <c r="E926" s="209"/>
      <c r="F926" s="209"/>
      <c r="G926" s="209"/>
      <c r="H926" s="176">
        <f t="shared" si="726"/>
        <v>0</v>
      </c>
      <c r="I926" s="209"/>
      <c r="J926" s="209"/>
      <c r="K926" s="176">
        <f t="shared" si="727"/>
        <v>0</v>
      </c>
      <c r="L926" s="209"/>
      <c r="M926" s="177">
        <f t="shared" si="728"/>
        <v>0</v>
      </c>
      <c r="N926" s="1012"/>
      <c r="O926" s="1012"/>
      <c r="P926" s="485"/>
      <c r="Q926" s="778"/>
      <c r="R926" s="778"/>
      <c r="S926" s="785" t="str">
        <f t="shared" si="731"/>
        <v/>
      </c>
      <c r="T926" s="548" t="str">
        <f t="shared" si="729"/>
        <v>Sheet Metal Takeoff</v>
      </c>
      <c r="U926" s="83">
        <f t="shared" si="732"/>
        <v>0</v>
      </c>
      <c r="V926" s="83">
        <f t="shared" si="733"/>
        <v>0</v>
      </c>
      <c r="W926" s="83">
        <f t="shared" si="734"/>
        <v>0</v>
      </c>
      <c r="X926" s="781">
        <f t="shared" si="735"/>
        <v>0</v>
      </c>
      <c r="Y926" s="781">
        <f t="shared" si="736"/>
        <v>0</v>
      </c>
      <c r="Z926" s="781">
        <f t="shared" si="737"/>
        <v>0</v>
      </c>
      <c r="AA926" s="83">
        <f t="shared" si="730"/>
        <v>0</v>
      </c>
      <c r="AB926" s="83">
        <f t="shared" si="738"/>
        <v>0</v>
      </c>
      <c r="AC926" s="83">
        <f t="shared" si="739"/>
        <v>0</v>
      </c>
      <c r="AD926" s="83">
        <f t="shared" si="740"/>
        <v>0</v>
      </c>
      <c r="AE926" s="83">
        <f t="shared" si="741"/>
        <v>0</v>
      </c>
      <c r="AF926" s="83">
        <f t="shared" si="742"/>
        <v>0</v>
      </c>
      <c r="AG926" s="83">
        <f t="shared" si="743"/>
        <v>0</v>
      </c>
      <c r="AH926" s="83">
        <f t="shared" si="744"/>
        <v>0</v>
      </c>
      <c r="AI926" s="83">
        <f t="shared" si="745"/>
        <v>0</v>
      </c>
      <c r="AJ926" s="718">
        <f t="shared" si="746"/>
        <v>0</v>
      </c>
      <c r="AL926">
        <f t="shared" si="747"/>
        <v>0</v>
      </c>
      <c r="AM926">
        <f t="shared" si="748"/>
        <v>0</v>
      </c>
    </row>
    <row r="927" spans="1:39" ht="15.75" x14ac:dyDescent="0.25">
      <c r="A927" s="561"/>
      <c r="B927" s="561"/>
      <c r="C927" s="561"/>
      <c r="D927" s="672"/>
      <c r="E927" s="209"/>
      <c r="F927" s="209"/>
      <c r="G927" s="209"/>
      <c r="H927" s="176">
        <f t="shared" si="726"/>
        <v>0</v>
      </c>
      <c r="I927" s="209"/>
      <c r="J927" s="209"/>
      <c r="K927" s="176">
        <f t="shared" si="727"/>
        <v>0</v>
      </c>
      <c r="L927" s="209"/>
      <c r="M927" s="177">
        <f t="shared" si="728"/>
        <v>0</v>
      </c>
      <c r="N927" s="1012"/>
      <c r="O927" s="1012"/>
      <c r="P927" s="485"/>
      <c r="Q927" s="778"/>
      <c r="R927" s="778"/>
      <c r="S927" s="785" t="str">
        <f t="shared" si="731"/>
        <v/>
      </c>
      <c r="T927" s="548" t="str">
        <f t="shared" si="729"/>
        <v>Sheet Metal Takeoff</v>
      </c>
      <c r="U927" s="83">
        <f t="shared" si="732"/>
        <v>0</v>
      </c>
      <c r="V927" s="83">
        <f t="shared" si="733"/>
        <v>0</v>
      </c>
      <c r="W927" s="83">
        <f t="shared" si="734"/>
        <v>0</v>
      </c>
      <c r="X927" s="781">
        <f t="shared" si="735"/>
        <v>0</v>
      </c>
      <c r="Y927" s="781">
        <f t="shared" si="736"/>
        <v>0</v>
      </c>
      <c r="Z927" s="781">
        <f t="shared" si="737"/>
        <v>0</v>
      </c>
      <c r="AA927" s="83">
        <f t="shared" si="730"/>
        <v>0</v>
      </c>
      <c r="AB927" s="83">
        <f t="shared" si="738"/>
        <v>0</v>
      </c>
      <c r="AC927" s="83">
        <f t="shared" si="739"/>
        <v>0</v>
      </c>
      <c r="AD927" s="83">
        <f t="shared" si="740"/>
        <v>0</v>
      </c>
      <c r="AE927" s="83">
        <f t="shared" si="741"/>
        <v>0</v>
      </c>
      <c r="AF927" s="83">
        <f t="shared" si="742"/>
        <v>0</v>
      </c>
      <c r="AG927" s="83">
        <f t="shared" si="743"/>
        <v>0</v>
      </c>
      <c r="AH927" s="83">
        <f t="shared" si="744"/>
        <v>0</v>
      </c>
      <c r="AI927" s="83">
        <f t="shared" si="745"/>
        <v>0</v>
      </c>
      <c r="AJ927" s="718">
        <f t="shared" si="746"/>
        <v>0</v>
      </c>
      <c r="AL927">
        <f t="shared" si="747"/>
        <v>0</v>
      </c>
      <c r="AM927">
        <f t="shared" si="748"/>
        <v>0</v>
      </c>
    </row>
    <row r="928" spans="1:39" ht="15.75" x14ac:dyDescent="0.25">
      <c r="A928" s="561"/>
      <c r="B928" s="561"/>
      <c r="C928" s="561"/>
      <c r="D928" s="672"/>
      <c r="E928" s="209"/>
      <c r="F928" s="209"/>
      <c r="G928" s="209"/>
      <c r="H928" s="176">
        <f t="shared" si="726"/>
        <v>0</v>
      </c>
      <c r="I928" s="209"/>
      <c r="J928" s="209"/>
      <c r="K928" s="176">
        <f t="shared" si="727"/>
        <v>0</v>
      </c>
      <c r="L928" s="209"/>
      <c r="M928" s="177">
        <f t="shared" si="728"/>
        <v>0</v>
      </c>
      <c r="N928" s="1012"/>
      <c r="O928" s="1012"/>
      <c r="P928" s="485"/>
      <c r="Q928" s="778"/>
      <c r="R928" s="778"/>
      <c r="S928" s="785" t="str">
        <f t="shared" si="731"/>
        <v/>
      </c>
      <c r="T928" s="548" t="str">
        <f t="shared" si="729"/>
        <v>Sheet Metal Takeoff</v>
      </c>
      <c r="U928" s="83">
        <f t="shared" si="732"/>
        <v>0</v>
      </c>
      <c r="V928" s="83">
        <f t="shared" si="733"/>
        <v>0</v>
      </c>
      <c r="W928" s="83">
        <f t="shared" si="734"/>
        <v>0</v>
      </c>
      <c r="X928" s="781">
        <f t="shared" si="735"/>
        <v>0</v>
      </c>
      <c r="Y928" s="781">
        <f t="shared" si="736"/>
        <v>0</v>
      </c>
      <c r="Z928" s="781">
        <f t="shared" si="737"/>
        <v>0</v>
      </c>
      <c r="AA928" s="83">
        <f t="shared" si="730"/>
        <v>0</v>
      </c>
      <c r="AB928" s="83">
        <f t="shared" si="738"/>
        <v>0</v>
      </c>
      <c r="AC928" s="83">
        <f t="shared" si="739"/>
        <v>0</v>
      </c>
      <c r="AD928" s="83">
        <f t="shared" si="740"/>
        <v>0</v>
      </c>
      <c r="AE928" s="83">
        <f t="shared" si="741"/>
        <v>0</v>
      </c>
      <c r="AF928" s="83">
        <f t="shared" si="742"/>
        <v>0</v>
      </c>
      <c r="AG928" s="83">
        <f t="shared" si="743"/>
        <v>0</v>
      </c>
      <c r="AH928" s="83">
        <f t="shared" si="744"/>
        <v>0</v>
      </c>
      <c r="AI928" s="83">
        <f t="shared" si="745"/>
        <v>0</v>
      </c>
      <c r="AJ928" s="718">
        <f t="shared" si="746"/>
        <v>0</v>
      </c>
      <c r="AL928">
        <f t="shared" si="747"/>
        <v>0</v>
      </c>
      <c r="AM928">
        <f t="shared" si="748"/>
        <v>0</v>
      </c>
    </row>
    <row r="929" spans="1:39" ht="15.75" x14ac:dyDescent="0.25">
      <c r="A929" s="561"/>
      <c r="B929" s="561"/>
      <c r="C929" s="561"/>
      <c r="D929" s="672"/>
      <c r="E929" s="209"/>
      <c r="F929" s="209"/>
      <c r="G929" s="209"/>
      <c r="H929" s="176">
        <f t="shared" si="726"/>
        <v>0</v>
      </c>
      <c r="I929" s="209"/>
      <c r="J929" s="209"/>
      <c r="K929" s="176">
        <f t="shared" si="727"/>
        <v>0</v>
      </c>
      <c r="L929" s="209"/>
      <c r="M929" s="177">
        <f t="shared" si="728"/>
        <v>0</v>
      </c>
      <c r="N929" s="1012"/>
      <c r="O929" s="1012"/>
      <c r="P929" s="485"/>
      <c r="Q929" s="778"/>
      <c r="R929" s="778"/>
      <c r="S929" s="785" t="str">
        <f t="shared" si="731"/>
        <v/>
      </c>
      <c r="T929" s="548" t="str">
        <f t="shared" si="729"/>
        <v>Sheet Metal Takeoff</v>
      </c>
      <c r="U929" s="83">
        <f t="shared" si="732"/>
        <v>0</v>
      </c>
      <c r="V929" s="83">
        <f t="shared" si="733"/>
        <v>0</v>
      </c>
      <c r="W929" s="83">
        <f t="shared" si="734"/>
        <v>0</v>
      </c>
      <c r="X929" s="781">
        <f t="shared" si="735"/>
        <v>0</v>
      </c>
      <c r="Y929" s="781">
        <f t="shared" si="736"/>
        <v>0</v>
      </c>
      <c r="Z929" s="781">
        <f t="shared" si="737"/>
        <v>0</v>
      </c>
      <c r="AA929" s="83">
        <f t="shared" si="730"/>
        <v>0</v>
      </c>
      <c r="AB929" s="83">
        <f t="shared" si="738"/>
        <v>0</v>
      </c>
      <c r="AC929" s="83">
        <f t="shared" si="739"/>
        <v>0</v>
      </c>
      <c r="AD929" s="83">
        <f t="shared" si="740"/>
        <v>0</v>
      </c>
      <c r="AE929" s="83">
        <f t="shared" si="741"/>
        <v>0</v>
      </c>
      <c r="AF929" s="83">
        <f t="shared" si="742"/>
        <v>0</v>
      </c>
      <c r="AG929" s="83">
        <f t="shared" si="743"/>
        <v>0</v>
      </c>
      <c r="AH929" s="83">
        <f t="shared" si="744"/>
        <v>0</v>
      </c>
      <c r="AI929" s="83">
        <f t="shared" si="745"/>
        <v>0</v>
      </c>
      <c r="AJ929" s="718">
        <f t="shared" si="746"/>
        <v>0</v>
      </c>
      <c r="AL929">
        <f t="shared" si="747"/>
        <v>0</v>
      </c>
      <c r="AM929">
        <f t="shared" si="748"/>
        <v>0</v>
      </c>
    </row>
    <row r="930" spans="1:39" ht="15.75" x14ac:dyDescent="0.25">
      <c r="A930" s="561"/>
      <c r="B930" s="561"/>
      <c r="C930" s="561"/>
      <c r="D930" s="672"/>
      <c r="E930" s="209"/>
      <c r="F930" s="209"/>
      <c r="G930" s="209"/>
      <c r="H930" s="176">
        <f t="shared" si="726"/>
        <v>0</v>
      </c>
      <c r="I930" s="209"/>
      <c r="J930" s="209"/>
      <c r="K930" s="176">
        <f t="shared" si="727"/>
        <v>0</v>
      </c>
      <c r="L930" s="209"/>
      <c r="M930" s="177">
        <f t="shared" si="728"/>
        <v>0</v>
      </c>
      <c r="N930" s="1012"/>
      <c r="O930" s="1012"/>
      <c r="P930" s="485"/>
      <c r="Q930" s="778"/>
      <c r="R930" s="778"/>
      <c r="S930" s="785" t="str">
        <f t="shared" si="731"/>
        <v/>
      </c>
      <c r="T930" s="548" t="str">
        <f t="shared" si="729"/>
        <v>Sheet Metal Takeoff</v>
      </c>
      <c r="U930" s="83">
        <f t="shared" si="732"/>
        <v>0</v>
      </c>
      <c r="V930" s="83">
        <f t="shared" si="733"/>
        <v>0</v>
      </c>
      <c r="W930" s="83">
        <f t="shared" si="734"/>
        <v>0</v>
      </c>
      <c r="X930" s="781">
        <f t="shared" si="735"/>
        <v>0</v>
      </c>
      <c r="Y930" s="781">
        <f t="shared" si="736"/>
        <v>0</v>
      </c>
      <c r="Z930" s="781">
        <f t="shared" si="737"/>
        <v>0</v>
      </c>
      <c r="AA930" s="83">
        <f t="shared" si="730"/>
        <v>0</v>
      </c>
      <c r="AB930" s="83">
        <f t="shared" si="738"/>
        <v>0</v>
      </c>
      <c r="AC930" s="83">
        <f t="shared" si="739"/>
        <v>0</v>
      </c>
      <c r="AD930" s="83">
        <f t="shared" si="740"/>
        <v>0</v>
      </c>
      <c r="AE930" s="83">
        <f t="shared" si="741"/>
        <v>0</v>
      </c>
      <c r="AF930" s="83">
        <f t="shared" si="742"/>
        <v>0</v>
      </c>
      <c r="AG930" s="83">
        <f t="shared" si="743"/>
        <v>0</v>
      </c>
      <c r="AH930" s="83">
        <f t="shared" si="744"/>
        <v>0</v>
      </c>
      <c r="AI930" s="83">
        <f t="shared" si="745"/>
        <v>0</v>
      </c>
      <c r="AJ930" s="718">
        <f t="shared" si="746"/>
        <v>0</v>
      </c>
      <c r="AL930">
        <f t="shared" si="747"/>
        <v>0</v>
      </c>
      <c r="AM930">
        <f t="shared" si="748"/>
        <v>0</v>
      </c>
    </row>
    <row r="931" spans="1:39" ht="15.75" x14ac:dyDescent="0.25">
      <c r="A931" s="561"/>
      <c r="B931" s="561"/>
      <c r="C931" s="561"/>
      <c r="D931" s="672"/>
      <c r="E931" s="209"/>
      <c r="F931" s="209"/>
      <c r="G931" s="209"/>
      <c r="H931" s="176">
        <f t="shared" si="726"/>
        <v>0</v>
      </c>
      <c r="I931" s="209"/>
      <c r="J931" s="209"/>
      <c r="K931" s="176">
        <f t="shared" si="727"/>
        <v>0</v>
      </c>
      <c r="L931" s="209"/>
      <c r="M931" s="177">
        <f t="shared" si="728"/>
        <v>0</v>
      </c>
      <c r="N931" s="1012"/>
      <c r="O931" s="1012"/>
      <c r="P931" s="485"/>
      <c r="Q931" s="778"/>
      <c r="R931" s="778"/>
      <c r="S931" s="785" t="str">
        <f t="shared" si="731"/>
        <v/>
      </c>
      <c r="T931" s="548" t="str">
        <f t="shared" si="729"/>
        <v>Sheet Metal Takeoff</v>
      </c>
      <c r="U931" s="83">
        <f t="shared" si="732"/>
        <v>0</v>
      </c>
      <c r="V931" s="83">
        <f t="shared" si="733"/>
        <v>0</v>
      </c>
      <c r="W931" s="83">
        <f t="shared" si="734"/>
        <v>0</v>
      </c>
      <c r="X931" s="781">
        <f t="shared" si="735"/>
        <v>0</v>
      </c>
      <c r="Y931" s="781">
        <f t="shared" si="736"/>
        <v>0</v>
      </c>
      <c r="Z931" s="781">
        <f t="shared" si="737"/>
        <v>0</v>
      </c>
      <c r="AA931" s="83">
        <f t="shared" si="730"/>
        <v>0</v>
      </c>
      <c r="AB931" s="83">
        <f t="shared" si="738"/>
        <v>0</v>
      </c>
      <c r="AC931" s="83">
        <f t="shared" si="739"/>
        <v>0</v>
      </c>
      <c r="AD931" s="83">
        <f t="shared" si="740"/>
        <v>0</v>
      </c>
      <c r="AE931" s="83">
        <f t="shared" si="741"/>
        <v>0</v>
      </c>
      <c r="AF931" s="83">
        <f t="shared" si="742"/>
        <v>0</v>
      </c>
      <c r="AG931" s="83">
        <f t="shared" si="743"/>
        <v>0</v>
      </c>
      <c r="AH931" s="83">
        <f t="shared" si="744"/>
        <v>0</v>
      </c>
      <c r="AI931" s="83">
        <f t="shared" si="745"/>
        <v>0</v>
      </c>
      <c r="AJ931" s="718">
        <f t="shared" si="746"/>
        <v>0</v>
      </c>
      <c r="AL931">
        <f t="shared" si="747"/>
        <v>0</v>
      </c>
      <c r="AM931">
        <f t="shared" si="748"/>
        <v>0</v>
      </c>
    </row>
    <row r="932" spans="1:39" ht="15.75" x14ac:dyDescent="0.25">
      <c r="A932" s="561"/>
      <c r="B932" s="561"/>
      <c r="C932" s="561"/>
      <c r="D932" s="672"/>
      <c r="E932" s="209"/>
      <c r="F932" s="209"/>
      <c r="G932" s="209"/>
      <c r="H932" s="176">
        <f t="shared" si="726"/>
        <v>0</v>
      </c>
      <c r="I932" s="209"/>
      <c r="J932" s="209"/>
      <c r="K932" s="176">
        <f t="shared" si="727"/>
        <v>0</v>
      </c>
      <c r="L932" s="209"/>
      <c r="M932" s="177">
        <f t="shared" si="728"/>
        <v>0</v>
      </c>
      <c r="N932" s="1012"/>
      <c r="O932" s="1012"/>
      <c r="P932" s="485"/>
      <c r="Q932" s="778"/>
      <c r="R932" s="778"/>
      <c r="S932" s="785" t="str">
        <f t="shared" si="731"/>
        <v/>
      </c>
      <c r="T932" s="548" t="str">
        <f t="shared" si="729"/>
        <v>Sheet Metal Takeoff</v>
      </c>
      <c r="U932" s="83">
        <f t="shared" si="732"/>
        <v>0</v>
      </c>
      <c r="V932" s="83">
        <f t="shared" si="733"/>
        <v>0</v>
      </c>
      <c r="W932" s="83">
        <f t="shared" si="734"/>
        <v>0</v>
      </c>
      <c r="X932" s="781">
        <f t="shared" si="735"/>
        <v>0</v>
      </c>
      <c r="Y932" s="781">
        <f t="shared" si="736"/>
        <v>0</v>
      </c>
      <c r="Z932" s="781">
        <f t="shared" si="737"/>
        <v>0</v>
      </c>
      <c r="AA932" s="83">
        <f t="shared" si="730"/>
        <v>0</v>
      </c>
      <c r="AB932" s="83">
        <f t="shared" si="738"/>
        <v>0</v>
      </c>
      <c r="AC932" s="83">
        <f t="shared" si="739"/>
        <v>0</v>
      </c>
      <c r="AD932" s="83">
        <f t="shared" si="740"/>
        <v>0</v>
      </c>
      <c r="AE932" s="83">
        <f t="shared" si="741"/>
        <v>0</v>
      </c>
      <c r="AF932" s="83">
        <f t="shared" si="742"/>
        <v>0</v>
      </c>
      <c r="AG932" s="83">
        <f t="shared" si="743"/>
        <v>0</v>
      </c>
      <c r="AH932" s="83">
        <f t="shared" si="744"/>
        <v>0</v>
      </c>
      <c r="AI932" s="83">
        <f t="shared" si="745"/>
        <v>0</v>
      </c>
      <c r="AJ932" s="718">
        <f t="shared" si="746"/>
        <v>0</v>
      </c>
      <c r="AL932">
        <f t="shared" si="747"/>
        <v>0</v>
      </c>
      <c r="AM932">
        <f t="shared" si="748"/>
        <v>0</v>
      </c>
    </row>
    <row r="933" spans="1:39" ht="15.75" x14ac:dyDescent="0.25">
      <c r="A933" s="561"/>
      <c r="B933" s="561"/>
      <c r="C933" s="561"/>
      <c r="D933" s="672"/>
      <c r="E933" s="209"/>
      <c r="F933" s="209"/>
      <c r="G933" s="209"/>
      <c r="H933" s="176">
        <f t="shared" si="726"/>
        <v>0</v>
      </c>
      <c r="I933" s="209"/>
      <c r="J933" s="209"/>
      <c r="K933" s="176">
        <f t="shared" si="727"/>
        <v>0</v>
      </c>
      <c r="L933" s="209"/>
      <c r="M933" s="177">
        <f t="shared" si="728"/>
        <v>0</v>
      </c>
      <c r="N933" s="1012"/>
      <c r="O933" s="1012"/>
      <c r="P933" s="485"/>
      <c r="Q933" s="778"/>
      <c r="R933" s="778"/>
      <c r="S933" s="785" t="str">
        <f t="shared" si="731"/>
        <v/>
      </c>
      <c r="T933" s="548" t="str">
        <f t="shared" si="729"/>
        <v>Sheet Metal Takeoff</v>
      </c>
      <c r="U933" s="83">
        <f t="shared" si="732"/>
        <v>0</v>
      </c>
      <c r="V933" s="83">
        <f t="shared" si="733"/>
        <v>0</v>
      </c>
      <c r="W933" s="83">
        <f t="shared" si="734"/>
        <v>0</v>
      </c>
      <c r="X933" s="781">
        <f t="shared" si="735"/>
        <v>0</v>
      </c>
      <c r="Y933" s="781">
        <f t="shared" si="736"/>
        <v>0</v>
      </c>
      <c r="Z933" s="781">
        <f t="shared" si="737"/>
        <v>0</v>
      </c>
      <c r="AA933" s="83">
        <f t="shared" si="730"/>
        <v>0</v>
      </c>
      <c r="AB933" s="83">
        <f t="shared" si="738"/>
        <v>0</v>
      </c>
      <c r="AC933" s="83">
        <f t="shared" si="739"/>
        <v>0</v>
      </c>
      <c r="AD933" s="83">
        <f t="shared" si="740"/>
        <v>0</v>
      </c>
      <c r="AE933" s="83">
        <f t="shared" si="741"/>
        <v>0</v>
      </c>
      <c r="AF933" s="83">
        <f t="shared" si="742"/>
        <v>0</v>
      </c>
      <c r="AG933" s="83">
        <f t="shared" si="743"/>
        <v>0</v>
      </c>
      <c r="AH933" s="83">
        <f t="shared" si="744"/>
        <v>0</v>
      </c>
      <c r="AI933" s="83">
        <f t="shared" si="745"/>
        <v>0</v>
      </c>
      <c r="AJ933" s="718">
        <f t="shared" si="746"/>
        <v>0</v>
      </c>
      <c r="AL933">
        <f t="shared" si="747"/>
        <v>0</v>
      </c>
      <c r="AM933">
        <f t="shared" si="748"/>
        <v>0</v>
      </c>
    </row>
    <row r="934" spans="1:39" ht="15.75" x14ac:dyDescent="0.25">
      <c r="A934" s="561"/>
      <c r="B934" s="561"/>
      <c r="C934" s="561"/>
      <c r="D934" s="672"/>
      <c r="E934" s="209"/>
      <c r="F934" s="209"/>
      <c r="G934" s="209"/>
      <c r="H934" s="176">
        <f t="shared" si="726"/>
        <v>0</v>
      </c>
      <c r="I934" s="209"/>
      <c r="J934" s="209"/>
      <c r="K934" s="176">
        <f t="shared" si="727"/>
        <v>0</v>
      </c>
      <c r="L934" s="209"/>
      <c r="M934" s="177">
        <f t="shared" si="728"/>
        <v>0</v>
      </c>
      <c r="N934" s="1012"/>
      <c r="O934" s="1012"/>
      <c r="P934" s="485"/>
      <c r="Q934" s="778"/>
      <c r="R934" s="778"/>
      <c r="S934" s="785" t="str">
        <f t="shared" si="731"/>
        <v/>
      </c>
      <c r="T934" s="548" t="str">
        <f t="shared" si="729"/>
        <v>Sheet Metal Takeoff</v>
      </c>
      <c r="U934" s="83">
        <f t="shared" si="732"/>
        <v>0</v>
      </c>
      <c r="V934" s="83">
        <f t="shared" si="733"/>
        <v>0</v>
      </c>
      <c r="W934" s="83">
        <f t="shared" si="734"/>
        <v>0</v>
      </c>
      <c r="X934" s="781">
        <f t="shared" si="735"/>
        <v>0</v>
      </c>
      <c r="Y934" s="781">
        <f t="shared" si="736"/>
        <v>0</v>
      </c>
      <c r="Z934" s="781">
        <f t="shared" si="737"/>
        <v>0</v>
      </c>
      <c r="AA934" s="83">
        <f t="shared" si="730"/>
        <v>0</v>
      </c>
      <c r="AB934" s="83">
        <f t="shared" si="738"/>
        <v>0</v>
      </c>
      <c r="AC934" s="83">
        <f t="shared" si="739"/>
        <v>0</v>
      </c>
      <c r="AD934" s="83">
        <f t="shared" si="740"/>
        <v>0</v>
      </c>
      <c r="AE934" s="83">
        <f t="shared" si="741"/>
        <v>0</v>
      </c>
      <c r="AF934" s="83">
        <f t="shared" si="742"/>
        <v>0</v>
      </c>
      <c r="AG934" s="83">
        <f t="shared" si="743"/>
        <v>0</v>
      </c>
      <c r="AH934" s="83">
        <f t="shared" si="744"/>
        <v>0</v>
      </c>
      <c r="AI934" s="83">
        <f t="shared" si="745"/>
        <v>0</v>
      </c>
      <c r="AJ934" s="718">
        <f t="shared" si="746"/>
        <v>0</v>
      </c>
      <c r="AL934">
        <f t="shared" si="747"/>
        <v>0</v>
      </c>
      <c r="AM934">
        <f t="shared" si="748"/>
        <v>0</v>
      </c>
    </row>
    <row r="935" spans="1:39" ht="15.75" x14ac:dyDescent="0.25">
      <c r="A935" s="561"/>
      <c r="B935" s="561"/>
      <c r="C935" s="561"/>
      <c r="D935" s="672"/>
      <c r="E935" s="209"/>
      <c r="F935" s="209"/>
      <c r="G935" s="209"/>
      <c r="H935" s="176">
        <f t="shared" si="726"/>
        <v>0</v>
      </c>
      <c r="I935" s="209"/>
      <c r="J935" s="209"/>
      <c r="K935" s="176">
        <f t="shared" si="727"/>
        <v>0</v>
      </c>
      <c r="L935" s="209"/>
      <c r="M935" s="177">
        <f t="shared" si="728"/>
        <v>0</v>
      </c>
      <c r="N935" s="1012"/>
      <c r="O935" s="1012"/>
      <c r="P935" s="485"/>
      <c r="Q935" s="778"/>
      <c r="R935" s="778"/>
      <c r="S935" s="785" t="str">
        <f t="shared" si="731"/>
        <v/>
      </c>
      <c r="T935" s="548" t="str">
        <f t="shared" si="729"/>
        <v>Sheet Metal Takeoff</v>
      </c>
      <c r="U935" s="83">
        <f t="shared" si="732"/>
        <v>0</v>
      </c>
      <c r="V935" s="83">
        <f t="shared" si="733"/>
        <v>0</v>
      </c>
      <c r="W935" s="83">
        <f t="shared" si="734"/>
        <v>0</v>
      </c>
      <c r="X935" s="781">
        <f t="shared" si="735"/>
        <v>0</v>
      </c>
      <c r="Y935" s="781">
        <f t="shared" si="736"/>
        <v>0</v>
      </c>
      <c r="Z935" s="781">
        <f t="shared" si="737"/>
        <v>0</v>
      </c>
      <c r="AA935" s="83">
        <f t="shared" si="730"/>
        <v>0</v>
      </c>
      <c r="AB935" s="83">
        <f t="shared" si="738"/>
        <v>0</v>
      </c>
      <c r="AC935" s="83">
        <f t="shared" si="739"/>
        <v>0</v>
      </c>
      <c r="AD935" s="83">
        <f t="shared" si="740"/>
        <v>0</v>
      </c>
      <c r="AE935" s="83">
        <f t="shared" si="741"/>
        <v>0</v>
      </c>
      <c r="AF935" s="83">
        <f t="shared" si="742"/>
        <v>0</v>
      </c>
      <c r="AG935" s="83">
        <f t="shared" si="743"/>
        <v>0</v>
      </c>
      <c r="AH935" s="83">
        <f t="shared" si="744"/>
        <v>0</v>
      </c>
      <c r="AI935" s="83">
        <f t="shared" si="745"/>
        <v>0</v>
      </c>
      <c r="AJ935" s="718">
        <f t="shared" si="746"/>
        <v>0</v>
      </c>
      <c r="AL935">
        <f t="shared" si="747"/>
        <v>0</v>
      </c>
      <c r="AM935">
        <f t="shared" si="748"/>
        <v>0</v>
      </c>
    </row>
    <row r="936" spans="1:39" ht="15.75" x14ac:dyDescent="0.25">
      <c r="A936" s="561"/>
      <c r="B936" s="561"/>
      <c r="C936" s="561"/>
      <c r="D936" s="672"/>
      <c r="E936" s="209"/>
      <c r="F936" s="209"/>
      <c r="G936" s="209"/>
      <c r="H936" s="176">
        <f t="shared" si="726"/>
        <v>0</v>
      </c>
      <c r="I936" s="209"/>
      <c r="J936" s="209"/>
      <c r="K936" s="176">
        <f t="shared" si="727"/>
        <v>0</v>
      </c>
      <c r="L936" s="209"/>
      <c r="M936" s="177">
        <f t="shared" si="728"/>
        <v>0</v>
      </c>
      <c r="N936" s="1012"/>
      <c r="O936" s="1012"/>
      <c r="P936" s="485"/>
      <c r="Q936" s="778"/>
      <c r="R936" s="778"/>
      <c r="S936" s="785" t="str">
        <f t="shared" si="731"/>
        <v/>
      </c>
      <c r="T936" s="548" t="str">
        <f t="shared" si="729"/>
        <v>Sheet Metal Takeoff</v>
      </c>
      <c r="U936" s="83">
        <f t="shared" si="732"/>
        <v>0</v>
      </c>
      <c r="V936" s="83">
        <f t="shared" si="733"/>
        <v>0</v>
      </c>
      <c r="W936" s="83">
        <f t="shared" si="734"/>
        <v>0</v>
      </c>
      <c r="X936" s="781">
        <f t="shared" si="735"/>
        <v>0</v>
      </c>
      <c r="Y936" s="781">
        <f t="shared" si="736"/>
        <v>0</v>
      </c>
      <c r="Z936" s="781">
        <f t="shared" si="737"/>
        <v>0</v>
      </c>
      <c r="AA936" s="83">
        <f t="shared" si="730"/>
        <v>0</v>
      </c>
      <c r="AB936" s="83">
        <f t="shared" si="738"/>
        <v>0</v>
      </c>
      <c r="AC936" s="83">
        <f t="shared" si="739"/>
        <v>0</v>
      </c>
      <c r="AD936" s="83">
        <f t="shared" si="740"/>
        <v>0</v>
      </c>
      <c r="AE936" s="83">
        <f t="shared" si="741"/>
        <v>0</v>
      </c>
      <c r="AF936" s="83">
        <f t="shared" si="742"/>
        <v>0</v>
      </c>
      <c r="AG936" s="83">
        <f t="shared" si="743"/>
        <v>0</v>
      </c>
      <c r="AH936" s="83">
        <f t="shared" si="744"/>
        <v>0</v>
      </c>
      <c r="AI936" s="83">
        <f t="shared" si="745"/>
        <v>0</v>
      </c>
      <c r="AJ936" s="718">
        <f t="shared" si="746"/>
        <v>0</v>
      </c>
      <c r="AL936">
        <f t="shared" si="747"/>
        <v>0</v>
      </c>
      <c r="AM936">
        <f t="shared" si="748"/>
        <v>0</v>
      </c>
    </row>
    <row r="937" spans="1:39" ht="15.75" x14ac:dyDescent="0.25">
      <c r="A937" s="561"/>
      <c r="B937" s="561"/>
      <c r="C937" s="561"/>
      <c r="D937" s="672"/>
      <c r="E937" s="209"/>
      <c r="F937" s="209"/>
      <c r="G937" s="209"/>
      <c r="H937" s="176">
        <f t="shared" si="726"/>
        <v>0</v>
      </c>
      <c r="I937" s="209"/>
      <c r="J937" s="209"/>
      <c r="K937" s="176">
        <f t="shared" si="727"/>
        <v>0</v>
      </c>
      <c r="L937" s="209"/>
      <c r="M937" s="177">
        <f t="shared" si="728"/>
        <v>0</v>
      </c>
      <c r="N937" s="1012"/>
      <c r="O937" s="1012"/>
      <c r="P937" s="485"/>
      <c r="Q937" s="778"/>
      <c r="R937" s="778"/>
      <c r="S937" s="785" t="str">
        <f t="shared" si="731"/>
        <v/>
      </c>
      <c r="T937" s="548" t="str">
        <f t="shared" si="729"/>
        <v>Sheet Metal Takeoff</v>
      </c>
      <c r="U937" s="83">
        <f t="shared" si="732"/>
        <v>0</v>
      </c>
      <c r="V937" s="83">
        <f t="shared" si="733"/>
        <v>0</v>
      </c>
      <c r="W937" s="83">
        <f t="shared" si="734"/>
        <v>0</v>
      </c>
      <c r="X937" s="781">
        <f t="shared" si="735"/>
        <v>0</v>
      </c>
      <c r="Y937" s="781">
        <f t="shared" si="736"/>
        <v>0</v>
      </c>
      <c r="Z937" s="781">
        <f t="shared" si="737"/>
        <v>0</v>
      </c>
      <c r="AA937" s="83">
        <f t="shared" si="730"/>
        <v>0</v>
      </c>
      <c r="AB937" s="83">
        <f t="shared" si="738"/>
        <v>0</v>
      </c>
      <c r="AC937" s="83">
        <f t="shared" si="739"/>
        <v>0</v>
      </c>
      <c r="AD937" s="83">
        <f t="shared" si="740"/>
        <v>0</v>
      </c>
      <c r="AE937" s="83">
        <f t="shared" si="741"/>
        <v>0</v>
      </c>
      <c r="AF937" s="83">
        <f t="shared" si="742"/>
        <v>0</v>
      </c>
      <c r="AG937" s="83">
        <f t="shared" si="743"/>
        <v>0</v>
      </c>
      <c r="AH937" s="83">
        <f t="shared" si="744"/>
        <v>0</v>
      </c>
      <c r="AI937" s="83">
        <f t="shared" si="745"/>
        <v>0</v>
      </c>
      <c r="AJ937" s="718">
        <f t="shared" si="746"/>
        <v>0</v>
      </c>
      <c r="AL937">
        <f t="shared" si="747"/>
        <v>0</v>
      </c>
      <c r="AM937">
        <f t="shared" si="748"/>
        <v>0</v>
      </c>
    </row>
    <row r="938" spans="1:39" ht="15.75" x14ac:dyDescent="0.25">
      <c r="A938" s="561"/>
      <c r="B938" s="561"/>
      <c r="C938" s="561"/>
      <c r="D938" s="672"/>
      <c r="E938" s="209"/>
      <c r="F938" s="209"/>
      <c r="G938" s="209"/>
      <c r="H938" s="176">
        <f t="shared" si="726"/>
        <v>0</v>
      </c>
      <c r="I938" s="209"/>
      <c r="J938" s="209"/>
      <c r="K938" s="176">
        <f t="shared" si="727"/>
        <v>0</v>
      </c>
      <c r="L938" s="209"/>
      <c r="M938" s="177">
        <f t="shared" si="728"/>
        <v>0</v>
      </c>
      <c r="N938" s="1012"/>
      <c r="O938" s="1012"/>
      <c r="P938" s="485"/>
      <c r="Q938" s="778"/>
      <c r="R938" s="778"/>
      <c r="S938" s="785" t="str">
        <f t="shared" si="731"/>
        <v/>
      </c>
      <c r="T938" s="548" t="str">
        <f t="shared" si="729"/>
        <v>Sheet Metal Takeoff</v>
      </c>
      <c r="U938" s="83">
        <f t="shared" si="732"/>
        <v>0</v>
      </c>
      <c r="V938" s="83">
        <f t="shared" si="733"/>
        <v>0</v>
      </c>
      <c r="W938" s="83">
        <f t="shared" si="734"/>
        <v>0</v>
      </c>
      <c r="X938" s="781">
        <f t="shared" si="735"/>
        <v>0</v>
      </c>
      <c r="Y938" s="781">
        <f t="shared" si="736"/>
        <v>0</v>
      </c>
      <c r="Z938" s="781">
        <f t="shared" si="737"/>
        <v>0</v>
      </c>
      <c r="AA938" s="83">
        <f t="shared" si="730"/>
        <v>0</v>
      </c>
      <c r="AB938" s="83">
        <f t="shared" si="738"/>
        <v>0</v>
      </c>
      <c r="AC938" s="83">
        <f t="shared" si="739"/>
        <v>0</v>
      </c>
      <c r="AD938" s="83">
        <f t="shared" si="740"/>
        <v>0</v>
      </c>
      <c r="AE938" s="83">
        <f t="shared" si="741"/>
        <v>0</v>
      </c>
      <c r="AF938" s="83">
        <f t="shared" si="742"/>
        <v>0</v>
      </c>
      <c r="AG938" s="83">
        <f t="shared" si="743"/>
        <v>0</v>
      </c>
      <c r="AH938" s="83">
        <f t="shared" si="744"/>
        <v>0</v>
      </c>
      <c r="AI938" s="83">
        <f t="shared" si="745"/>
        <v>0</v>
      </c>
      <c r="AJ938" s="718">
        <f t="shared" si="746"/>
        <v>0</v>
      </c>
      <c r="AL938">
        <f t="shared" si="747"/>
        <v>0</v>
      </c>
      <c r="AM938">
        <f t="shared" si="748"/>
        <v>0</v>
      </c>
    </row>
    <row r="939" spans="1:39" ht="15.75" x14ac:dyDescent="0.25">
      <c r="A939" s="561"/>
      <c r="B939" s="561"/>
      <c r="C939" s="561"/>
      <c r="D939" s="672"/>
      <c r="E939" s="209"/>
      <c r="F939" s="209"/>
      <c r="G939" s="209"/>
      <c r="H939" s="176">
        <f t="shared" si="726"/>
        <v>0</v>
      </c>
      <c r="I939" s="209"/>
      <c r="J939" s="209"/>
      <c r="K939" s="176">
        <f t="shared" si="727"/>
        <v>0</v>
      </c>
      <c r="L939" s="209"/>
      <c r="M939" s="177">
        <f t="shared" si="728"/>
        <v>0</v>
      </c>
      <c r="N939" s="1012"/>
      <c r="O939" s="1012"/>
      <c r="P939" s="485"/>
      <c r="Q939" s="778"/>
      <c r="R939" s="778"/>
      <c r="S939" s="785" t="str">
        <f t="shared" si="731"/>
        <v/>
      </c>
      <c r="T939" s="548" t="str">
        <f t="shared" si="729"/>
        <v>Sheet Metal Takeoff</v>
      </c>
      <c r="U939" s="83">
        <f t="shared" si="732"/>
        <v>0</v>
      </c>
      <c r="V939" s="83">
        <f t="shared" si="733"/>
        <v>0</v>
      </c>
      <c r="W939" s="83">
        <f t="shared" si="734"/>
        <v>0</v>
      </c>
      <c r="X939" s="781">
        <f t="shared" si="735"/>
        <v>0</v>
      </c>
      <c r="Y939" s="781">
        <f t="shared" si="736"/>
        <v>0</v>
      </c>
      <c r="Z939" s="781">
        <f t="shared" si="737"/>
        <v>0</v>
      </c>
      <c r="AA939" s="83">
        <f t="shared" si="730"/>
        <v>0</v>
      </c>
      <c r="AB939" s="83">
        <f t="shared" si="738"/>
        <v>0</v>
      </c>
      <c r="AC939" s="83">
        <f t="shared" si="739"/>
        <v>0</v>
      </c>
      <c r="AD939" s="83">
        <f t="shared" si="740"/>
        <v>0</v>
      </c>
      <c r="AE939" s="83">
        <f t="shared" si="741"/>
        <v>0</v>
      </c>
      <c r="AF939" s="83">
        <f t="shared" si="742"/>
        <v>0</v>
      </c>
      <c r="AG939" s="83">
        <f t="shared" si="743"/>
        <v>0</v>
      </c>
      <c r="AH939" s="83">
        <f t="shared" si="744"/>
        <v>0</v>
      </c>
      <c r="AI939" s="83">
        <f t="shared" si="745"/>
        <v>0</v>
      </c>
      <c r="AJ939" s="718">
        <f t="shared" si="746"/>
        <v>0</v>
      </c>
      <c r="AL939">
        <f t="shared" si="747"/>
        <v>0</v>
      </c>
      <c r="AM939">
        <f t="shared" si="748"/>
        <v>0</v>
      </c>
    </row>
    <row r="940" spans="1:39" ht="15.75" x14ac:dyDescent="0.25">
      <c r="A940" s="561"/>
      <c r="B940" s="561"/>
      <c r="C940" s="561"/>
      <c r="D940" s="672"/>
      <c r="E940" s="209"/>
      <c r="F940" s="209"/>
      <c r="G940" s="209"/>
      <c r="H940" s="176">
        <f t="shared" si="726"/>
        <v>0</v>
      </c>
      <c r="I940" s="209"/>
      <c r="J940" s="209"/>
      <c r="K940" s="176">
        <f t="shared" si="727"/>
        <v>0</v>
      </c>
      <c r="L940" s="209"/>
      <c r="M940" s="177">
        <f t="shared" si="728"/>
        <v>0</v>
      </c>
      <c r="N940" s="1012"/>
      <c r="O940" s="1012"/>
      <c r="P940" s="485"/>
      <c r="Q940" s="778"/>
      <c r="R940" s="778"/>
      <c r="S940" s="785" t="str">
        <f t="shared" si="731"/>
        <v/>
      </c>
      <c r="T940" s="548" t="str">
        <f t="shared" si="729"/>
        <v>Sheet Metal Takeoff</v>
      </c>
      <c r="U940" s="83">
        <f t="shared" si="732"/>
        <v>0</v>
      </c>
      <c r="V940" s="83">
        <f t="shared" si="733"/>
        <v>0</v>
      </c>
      <c r="W940" s="83">
        <f t="shared" si="734"/>
        <v>0</v>
      </c>
      <c r="X940" s="781">
        <f t="shared" si="735"/>
        <v>0</v>
      </c>
      <c r="Y940" s="781">
        <f t="shared" si="736"/>
        <v>0</v>
      </c>
      <c r="Z940" s="781">
        <f t="shared" si="737"/>
        <v>0</v>
      </c>
      <c r="AA940" s="83">
        <f t="shared" si="730"/>
        <v>0</v>
      </c>
      <c r="AB940" s="83">
        <f t="shared" si="738"/>
        <v>0</v>
      </c>
      <c r="AC940" s="83">
        <f t="shared" si="739"/>
        <v>0</v>
      </c>
      <c r="AD940" s="83">
        <f t="shared" si="740"/>
        <v>0</v>
      </c>
      <c r="AE940" s="83">
        <f t="shared" si="741"/>
        <v>0</v>
      </c>
      <c r="AF940" s="83">
        <f t="shared" si="742"/>
        <v>0</v>
      </c>
      <c r="AG940" s="83">
        <f t="shared" si="743"/>
        <v>0</v>
      </c>
      <c r="AH940" s="83">
        <f t="shared" si="744"/>
        <v>0</v>
      </c>
      <c r="AI940" s="83">
        <f t="shared" si="745"/>
        <v>0</v>
      </c>
      <c r="AJ940" s="718">
        <f t="shared" si="746"/>
        <v>0</v>
      </c>
      <c r="AL940">
        <f t="shared" si="747"/>
        <v>0</v>
      </c>
      <c r="AM940">
        <f t="shared" si="748"/>
        <v>0</v>
      </c>
    </row>
    <row r="941" spans="1:39" ht="15.75" x14ac:dyDescent="0.25">
      <c r="A941" s="561"/>
      <c r="B941" s="561"/>
      <c r="C941" s="561"/>
      <c r="D941" s="672"/>
      <c r="E941" s="209"/>
      <c r="F941" s="209"/>
      <c r="G941" s="209"/>
      <c r="H941" s="176">
        <f t="shared" si="726"/>
        <v>0</v>
      </c>
      <c r="I941" s="209"/>
      <c r="J941" s="209"/>
      <c r="K941" s="176">
        <f t="shared" si="727"/>
        <v>0</v>
      </c>
      <c r="L941" s="209"/>
      <c r="M941" s="177">
        <f t="shared" si="728"/>
        <v>0</v>
      </c>
      <c r="N941" s="1012"/>
      <c r="O941" s="1012"/>
      <c r="P941" s="485"/>
      <c r="Q941" s="778"/>
      <c r="R941" s="778"/>
      <c r="S941" s="785" t="str">
        <f t="shared" si="731"/>
        <v/>
      </c>
      <c r="T941" s="548" t="str">
        <f t="shared" si="729"/>
        <v>Sheet Metal Takeoff</v>
      </c>
      <c r="U941" s="83">
        <f t="shared" si="732"/>
        <v>0</v>
      </c>
      <c r="V941" s="83">
        <f t="shared" si="733"/>
        <v>0</v>
      </c>
      <c r="W941" s="83">
        <f t="shared" si="734"/>
        <v>0</v>
      </c>
      <c r="X941" s="781">
        <f t="shared" si="735"/>
        <v>0</v>
      </c>
      <c r="Y941" s="781">
        <f t="shared" si="736"/>
        <v>0</v>
      </c>
      <c r="Z941" s="781">
        <f t="shared" si="737"/>
        <v>0</v>
      </c>
      <c r="AA941" s="83">
        <f t="shared" si="730"/>
        <v>0</v>
      </c>
      <c r="AB941" s="83">
        <f t="shared" si="738"/>
        <v>0</v>
      </c>
      <c r="AC941" s="83">
        <f t="shared" si="739"/>
        <v>0</v>
      </c>
      <c r="AD941" s="83">
        <f t="shared" si="740"/>
        <v>0</v>
      </c>
      <c r="AE941" s="83">
        <f t="shared" si="741"/>
        <v>0</v>
      </c>
      <c r="AF941" s="83">
        <f t="shared" si="742"/>
        <v>0</v>
      </c>
      <c r="AG941" s="83">
        <f t="shared" si="743"/>
        <v>0</v>
      </c>
      <c r="AH941" s="83">
        <f t="shared" si="744"/>
        <v>0</v>
      </c>
      <c r="AI941" s="83">
        <f t="shared" si="745"/>
        <v>0</v>
      </c>
      <c r="AJ941" s="718">
        <f t="shared" si="746"/>
        <v>0</v>
      </c>
      <c r="AL941">
        <f t="shared" si="747"/>
        <v>0</v>
      </c>
      <c r="AM941">
        <f t="shared" si="748"/>
        <v>0</v>
      </c>
    </row>
    <row r="942" spans="1:39" ht="15.75" x14ac:dyDescent="0.25">
      <c r="A942" s="561"/>
      <c r="B942" s="561"/>
      <c r="C942" s="561"/>
      <c r="D942" s="672"/>
      <c r="E942" s="209"/>
      <c r="F942" s="209"/>
      <c r="G942" s="209"/>
      <c r="H942" s="176">
        <f t="shared" si="726"/>
        <v>0</v>
      </c>
      <c r="I942" s="209"/>
      <c r="J942" s="209"/>
      <c r="K942" s="176">
        <f t="shared" si="727"/>
        <v>0</v>
      </c>
      <c r="L942" s="209"/>
      <c r="M942" s="177">
        <f t="shared" si="728"/>
        <v>0</v>
      </c>
      <c r="N942" s="1012"/>
      <c r="O942" s="1012"/>
      <c r="P942" s="485"/>
      <c r="Q942" s="778"/>
      <c r="R942" s="778"/>
      <c r="S942" s="785" t="str">
        <f t="shared" si="731"/>
        <v/>
      </c>
      <c r="T942" s="548" t="str">
        <f t="shared" si="729"/>
        <v>Sheet Metal Takeoff</v>
      </c>
      <c r="U942" s="83">
        <f t="shared" si="732"/>
        <v>0</v>
      </c>
      <c r="V942" s="83">
        <f t="shared" si="733"/>
        <v>0</v>
      </c>
      <c r="W942" s="83">
        <f t="shared" si="734"/>
        <v>0</v>
      </c>
      <c r="X942" s="781">
        <f t="shared" si="735"/>
        <v>0</v>
      </c>
      <c r="Y942" s="781">
        <f t="shared" si="736"/>
        <v>0</v>
      </c>
      <c r="Z942" s="781">
        <f t="shared" si="737"/>
        <v>0</v>
      </c>
      <c r="AA942" s="83">
        <f t="shared" si="730"/>
        <v>0</v>
      </c>
      <c r="AB942" s="83">
        <f t="shared" si="738"/>
        <v>0</v>
      </c>
      <c r="AC942" s="83">
        <f t="shared" si="739"/>
        <v>0</v>
      </c>
      <c r="AD942" s="83">
        <f t="shared" si="740"/>
        <v>0</v>
      </c>
      <c r="AE942" s="83">
        <f t="shared" si="741"/>
        <v>0</v>
      </c>
      <c r="AF942" s="83">
        <f t="shared" si="742"/>
        <v>0</v>
      </c>
      <c r="AG942" s="83">
        <f t="shared" si="743"/>
        <v>0</v>
      </c>
      <c r="AH942" s="83">
        <f t="shared" si="744"/>
        <v>0</v>
      </c>
      <c r="AI942" s="83">
        <f t="shared" si="745"/>
        <v>0</v>
      </c>
      <c r="AJ942" s="718">
        <f t="shared" si="746"/>
        <v>0</v>
      </c>
      <c r="AL942">
        <f t="shared" si="747"/>
        <v>0</v>
      </c>
      <c r="AM942">
        <f t="shared" si="748"/>
        <v>0</v>
      </c>
    </row>
    <row r="943" spans="1:39" ht="15.75" hidden="1" customHeight="1" x14ac:dyDescent="0.25">
      <c r="A943" s="561"/>
      <c r="B943" s="561"/>
      <c r="C943" s="561"/>
      <c r="D943" s="672"/>
      <c r="E943" s="209"/>
      <c r="F943" s="209"/>
      <c r="G943" s="209"/>
      <c r="H943" s="176">
        <f t="shared" si="726"/>
        <v>0</v>
      </c>
      <c r="I943" s="209"/>
      <c r="J943" s="209"/>
      <c r="K943" s="176">
        <f t="shared" si="727"/>
        <v>0</v>
      </c>
      <c r="L943" s="209"/>
      <c r="M943" s="177">
        <f t="shared" si="728"/>
        <v>0</v>
      </c>
      <c r="N943" s="1012"/>
      <c r="O943" s="1012"/>
      <c r="P943" s="485"/>
      <c r="Q943" s="778"/>
      <c r="R943" s="778"/>
      <c r="S943" s="785" t="str">
        <f t="shared" si="731"/>
        <v/>
      </c>
      <c r="T943" s="548" t="str">
        <f t="shared" si="729"/>
        <v>Sheet Metal Takeoff</v>
      </c>
      <c r="U943" s="83">
        <f>ROUND(IF($T943="Plumb Takeoff",$H943*U$3,IF($T943="Pipe Takeoff",$H943*U$4,$H943*U$2)),2)</f>
        <v>0</v>
      </c>
      <c r="V943" s="83">
        <f t="shared" si="733"/>
        <v>0</v>
      </c>
      <c r="W943" s="83">
        <f t="shared" si="734"/>
        <v>0</v>
      </c>
      <c r="X943" s="781">
        <f t="shared" si="735"/>
        <v>0</v>
      </c>
      <c r="Y943" s="781">
        <f t="shared" si="736"/>
        <v>0</v>
      </c>
      <c r="Z943" s="781">
        <f t="shared" si="737"/>
        <v>0</v>
      </c>
      <c r="AA943" s="83">
        <f t="shared" si="730"/>
        <v>0</v>
      </c>
      <c r="AB943" s="83">
        <f t="shared" si="738"/>
        <v>0</v>
      </c>
      <c r="AC943" s="83">
        <f t="shared" si="739"/>
        <v>0</v>
      </c>
      <c r="AD943" s="83">
        <f t="shared" si="740"/>
        <v>0</v>
      </c>
      <c r="AE943" s="83">
        <f t="shared" si="741"/>
        <v>0</v>
      </c>
      <c r="AF943" s="83">
        <f t="shared" si="742"/>
        <v>0</v>
      </c>
      <c r="AG943" s="83">
        <f t="shared" si="743"/>
        <v>0</v>
      </c>
      <c r="AH943" s="83">
        <f t="shared" si="744"/>
        <v>0</v>
      </c>
      <c r="AI943" s="83">
        <f t="shared" si="745"/>
        <v>0</v>
      </c>
      <c r="AJ943" s="718">
        <f t="shared" si="746"/>
        <v>0</v>
      </c>
      <c r="AL943">
        <f t="shared" si="747"/>
        <v>0</v>
      </c>
      <c r="AM943">
        <f t="shared" si="748"/>
        <v>0</v>
      </c>
    </row>
    <row r="944" spans="1:39" ht="15.75" x14ac:dyDescent="0.25">
      <c r="A944" s="551"/>
      <c r="B944" s="551"/>
      <c r="C944" s="551"/>
      <c r="D944" s="673"/>
      <c r="E944" s="552"/>
      <c r="F944" s="553"/>
      <c r="G944" s="553"/>
      <c r="H944" s="181">
        <f>SUM(H918:H943)</f>
        <v>0</v>
      </c>
      <c r="I944" s="182"/>
      <c r="J944" s="182"/>
      <c r="K944" s="181">
        <f>SUM(K918:K943)</f>
        <v>0</v>
      </c>
      <c r="L944" s="182"/>
      <c r="M944" s="177">
        <f>SUM(M918:M943)</f>
        <v>0</v>
      </c>
      <c r="O944" s="486"/>
      <c r="AJ944" s="718"/>
    </row>
    <row r="945" spans="1:39" ht="15.75" thickBot="1" x14ac:dyDescent="0.3">
      <c r="AJ945" s="718"/>
    </row>
    <row r="946" spans="1:39" ht="16.5" thickBot="1" x14ac:dyDescent="0.3">
      <c r="E946" s="678" t="s">
        <v>1122</v>
      </c>
      <c r="F946" s="1017" t="s">
        <v>1630</v>
      </c>
      <c r="G946" s="1018"/>
      <c r="H946" s="344"/>
      <c r="I946" s="1019" t="s">
        <v>1628</v>
      </c>
      <c r="J946" s="1020"/>
      <c r="K946" s="679" t="b">
        <v>0</v>
      </c>
      <c r="AJ946" s="718"/>
    </row>
    <row r="947" spans="1:39" ht="38.25" thickBot="1" x14ac:dyDescent="0.35">
      <c r="A947" s="477" t="s">
        <v>1063</v>
      </c>
      <c r="B947" s="477" t="s">
        <v>348</v>
      </c>
      <c r="C947" s="477" t="s">
        <v>349</v>
      </c>
      <c r="D947" s="666" t="s">
        <v>0</v>
      </c>
      <c r="E947" s="477" t="s">
        <v>1</v>
      </c>
      <c r="F947" s="480" t="s">
        <v>2</v>
      </c>
      <c r="G947" s="480" t="s">
        <v>1123</v>
      </c>
      <c r="H947" s="480" t="s">
        <v>3</v>
      </c>
      <c r="I947" s="483" t="s">
        <v>4</v>
      </c>
      <c r="J947" s="480" t="s">
        <v>1124</v>
      </c>
      <c r="K947" s="680" t="s">
        <v>5</v>
      </c>
      <c r="L947" s="480" t="s">
        <v>6</v>
      </c>
      <c r="M947" s="484" t="s">
        <v>7</v>
      </c>
      <c r="N947" s="1013" t="s">
        <v>1079</v>
      </c>
      <c r="O947" s="1014"/>
      <c r="P947" s="1009" t="s">
        <v>1629</v>
      </c>
      <c r="Q947" s="1009" t="s">
        <v>1147</v>
      </c>
      <c r="R947" s="1009" t="s">
        <v>1792</v>
      </c>
      <c r="T947" s="2"/>
      <c r="AJ947" s="718"/>
    </row>
    <row r="948" spans="1:39" ht="16.5" thickBot="1" x14ac:dyDescent="0.3">
      <c r="A948" s="183"/>
      <c r="B948" s="183"/>
      <c r="C948" s="183"/>
      <c r="D948" s="671"/>
      <c r="E948" s="183"/>
      <c r="F948" s="183"/>
      <c r="G948" s="183"/>
      <c r="H948" s="183"/>
      <c r="I948" s="183"/>
      <c r="J948" s="183"/>
      <c r="K948" s="183"/>
      <c r="L948" s="183"/>
      <c r="M948" s="183"/>
      <c r="N948" s="1015"/>
      <c r="O948" s="1016"/>
      <c r="P948" s="1010" t="s">
        <v>1362</v>
      </c>
      <c r="Q948" s="1010"/>
      <c r="R948" s="1010"/>
      <c r="T948" s="1"/>
      <c r="AJ948" s="718"/>
    </row>
    <row r="949" spans="1:39" ht="15.75" x14ac:dyDescent="0.25">
      <c r="A949" s="561"/>
      <c r="B949" s="561"/>
      <c r="C949" s="561"/>
      <c r="D949" s="672"/>
      <c r="E949" s="209"/>
      <c r="F949" s="209"/>
      <c r="G949" s="209"/>
      <c r="H949" s="176">
        <f t="shared" ref="H949:H974" si="749">IF(SM_ExludeGroup30=TRUE,0,IF(G949="",E949*F949*IF(AND(S949="LOP",R949="SWING"),1+CrewRate_PlumbFitter_SwingLOP,1)*IF(AND(S949="LOP",R949="GRAVE"),1+CrewRate_PlumbFitter_GraveLOP,1)*IF(AND(S949="LOP",R949="SPECIAL"),1+CrewRate_PlumbFitter_SwingLOP,1),E949*F949*G949*IF(AND(S949="LOP",R949="SWING"),1+CrewRate_PlumbFitter_SwingLOP,1)*IF(AND(S949="LOP",R949="GRAVE"),1+CrewRate_PlumbFitter_GraveLOP,1)*IF(AND(S949="LOP",R949="SPECIAL"),1+CrewRate_PlumbFitter_SwingLOP,1)))</f>
        <v>0</v>
      </c>
      <c r="I949" s="209"/>
      <c r="J949" s="209"/>
      <c r="K949" s="176">
        <f t="shared" ref="K949:K974" si="750">IF(SM_ExludeGroup30=TRUE,0,IF(J949="",E949*I949,E949*I949*J949))</f>
        <v>0</v>
      </c>
      <c r="L949" s="209"/>
      <c r="M949" s="177">
        <f t="shared" ref="M949:M974" si="751">IF(SM_ExludeGroup30=TRUE,0,E949*L949)</f>
        <v>0</v>
      </c>
      <c r="N949" s="1012"/>
      <c r="O949" s="1012"/>
      <c r="P949" s="485"/>
      <c r="Q949" s="778"/>
      <c r="R949" s="778"/>
      <c r="S949" s="785" t="str">
        <f>IF(T949="Sheet Metal Takeoff","",IF(R949="","","LOP"))</f>
        <v/>
      </c>
      <c r="T949" s="548" t="str">
        <f t="shared" ref="T949:T974" si="752">IF($F$946="","Sheet Metal Takeoff",$F$946)</f>
        <v>Sheet Metal Takeoff</v>
      </c>
      <c r="U949" s="83">
        <f>ROUND(IF($T949="Plumb Takeoff",$H949*U$3,IF($T949="Pipe Takeoff",$H949*U$4,$H949*U$2)),2)</f>
        <v>0</v>
      </c>
      <c r="V949" s="83">
        <f>ROUND(IF($T949="Plumb Takeoff",IF($Q949="OT",$H949*V$3,0),IF($T949="Pipe Takeoff",IF($Q949="OT",$H949*V$4,0),IF($Q949="OT",$H949*V$2,0))),2)</f>
        <v>0</v>
      </c>
      <c r="W949" s="83">
        <f>ROUND(IF($T949="Plumb Takeoff",IF($Q949="DBLT",$H949*W$3,0),IF($T949="Pipe Takeoff",IF($Q949="DBLT",$H949*W$4,0),IF($Q949="DBLT",$H949*W$2,0))),2)</f>
        <v>0</v>
      </c>
      <c r="X949" s="781">
        <f>ROUND(SUM(IF($T949="Plumb Takeoff",IF($R949="SWING",ROUND(SUM($H949)*X$3,2))),IF($T949="Pipe Takeoff",IF($R949="SWING",ROUND(SUM($H949)*X$4,2))),IF($T949="Sheet Metal Takeoff",IF($R949="SWING",ROUND(SUM($H949)*X$2,2)))),2)</f>
        <v>0</v>
      </c>
      <c r="Y949" s="781">
        <f>ROUND(SUM(IF($T949="Plumb Takeoff",IF($R949="GRAVE",ROUND(SUM($H949)*Y$3,2))),IF($T949="Pipe Takeoff",IF($R949="GRAVE",ROUND(SUM($H949)*Y$4,2))),IF($T949="Sheet Metal Takeoff",IF($R949="GRAVE",ROUND(SUM($H949)*Y$2,2)))),2)</f>
        <v>0</v>
      </c>
      <c r="Z949" s="781">
        <f>ROUND(SUM(IF($T949="Plumb Takeoff",IF($R949="SPECIAL",ROUND(SUM($H949)*Z$3,2))),IF($T949="Pipe Takeoff",IF($R949="SPECIAL",ROUND(SUM($H949)*Z$4,2))),IF($T949="Sheet Metal Takeoff",IF($R949="SPECIAL",ROUND(SUM($H949)*Z$2,2)))),2)</f>
        <v>0</v>
      </c>
      <c r="AA949" s="83">
        <f t="shared" ref="AA949:AA974" si="753">ROUND($K949*AA$2,2)</f>
        <v>0</v>
      </c>
      <c r="AB949" s="83">
        <f>ROUND(IF($Q949="OT",$K949*AB$2,0),2)</f>
        <v>0</v>
      </c>
      <c r="AC949" s="83">
        <f>ROUND(IF($Q949="DBLT",$K949*AC$2,0),2)</f>
        <v>0</v>
      </c>
      <c r="AD949" s="83">
        <f>ROUND(IF($R949="SWING",$K949*AD$2,0),2)</f>
        <v>0</v>
      </c>
      <c r="AE949" s="83">
        <f>ROUND(IF($R949="GRAVE",$K949*AE$2,0),2)</f>
        <v>0</v>
      </c>
      <c r="AF949" s="83">
        <f>ROUND(IF($R949="SPECIAL",$K949*AF$2,0),2)</f>
        <v>0</v>
      </c>
      <c r="AG949" s="83">
        <f>SUM(U949:Z949)</f>
        <v>0</v>
      </c>
      <c r="AH949" s="83">
        <f>SUM(AA949:AF949)</f>
        <v>0</v>
      </c>
      <c r="AI949" s="83">
        <f>SUM(U949:AF949)</f>
        <v>0</v>
      </c>
      <c r="AJ949" s="718">
        <f>SUM(M949,AI949)</f>
        <v>0</v>
      </c>
      <c r="AL949">
        <f>SUM(V949:Z949)</f>
        <v>0</v>
      </c>
      <c r="AM949">
        <f>SUM(AB949:AF949)</f>
        <v>0</v>
      </c>
    </row>
    <row r="950" spans="1:39" ht="15.75" x14ac:dyDescent="0.25">
      <c r="A950" s="561"/>
      <c r="B950" s="561"/>
      <c r="C950" s="561"/>
      <c r="D950" s="672"/>
      <c r="E950" s="209"/>
      <c r="F950" s="209"/>
      <c r="G950" s="209"/>
      <c r="H950" s="176">
        <f t="shared" si="749"/>
        <v>0</v>
      </c>
      <c r="I950" s="209"/>
      <c r="J950" s="209"/>
      <c r="K950" s="176">
        <f t="shared" si="750"/>
        <v>0</v>
      </c>
      <c r="L950" s="209"/>
      <c r="M950" s="177">
        <f t="shared" si="751"/>
        <v>0</v>
      </c>
      <c r="N950" s="1012"/>
      <c r="O950" s="1012"/>
      <c r="P950" s="485"/>
      <c r="Q950" s="778"/>
      <c r="R950" s="778"/>
      <c r="S950" s="785" t="str">
        <f t="shared" ref="S950:S974" si="754">IF(T950="Sheet Metal Takeoff","",IF(R950="","","LOP"))</f>
        <v/>
      </c>
      <c r="T950" s="548" t="str">
        <f t="shared" si="752"/>
        <v>Sheet Metal Takeoff</v>
      </c>
      <c r="U950" s="83">
        <f t="shared" ref="U950:U973" si="755">ROUND(IF($T950="Plumb Takeoff",$H950*U$3,IF($T950="Pipe Takeoff",$H950*U$4,$H950*U$2)),2)</f>
        <v>0</v>
      </c>
      <c r="V950" s="83">
        <f t="shared" ref="V950:V974" si="756">ROUND(IF($T950="Plumb Takeoff",IF($Q950="OT",$H950*V$3,0),IF($T950="Pipe Takeoff",IF($Q950="OT",$H950*V$4,0),IF($Q950="OT",$H950*V$2,0))),2)</f>
        <v>0</v>
      </c>
      <c r="W950" s="83">
        <f t="shared" ref="W950:W974" si="757">ROUND(IF($T950="Plumb Takeoff",IF($Q950="DBLT",$H950*W$3,0),IF($T950="Pipe Takeoff",IF($Q950="DBLT",$H950*W$4,0),IF($Q950="DBLT",$H950*W$2,0))),2)</f>
        <v>0</v>
      </c>
      <c r="X950" s="781">
        <f t="shared" ref="X950:X974" si="758">ROUND(SUM(IF($T950="Plumb Takeoff",IF($R950="SWING",ROUND(SUM($H950)*X$3,2))),IF($T950="Pipe Takeoff",IF($R950="SWING",ROUND(SUM($H950)*X$4,2))),IF($T950="Sheet Metal Takeoff",IF($R950="SWING",ROUND(SUM($H950)*X$2,2)))),2)</f>
        <v>0</v>
      </c>
      <c r="Y950" s="781">
        <f t="shared" ref="Y950:Y974" si="759">ROUND(SUM(IF($T950="Plumb Takeoff",IF($R950="GRAVE",ROUND(SUM($H950)*Y$3,2))),IF($T950="Pipe Takeoff",IF($R950="GRAVE",ROUND(SUM($H950)*Y$4,2))),IF($T950="Sheet Metal Takeoff",IF($R950="GRAVE",ROUND(SUM($H950)*Y$2,2)))),2)</f>
        <v>0</v>
      </c>
      <c r="Z950" s="781">
        <f t="shared" ref="Z950:Z974" si="760">ROUND(SUM(IF($T950="Plumb Takeoff",IF($R950="SPECIAL",ROUND(SUM($H950)*Z$3,2))),IF($T950="Pipe Takeoff",IF($R950="SPECIAL",ROUND(SUM($H950)*Z$4,2))),IF($T950="Sheet Metal Takeoff",IF($R950="SPECIAL",ROUND(SUM($H950)*Z$2,2)))),2)</f>
        <v>0</v>
      </c>
      <c r="AA950" s="83">
        <f t="shared" si="753"/>
        <v>0</v>
      </c>
      <c r="AB950" s="83">
        <f t="shared" ref="AB950:AB974" si="761">ROUND(IF($Q950="OT",$K950*AB$2,0),2)</f>
        <v>0</v>
      </c>
      <c r="AC950" s="83">
        <f t="shared" ref="AC950:AC974" si="762">ROUND(IF($Q950="DBLT",$K950*AC$2,0),2)</f>
        <v>0</v>
      </c>
      <c r="AD950" s="83">
        <f t="shared" ref="AD950:AD974" si="763">ROUND(IF($R950="SWING",$K950*AD$2,0),2)</f>
        <v>0</v>
      </c>
      <c r="AE950" s="83">
        <f t="shared" ref="AE950:AE974" si="764">ROUND(IF($R950="GRAVE",$K950*AE$2,0),2)</f>
        <v>0</v>
      </c>
      <c r="AF950" s="83">
        <f t="shared" ref="AF950:AF974" si="765">ROUND(IF($R950="SPECIAL",$K950*AF$2,0),2)</f>
        <v>0</v>
      </c>
      <c r="AG950" s="83">
        <f t="shared" ref="AG950:AG974" si="766">SUM(U950:Z950)</f>
        <v>0</v>
      </c>
      <c r="AH950" s="83">
        <f t="shared" ref="AH950:AH974" si="767">SUM(AA950:AF950)</f>
        <v>0</v>
      </c>
      <c r="AI950" s="83">
        <f t="shared" ref="AI950:AI974" si="768">SUM(U950:AF950)</f>
        <v>0</v>
      </c>
      <c r="AJ950" s="718">
        <f t="shared" ref="AJ950:AJ974" si="769">SUM(M950,AI950)</f>
        <v>0</v>
      </c>
      <c r="AL950">
        <f t="shared" ref="AL950:AL974" si="770">SUM(V950:Z950)</f>
        <v>0</v>
      </c>
      <c r="AM950">
        <f t="shared" ref="AM950:AM974" si="771">SUM(AB950:AF950)</f>
        <v>0</v>
      </c>
    </row>
    <row r="951" spans="1:39" ht="15.75" x14ac:dyDescent="0.25">
      <c r="A951" s="561"/>
      <c r="B951" s="561"/>
      <c r="C951" s="561"/>
      <c r="D951" s="672"/>
      <c r="E951" s="209"/>
      <c r="F951" s="209"/>
      <c r="G951" s="209"/>
      <c r="H951" s="176">
        <f t="shared" si="749"/>
        <v>0</v>
      </c>
      <c r="I951" s="209"/>
      <c r="J951" s="209"/>
      <c r="K951" s="176">
        <f t="shared" si="750"/>
        <v>0</v>
      </c>
      <c r="L951" s="209"/>
      <c r="M951" s="177">
        <f t="shared" si="751"/>
        <v>0</v>
      </c>
      <c r="N951" s="1012"/>
      <c r="O951" s="1012"/>
      <c r="P951" s="485"/>
      <c r="Q951" s="778"/>
      <c r="R951" s="778"/>
      <c r="S951" s="785" t="str">
        <f t="shared" si="754"/>
        <v/>
      </c>
      <c r="T951" s="548" t="str">
        <f t="shared" si="752"/>
        <v>Sheet Metal Takeoff</v>
      </c>
      <c r="U951" s="83">
        <f t="shared" si="755"/>
        <v>0</v>
      </c>
      <c r="V951" s="83">
        <f t="shared" si="756"/>
        <v>0</v>
      </c>
      <c r="W951" s="83">
        <f t="shared" si="757"/>
        <v>0</v>
      </c>
      <c r="X951" s="781">
        <f t="shared" si="758"/>
        <v>0</v>
      </c>
      <c r="Y951" s="781">
        <f t="shared" si="759"/>
        <v>0</v>
      </c>
      <c r="Z951" s="781">
        <f t="shared" si="760"/>
        <v>0</v>
      </c>
      <c r="AA951" s="83">
        <f t="shared" si="753"/>
        <v>0</v>
      </c>
      <c r="AB951" s="83">
        <f t="shared" si="761"/>
        <v>0</v>
      </c>
      <c r="AC951" s="83">
        <f t="shared" si="762"/>
        <v>0</v>
      </c>
      <c r="AD951" s="83">
        <f t="shared" si="763"/>
        <v>0</v>
      </c>
      <c r="AE951" s="83">
        <f t="shared" si="764"/>
        <v>0</v>
      </c>
      <c r="AF951" s="83">
        <f t="shared" si="765"/>
        <v>0</v>
      </c>
      <c r="AG951" s="83">
        <f t="shared" si="766"/>
        <v>0</v>
      </c>
      <c r="AH951" s="83">
        <f t="shared" si="767"/>
        <v>0</v>
      </c>
      <c r="AI951" s="83">
        <f t="shared" si="768"/>
        <v>0</v>
      </c>
      <c r="AJ951" s="718">
        <f t="shared" si="769"/>
        <v>0</v>
      </c>
      <c r="AL951">
        <f t="shared" si="770"/>
        <v>0</v>
      </c>
      <c r="AM951">
        <f t="shared" si="771"/>
        <v>0</v>
      </c>
    </row>
    <row r="952" spans="1:39" ht="15.75" x14ac:dyDescent="0.25">
      <c r="A952" s="561"/>
      <c r="B952" s="561"/>
      <c r="C952" s="561"/>
      <c r="D952" s="672"/>
      <c r="E952" s="209"/>
      <c r="F952" s="209"/>
      <c r="G952" s="209"/>
      <c r="H952" s="176">
        <f t="shared" si="749"/>
        <v>0</v>
      </c>
      <c r="I952" s="209"/>
      <c r="J952" s="209"/>
      <c r="K952" s="176">
        <f t="shared" si="750"/>
        <v>0</v>
      </c>
      <c r="L952" s="209"/>
      <c r="M952" s="177">
        <f t="shared" si="751"/>
        <v>0</v>
      </c>
      <c r="N952" s="1012"/>
      <c r="O952" s="1012"/>
      <c r="P952" s="485"/>
      <c r="Q952" s="778"/>
      <c r="R952" s="778"/>
      <c r="S952" s="785" t="str">
        <f t="shared" si="754"/>
        <v/>
      </c>
      <c r="T952" s="548" t="str">
        <f t="shared" si="752"/>
        <v>Sheet Metal Takeoff</v>
      </c>
      <c r="U952" s="83">
        <f t="shared" si="755"/>
        <v>0</v>
      </c>
      <c r="V952" s="83">
        <f t="shared" si="756"/>
        <v>0</v>
      </c>
      <c r="W952" s="83">
        <f t="shared" si="757"/>
        <v>0</v>
      </c>
      <c r="X952" s="781">
        <f t="shared" si="758"/>
        <v>0</v>
      </c>
      <c r="Y952" s="781">
        <f t="shared" si="759"/>
        <v>0</v>
      </c>
      <c r="Z952" s="781">
        <f t="shared" si="760"/>
        <v>0</v>
      </c>
      <c r="AA952" s="83">
        <f t="shared" si="753"/>
        <v>0</v>
      </c>
      <c r="AB952" s="83">
        <f t="shared" si="761"/>
        <v>0</v>
      </c>
      <c r="AC952" s="83">
        <f t="shared" si="762"/>
        <v>0</v>
      </c>
      <c r="AD952" s="83">
        <f t="shared" si="763"/>
        <v>0</v>
      </c>
      <c r="AE952" s="83">
        <f t="shared" si="764"/>
        <v>0</v>
      </c>
      <c r="AF952" s="83">
        <f t="shared" si="765"/>
        <v>0</v>
      </c>
      <c r="AG952" s="83">
        <f t="shared" si="766"/>
        <v>0</v>
      </c>
      <c r="AH952" s="83">
        <f t="shared" si="767"/>
        <v>0</v>
      </c>
      <c r="AI952" s="83">
        <f t="shared" si="768"/>
        <v>0</v>
      </c>
      <c r="AJ952" s="718">
        <f t="shared" si="769"/>
        <v>0</v>
      </c>
      <c r="AL952">
        <f t="shared" si="770"/>
        <v>0</v>
      </c>
      <c r="AM952">
        <f t="shared" si="771"/>
        <v>0</v>
      </c>
    </row>
    <row r="953" spans="1:39" ht="15.75" x14ac:dyDescent="0.25">
      <c r="A953" s="561"/>
      <c r="B953" s="561"/>
      <c r="C953" s="561"/>
      <c r="D953" s="672"/>
      <c r="E953" s="209"/>
      <c r="F953" s="209"/>
      <c r="G953" s="209"/>
      <c r="H953" s="176">
        <f t="shared" si="749"/>
        <v>0</v>
      </c>
      <c r="I953" s="209"/>
      <c r="J953" s="209"/>
      <c r="K953" s="176">
        <f t="shared" si="750"/>
        <v>0</v>
      </c>
      <c r="L953" s="209"/>
      <c r="M953" s="177">
        <f t="shared" si="751"/>
        <v>0</v>
      </c>
      <c r="N953" s="1012"/>
      <c r="O953" s="1012"/>
      <c r="P953" s="485"/>
      <c r="Q953" s="778"/>
      <c r="R953" s="778"/>
      <c r="S953" s="785" t="str">
        <f t="shared" si="754"/>
        <v/>
      </c>
      <c r="T953" s="548" t="str">
        <f t="shared" si="752"/>
        <v>Sheet Metal Takeoff</v>
      </c>
      <c r="U953" s="83">
        <f t="shared" si="755"/>
        <v>0</v>
      </c>
      <c r="V953" s="83">
        <f t="shared" si="756"/>
        <v>0</v>
      </c>
      <c r="W953" s="83">
        <f t="shared" si="757"/>
        <v>0</v>
      </c>
      <c r="X953" s="781">
        <f t="shared" si="758"/>
        <v>0</v>
      </c>
      <c r="Y953" s="781">
        <f t="shared" si="759"/>
        <v>0</v>
      </c>
      <c r="Z953" s="781">
        <f t="shared" si="760"/>
        <v>0</v>
      </c>
      <c r="AA953" s="83">
        <f t="shared" si="753"/>
        <v>0</v>
      </c>
      <c r="AB953" s="83">
        <f t="shared" si="761"/>
        <v>0</v>
      </c>
      <c r="AC953" s="83">
        <f t="shared" si="762"/>
        <v>0</v>
      </c>
      <c r="AD953" s="83">
        <f t="shared" si="763"/>
        <v>0</v>
      </c>
      <c r="AE953" s="83">
        <f t="shared" si="764"/>
        <v>0</v>
      </c>
      <c r="AF953" s="83">
        <f t="shared" si="765"/>
        <v>0</v>
      </c>
      <c r="AG953" s="83">
        <f t="shared" si="766"/>
        <v>0</v>
      </c>
      <c r="AH953" s="83">
        <f t="shared" si="767"/>
        <v>0</v>
      </c>
      <c r="AI953" s="83">
        <f t="shared" si="768"/>
        <v>0</v>
      </c>
      <c r="AJ953" s="718">
        <f t="shared" si="769"/>
        <v>0</v>
      </c>
      <c r="AL953">
        <f t="shared" si="770"/>
        <v>0</v>
      </c>
      <c r="AM953">
        <f t="shared" si="771"/>
        <v>0</v>
      </c>
    </row>
    <row r="954" spans="1:39" ht="15.75" x14ac:dyDescent="0.25">
      <c r="A954" s="561"/>
      <c r="B954" s="561"/>
      <c r="C954" s="561"/>
      <c r="D954" s="672"/>
      <c r="E954" s="209"/>
      <c r="F954" s="209"/>
      <c r="G954" s="209"/>
      <c r="H954" s="176">
        <f t="shared" si="749"/>
        <v>0</v>
      </c>
      <c r="I954" s="209"/>
      <c r="J954" s="209"/>
      <c r="K954" s="176">
        <f t="shared" si="750"/>
        <v>0</v>
      </c>
      <c r="L954" s="209"/>
      <c r="M954" s="177">
        <f t="shared" si="751"/>
        <v>0</v>
      </c>
      <c r="N954" s="1012"/>
      <c r="O954" s="1012"/>
      <c r="P954" s="485"/>
      <c r="Q954" s="778"/>
      <c r="R954" s="778"/>
      <c r="S954" s="785" t="str">
        <f t="shared" si="754"/>
        <v/>
      </c>
      <c r="T954" s="548" t="str">
        <f t="shared" si="752"/>
        <v>Sheet Metal Takeoff</v>
      </c>
      <c r="U954" s="83">
        <f t="shared" si="755"/>
        <v>0</v>
      </c>
      <c r="V954" s="83">
        <f t="shared" si="756"/>
        <v>0</v>
      </c>
      <c r="W954" s="83">
        <f t="shared" si="757"/>
        <v>0</v>
      </c>
      <c r="X954" s="781">
        <f t="shared" si="758"/>
        <v>0</v>
      </c>
      <c r="Y954" s="781">
        <f t="shared" si="759"/>
        <v>0</v>
      </c>
      <c r="Z954" s="781">
        <f t="shared" si="760"/>
        <v>0</v>
      </c>
      <c r="AA954" s="83">
        <f t="shared" si="753"/>
        <v>0</v>
      </c>
      <c r="AB954" s="83">
        <f t="shared" si="761"/>
        <v>0</v>
      </c>
      <c r="AC954" s="83">
        <f t="shared" si="762"/>
        <v>0</v>
      </c>
      <c r="AD954" s="83">
        <f t="shared" si="763"/>
        <v>0</v>
      </c>
      <c r="AE954" s="83">
        <f t="shared" si="764"/>
        <v>0</v>
      </c>
      <c r="AF954" s="83">
        <f t="shared" si="765"/>
        <v>0</v>
      </c>
      <c r="AG954" s="83">
        <f t="shared" si="766"/>
        <v>0</v>
      </c>
      <c r="AH954" s="83">
        <f t="shared" si="767"/>
        <v>0</v>
      </c>
      <c r="AI954" s="83">
        <f t="shared" si="768"/>
        <v>0</v>
      </c>
      <c r="AJ954" s="718">
        <f t="shared" si="769"/>
        <v>0</v>
      </c>
      <c r="AL954">
        <f t="shared" si="770"/>
        <v>0</v>
      </c>
      <c r="AM954">
        <f t="shared" si="771"/>
        <v>0</v>
      </c>
    </row>
    <row r="955" spans="1:39" ht="15.75" x14ac:dyDescent="0.25">
      <c r="A955" s="561"/>
      <c r="B955" s="561"/>
      <c r="C955" s="561"/>
      <c r="D955" s="672"/>
      <c r="E955" s="209"/>
      <c r="F955" s="209"/>
      <c r="G955" s="209"/>
      <c r="H955" s="176">
        <f t="shared" si="749"/>
        <v>0</v>
      </c>
      <c r="I955" s="209"/>
      <c r="J955" s="209"/>
      <c r="K955" s="176">
        <f t="shared" si="750"/>
        <v>0</v>
      </c>
      <c r="L955" s="209"/>
      <c r="M955" s="177">
        <f t="shared" si="751"/>
        <v>0</v>
      </c>
      <c r="N955" s="1012"/>
      <c r="O955" s="1012"/>
      <c r="P955" s="485"/>
      <c r="Q955" s="778"/>
      <c r="R955" s="778"/>
      <c r="S955" s="785" t="str">
        <f t="shared" si="754"/>
        <v/>
      </c>
      <c r="T955" s="548" t="str">
        <f t="shared" si="752"/>
        <v>Sheet Metal Takeoff</v>
      </c>
      <c r="U955" s="83">
        <f t="shared" si="755"/>
        <v>0</v>
      </c>
      <c r="V955" s="83">
        <f t="shared" si="756"/>
        <v>0</v>
      </c>
      <c r="W955" s="83">
        <f t="shared" si="757"/>
        <v>0</v>
      </c>
      <c r="X955" s="781">
        <f t="shared" si="758"/>
        <v>0</v>
      </c>
      <c r="Y955" s="781">
        <f t="shared" si="759"/>
        <v>0</v>
      </c>
      <c r="Z955" s="781">
        <f t="shared" si="760"/>
        <v>0</v>
      </c>
      <c r="AA955" s="83">
        <f t="shared" si="753"/>
        <v>0</v>
      </c>
      <c r="AB955" s="83">
        <f t="shared" si="761"/>
        <v>0</v>
      </c>
      <c r="AC955" s="83">
        <f t="shared" si="762"/>
        <v>0</v>
      </c>
      <c r="AD955" s="83">
        <f t="shared" si="763"/>
        <v>0</v>
      </c>
      <c r="AE955" s="83">
        <f t="shared" si="764"/>
        <v>0</v>
      </c>
      <c r="AF955" s="83">
        <f t="shared" si="765"/>
        <v>0</v>
      </c>
      <c r="AG955" s="83">
        <f t="shared" si="766"/>
        <v>0</v>
      </c>
      <c r="AH955" s="83">
        <f t="shared" si="767"/>
        <v>0</v>
      </c>
      <c r="AI955" s="83">
        <f t="shared" si="768"/>
        <v>0</v>
      </c>
      <c r="AJ955" s="718">
        <f t="shared" si="769"/>
        <v>0</v>
      </c>
      <c r="AL955">
        <f t="shared" si="770"/>
        <v>0</v>
      </c>
      <c r="AM955">
        <f t="shared" si="771"/>
        <v>0</v>
      </c>
    </row>
    <row r="956" spans="1:39" ht="15.75" x14ac:dyDescent="0.25">
      <c r="A956" s="561"/>
      <c r="B956" s="561"/>
      <c r="C956" s="561"/>
      <c r="D956" s="672"/>
      <c r="E956" s="209"/>
      <c r="F956" s="209"/>
      <c r="G956" s="209"/>
      <c r="H956" s="176">
        <f t="shared" si="749"/>
        <v>0</v>
      </c>
      <c r="I956" s="209"/>
      <c r="J956" s="209"/>
      <c r="K956" s="176">
        <f t="shared" si="750"/>
        <v>0</v>
      </c>
      <c r="L956" s="209"/>
      <c r="M956" s="177">
        <f t="shared" si="751"/>
        <v>0</v>
      </c>
      <c r="N956" s="1012"/>
      <c r="O956" s="1012"/>
      <c r="P956" s="485"/>
      <c r="Q956" s="778"/>
      <c r="R956" s="778"/>
      <c r="S956" s="785" t="str">
        <f t="shared" si="754"/>
        <v/>
      </c>
      <c r="T956" s="548" t="str">
        <f t="shared" si="752"/>
        <v>Sheet Metal Takeoff</v>
      </c>
      <c r="U956" s="83">
        <f t="shared" si="755"/>
        <v>0</v>
      </c>
      <c r="V956" s="83">
        <f t="shared" si="756"/>
        <v>0</v>
      </c>
      <c r="W956" s="83">
        <f t="shared" si="757"/>
        <v>0</v>
      </c>
      <c r="X956" s="781">
        <f t="shared" si="758"/>
        <v>0</v>
      </c>
      <c r="Y956" s="781">
        <f t="shared" si="759"/>
        <v>0</v>
      </c>
      <c r="Z956" s="781">
        <f t="shared" si="760"/>
        <v>0</v>
      </c>
      <c r="AA956" s="83">
        <f t="shared" si="753"/>
        <v>0</v>
      </c>
      <c r="AB956" s="83">
        <f t="shared" si="761"/>
        <v>0</v>
      </c>
      <c r="AC956" s="83">
        <f t="shared" si="762"/>
        <v>0</v>
      </c>
      <c r="AD956" s="83">
        <f t="shared" si="763"/>
        <v>0</v>
      </c>
      <c r="AE956" s="83">
        <f t="shared" si="764"/>
        <v>0</v>
      </c>
      <c r="AF956" s="83">
        <f t="shared" si="765"/>
        <v>0</v>
      </c>
      <c r="AG956" s="83">
        <f t="shared" si="766"/>
        <v>0</v>
      </c>
      <c r="AH956" s="83">
        <f t="shared" si="767"/>
        <v>0</v>
      </c>
      <c r="AI956" s="83">
        <f t="shared" si="768"/>
        <v>0</v>
      </c>
      <c r="AJ956" s="718">
        <f t="shared" si="769"/>
        <v>0</v>
      </c>
      <c r="AL956">
        <f t="shared" si="770"/>
        <v>0</v>
      </c>
      <c r="AM956">
        <f t="shared" si="771"/>
        <v>0</v>
      </c>
    </row>
    <row r="957" spans="1:39" ht="15.75" x14ac:dyDescent="0.25">
      <c r="A957" s="561"/>
      <c r="B957" s="561"/>
      <c r="C957" s="561"/>
      <c r="D957" s="672"/>
      <c r="E957" s="209"/>
      <c r="F957" s="209"/>
      <c r="G957" s="209"/>
      <c r="H957" s="176">
        <f t="shared" si="749"/>
        <v>0</v>
      </c>
      <c r="I957" s="209"/>
      <c r="J957" s="209"/>
      <c r="K957" s="176">
        <f t="shared" si="750"/>
        <v>0</v>
      </c>
      <c r="L957" s="209"/>
      <c r="M957" s="177">
        <f t="shared" si="751"/>
        <v>0</v>
      </c>
      <c r="N957" s="1012"/>
      <c r="O957" s="1012"/>
      <c r="P957" s="485"/>
      <c r="Q957" s="778"/>
      <c r="R957" s="778"/>
      <c r="S957" s="785" t="str">
        <f t="shared" si="754"/>
        <v/>
      </c>
      <c r="T957" s="548" t="str">
        <f t="shared" si="752"/>
        <v>Sheet Metal Takeoff</v>
      </c>
      <c r="U957" s="83">
        <f t="shared" si="755"/>
        <v>0</v>
      </c>
      <c r="V957" s="83">
        <f t="shared" si="756"/>
        <v>0</v>
      </c>
      <c r="W957" s="83">
        <f t="shared" si="757"/>
        <v>0</v>
      </c>
      <c r="X957" s="781">
        <f t="shared" si="758"/>
        <v>0</v>
      </c>
      <c r="Y957" s="781">
        <f t="shared" si="759"/>
        <v>0</v>
      </c>
      <c r="Z957" s="781">
        <f t="shared" si="760"/>
        <v>0</v>
      </c>
      <c r="AA957" s="83">
        <f t="shared" si="753"/>
        <v>0</v>
      </c>
      <c r="AB957" s="83">
        <f t="shared" si="761"/>
        <v>0</v>
      </c>
      <c r="AC957" s="83">
        <f t="shared" si="762"/>
        <v>0</v>
      </c>
      <c r="AD957" s="83">
        <f t="shared" si="763"/>
        <v>0</v>
      </c>
      <c r="AE957" s="83">
        <f t="shared" si="764"/>
        <v>0</v>
      </c>
      <c r="AF957" s="83">
        <f t="shared" si="765"/>
        <v>0</v>
      </c>
      <c r="AG957" s="83">
        <f t="shared" si="766"/>
        <v>0</v>
      </c>
      <c r="AH957" s="83">
        <f t="shared" si="767"/>
        <v>0</v>
      </c>
      <c r="AI957" s="83">
        <f t="shared" si="768"/>
        <v>0</v>
      </c>
      <c r="AJ957" s="718">
        <f t="shared" si="769"/>
        <v>0</v>
      </c>
      <c r="AL957">
        <f t="shared" si="770"/>
        <v>0</v>
      </c>
      <c r="AM957">
        <f t="shared" si="771"/>
        <v>0</v>
      </c>
    </row>
    <row r="958" spans="1:39" ht="15.75" x14ac:dyDescent="0.25">
      <c r="A958" s="561"/>
      <c r="B958" s="561"/>
      <c r="C958" s="561"/>
      <c r="D958" s="672"/>
      <c r="E958" s="209"/>
      <c r="F958" s="209"/>
      <c r="G958" s="209"/>
      <c r="H958" s="176">
        <f t="shared" si="749"/>
        <v>0</v>
      </c>
      <c r="I958" s="209"/>
      <c r="J958" s="209"/>
      <c r="K958" s="176">
        <f t="shared" si="750"/>
        <v>0</v>
      </c>
      <c r="L958" s="209"/>
      <c r="M958" s="177">
        <f t="shared" si="751"/>
        <v>0</v>
      </c>
      <c r="N958" s="1012"/>
      <c r="O958" s="1012"/>
      <c r="P958" s="485"/>
      <c r="Q958" s="778"/>
      <c r="R958" s="778"/>
      <c r="S958" s="785" t="str">
        <f t="shared" si="754"/>
        <v/>
      </c>
      <c r="T958" s="548" t="str">
        <f t="shared" si="752"/>
        <v>Sheet Metal Takeoff</v>
      </c>
      <c r="U958" s="83">
        <f t="shared" si="755"/>
        <v>0</v>
      </c>
      <c r="V958" s="83">
        <f t="shared" si="756"/>
        <v>0</v>
      </c>
      <c r="W958" s="83">
        <f t="shared" si="757"/>
        <v>0</v>
      </c>
      <c r="X958" s="781">
        <f t="shared" si="758"/>
        <v>0</v>
      </c>
      <c r="Y958" s="781">
        <f t="shared" si="759"/>
        <v>0</v>
      </c>
      <c r="Z958" s="781">
        <f t="shared" si="760"/>
        <v>0</v>
      </c>
      <c r="AA958" s="83">
        <f t="shared" si="753"/>
        <v>0</v>
      </c>
      <c r="AB958" s="83">
        <f t="shared" si="761"/>
        <v>0</v>
      </c>
      <c r="AC958" s="83">
        <f t="shared" si="762"/>
        <v>0</v>
      </c>
      <c r="AD958" s="83">
        <f t="shared" si="763"/>
        <v>0</v>
      </c>
      <c r="AE958" s="83">
        <f t="shared" si="764"/>
        <v>0</v>
      </c>
      <c r="AF958" s="83">
        <f t="shared" si="765"/>
        <v>0</v>
      </c>
      <c r="AG958" s="83">
        <f t="shared" si="766"/>
        <v>0</v>
      </c>
      <c r="AH958" s="83">
        <f t="shared" si="767"/>
        <v>0</v>
      </c>
      <c r="AI958" s="83">
        <f t="shared" si="768"/>
        <v>0</v>
      </c>
      <c r="AJ958" s="718">
        <f t="shared" si="769"/>
        <v>0</v>
      </c>
      <c r="AL958">
        <f t="shared" si="770"/>
        <v>0</v>
      </c>
      <c r="AM958">
        <f t="shared" si="771"/>
        <v>0</v>
      </c>
    </row>
    <row r="959" spans="1:39" ht="15.75" x14ac:dyDescent="0.25">
      <c r="A959" s="561"/>
      <c r="B959" s="561"/>
      <c r="C959" s="561"/>
      <c r="D959" s="672"/>
      <c r="E959" s="209"/>
      <c r="F959" s="209"/>
      <c r="G959" s="209"/>
      <c r="H959" s="176">
        <f t="shared" si="749"/>
        <v>0</v>
      </c>
      <c r="I959" s="209"/>
      <c r="J959" s="209"/>
      <c r="K959" s="176">
        <f t="shared" si="750"/>
        <v>0</v>
      </c>
      <c r="L959" s="209"/>
      <c r="M959" s="177">
        <f t="shared" si="751"/>
        <v>0</v>
      </c>
      <c r="N959" s="1012"/>
      <c r="O959" s="1012"/>
      <c r="P959" s="485"/>
      <c r="Q959" s="778"/>
      <c r="R959" s="778"/>
      <c r="S959" s="785" t="str">
        <f t="shared" si="754"/>
        <v/>
      </c>
      <c r="T959" s="548" t="str">
        <f t="shared" si="752"/>
        <v>Sheet Metal Takeoff</v>
      </c>
      <c r="U959" s="83">
        <f t="shared" si="755"/>
        <v>0</v>
      </c>
      <c r="V959" s="83">
        <f t="shared" si="756"/>
        <v>0</v>
      </c>
      <c r="W959" s="83">
        <f t="shared" si="757"/>
        <v>0</v>
      </c>
      <c r="X959" s="781">
        <f t="shared" si="758"/>
        <v>0</v>
      </c>
      <c r="Y959" s="781">
        <f t="shared" si="759"/>
        <v>0</v>
      </c>
      <c r="Z959" s="781">
        <f t="shared" si="760"/>
        <v>0</v>
      </c>
      <c r="AA959" s="83">
        <f t="shared" si="753"/>
        <v>0</v>
      </c>
      <c r="AB959" s="83">
        <f t="shared" si="761"/>
        <v>0</v>
      </c>
      <c r="AC959" s="83">
        <f t="shared" si="762"/>
        <v>0</v>
      </c>
      <c r="AD959" s="83">
        <f t="shared" si="763"/>
        <v>0</v>
      </c>
      <c r="AE959" s="83">
        <f t="shared" si="764"/>
        <v>0</v>
      </c>
      <c r="AF959" s="83">
        <f t="shared" si="765"/>
        <v>0</v>
      </c>
      <c r="AG959" s="83">
        <f t="shared" si="766"/>
        <v>0</v>
      </c>
      <c r="AH959" s="83">
        <f t="shared" si="767"/>
        <v>0</v>
      </c>
      <c r="AI959" s="83">
        <f t="shared" si="768"/>
        <v>0</v>
      </c>
      <c r="AJ959" s="718">
        <f t="shared" si="769"/>
        <v>0</v>
      </c>
      <c r="AL959">
        <f t="shared" si="770"/>
        <v>0</v>
      </c>
      <c r="AM959">
        <f t="shared" si="771"/>
        <v>0</v>
      </c>
    </row>
    <row r="960" spans="1:39" ht="15.75" x14ac:dyDescent="0.25">
      <c r="A960" s="561"/>
      <c r="B960" s="561"/>
      <c r="C960" s="561"/>
      <c r="D960" s="672"/>
      <c r="E960" s="209"/>
      <c r="F960" s="209"/>
      <c r="G960" s="209"/>
      <c r="H960" s="176">
        <f t="shared" si="749"/>
        <v>0</v>
      </c>
      <c r="I960" s="209"/>
      <c r="J960" s="209"/>
      <c r="K960" s="176">
        <f t="shared" si="750"/>
        <v>0</v>
      </c>
      <c r="L960" s="209"/>
      <c r="M960" s="177">
        <f t="shared" si="751"/>
        <v>0</v>
      </c>
      <c r="N960" s="1012"/>
      <c r="O960" s="1012"/>
      <c r="P960" s="485"/>
      <c r="Q960" s="778"/>
      <c r="R960" s="778"/>
      <c r="S960" s="785" t="str">
        <f t="shared" si="754"/>
        <v/>
      </c>
      <c r="T960" s="548" t="str">
        <f t="shared" si="752"/>
        <v>Sheet Metal Takeoff</v>
      </c>
      <c r="U960" s="83">
        <f t="shared" si="755"/>
        <v>0</v>
      </c>
      <c r="V960" s="83">
        <f t="shared" si="756"/>
        <v>0</v>
      </c>
      <c r="W960" s="83">
        <f t="shared" si="757"/>
        <v>0</v>
      </c>
      <c r="X960" s="781">
        <f t="shared" si="758"/>
        <v>0</v>
      </c>
      <c r="Y960" s="781">
        <f t="shared" si="759"/>
        <v>0</v>
      </c>
      <c r="Z960" s="781">
        <f t="shared" si="760"/>
        <v>0</v>
      </c>
      <c r="AA960" s="83">
        <f t="shared" si="753"/>
        <v>0</v>
      </c>
      <c r="AB960" s="83">
        <f t="shared" si="761"/>
        <v>0</v>
      </c>
      <c r="AC960" s="83">
        <f t="shared" si="762"/>
        <v>0</v>
      </c>
      <c r="AD960" s="83">
        <f t="shared" si="763"/>
        <v>0</v>
      </c>
      <c r="AE960" s="83">
        <f t="shared" si="764"/>
        <v>0</v>
      </c>
      <c r="AF960" s="83">
        <f t="shared" si="765"/>
        <v>0</v>
      </c>
      <c r="AG960" s="83">
        <f t="shared" si="766"/>
        <v>0</v>
      </c>
      <c r="AH960" s="83">
        <f t="shared" si="767"/>
        <v>0</v>
      </c>
      <c r="AI960" s="83">
        <f t="shared" si="768"/>
        <v>0</v>
      </c>
      <c r="AJ960" s="718">
        <f t="shared" si="769"/>
        <v>0</v>
      </c>
      <c r="AL960">
        <f t="shared" si="770"/>
        <v>0</v>
      </c>
      <c r="AM960">
        <f t="shared" si="771"/>
        <v>0</v>
      </c>
    </row>
    <row r="961" spans="1:39" ht="15.75" x14ac:dyDescent="0.25">
      <c r="A961" s="561"/>
      <c r="B961" s="561"/>
      <c r="C961" s="561"/>
      <c r="D961" s="672"/>
      <c r="E961" s="209"/>
      <c r="F961" s="209"/>
      <c r="G961" s="209"/>
      <c r="H961" s="176">
        <f t="shared" si="749"/>
        <v>0</v>
      </c>
      <c r="I961" s="209"/>
      <c r="J961" s="209"/>
      <c r="K961" s="176">
        <f t="shared" si="750"/>
        <v>0</v>
      </c>
      <c r="L961" s="209"/>
      <c r="M961" s="177">
        <f t="shared" si="751"/>
        <v>0</v>
      </c>
      <c r="N961" s="1012"/>
      <c r="O961" s="1012"/>
      <c r="P961" s="485"/>
      <c r="Q961" s="778"/>
      <c r="R961" s="778"/>
      <c r="S961" s="785" t="str">
        <f t="shared" si="754"/>
        <v/>
      </c>
      <c r="T961" s="548" t="str">
        <f t="shared" si="752"/>
        <v>Sheet Metal Takeoff</v>
      </c>
      <c r="U961" s="83">
        <f t="shared" si="755"/>
        <v>0</v>
      </c>
      <c r="V961" s="83">
        <f t="shared" si="756"/>
        <v>0</v>
      </c>
      <c r="W961" s="83">
        <f t="shared" si="757"/>
        <v>0</v>
      </c>
      <c r="X961" s="781">
        <f t="shared" si="758"/>
        <v>0</v>
      </c>
      <c r="Y961" s="781">
        <f t="shared" si="759"/>
        <v>0</v>
      </c>
      <c r="Z961" s="781">
        <f t="shared" si="760"/>
        <v>0</v>
      </c>
      <c r="AA961" s="83">
        <f t="shared" si="753"/>
        <v>0</v>
      </c>
      <c r="AB961" s="83">
        <f t="shared" si="761"/>
        <v>0</v>
      </c>
      <c r="AC961" s="83">
        <f t="shared" si="762"/>
        <v>0</v>
      </c>
      <c r="AD961" s="83">
        <f t="shared" si="763"/>
        <v>0</v>
      </c>
      <c r="AE961" s="83">
        <f t="shared" si="764"/>
        <v>0</v>
      </c>
      <c r="AF961" s="83">
        <f t="shared" si="765"/>
        <v>0</v>
      </c>
      <c r="AG961" s="83">
        <f t="shared" si="766"/>
        <v>0</v>
      </c>
      <c r="AH961" s="83">
        <f t="shared" si="767"/>
        <v>0</v>
      </c>
      <c r="AI961" s="83">
        <f t="shared" si="768"/>
        <v>0</v>
      </c>
      <c r="AJ961" s="718">
        <f t="shared" si="769"/>
        <v>0</v>
      </c>
      <c r="AL961">
        <f t="shared" si="770"/>
        <v>0</v>
      </c>
      <c r="AM961">
        <f t="shared" si="771"/>
        <v>0</v>
      </c>
    </row>
    <row r="962" spans="1:39" ht="15.75" x14ac:dyDescent="0.25">
      <c r="A962" s="561"/>
      <c r="B962" s="561"/>
      <c r="C962" s="561"/>
      <c r="D962" s="672"/>
      <c r="E962" s="209"/>
      <c r="F962" s="209"/>
      <c r="G962" s="209"/>
      <c r="H962" s="176">
        <f t="shared" si="749"/>
        <v>0</v>
      </c>
      <c r="I962" s="209"/>
      <c r="J962" s="209"/>
      <c r="K962" s="176">
        <f t="shared" si="750"/>
        <v>0</v>
      </c>
      <c r="L962" s="209"/>
      <c r="M962" s="177">
        <f t="shared" si="751"/>
        <v>0</v>
      </c>
      <c r="N962" s="1012"/>
      <c r="O962" s="1012"/>
      <c r="P962" s="485"/>
      <c r="Q962" s="778"/>
      <c r="R962" s="778"/>
      <c r="S962" s="785" t="str">
        <f t="shared" si="754"/>
        <v/>
      </c>
      <c r="T962" s="548" t="str">
        <f t="shared" si="752"/>
        <v>Sheet Metal Takeoff</v>
      </c>
      <c r="U962" s="83">
        <f t="shared" si="755"/>
        <v>0</v>
      </c>
      <c r="V962" s="83">
        <f t="shared" si="756"/>
        <v>0</v>
      </c>
      <c r="W962" s="83">
        <f t="shared" si="757"/>
        <v>0</v>
      </c>
      <c r="X962" s="781">
        <f t="shared" si="758"/>
        <v>0</v>
      </c>
      <c r="Y962" s="781">
        <f t="shared" si="759"/>
        <v>0</v>
      </c>
      <c r="Z962" s="781">
        <f t="shared" si="760"/>
        <v>0</v>
      </c>
      <c r="AA962" s="83">
        <f t="shared" si="753"/>
        <v>0</v>
      </c>
      <c r="AB962" s="83">
        <f t="shared" si="761"/>
        <v>0</v>
      </c>
      <c r="AC962" s="83">
        <f t="shared" si="762"/>
        <v>0</v>
      </c>
      <c r="AD962" s="83">
        <f t="shared" si="763"/>
        <v>0</v>
      </c>
      <c r="AE962" s="83">
        <f t="shared" si="764"/>
        <v>0</v>
      </c>
      <c r="AF962" s="83">
        <f t="shared" si="765"/>
        <v>0</v>
      </c>
      <c r="AG962" s="83">
        <f t="shared" si="766"/>
        <v>0</v>
      </c>
      <c r="AH962" s="83">
        <f t="shared" si="767"/>
        <v>0</v>
      </c>
      <c r="AI962" s="83">
        <f t="shared" si="768"/>
        <v>0</v>
      </c>
      <c r="AJ962" s="718">
        <f t="shared" si="769"/>
        <v>0</v>
      </c>
      <c r="AL962">
        <f t="shared" si="770"/>
        <v>0</v>
      </c>
      <c r="AM962">
        <f t="shared" si="771"/>
        <v>0</v>
      </c>
    </row>
    <row r="963" spans="1:39" ht="15.75" x14ac:dyDescent="0.25">
      <c r="A963" s="561"/>
      <c r="B963" s="561"/>
      <c r="C963" s="561"/>
      <c r="D963" s="672"/>
      <c r="E963" s="209"/>
      <c r="F963" s="209"/>
      <c r="G963" s="209"/>
      <c r="H963" s="176">
        <f t="shared" si="749"/>
        <v>0</v>
      </c>
      <c r="I963" s="209"/>
      <c r="J963" s="209"/>
      <c r="K963" s="176">
        <f t="shared" si="750"/>
        <v>0</v>
      </c>
      <c r="L963" s="209"/>
      <c r="M963" s="177">
        <f t="shared" si="751"/>
        <v>0</v>
      </c>
      <c r="N963" s="1012"/>
      <c r="O963" s="1012"/>
      <c r="P963" s="485"/>
      <c r="Q963" s="778"/>
      <c r="R963" s="778"/>
      <c r="S963" s="785" t="str">
        <f t="shared" si="754"/>
        <v/>
      </c>
      <c r="T963" s="548" t="str">
        <f t="shared" si="752"/>
        <v>Sheet Metal Takeoff</v>
      </c>
      <c r="U963" s="83">
        <f t="shared" si="755"/>
        <v>0</v>
      </c>
      <c r="V963" s="83">
        <f t="shared" si="756"/>
        <v>0</v>
      </c>
      <c r="W963" s="83">
        <f t="shared" si="757"/>
        <v>0</v>
      </c>
      <c r="X963" s="781">
        <f t="shared" si="758"/>
        <v>0</v>
      </c>
      <c r="Y963" s="781">
        <f t="shared" si="759"/>
        <v>0</v>
      </c>
      <c r="Z963" s="781">
        <f t="shared" si="760"/>
        <v>0</v>
      </c>
      <c r="AA963" s="83">
        <f t="shared" si="753"/>
        <v>0</v>
      </c>
      <c r="AB963" s="83">
        <f t="shared" si="761"/>
        <v>0</v>
      </c>
      <c r="AC963" s="83">
        <f t="shared" si="762"/>
        <v>0</v>
      </c>
      <c r="AD963" s="83">
        <f t="shared" si="763"/>
        <v>0</v>
      </c>
      <c r="AE963" s="83">
        <f t="shared" si="764"/>
        <v>0</v>
      </c>
      <c r="AF963" s="83">
        <f t="shared" si="765"/>
        <v>0</v>
      </c>
      <c r="AG963" s="83">
        <f t="shared" si="766"/>
        <v>0</v>
      </c>
      <c r="AH963" s="83">
        <f t="shared" si="767"/>
        <v>0</v>
      </c>
      <c r="AI963" s="83">
        <f t="shared" si="768"/>
        <v>0</v>
      </c>
      <c r="AJ963" s="718">
        <f t="shared" si="769"/>
        <v>0</v>
      </c>
      <c r="AL963">
        <f t="shared" si="770"/>
        <v>0</v>
      </c>
      <c r="AM963">
        <f t="shared" si="771"/>
        <v>0</v>
      </c>
    </row>
    <row r="964" spans="1:39" ht="15.75" x14ac:dyDescent="0.25">
      <c r="A964" s="561"/>
      <c r="B964" s="561"/>
      <c r="C964" s="561"/>
      <c r="D964" s="672"/>
      <c r="E964" s="209"/>
      <c r="F964" s="209"/>
      <c r="G964" s="209"/>
      <c r="H964" s="176">
        <f t="shared" si="749"/>
        <v>0</v>
      </c>
      <c r="I964" s="209"/>
      <c r="J964" s="209"/>
      <c r="K964" s="176">
        <f t="shared" si="750"/>
        <v>0</v>
      </c>
      <c r="L964" s="209"/>
      <c r="M964" s="177">
        <f t="shared" si="751"/>
        <v>0</v>
      </c>
      <c r="N964" s="1012"/>
      <c r="O964" s="1012"/>
      <c r="P964" s="485"/>
      <c r="Q964" s="778"/>
      <c r="R964" s="778"/>
      <c r="S964" s="785" t="str">
        <f t="shared" si="754"/>
        <v/>
      </c>
      <c r="T964" s="548" t="str">
        <f t="shared" si="752"/>
        <v>Sheet Metal Takeoff</v>
      </c>
      <c r="U964" s="83">
        <f t="shared" si="755"/>
        <v>0</v>
      </c>
      <c r="V964" s="83">
        <f t="shared" si="756"/>
        <v>0</v>
      </c>
      <c r="W964" s="83">
        <f t="shared" si="757"/>
        <v>0</v>
      </c>
      <c r="X964" s="781">
        <f t="shared" si="758"/>
        <v>0</v>
      </c>
      <c r="Y964" s="781">
        <f t="shared" si="759"/>
        <v>0</v>
      </c>
      <c r="Z964" s="781">
        <f t="shared" si="760"/>
        <v>0</v>
      </c>
      <c r="AA964" s="83">
        <f t="shared" si="753"/>
        <v>0</v>
      </c>
      <c r="AB964" s="83">
        <f t="shared" si="761"/>
        <v>0</v>
      </c>
      <c r="AC964" s="83">
        <f t="shared" si="762"/>
        <v>0</v>
      </c>
      <c r="AD964" s="83">
        <f t="shared" si="763"/>
        <v>0</v>
      </c>
      <c r="AE964" s="83">
        <f t="shared" si="764"/>
        <v>0</v>
      </c>
      <c r="AF964" s="83">
        <f t="shared" si="765"/>
        <v>0</v>
      </c>
      <c r="AG964" s="83">
        <f t="shared" si="766"/>
        <v>0</v>
      </c>
      <c r="AH964" s="83">
        <f t="shared" si="767"/>
        <v>0</v>
      </c>
      <c r="AI964" s="83">
        <f t="shared" si="768"/>
        <v>0</v>
      </c>
      <c r="AJ964" s="718">
        <f t="shared" si="769"/>
        <v>0</v>
      </c>
      <c r="AL964">
        <f t="shared" si="770"/>
        <v>0</v>
      </c>
      <c r="AM964">
        <f t="shared" si="771"/>
        <v>0</v>
      </c>
    </row>
    <row r="965" spans="1:39" ht="15.75" x14ac:dyDescent="0.25">
      <c r="A965" s="561"/>
      <c r="B965" s="561"/>
      <c r="C965" s="561"/>
      <c r="D965" s="672"/>
      <c r="E965" s="209"/>
      <c r="F965" s="209"/>
      <c r="G965" s="209"/>
      <c r="H965" s="176">
        <f t="shared" si="749"/>
        <v>0</v>
      </c>
      <c r="I965" s="209"/>
      <c r="J965" s="209"/>
      <c r="K965" s="176">
        <f t="shared" si="750"/>
        <v>0</v>
      </c>
      <c r="L965" s="209"/>
      <c r="M965" s="177">
        <f t="shared" si="751"/>
        <v>0</v>
      </c>
      <c r="N965" s="1012"/>
      <c r="O965" s="1012"/>
      <c r="P965" s="485"/>
      <c r="Q965" s="778"/>
      <c r="R965" s="778"/>
      <c r="S965" s="785" t="str">
        <f t="shared" si="754"/>
        <v/>
      </c>
      <c r="T965" s="548" t="str">
        <f t="shared" si="752"/>
        <v>Sheet Metal Takeoff</v>
      </c>
      <c r="U965" s="83">
        <f t="shared" si="755"/>
        <v>0</v>
      </c>
      <c r="V965" s="83">
        <f t="shared" si="756"/>
        <v>0</v>
      </c>
      <c r="W965" s="83">
        <f t="shared" si="757"/>
        <v>0</v>
      </c>
      <c r="X965" s="781">
        <f t="shared" si="758"/>
        <v>0</v>
      </c>
      <c r="Y965" s="781">
        <f t="shared" si="759"/>
        <v>0</v>
      </c>
      <c r="Z965" s="781">
        <f t="shared" si="760"/>
        <v>0</v>
      </c>
      <c r="AA965" s="83">
        <f t="shared" si="753"/>
        <v>0</v>
      </c>
      <c r="AB965" s="83">
        <f t="shared" si="761"/>
        <v>0</v>
      </c>
      <c r="AC965" s="83">
        <f t="shared" si="762"/>
        <v>0</v>
      </c>
      <c r="AD965" s="83">
        <f t="shared" si="763"/>
        <v>0</v>
      </c>
      <c r="AE965" s="83">
        <f t="shared" si="764"/>
        <v>0</v>
      </c>
      <c r="AF965" s="83">
        <f t="shared" si="765"/>
        <v>0</v>
      </c>
      <c r="AG965" s="83">
        <f t="shared" si="766"/>
        <v>0</v>
      </c>
      <c r="AH965" s="83">
        <f t="shared" si="767"/>
        <v>0</v>
      </c>
      <c r="AI965" s="83">
        <f t="shared" si="768"/>
        <v>0</v>
      </c>
      <c r="AJ965" s="718">
        <f t="shared" si="769"/>
        <v>0</v>
      </c>
      <c r="AL965">
        <f t="shared" si="770"/>
        <v>0</v>
      </c>
      <c r="AM965">
        <f t="shared" si="771"/>
        <v>0</v>
      </c>
    </row>
    <row r="966" spans="1:39" ht="15.75" x14ac:dyDescent="0.25">
      <c r="A966" s="561"/>
      <c r="B966" s="561"/>
      <c r="C966" s="561"/>
      <c r="D966" s="672"/>
      <c r="E966" s="209"/>
      <c r="F966" s="209"/>
      <c r="G966" s="209"/>
      <c r="H966" s="176">
        <f t="shared" si="749"/>
        <v>0</v>
      </c>
      <c r="I966" s="209"/>
      <c r="J966" s="209"/>
      <c r="K966" s="176">
        <f t="shared" si="750"/>
        <v>0</v>
      </c>
      <c r="L966" s="209"/>
      <c r="M966" s="177">
        <f t="shared" si="751"/>
        <v>0</v>
      </c>
      <c r="N966" s="1012"/>
      <c r="O966" s="1012"/>
      <c r="P966" s="485"/>
      <c r="Q966" s="778"/>
      <c r="R966" s="778"/>
      <c r="S966" s="785" t="str">
        <f t="shared" si="754"/>
        <v/>
      </c>
      <c r="T966" s="548" t="str">
        <f t="shared" si="752"/>
        <v>Sheet Metal Takeoff</v>
      </c>
      <c r="U966" s="83">
        <f t="shared" si="755"/>
        <v>0</v>
      </c>
      <c r="V966" s="83">
        <f t="shared" si="756"/>
        <v>0</v>
      </c>
      <c r="W966" s="83">
        <f t="shared" si="757"/>
        <v>0</v>
      </c>
      <c r="X966" s="781">
        <f t="shared" si="758"/>
        <v>0</v>
      </c>
      <c r="Y966" s="781">
        <f t="shared" si="759"/>
        <v>0</v>
      </c>
      <c r="Z966" s="781">
        <f t="shared" si="760"/>
        <v>0</v>
      </c>
      <c r="AA966" s="83">
        <f t="shared" si="753"/>
        <v>0</v>
      </c>
      <c r="AB966" s="83">
        <f t="shared" si="761"/>
        <v>0</v>
      </c>
      <c r="AC966" s="83">
        <f t="shared" si="762"/>
        <v>0</v>
      </c>
      <c r="AD966" s="83">
        <f t="shared" si="763"/>
        <v>0</v>
      </c>
      <c r="AE966" s="83">
        <f t="shared" si="764"/>
        <v>0</v>
      </c>
      <c r="AF966" s="83">
        <f t="shared" si="765"/>
        <v>0</v>
      </c>
      <c r="AG966" s="83">
        <f t="shared" si="766"/>
        <v>0</v>
      </c>
      <c r="AH966" s="83">
        <f t="shared" si="767"/>
        <v>0</v>
      </c>
      <c r="AI966" s="83">
        <f t="shared" si="768"/>
        <v>0</v>
      </c>
      <c r="AJ966" s="718">
        <f t="shared" si="769"/>
        <v>0</v>
      </c>
      <c r="AL966">
        <f t="shared" si="770"/>
        <v>0</v>
      </c>
      <c r="AM966">
        <f t="shared" si="771"/>
        <v>0</v>
      </c>
    </row>
    <row r="967" spans="1:39" ht="15.75" x14ac:dyDescent="0.25">
      <c r="A967" s="561"/>
      <c r="B967" s="561"/>
      <c r="C967" s="561"/>
      <c r="D967" s="672"/>
      <c r="E967" s="209"/>
      <c r="F967" s="209"/>
      <c r="G967" s="209"/>
      <c r="H967" s="176">
        <f t="shared" si="749"/>
        <v>0</v>
      </c>
      <c r="I967" s="209"/>
      <c r="J967" s="209"/>
      <c r="K967" s="176">
        <f t="shared" si="750"/>
        <v>0</v>
      </c>
      <c r="L967" s="209"/>
      <c r="M967" s="177">
        <f t="shared" si="751"/>
        <v>0</v>
      </c>
      <c r="N967" s="1012"/>
      <c r="O967" s="1012"/>
      <c r="P967" s="485"/>
      <c r="Q967" s="778"/>
      <c r="R967" s="778"/>
      <c r="S967" s="785" t="str">
        <f t="shared" si="754"/>
        <v/>
      </c>
      <c r="T967" s="548" t="str">
        <f t="shared" si="752"/>
        <v>Sheet Metal Takeoff</v>
      </c>
      <c r="U967" s="83">
        <f t="shared" si="755"/>
        <v>0</v>
      </c>
      <c r="V967" s="83">
        <f t="shared" si="756"/>
        <v>0</v>
      </c>
      <c r="W967" s="83">
        <f t="shared" si="757"/>
        <v>0</v>
      </c>
      <c r="X967" s="781">
        <f t="shared" si="758"/>
        <v>0</v>
      </c>
      <c r="Y967" s="781">
        <f t="shared" si="759"/>
        <v>0</v>
      </c>
      <c r="Z967" s="781">
        <f t="shared" si="760"/>
        <v>0</v>
      </c>
      <c r="AA967" s="83">
        <f t="shared" si="753"/>
        <v>0</v>
      </c>
      <c r="AB967" s="83">
        <f t="shared" si="761"/>
        <v>0</v>
      </c>
      <c r="AC967" s="83">
        <f t="shared" si="762"/>
        <v>0</v>
      </c>
      <c r="AD967" s="83">
        <f t="shared" si="763"/>
        <v>0</v>
      </c>
      <c r="AE967" s="83">
        <f t="shared" si="764"/>
        <v>0</v>
      </c>
      <c r="AF967" s="83">
        <f t="shared" si="765"/>
        <v>0</v>
      </c>
      <c r="AG967" s="83">
        <f t="shared" si="766"/>
        <v>0</v>
      </c>
      <c r="AH967" s="83">
        <f t="shared" si="767"/>
        <v>0</v>
      </c>
      <c r="AI967" s="83">
        <f t="shared" si="768"/>
        <v>0</v>
      </c>
      <c r="AJ967" s="718">
        <f t="shared" si="769"/>
        <v>0</v>
      </c>
      <c r="AL967">
        <f t="shared" si="770"/>
        <v>0</v>
      </c>
      <c r="AM967">
        <f t="shared" si="771"/>
        <v>0</v>
      </c>
    </row>
    <row r="968" spans="1:39" ht="15.75" x14ac:dyDescent="0.25">
      <c r="A968" s="561"/>
      <c r="B968" s="561"/>
      <c r="C968" s="561"/>
      <c r="D968" s="672"/>
      <c r="E968" s="209"/>
      <c r="F968" s="209"/>
      <c r="G968" s="209"/>
      <c r="H968" s="176">
        <f t="shared" si="749"/>
        <v>0</v>
      </c>
      <c r="I968" s="209"/>
      <c r="J968" s="209"/>
      <c r="K968" s="176">
        <f t="shared" si="750"/>
        <v>0</v>
      </c>
      <c r="L968" s="209"/>
      <c r="M968" s="177">
        <f t="shared" si="751"/>
        <v>0</v>
      </c>
      <c r="N968" s="1012"/>
      <c r="O968" s="1012"/>
      <c r="P968" s="485"/>
      <c r="Q968" s="778"/>
      <c r="R968" s="778"/>
      <c r="S968" s="785" t="str">
        <f t="shared" si="754"/>
        <v/>
      </c>
      <c r="T968" s="548" t="str">
        <f t="shared" si="752"/>
        <v>Sheet Metal Takeoff</v>
      </c>
      <c r="U968" s="83">
        <f t="shared" si="755"/>
        <v>0</v>
      </c>
      <c r="V968" s="83">
        <f t="shared" si="756"/>
        <v>0</v>
      </c>
      <c r="W968" s="83">
        <f t="shared" si="757"/>
        <v>0</v>
      </c>
      <c r="X968" s="781">
        <f t="shared" si="758"/>
        <v>0</v>
      </c>
      <c r="Y968" s="781">
        <f t="shared" si="759"/>
        <v>0</v>
      </c>
      <c r="Z968" s="781">
        <f t="shared" si="760"/>
        <v>0</v>
      </c>
      <c r="AA968" s="83">
        <f t="shared" si="753"/>
        <v>0</v>
      </c>
      <c r="AB968" s="83">
        <f t="shared" si="761"/>
        <v>0</v>
      </c>
      <c r="AC968" s="83">
        <f t="shared" si="762"/>
        <v>0</v>
      </c>
      <c r="AD968" s="83">
        <f t="shared" si="763"/>
        <v>0</v>
      </c>
      <c r="AE968" s="83">
        <f t="shared" si="764"/>
        <v>0</v>
      </c>
      <c r="AF968" s="83">
        <f t="shared" si="765"/>
        <v>0</v>
      </c>
      <c r="AG968" s="83">
        <f t="shared" si="766"/>
        <v>0</v>
      </c>
      <c r="AH968" s="83">
        <f t="shared" si="767"/>
        <v>0</v>
      </c>
      <c r="AI968" s="83">
        <f t="shared" si="768"/>
        <v>0</v>
      </c>
      <c r="AJ968" s="718">
        <f t="shared" si="769"/>
        <v>0</v>
      </c>
      <c r="AL968">
        <f t="shared" si="770"/>
        <v>0</v>
      </c>
      <c r="AM968">
        <f t="shared" si="771"/>
        <v>0</v>
      </c>
    </row>
    <row r="969" spans="1:39" ht="15.75" x14ac:dyDescent="0.25">
      <c r="A969" s="561"/>
      <c r="B969" s="561"/>
      <c r="C969" s="561"/>
      <c r="D969" s="672"/>
      <c r="E969" s="209"/>
      <c r="F969" s="209"/>
      <c r="G969" s="209"/>
      <c r="H969" s="176">
        <f t="shared" si="749"/>
        <v>0</v>
      </c>
      <c r="I969" s="209"/>
      <c r="J969" s="209"/>
      <c r="K969" s="176">
        <f t="shared" si="750"/>
        <v>0</v>
      </c>
      <c r="L969" s="209"/>
      <c r="M969" s="177">
        <f t="shared" si="751"/>
        <v>0</v>
      </c>
      <c r="N969" s="1012"/>
      <c r="O969" s="1012"/>
      <c r="P969" s="485"/>
      <c r="Q969" s="778"/>
      <c r="R969" s="778"/>
      <c r="S969" s="785" t="str">
        <f t="shared" si="754"/>
        <v/>
      </c>
      <c r="T969" s="548" t="str">
        <f t="shared" si="752"/>
        <v>Sheet Metal Takeoff</v>
      </c>
      <c r="U969" s="83">
        <f t="shared" si="755"/>
        <v>0</v>
      </c>
      <c r="V969" s="83">
        <f t="shared" si="756"/>
        <v>0</v>
      </c>
      <c r="W969" s="83">
        <f t="shared" si="757"/>
        <v>0</v>
      </c>
      <c r="X969" s="781">
        <f t="shared" si="758"/>
        <v>0</v>
      </c>
      <c r="Y969" s="781">
        <f t="shared" si="759"/>
        <v>0</v>
      </c>
      <c r="Z969" s="781">
        <f t="shared" si="760"/>
        <v>0</v>
      </c>
      <c r="AA969" s="83">
        <f t="shared" si="753"/>
        <v>0</v>
      </c>
      <c r="AB969" s="83">
        <f t="shared" si="761"/>
        <v>0</v>
      </c>
      <c r="AC969" s="83">
        <f t="shared" si="762"/>
        <v>0</v>
      </c>
      <c r="AD969" s="83">
        <f t="shared" si="763"/>
        <v>0</v>
      </c>
      <c r="AE969" s="83">
        <f t="shared" si="764"/>
        <v>0</v>
      </c>
      <c r="AF969" s="83">
        <f t="shared" si="765"/>
        <v>0</v>
      </c>
      <c r="AG969" s="83">
        <f t="shared" si="766"/>
        <v>0</v>
      </c>
      <c r="AH969" s="83">
        <f t="shared" si="767"/>
        <v>0</v>
      </c>
      <c r="AI969" s="83">
        <f t="shared" si="768"/>
        <v>0</v>
      </c>
      <c r="AJ969" s="718">
        <f t="shared" si="769"/>
        <v>0</v>
      </c>
      <c r="AL969">
        <f t="shared" si="770"/>
        <v>0</v>
      </c>
      <c r="AM969">
        <f t="shared" si="771"/>
        <v>0</v>
      </c>
    </row>
    <row r="970" spans="1:39" ht="15.75" x14ac:dyDescent="0.25">
      <c r="A970" s="561"/>
      <c r="B970" s="561"/>
      <c r="C970" s="561"/>
      <c r="D970" s="672"/>
      <c r="E970" s="209"/>
      <c r="F970" s="209"/>
      <c r="G970" s="209"/>
      <c r="H970" s="176">
        <f t="shared" si="749"/>
        <v>0</v>
      </c>
      <c r="I970" s="209"/>
      <c r="J970" s="209"/>
      <c r="K970" s="176">
        <f t="shared" si="750"/>
        <v>0</v>
      </c>
      <c r="L970" s="209"/>
      <c r="M970" s="177">
        <f t="shared" si="751"/>
        <v>0</v>
      </c>
      <c r="N970" s="1012"/>
      <c r="O970" s="1012"/>
      <c r="P970" s="485"/>
      <c r="Q970" s="778"/>
      <c r="R970" s="778"/>
      <c r="S970" s="785" t="str">
        <f t="shared" si="754"/>
        <v/>
      </c>
      <c r="T970" s="548" t="str">
        <f t="shared" si="752"/>
        <v>Sheet Metal Takeoff</v>
      </c>
      <c r="U970" s="83">
        <f t="shared" si="755"/>
        <v>0</v>
      </c>
      <c r="V970" s="83">
        <f t="shared" si="756"/>
        <v>0</v>
      </c>
      <c r="W970" s="83">
        <f t="shared" si="757"/>
        <v>0</v>
      </c>
      <c r="X970" s="781">
        <f t="shared" si="758"/>
        <v>0</v>
      </c>
      <c r="Y970" s="781">
        <f t="shared" si="759"/>
        <v>0</v>
      </c>
      <c r="Z970" s="781">
        <f t="shared" si="760"/>
        <v>0</v>
      </c>
      <c r="AA970" s="83">
        <f t="shared" si="753"/>
        <v>0</v>
      </c>
      <c r="AB970" s="83">
        <f t="shared" si="761"/>
        <v>0</v>
      </c>
      <c r="AC970" s="83">
        <f t="shared" si="762"/>
        <v>0</v>
      </c>
      <c r="AD970" s="83">
        <f t="shared" si="763"/>
        <v>0</v>
      </c>
      <c r="AE970" s="83">
        <f t="shared" si="764"/>
        <v>0</v>
      </c>
      <c r="AF970" s="83">
        <f t="shared" si="765"/>
        <v>0</v>
      </c>
      <c r="AG970" s="83">
        <f t="shared" si="766"/>
        <v>0</v>
      </c>
      <c r="AH970" s="83">
        <f t="shared" si="767"/>
        <v>0</v>
      </c>
      <c r="AI970" s="83">
        <f t="shared" si="768"/>
        <v>0</v>
      </c>
      <c r="AJ970" s="718">
        <f t="shared" si="769"/>
        <v>0</v>
      </c>
      <c r="AL970">
        <f t="shared" si="770"/>
        <v>0</v>
      </c>
      <c r="AM970">
        <f t="shared" si="771"/>
        <v>0</v>
      </c>
    </row>
    <row r="971" spans="1:39" ht="15.75" x14ac:dyDescent="0.25">
      <c r="A971" s="561"/>
      <c r="B971" s="561"/>
      <c r="C971" s="561"/>
      <c r="D971" s="672"/>
      <c r="E971" s="209"/>
      <c r="F971" s="209"/>
      <c r="G971" s="209"/>
      <c r="H971" s="176">
        <f t="shared" si="749"/>
        <v>0</v>
      </c>
      <c r="I971" s="209"/>
      <c r="J971" s="209"/>
      <c r="K971" s="176">
        <f t="shared" si="750"/>
        <v>0</v>
      </c>
      <c r="L971" s="209"/>
      <c r="M971" s="177">
        <f t="shared" si="751"/>
        <v>0</v>
      </c>
      <c r="N971" s="1012"/>
      <c r="O971" s="1012"/>
      <c r="P971" s="485"/>
      <c r="Q971" s="778"/>
      <c r="R971" s="778"/>
      <c r="S971" s="785" t="str">
        <f t="shared" si="754"/>
        <v/>
      </c>
      <c r="T971" s="548" t="str">
        <f t="shared" si="752"/>
        <v>Sheet Metal Takeoff</v>
      </c>
      <c r="U971" s="83">
        <f t="shared" si="755"/>
        <v>0</v>
      </c>
      <c r="V971" s="83">
        <f t="shared" si="756"/>
        <v>0</v>
      </c>
      <c r="W971" s="83">
        <f t="shared" si="757"/>
        <v>0</v>
      </c>
      <c r="X971" s="781">
        <f t="shared" si="758"/>
        <v>0</v>
      </c>
      <c r="Y971" s="781">
        <f t="shared" si="759"/>
        <v>0</v>
      </c>
      <c r="Z971" s="781">
        <f t="shared" si="760"/>
        <v>0</v>
      </c>
      <c r="AA971" s="83">
        <f t="shared" si="753"/>
        <v>0</v>
      </c>
      <c r="AB971" s="83">
        <f t="shared" si="761"/>
        <v>0</v>
      </c>
      <c r="AC971" s="83">
        <f t="shared" si="762"/>
        <v>0</v>
      </c>
      <c r="AD971" s="83">
        <f t="shared" si="763"/>
        <v>0</v>
      </c>
      <c r="AE971" s="83">
        <f t="shared" si="764"/>
        <v>0</v>
      </c>
      <c r="AF971" s="83">
        <f t="shared" si="765"/>
        <v>0</v>
      </c>
      <c r="AG971" s="83">
        <f t="shared" si="766"/>
        <v>0</v>
      </c>
      <c r="AH971" s="83">
        <f t="shared" si="767"/>
        <v>0</v>
      </c>
      <c r="AI971" s="83">
        <f t="shared" si="768"/>
        <v>0</v>
      </c>
      <c r="AJ971" s="718">
        <f t="shared" si="769"/>
        <v>0</v>
      </c>
      <c r="AL971">
        <f t="shared" si="770"/>
        <v>0</v>
      </c>
      <c r="AM971">
        <f t="shared" si="771"/>
        <v>0</v>
      </c>
    </row>
    <row r="972" spans="1:39" ht="15.75" x14ac:dyDescent="0.25">
      <c r="A972" s="561"/>
      <c r="B972" s="561"/>
      <c r="C972" s="561"/>
      <c r="D972" s="672"/>
      <c r="E972" s="209"/>
      <c r="F972" s="209"/>
      <c r="G972" s="209"/>
      <c r="H972" s="176">
        <f t="shared" si="749"/>
        <v>0</v>
      </c>
      <c r="I972" s="209"/>
      <c r="J972" s="209"/>
      <c r="K972" s="176">
        <f t="shared" si="750"/>
        <v>0</v>
      </c>
      <c r="L972" s="209"/>
      <c r="M972" s="177">
        <f t="shared" si="751"/>
        <v>0</v>
      </c>
      <c r="N972" s="1012"/>
      <c r="O972" s="1012"/>
      <c r="P972" s="485"/>
      <c r="Q972" s="778"/>
      <c r="R972" s="778"/>
      <c r="S972" s="785" t="str">
        <f t="shared" si="754"/>
        <v/>
      </c>
      <c r="T972" s="548" t="str">
        <f t="shared" si="752"/>
        <v>Sheet Metal Takeoff</v>
      </c>
      <c r="U972" s="83">
        <f t="shared" si="755"/>
        <v>0</v>
      </c>
      <c r="V972" s="83">
        <f t="shared" si="756"/>
        <v>0</v>
      </c>
      <c r="W972" s="83">
        <f t="shared" si="757"/>
        <v>0</v>
      </c>
      <c r="X972" s="781">
        <f t="shared" si="758"/>
        <v>0</v>
      </c>
      <c r="Y972" s="781">
        <f t="shared" si="759"/>
        <v>0</v>
      </c>
      <c r="Z972" s="781">
        <f t="shared" si="760"/>
        <v>0</v>
      </c>
      <c r="AA972" s="83">
        <f t="shared" si="753"/>
        <v>0</v>
      </c>
      <c r="AB972" s="83">
        <f t="shared" si="761"/>
        <v>0</v>
      </c>
      <c r="AC972" s="83">
        <f t="shared" si="762"/>
        <v>0</v>
      </c>
      <c r="AD972" s="83">
        <f t="shared" si="763"/>
        <v>0</v>
      </c>
      <c r="AE972" s="83">
        <f t="shared" si="764"/>
        <v>0</v>
      </c>
      <c r="AF972" s="83">
        <f t="shared" si="765"/>
        <v>0</v>
      </c>
      <c r="AG972" s="83">
        <f t="shared" si="766"/>
        <v>0</v>
      </c>
      <c r="AH972" s="83">
        <f t="shared" si="767"/>
        <v>0</v>
      </c>
      <c r="AI972" s="83">
        <f t="shared" si="768"/>
        <v>0</v>
      </c>
      <c r="AJ972" s="718">
        <f t="shared" si="769"/>
        <v>0</v>
      </c>
      <c r="AL972">
        <f t="shared" si="770"/>
        <v>0</v>
      </c>
      <c r="AM972">
        <f t="shared" si="771"/>
        <v>0</v>
      </c>
    </row>
    <row r="973" spans="1:39" ht="15.75" x14ac:dyDescent="0.25">
      <c r="A973" s="561"/>
      <c r="B973" s="561"/>
      <c r="C973" s="561"/>
      <c r="D973" s="672"/>
      <c r="E973" s="209"/>
      <c r="F973" s="209"/>
      <c r="G973" s="209"/>
      <c r="H973" s="176">
        <f t="shared" si="749"/>
        <v>0</v>
      </c>
      <c r="I973" s="209"/>
      <c r="J973" s="209"/>
      <c r="K973" s="176">
        <f t="shared" si="750"/>
        <v>0</v>
      </c>
      <c r="L973" s="209"/>
      <c r="M973" s="177">
        <f t="shared" si="751"/>
        <v>0</v>
      </c>
      <c r="N973" s="1012"/>
      <c r="O973" s="1012"/>
      <c r="P973" s="485"/>
      <c r="Q973" s="778"/>
      <c r="R973" s="778"/>
      <c r="S973" s="785" t="str">
        <f t="shared" si="754"/>
        <v/>
      </c>
      <c r="T973" s="548" t="str">
        <f t="shared" si="752"/>
        <v>Sheet Metal Takeoff</v>
      </c>
      <c r="U973" s="83">
        <f t="shared" si="755"/>
        <v>0</v>
      </c>
      <c r="V973" s="83">
        <f t="shared" si="756"/>
        <v>0</v>
      </c>
      <c r="W973" s="83">
        <f t="shared" si="757"/>
        <v>0</v>
      </c>
      <c r="X973" s="781">
        <f t="shared" si="758"/>
        <v>0</v>
      </c>
      <c r="Y973" s="781">
        <f t="shared" si="759"/>
        <v>0</v>
      </c>
      <c r="Z973" s="781">
        <f t="shared" si="760"/>
        <v>0</v>
      </c>
      <c r="AA973" s="83">
        <f t="shared" si="753"/>
        <v>0</v>
      </c>
      <c r="AB973" s="83">
        <f t="shared" si="761"/>
        <v>0</v>
      </c>
      <c r="AC973" s="83">
        <f t="shared" si="762"/>
        <v>0</v>
      </c>
      <c r="AD973" s="83">
        <f t="shared" si="763"/>
        <v>0</v>
      </c>
      <c r="AE973" s="83">
        <f t="shared" si="764"/>
        <v>0</v>
      </c>
      <c r="AF973" s="83">
        <f t="shared" si="765"/>
        <v>0</v>
      </c>
      <c r="AG973" s="83">
        <f t="shared" si="766"/>
        <v>0</v>
      </c>
      <c r="AH973" s="83">
        <f t="shared" si="767"/>
        <v>0</v>
      </c>
      <c r="AI973" s="83">
        <f t="shared" si="768"/>
        <v>0</v>
      </c>
      <c r="AJ973" s="718">
        <f t="shared" si="769"/>
        <v>0</v>
      </c>
      <c r="AL973">
        <f t="shared" si="770"/>
        <v>0</v>
      </c>
      <c r="AM973">
        <f t="shared" si="771"/>
        <v>0</v>
      </c>
    </row>
    <row r="974" spans="1:39" ht="15.75" hidden="1" customHeight="1" x14ac:dyDescent="0.25">
      <c r="A974" s="561"/>
      <c r="B974" s="561"/>
      <c r="C974" s="561"/>
      <c r="D974" s="672"/>
      <c r="E974" s="209"/>
      <c r="F974" s="209"/>
      <c r="G974" s="209"/>
      <c r="H974" s="176">
        <f t="shared" si="749"/>
        <v>0</v>
      </c>
      <c r="I974" s="209"/>
      <c r="J974" s="209"/>
      <c r="K974" s="176">
        <f t="shared" si="750"/>
        <v>0</v>
      </c>
      <c r="L974" s="209"/>
      <c r="M974" s="177">
        <f t="shared" si="751"/>
        <v>0</v>
      </c>
      <c r="N974" s="1012"/>
      <c r="O974" s="1012"/>
      <c r="P974" s="485"/>
      <c r="Q974" s="778"/>
      <c r="R974" s="778"/>
      <c r="S974" s="785" t="str">
        <f t="shared" si="754"/>
        <v/>
      </c>
      <c r="T974" s="548" t="str">
        <f t="shared" si="752"/>
        <v>Sheet Metal Takeoff</v>
      </c>
      <c r="U974" s="83">
        <f>ROUND(IF($T974="Plumb Takeoff",$H974*U$3,IF($T974="Pipe Takeoff",$H974*U$4,$H974*U$2)),2)</f>
        <v>0</v>
      </c>
      <c r="V974" s="83">
        <f t="shared" si="756"/>
        <v>0</v>
      </c>
      <c r="W974" s="83">
        <f t="shared" si="757"/>
        <v>0</v>
      </c>
      <c r="X974" s="781">
        <f t="shared" si="758"/>
        <v>0</v>
      </c>
      <c r="Y974" s="781">
        <f t="shared" si="759"/>
        <v>0</v>
      </c>
      <c r="Z974" s="781">
        <f t="shared" si="760"/>
        <v>0</v>
      </c>
      <c r="AA974" s="83">
        <f t="shared" si="753"/>
        <v>0</v>
      </c>
      <c r="AB974" s="83">
        <f t="shared" si="761"/>
        <v>0</v>
      </c>
      <c r="AC974" s="83">
        <f t="shared" si="762"/>
        <v>0</v>
      </c>
      <c r="AD974" s="83">
        <f t="shared" si="763"/>
        <v>0</v>
      </c>
      <c r="AE974" s="83">
        <f t="shared" si="764"/>
        <v>0</v>
      </c>
      <c r="AF974" s="83">
        <f t="shared" si="765"/>
        <v>0</v>
      </c>
      <c r="AG974" s="83">
        <f t="shared" si="766"/>
        <v>0</v>
      </c>
      <c r="AH974" s="83">
        <f t="shared" si="767"/>
        <v>0</v>
      </c>
      <c r="AI974" s="83">
        <f t="shared" si="768"/>
        <v>0</v>
      </c>
      <c r="AJ974" s="718">
        <f t="shared" si="769"/>
        <v>0</v>
      </c>
      <c r="AL974">
        <f t="shared" si="770"/>
        <v>0</v>
      </c>
      <c r="AM974">
        <f t="shared" si="771"/>
        <v>0</v>
      </c>
    </row>
    <row r="975" spans="1:39" ht="15.75" x14ac:dyDescent="0.25">
      <c r="A975" s="551"/>
      <c r="B975" s="551"/>
      <c r="C975" s="551"/>
      <c r="D975" s="673"/>
      <c r="E975" s="552"/>
      <c r="F975" s="553"/>
      <c r="G975" s="553"/>
      <c r="H975" s="181">
        <f>SUM(H949:H974)</f>
        <v>0</v>
      </c>
      <c r="I975" s="182"/>
      <c r="J975" s="182"/>
      <c r="K975" s="181">
        <f>SUM(K949:K974)</f>
        <v>0</v>
      </c>
      <c r="L975" s="182"/>
      <c r="M975" s="177">
        <f>SUM(M949:M974)</f>
        <v>0</v>
      </c>
      <c r="O975" s="486"/>
      <c r="AJ975" s="718"/>
    </row>
    <row r="976" spans="1:39" ht="15.75" thickBot="1" x14ac:dyDescent="0.3">
      <c r="M976" s="327"/>
      <c r="AJ976" s="718"/>
    </row>
    <row r="977" spans="1:39" ht="16.5" thickBot="1" x14ac:dyDescent="0.3">
      <c r="E977" s="678" t="s">
        <v>1122</v>
      </c>
      <c r="F977" s="1017" t="s">
        <v>1630</v>
      </c>
      <c r="G977" s="1018"/>
      <c r="H977" s="344"/>
      <c r="I977" s="1019" t="s">
        <v>1628</v>
      </c>
      <c r="J977" s="1020"/>
      <c r="K977" s="679" t="b">
        <v>0</v>
      </c>
      <c r="M977" s="327"/>
      <c r="AJ977" s="718"/>
    </row>
    <row r="978" spans="1:39" ht="38.25" thickBot="1" x14ac:dyDescent="0.35">
      <c r="A978" s="477" t="s">
        <v>1063</v>
      </c>
      <c r="B978" s="477" t="s">
        <v>348</v>
      </c>
      <c r="C978" s="477" t="s">
        <v>349</v>
      </c>
      <c r="D978" s="666" t="s">
        <v>0</v>
      </c>
      <c r="E978" s="477" t="s">
        <v>1</v>
      </c>
      <c r="F978" s="480" t="s">
        <v>2</v>
      </c>
      <c r="G978" s="480" t="s">
        <v>1123</v>
      </c>
      <c r="H978" s="480" t="s">
        <v>3</v>
      </c>
      <c r="I978" s="483" t="s">
        <v>4</v>
      </c>
      <c r="J978" s="480" t="s">
        <v>1124</v>
      </c>
      <c r="K978" s="680" t="s">
        <v>5</v>
      </c>
      <c r="L978" s="480" t="s">
        <v>6</v>
      </c>
      <c r="M978" s="484" t="s">
        <v>7</v>
      </c>
      <c r="N978" s="1013" t="s">
        <v>1079</v>
      </c>
      <c r="O978" s="1014"/>
      <c r="P978" s="1009" t="s">
        <v>1629</v>
      </c>
      <c r="Q978" s="1009" t="s">
        <v>1147</v>
      </c>
      <c r="R978" s="1009" t="s">
        <v>1792</v>
      </c>
      <c r="T978" s="2"/>
      <c r="AJ978" s="718"/>
    </row>
    <row r="979" spans="1:39" ht="16.5" thickBot="1" x14ac:dyDescent="0.3">
      <c r="A979" s="183"/>
      <c r="B979" s="183"/>
      <c r="C979" s="183"/>
      <c r="D979" s="671"/>
      <c r="E979" s="183"/>
      <c r="F979" s="183"/>
      <c r="G979" s="183"/>
      <c r="H979" s="183"/>
      <c r="I979" s="183"/>
      <c r="J979" s="183"/>
      <c r="K979" s="183"/>
      <c r="L979" s="183"/>
      <c r="M979" s="183"/>
      <c r="N979" s="1015"/>
      <c r="O979" s="1016"/>
      <c r="P979" s="1010" t="s">
        <v>1362</v>
      </c>
      <c r="Q979" s="1010"/>
      <c r="R979" s="1010"/>
      <c r="T979" s="1"/>
      <c r="AJ979" s="718"/>
    </row>
    <row r="980" spans="1:39" ht="15.75" x14ac:dyDescent="0.25">
      <c r="A980" s="561"/>
      <c r="B980" s="561"/>
      <c r="C980" s="561"/>
      <c r="D980" s="672"/>
      <c r="E980" s="209"/>
      <c r="F980" s="209"/>
      <c r="G980" s="209"/>
      <c r="H980" s="176">
        <f t="shared" ref="H980:H1005" si="772">IF(SM_ExludeGroup31=TRUE,0,IF(G980="",E980*F980*IF(AND(S980="LOP",R980="SWING"),1+CrewRate_PlumbFitter_SwingLOP,1)*IF(AND(S980="LOP",R980="GRAVE"),1+CrewRate_PlumbFitter_GraveLOP,1)*IF(AND(S980="LOP",R980="SPECIAL"),1+CrewRate_PlumbFitter_SwingLOP,1),E980*F980*G980*IF(AND(S980="LOP",R980="SWING"),1+CrewRate_PlumbFitter_SwingLOP,1)*IF(AND(S980="LOP",R980="GRAVE"),1+CrewRate_PlumbFitter_GraveLOP,1)*IF(AND(S980="LOP",R980="SPECIAL"),1+CrewRate_PlumbFitter_SwingLOP,1)))</f>
        <v>0</v>
      </c>
      <c r="I980" s="209"/>
      <c r="J980" s="209"/>
      <c r="K980" s="176">
        <f t="shared" ref="K980:K1005" si="773">IF(SM_ExludeGroup31=TRUE,0,IF(J980="",E980*I980,E980*I980*J980))</f>
        <v>0</v>
      </c>
      <c r="L980" s="209"/>
      <c r="M980" s="177">
        <f t="shared" ref="M980:M1005" si="774">IF(SM_ExludeGroup31=TRUE,0,E980*L980)</f>
        <v>0</v>
      </c>
      <c r="N980" s="1012"/>
      <c r="O980" s="1012"/>
      <c r="P980" s="485"/>
      <c r="Q980" s="778"/>
      <c r="R980" s="778"/>
      <c r="S980" s="785" t="str">
        <f>IF(T980="Sheet Metal Takeoff","",IF(R980="","","LOP"))</f>
        <v/>
      </c>
      <c r="T980" s="548" t="str">
        <f t="shared" ref="T980:T1005" si="775">IF($F$977="","Sheet Metal Takeoff",$F$977)</f>
        <v>Sheet Metal Takeoff</v>
      </c>
      <c r="U980" s="83">
        <f>ROUND(IF($T980="Plumb Takeoff",$H980*U$3,IF($T980="Pipe Takeoff",$H980*U$4,$H980*U$2)),2)</f>
        <v>0</v>
      </c>
      <c r="V980" s="83">
        <f>ROUND(IF($T980="Plumb Takeoff",IF($Q980="OT",$H980*V$3,0),IF($T980="Pipe Takeoff",IF($Q980="OT",$H980*V$4,0),IF($Q980="OT",$H980*V$2,0))),2)</f>
        <v>0</v>
      </c>
      <c r="W980" s="83">
        <f>ROUND(IF($T980="Plumb Takeoff",IF($Q980="DBLT",$H980*W$3,0),IF($T980="Pipe Takeoff",IF($Q980="DBLT",$H980*W$4,0),IF($Q980="DBLT",$H980*W$2,0))),2)</f>
        <v>0</v>
      </c>
      <c r="X980" s="781">
        <f>ROUND(SUM(IF($T980="Plumb Takeoff",IF($R980="SWING",ROUND(SUM($H980)*X$3,2))),IF($T980="Pipe Takeoff",IF($R980="SWING",ROUND(SUM($H980)*X$4,2))),IF($T980="Sheet Metal Takeoff",IF($R980="SWING",ROUND(SUM($H980)*X$2,2)))),2)</f>
        <v>0</v>
      </c>
      <c r="Y980" s="781">
        <f>ROUND(SUM(IF($T980="Plumb Takeoff",IF($R980="GRAVE",ROUND(SUM($H980)*Y$3,2))),IF($T980="Pipe Takeoff",IF($R980="GRAVE",ROUND(SUM($H980)*Y$4,2))),IF($T980="Sheet Metal Takeoff",IF($R980="GRAVE",ROUND(SUM($H980)*Y$2,2)))),2)</f>
        <v>0</v>
      </c>
      <c r="Z980" s="781">
        <f>ROUND(SUM(IF($T980="Plumb Takeoff",IF($R980="SPECIAL",ROUND(SUM($H980)*Z$3,2))),IF($T980="Pipe Takeoff",IF($R980="SPECIAL",ROUND(SUM($H980)*Z$4,2))),IF($T980="Sheet Metal Takeoff",IF($R980="SPECIAL",ROUND(SUM($H980)*Z$2,2)))),2)</f>
        <v>0</v>
      </c>
      <c r="AA980" s="83">
        <f t="shared" ref="AA980:AA1005" si="776">ROUND($K980*AA$2,2)</f>
        <v>0</v>
      </c>
      <c r="AB980" s="83">
        <f>ROUND(IF($Q980="OT",$K980*AB$2,0),2)</f>
        <v>0</v>
      </c>
      <c r="AC980" s="83">
        <f>ROUND(IF($Q980="DBLT",$K980*AC$2,0),2)</f>
        <v>0</v>
      </c>
      <c r="AD980" s="83">
        <f>ROUND(IF($R980="SWING",$K980*AD$2,0),2)</f>
        <v>0</v>
      </c>
      <c r="AE980" s="83">
        <f>ROUND(IF($R980="GRAVE",$K980*AE$2,0),2)</f>
        <v>0</v>
      </c>
      <c r="AF980" s="83">
        <f>ROUND(IF($R980="SPECIAL",$K980*AF$2,0),2)</f>
        <v>0</v>
      </c>
      <c r="AG980" s="83">
        <f>SUM(U980:Z980)</f>
        <v>0</v>
      </c>
      <c r="AH980" s="83">
        <f>SUM(AA980:AF980)</f>
        <v>0</v>
      </c>
      <c r="AI980" s="83">
        <f>SUM(U980:AF980)</f>
        <v>0</v>
      </c>
      <c r="AJ980" s="718">
        <f>SUM(M980,AI980)</f>
        <v>0</v>
      </c>
      <c r="AL980">
        <f>SUM(V980:Z980)</f>
        <v>0</v>
      </c>
      <c r="AM980">
        <f>SUM(AB980:AF980)</f>
        <v>0</v>
      </c>
    </row>
    <row r="981" spans="1:39" ht="15.75" x14ac:dyDescent="0.25">
      <c r="A981" s="561"/>
      <c r="B981" s="561"/>
      <c r="C981" s="561"/>
      <c r="D981" s="672"/>
      <c r="E981" s="209"/>
      <c r="F981" s="209"/>
      <c r="G981" s="209"/>
      <c r="H981" s="176">
        <f t="shared" si="772"/>
        <v>0</v>
      </c>
      <c r="I981" s="209"/>
      <c r="J981" s="209"/>
      <c r="K981" s="176">
        <f t="shared" si="773"/>
        <v>0</v>
      </c>
      <c r="L981" s="209"/>
      <c r="M981" s="177">
        <f t="shared" si="774"/>
        <v>0</v>
      </c>
      <c r="N981" s="1012"/>
      <c r="O981" s="1012"/>
      <c r="P981" s="485"/>
      <c r="Q981" s="778"/>
      <c r="R981" s="778"/>
      <c r="S981" s="785" t="str">
        <f t="shared" ref="S981:S1005" si="777">IF(T981="Sheet Metal Takeoff","",IF(R981="","","LOP"))</f>
        <v/>
      </c>
      <c r="T981" s="548" t="str">
        <f t="shared" si="775"/>
        <v>Sheet Metal Takeoff</v>
      </c>
      <c r="U981" s="83">
        <f t="shared" ref="U981:U1004" si="778">ROUND(IF($T981="Plumb Takeoff",$H981*U$3,IF($T981="Pipe Takeoff",$H981*U$4,$H981*U$2)),2)</f>
        <v>0</v>
      </c>
      <c r="V981" s="83">
        <f t="shared" ref="V981:V1005" si="779">ROUND(IF($T981="Plumb Takeoff",IF($Q981="OT",$H981*V$3,0),IF($T981="Pipe Takeoff",IF($Q981="OT",$H981*V$4,0),IF($Q981="OT",$H981*V$2,0))),2)</f>
        <v>0</v>
      </c>
      <c r="W981" s="83">
        <f t="shared" ref="W981:W1005" si="780">ROUND(IF($T981="Plumb Takeoff",IF($Q981="DBLT",$H981*W$3,0),IF($T981="Pipe Takeoff",IF($Q981="DBLT",$H981*W$4,0),IF($Q981="DBLT",$H981*W$2,0))),2)</f>
        <v>0</v>
      </c>
      <c r="X981" s="781">
        <f t="shared" ref="X981:X1005" si="781">ROUND(SUM(IF($T981="Plumb Takeoff",IF($R981="SWING",ROUND(SUM($H981)*X$3,2))),IF($T981="Pipe Takeoff",IF($R981="SWING",ROUND(SUM($H981)*X$4,2))),IF($T981="Sheet Metal Takeoff",IF($R981="SWING",ROUND(SUM($H981)*X$2,2)))),2)</f>
        <v>0</v>
      </c>
      <c r="Y981" s="781">
        <f t="shared" ref="Y981:Y1005" si="782">ROUND(SUM(IF($T981="Plumb Takeoff",IF($R981="GRAVE",ROUND(SUM($H981)*Y$3,2))),IF($T981="Pipe Takeoff",IF($R981="GRAVE",ROUND(SUM($H981)*Y$4,2))),IF($T981="Sheet Metal Takeoff",IF($R981="GRAVE",ROUND(SUM($H981)*Y$2,2)))),2)</f>
        <v>0</v>
      </c>
      <c r="Z981" s="781">
        <f t="shared" ref="Z981:Z1005" si="783">ROUND(SUM(IF($T981="Plumb Takeoff",IF($R981="SPECIAL",ROUND(SUM($H981)*Z$3,2))),IF($T981="Pipe Takeoff",IF($R981="SPECIAL",ROUND(SUM($H981)*Z$4,2))),IF($T981="Sheet Metal Takeoff",IF($R981="SPECIAL",ROUND(SUM($H981)*Z$2,2)))),2)</f>
        <v>0</v>
      </c>
      <c r="AA981" s="83">
        <f t="shared" si="776"/>
        <v>0</v>
      </c>
      <c r="AB981" s="83">
        <f t="shared" ref="AB981:AB1005" si="784">ROUND(IF($Q981="OT",$K981*AB$2,0),2)</f>
        <v>0</v>
      </c>
      <c r="AC981" s="83">
        <f t="shared" ref="AC981:AC1005" si="785">ROUND(IF($Q981="DBLT",$K981*AC$2,0),2)</f>
        <v>0</v>
      </c>
      <c r="AD981" s="83">
        <f t="shared" ref="AD981:AD1005" si="786">ROUND(IF($R981="SWING",$K981*AD$2,0),2)</f>
        <v>0</v>
      </c>
      <c r="AE981" s="83">
        <f t="shared" ref="AE981:AE1005" si="787">ROUND(IF($R981="GRAVE",$K981*AE$2,0),2)</f>
        <v>0</v>
      </c>
      <c r="AF981" s="83">
        <f t="shared" ref="AF981:AF1005" si="788">ROUND(IF($R981="SPECIAL",$K981*AF$2,0),2)</f>
        <v>0</v>
      </c>
      <c r="AG981" s="83">
        <f t="shared" ref="AG981:AG1005" si="789">SUM(U981:Z981)</f>
        <v>0</v>
      </c>
      <c r="AH981" s="83">
        <f t="shared" ref="AH981:AH1005" si="790">SUM(AA981:AF981)</f>
        <v>0</v>
      </c>
      <c r="AI981" s="83">
        <f t="shared" ref="AI981:AI1005" si="791">SUM(U981:AF981)</f>
        <v>0</v>
      </c>
      <c r="AJ981" s="718">
        <f t="shared" ref="AJ981:AJ1005" si="792">SUM(M981,AI981)</f>
        <v>0</v>
      </c>
      <c r="AL981">
        <f t="shared" ref="AL981:AL1005" si="793">SUM(V981:Z981)</f>
        <v>0</v>
      </c>
      <c r="AM981">
        <f t="shared" ref="AM981:AM1005" si="794">SUM(AB981:AF981)</f>
        <v>0</v>
      </c>
    </row>
    <row r="982" spans="1:39" ht="15.75" x14ac:dyDescent="0.25">
      <c r="A982" s="561"/>
      <c r="B982" s="561"/>
      <c r="C982" s="561"/>
      <c r="D982" s="672"/>
      <c r="E982" s="209"/>
      <c r="F982" s="209"/>
      <c r="G982" s="209"/>
      <c r="H982" s="176">
        <f t="shared" si="772"/>
        <v>0</v>
      </c>
      <c r="I982" s="209"/>
      <c r="J982" s="209"/>
      <c r="K982" s="176">
        <f t="shared" si="773"/>
        <v>0</v>
      </c>
      <c r="L982" s="209"/>
      <c r="M982" s="177">
        <f t="shared" si="774"/>
        <v>0</v>
      </c>
      <c r="N982" s="1012"/>
      <c r="O982" s="1012"/>
      <c r="P982" s="485"/>
      <c r="Q982" s="778"/>
      <c r="R982" s="778"/>
      <c r="S982" s="785" t="str">
        <f t="shared" si="777"/>
        <v/>
      </c>
      <c r="T982" s="548" t="str">
        <f t="shared" si="775"/>
        <v>Sheet Metal Takeoff</v>
      </c>
      <c r="U982" s="83">
        <f t="shared" si="778"/>
        <v>0</v>
      </c>
      <c r="V982" s="83">
        <f t="shared" si="779"/>
        <v>0</v>
      </c>
      <c r="W982" s="83">
        <f t="shared" si="780"/>
        <v>0</v>
      </c>
      <c r="X982" s="781">
        <f t="shared" si="781"/>
        <v>0</v>
      </c>
      <c r="Y982" s="781">
        <f t="shared" si="782"/>
        <v>0</v>
      </c>
      <c r="Z982" s="781">
        <f t="shared" si="783"/>
        <v>0</v>
      </c>
      <c r="AA982" s="83">
        <f t="shared" si="776"/>
        <v>0</v>
      </c>
      <c r="AB982" s="83">
        <f t="shared" si="784"/>
        <v>0</v>
      </c>
      <c r="AC982" s="83">
        <f t="shared" si="785"/>
        <v>0</v>
      </c>
      <c r="AD982" s="83">
        <f t="shared" si="786"/>
        <v>0</v>
      </c>
      <c r="AE982" s="83">
        <f t="shared" si="787"/>
        <v>0</v>
      </c>
      <c r="AF982" s="83">
        <f t="shared" si="788"/>
        <v>0</v>
      </c>
      <c r="AG982" s="83">
        <f t="shared" si="789"/>
        <v>0</v>
      </c>
      <c r="AH982" s="83">
        <f t="shared" si="790"/>
        <v>0</v>
      </c>
      <c r="AI982" s="83">
        <f t="shared" si="791"/>
        <v>0</v>
      </c>
      <c r="AJ982" s="718">
        <f t="shared" si="792"/>
        <v>0</v>
      </c>
      <c r="AL982">
        <f t="shared" si="793"/>
        <v>0</v>
      </c>
      <c r="AM982">
        <f t="shared" si="794"/>
        <v>0</v>
      </c>
    </row>
    <row r="983" spans="1:39" ht="15.75" x14ac:dyDescent="0.25">
      <c r="A983" s="561"/>
      <c r="B983" s="561"/>
      <c r="C983" s="561"/>
      <c r="D983" s="672"/>
      <c r="E983" s="209"/>
      <c r="F983" s="209"/>
      <c r="G983" s="209"/>
      <c r="H983" s="176">
        <f t="shared" si="772"/>
        <v>0</v>
      </c>
      <c r="I983" s="209"/>
      <c r="J983" s="209"/>
      <c r="K983" s="176">
        <f t="shared" si="773"/>
        <v>0</v>
      </c>
      <c r="L983" s="209"/>
      <c r="M983" s="177">
        <f t="shared" si="774"/>
        <v>0</v>
      </c>
      <c r="N983" s="1012"/>
      <c r="O983" s="1012"/>
      <c r="P983" s="485"/>
      <c r="Q983" s="778"/>
      <c r="R983" s="778"/>
      <c r="S983" s="785" t="str">
        <f t="shared" si="777"/>
        <v/>
      </c>
      <c r="T983" s="548" t="str">
        <f t="shared" si="775"/>
        <v>Sheet Metal Takeoff</v>
      </c>
      <c r="U983" s="83">
        <f t="shared" si="778"/>
        <v>0</v>
      </c>
      <c r="V983" s="83">
        <f t="shared" si="779"/>
        <v>0</v>
      </c>
      <c r="W983" s="83">
        <f t="shared" si="780"/>
        <v>0</v>
      </c>
      <c r="X983" s="781">
        <f t="shared" si="781"/>
        <v>0</v>
      </c>
      <c r="Y983" s="781">
        <f t="shared" si="782"/>
        <v>0</v>
      </c>
      <c r="Z983" s="781">
        <f t="shared" si="783"/>
        <v>0</v>
      </c>
      <c r="AA983" s="83">
        <f t="shared" si="776"/>
        <v>0</v>
      </c>
      <c r="AB983" s="83">
        <f t="shared" si="784"/>
        <v>0</v>
      </c>
      <c r="AC983" s="83">
        <f t="shared" si="785"/>
        <v>0</v>
      </c>
      <c r="AD983" s="83">
        <f t="shared" si="786"/>
        <v>0</v>
      </c>
      <c r="AE983" s="83">
        <f t="shared" si="787"/>
        <v>0</v>
      </c>
      <c r="AF983" s="83">
        <f t="shared" si="788"/>
        <v>0</v>
      </c>
      <c r="AG983" s="83">
        <f t="shared" si="789"/>
        <v>0</v>
      </c>
      <c r="AH983" s="83">
        <f t="shared" si="790"/>
        <v>0</v>
      </c>
      <c r="AI983" s="83">
        <f t="shared" si="791"/>
        <v>0</v>
      </c>
      <c r="AJ983" s="718">
        <f t="shared" si="792"/>
        <v>0</v>
      </c>
      <c r="AL983">
        <f t="shared" si="793"/>
        <v>0</v>
      </c>
      <c r="AM983">
        <f t="shared" si="794"/>
        <v>0</v>
      </c>
    </row>
    <row r="984" spans="1:39" ht="15.75" x14ac:dyDescent="0.25">
      <c r="A984" s="561"/>
      <c r="B984" s="561"/>
      <c r="C984" s="561"/>
      <c r="D984" s="672"/>
      <c r="E984" s="209"/>
      <c r="F984" s="209"/>
      <c r="G984" s="209"/>
      <c r="H984" s="176">
        <f t="shared" si="772"/>
        <v>0</v>
      </c>
      <c r="I984" s="209"/>
      <c r="J984" s="209"/>
      <c r="K984" s="176">
        <f t="shared" si="773"/>
        <v>0</v>
      </c>
      <c r="L984" s="209"/>
      <c r="M984" s="177">
        <f t="shared" si="774"/>
        <v>0</v>
      </c>
      <c r="N984" s="1012"/>
      <c r="O984" s="1012"/>
      <c r="P984" s="485"/>
      <c r="Q984" s="778"/>
      <c r="R984" s="778"/>
      <c r="S984" s="785" t="str">
        <f t="shared" si="777"/>
        <v/>
      </c>
      <c r="T984" s="548" t="str">
        <f t="shared" si="775"/>
        <v>Sheet Metal Takeoff</v>
      </c>
      <c r="U984" s="83">
        <f t="shared" si="778"/>
        <v>0</v>
      </c>
      <c r="V984" s="83">
        <f t="shared" si="779"/>
        <v>0</v>
      </c>
      <c r="W984" s="83">
        <f t="shared" si="780"/>
        <v>0</v>
      </c>
      <c r="X984" s="781">
        <f t="shared" si="781"/>
        <v>0</v>
      </c>
      <c r="Y984" s="781">
        <f t="shared" si="782"/>
        <v>0</v>
      </c>
      <c r="Z984" s="781">
        <f t="shared" si="783"/>
        <v>0</v>
      </c>
      <c r="AA984" s="83">
        <f t="shared" si="776"/>
        <v>0</v>
      </c>
      <c r="AB984" s="83">
        <f t="shared" si="784"/>
        <v>0</v>
      </c>
      <c r="AC984" s="83">
        <f t="shared" si="785"/>
        <v>0</v>
      </c>
      <c r="AD984" s="83">
        <f t="shared" si="786"/>
        <v>0</v>
      </c>
      <c r="AE984" s="83">
        <f t="shared" si="787"/>
        <v>0</v>
      </c>
      <c r="AF984" s="83">
        <f t="shared" si="788"/>
        <v>0</v>
      </c>
      <c r="AG984" s="83">
        <f t="shared" si="789"/>
        <v>0</v>
      </c>
      <c r="AH984" s="83">
        <f t="shared" si="790"/>
        <v>0</v>
      </c>
      <c r="AI984" s="83">
        <f t="shared" si="791"/>
        <v>0</v>
      </c>
      <c r="AJ984" s="718">
        <f t="shared" si="792"/>
        <v>0</v>
      </c>
      <c r="AL984">
        <f t="shared" si="793"/>
        <v>0</v>
      </c>
      <c r="AM984">
        <f t="shared" si="794"/>
        <v>0</v>
      </c>
    </row>
    <row r="985" spans="1:39" ht="15.75" x14ac:dyDescent="0.25">
      <c r="A985" s="561"/>
      <c r="B985" s="561"/>
      <c r="C985" s="561"/>
      <c r="D985" s="672"/>
      <c r="E985" s="209"/>
      <c r="F985" s="209"/>
      <c r="G985" s="209"/>
      <c r="H985" s="176">
        <f t="shared" si="772"/>
        <v>0</v>
      </c>
      <c r="I985" s="209"/>
      <c r="J985" s="209"/>
      <c r="K985" s="176">
        <f t="shared" si="773"/>
        <v>0</v>
      </c>
      <c r="L985" s="209"/>
      <c r="M985" s="177">
        <f t="shared" si="774"/>
        <v>0</v>
      </c>
      <c r="N985" s="1012"/>
      <c r="O985" s="1012"/>
      <c r="P985" s="485"/>
      <c r="Q985" s="778"/>
      <c r="R985" s="778"/>
      <c r="S985" s="785" t="str">
        <f t="shared" si="777"/>
        <v/>
      </c>
      <c r="T985" s="548" t="str">
        <f t="shared" si="775"/>
        <v>Sheet Metal Takeoff</v>
      </c>
      <c r="U985" s="83">
        <f t="shared" si="778"/>
        <v>0</v>
      </c>
      <c r="V985" s="83">
        <f t="shared" si="779"/>
        <v>0</v>
      </c>
      <c r="W985" s="83">
        <f t="shared" si="780"/>
        <v>0</v>
      </c>
      <c r="X985" s="781">
        <f t="shared" si="781"/>
        <v>0</v>
      </c>
      <c r="Y985" s="781">
        <f t="shared" si="782"/>
        <v>0</v>
      </c>
      <c r="Z985" s="781">
        <f t="shared" si="783"/>
        <v>0</v>
      </c>
      <c r="AA985" s="83">
        <f t="shared" si="776"/>
        <v>0</v>
      </c>
      <c r="AB985" s="83">
        <f t="shared" si="784"/>
        <v>0</v>
      </c>
      <c r="AC985" s="83">
        <f t="shared" si="785"/>
        <v>0</v>
      </c>
      <c r="AD985" s="83">
        <f t="shared" si="786"/>
        <v>0</v>
      </c>
      <c r="AE985" s="83">
        <f t="shared" si="787"/>
        <v>0</v>
      </c>
      <c r="AF985" s="83">
        <f t="shared" si="788"/>
        <v>0</v>
      </c>
      <c r="AG985" s="83">
        <f t="shared" si="789"/>
        <v>0</v>
      </c>
      <c r="AH985" s="83">
        <f t="shared" si="790"/>
        <v>0</v>
      </c>
      <c r="AI985" s="83">
        <f t="shared" si="791"/>
        <v>0</v>
      </c>
      <c r="AJ985" s="718">
        <f t="shared" si="792"/>
        <v>0</v>
      </c>
      <c r="AL985">
        <f t="shared" si="793"/>
        <v>0</v>
      </c>
      <c r="AM985">
        <f t="shared" si="794"/>
        <v>0</v>
      </c>
    </row>
    <row r="986" spans="1:39" ht="15.75" x14ac:dyDescent="0.25">
      <c r="A986" s="561"/>
      <c r="B986" s="561"/>
      <c r="C986" s="561"/>
      <c r="D986" s="672"/>
      <c r="E986" s="209"/>
      <c r="F986" s="209"/>
      <c r="G986" s="209"/>
      <c r="H986" s="176">
        <f t="shared" si="772"/>
        <v>0</v>
      </c>
      <c r="I986" s="209"/>
      <c r="J986" s="209"/>
      <c r="K986" s="176">
        <f t="shared" si="773"/>
        <v>0</v>
      </c>
      <c r="L986" s="209"/>
      <c r="M986" s="177">
        <f t="shared" si="774"/>
        <v>0</v>
      </c>
      <c r="N986" s="1012"/>
      <c r="O986" s="1012"/>
      <c r="P986" s="485"/>
      <c r="Q986" s="778"/>
      <c r="R986" s="778"/>
      <c r="S986" s="785" t="str">
        <f t="shared" si="777"/>
        <v/>
      </c>
      <c r="T986" s="548" t="str">
        <f t="shared" si="775"/>
        <v>Sheet Metal Takeoff</v>
      </c>
      <c r="U986" s="83">
        <f t="shared" si="778"/>
        <v>0</v>
      </c>
      <c r="V986" s="83">
        <f t="shared" si="779"/>
        <v>0</v>
      </c>
      <c r="W986" s="83">
        <f t="shared" si="780"/>
        <v>0</v>
      </c>
      <c r="X986" s="781">
        <f t="shared" si="781"/>
        <v>0</v>
      </c>
      <c r="Y986" s="781">
        <f t="shared" si="782"/>
        <v>0</v>
      </c>
      <c r="Z986" s="781">
        <f t="shared" si="783"/>
        <v>0</v>
      </c>
      <c r="AA986" s="83">
        <f t="shared" si="776"/>
        <v>0</v>
      </c>
      <c r="AB986" s="83">
        <f t="shared" si="784"/>
        <v>0</v>
      </c>
      <c r="AC986" s="83">
        <f t="shared" si="785"/>
        <v>0</v>
      </c>
      <c r="AD986" s="83">
        <f t="shared" si="786"/>
        <v>0</v>
      </c>
      <c r="AE986" s="83">
        <f t="shared" si="787"/>
        <v>0</v>
      </c>
      <c r="AF986" s="83">
        <f t="shared" si="788"/>
        <v>0</v>
      </c>
      <c r="AG986" s="83">
        <f t="shared" si="789"/>
        <v>0</v>
      </c>
      <c r="AH986" s="83">
        <f t="shared" si="790"/>
        <v>0</v>
      </c>
      <c r="AI986" s="83">
        <f t="shared" si="791"/>
        <v>0</v>
      </c>
      <c r="AJ986" s="718">
        <f t="shared" si="792"/>
        <v>0</v>
      </c>
      <c r="AL986">
        <f t="shared" si="793"/>
        <v>0</v>
      </c>
      <c r="AM986">
        <f t="shared" si="794"/>
        <v>0</v>
      </c>
    </row>
    <row r="987" spans="1:39" ht="15.75" x14ac:dyDescent="0.25">
      <c r="A987" s="561"/>
      <c r="B987" s="561"/>
      <c r="C987" s="561"/>
      <c r="D987" s="672"/>
      <c r="E987" s="209"/>
      <c r="F987" s="209"/>
      <c r="G987" s="209"/>
      <c r="H987" s="176">
        <f t="shared" si="772"/>
        <v>0</v>
      </c>
      <c r="I987" s="209"/>
      <c r="J987" s="209"/>
      <c r="K987" s="176">
        <f t="shared" si="773"/>
        <v>0</v>
      </c>
      <c r="L987" s="209"/>
      <c r="M987" s="177">
        <f t="shared" si="774"/>
        <v>0</v>
      </c>
      <c r="N987" s="1012"/>
      <c r="O987" s="1012"/>
      <c r="P987" s="485"/>
      <c r="Q987" s="778"/>
      <c r="R987" s="778"/>
      <c r="S987" s="785" t="str">
        <f t="shared" si="777"/>
        <v/>
      </c>
      <c r="T987" s="548" t="str">
        <f t="shared" si="775"/>
        <v>Sheet Metal Takeoff</v>
      </c>
      <c r="U987" s="83">
        <f t="shared" si="778"/>
        <v>0</v>
      </c>
      <c r="V987" s="83">
        <f t="shared" si="779"/>
        <v>0</v>
      </c>
      <c r="W987" s="83">
        <f t="shared" si="780"/>
        <v>0</v>
      </c>
      <c r="X987" s="781">
        <f t="shared" si="781"/>
        <v>0</v>
      </c>
      <c r="Y987" s="781">
        <f t="shared" si="782"/>
        <v>0</v>
      </c>
      <c r="Z987" s="781">
        <f t="shared" si="783"/>
        <v>0</v>
      </c>
      <c r="AA987" s="83">
        <f t="shared" si="776"/>
        <v>0</v>
      </c>
      <c r="AB987" s="83">
        <f t="shared" si="784"/>
        <v>0</v>
      </c>
      <c r="AC987" s="83">
        <f t="shared" si="785"/>
        <v>0</v>
      </c>
      <c r="AD987" s="83">
        <f t="shared" si="786"/>
        <v>0</v>
      </c>
      <c r="AE987" s="83">
        <f t="shared" si="787"/>
        <v>0</v>
      </c>
      <c r="AF987" s="83">
        <f t="shared" si="788"/>
        <v>0</v>
      </c>
      <c r="AG987" s="83">
        <f t="shared" si="789"/>
        <v>0</v>
      </c>
      <c r="AH987" s="83">
        <f t="shared" si="790"/>
        <v>0</v>
      </c>
      <c r="AI987" s="83">
        <f t="shared" si="791"/>
        <v>0</v>
      </c>
      <c r="AJ987" s="718">
        <f t="shared" si="792"/>
        <v>0</v>
      </c>
      <c r="AL987">
        <f t="shared" si="793"/>
        <v>0</v>
      </c>
      <c r="AM987">
        <f t="shared" si="794"/>
        <v>0</v>
      </c>
    </row>
    <row r="988" spans="1:39" ht="15.75" x14ac:dyDescent="0.25">
      <c r="A988" s="561"/>
      <c r="B988" s="561"/>
      <c r="C988" s="561"/>
      <c r="D988" s="672"/>
      <c r="E988" s="209"/>
      <c r="F988" s="209"/>
      <c r="G988" s="209"/>
      <c r="H988" s="176">
        <f t="shared" si="772"/>
        <v>0</v>
      </c>
      <c r="I988" s="209"/>
      <c r="J988" s="209"/>
      <c r="K988" s="176">
        <f t="shared" si="773"/>
        <v>0</v>
      </c>
      <c r="L988" s="209"/>
      <c r="M988" s="177">
        <f t="shared" si="774"/>
        <v>0</v>
      </c>
      <c r="N988" s="1012"/>
      <c r="O988" s="1012"/>
      <c r="P988" s="485"/>
      <c r="Q988" s="778"/>
      <c r="R988" s="778"/>
      <c r="S988" s="785" t="str">
        <f t="shared" si="777"/>
        <v/>
      </c>
      <c r="T988" s="548" t="str">
        <f t="shared" si="775"/>
        <v>Sheet Metal Takeoff</v>
      </c>
      <c r="U988" s="83">
        <f t="shared" si="778"/>
        <v>0</v>
      </c>
      <c r="V988" s="83">
        <f t="shared" si="779"/>
        <v>0</v>
      </c>
      <c r="W988" s="83">
        <f t="shared" si="780"/>
        <v>0</v>
      </c>
      <c r="X988" s="781">
        <f t="shared" si="781"/>
        <v>0</v>
      </c>
      <c r="Y988" s="781">
        <f t="shared" si="782"/>
        <v>0</v>
      </c>
      <c r="Z988" s="781">
        <f t="shared" si="783"/>
        <v>0</v>
      </c>
      <c r="AA988" s="83">
        <f t="shared" si="776"/>
        <v>0</v>
      </c>
      <c r="AB988" s="83">
        <f t="shared" si="784"/>
        <v>0</v>
      </c>
      <c r="AC988" s="83">
        <f t="shared" si="785"/>
        <v>0</v>
      </c>
      <c r="AD988" s="83">
        <f t="shared" si="786"/>
        <v>0</v>
      </c>
      <c r="AE988" s="83">
        <f t="shared" si="787"/>
        <v>0</v>
      </c>
      <c r="AF988" s="83">
        <f t="shared" si="788"/>
        <v>0</v>
      </c>
      <c r="AG988" s="83">
        <f t="shared" si="789"/>
        <v>0</v>
      </c>
      <c r="AH988" s="83">
        <f t="shared" si="790"/>
        <v>0</v>
      </c>
      <c r="AI988" s="83">
        <f t="shared" si="791"/>
        <v>0</v>
      </c>
      <c r="AJ988" s="718">
        <f t="shared" si="792"/>
        <v>0</v>
      </c>
      <c r="AL988">
        <f t="shared" si="793"/>
        <v>0</v>
      </c>
      <c r="AM988">
        <f t="shared" si="794"/>
        <v>0</v>
      </c>
    </row>
    <row r="989" spans="1:39" ht="15.75" x14ac:dyDescent="0.25">
      <c r="A989" s="561"/>
      <c r="B989" s="561"/>
      <c r="C989" s="561"/>
      <c r="D989" s="672"/>
      <c r="E989" s="209"/>
      <c r="F989" s="209"/>
      <c r="G989" s="209"/>
      <c r="H989" s="176">
        <f t="shared" si="772"/>
        <v>0</v>
      </c>
      <c r="I989" s="209"/>
      <c r="J989" s="209"/>
      <c r="K989" s="176">
        <f t="shared" si="773"/>
        <v>0</v>
      </c>
      <c r="L989" s="209"/>
      <c r="M989" s="177">
        <f t="shared" si="774"/>
        <v>0</v>
      </c>
      <c r="N989" s="1012"/>
      <c r="O989" s="1012"/>
      <c r="P989" s="485"/>
      <c r="Q989" s="778"/>
      <c r="R989" s="778"/>
      <c r="S989" s="785" t="str">
        <f t="shared" si="777"/>
        <v/>
      </c>
      <c r="T989" s="548" t="str">
        <f t="shared" si="775"/>
        <v>Sheet Metal Takeoff</v>
      </c>
      <c r="U989" s="83">
        <f t="shared" si="778"/>
        <v>0</v>
      </c>
      <c r="V989" s="83">
        <f t="shared" si="779"/>
        <v>0</v>
      </c>
      <c r="W989" s="83">
        <f t="shared" si="780"/>
        <v>0</v>
      </c>
      <c r="X989" s="781">
        <f t="shared" si="781"/>
        <v>0</v>
      </c>
      <c r="Y989" s="781">
        <f t="shared" si="782"/>
        <v>0</v>
      </c>
      <c r="Z989" s="781">
        <f t="shared" si="783"/>
        <v>0</v>
      </c>
      <c r="AA989" s="83">
        <f t="shared" si="776"/>
        <v>0</v>
      </c>
      <c r="AB989" s="83">
        <f t="shared" si="784"/>
        <v>0</v>
      </c>
      <c r="AC989" s="83">
        <f t="shared" si="785"/>
        <v>0</v>
      </c>
      <c r="AD989" s="83">
        <f t="shared" si="786"/>
        <v>0</v>
      </c>
      <c r="AE989" s="83">
        <f t="shared" si="787"/>
        <v>0</v>
      </c>
      <c r="AF989" s="83">
        <f t="shared" si="788"/>
        <v>0</v>
      </c>
      <c r="AG989" s="83">
        <f t="shared" si="789"/>
        <v>0</v>
      </c>
      <c r="AH989" s="83">
        <f t="shared" si="790"/>
        <v>0</v>
      </c>
      <c r="AI989" s="83">
        <f t="shared" si="791"/>
        <v>0</v>
      </c>
      <c r="AJ989" s="718">
        <f t="shared" si="792"/>
        <v>0</v>
      </c>
      <c r="AL989">
        <f t="shared" si="793"/>
        <v>0</v>
      </c>
      <c r="AM989">
        <f t="shared" si="794"/>
        <v>0</v>
      </c>
    </row>
    <row r="990" spans="1:39" ht="15.75" x14ac:dyDescent="0.25">
      <c r="A990" s="561"/>
      <c r="B990" s="561"/>
      <c r="C990" s="561"/>
      <c r="D990" s="672"/>
      <c r="E990" s="209"/>
      <c r="F990" s="209"/>
      <c r="G990" s="209"/>
      <c r="H990" s="176">
        <f t="shared" si="772"/>
        <v>0</v>
      </c>
      <c r="I990" s="209"/>
      <c r="J990" s="209"/>
      <c r="K990" s="176">
        <f t="shared" si="773"/>
        <v>0</v>
      </c>
      <c r="L990" s="209"/>
      <c r="M990" s="177">
        <f t="shared" si="774"/>
        <v>0</v>
      </c>
      <c r="N990" s="1012"/>
      <c r="O990" s="1012"/>
      <c r="P990" s="485"/>
      <c r="Q990" s="778"/>
      <c r="R990" s="778"/>
      <c r="S990" s="785" t="str">
        <f t="shared" si="777"/>
        <v/>
      </c>
      <c r="T990" s="548" t="str">
        <f t="shared" si="775"/>
        <v>Sheet Metal Takeoff</v>
      </c>
      <c r="U990" s="83">
        <f t="shared" si="778"/>
        <v>0</v>
      </c>
      <c r="V990" s="83">
        <f t="shared" si="779"/>
        <v>0</v>
      </c>
      <c r="W990" s="83">
        <f t="shared" si="780"/>
        <v>0</v>
      </c>
      <c r="X990" s="781">
        <f t="shared" si="781"/>
        <v>0</v>
      </c>
      <c r="Y990" s="781">
        <f t="shared" si="782"/>
        <v>0</v>
      </c>
      <c r="Z990" s="781">
        <f t="shared" si="783"/>
        <v>0</v>
      </c>
      <c r="AA990" s="83">
        <f t="shared" si="776"/>
        <v>0</v>
      </c>
      <c r="AB990" s="83">
        <f t="shared" si="784"/>
        <v>0</v>
      </c>
      <c r="AC990" s="83">
        <f t="shared" si="785"/>
        <v>0</v>
      </c>
      <c r="AD990" s="83">
        <f t="shared" si="786"/>
        <v>0</v>
      </c>
      <c r="AE990" s="83">
        <f t="shared" si="787"/>
        <v>0</v>
      </c>
      <c r="AF990" s="83">
        <f t="shared" si="788"/>
        <v>0</v>
      </c>
      <c r="AG990" s="83">
        <f t="shared" si="789"/>
        <v>0</v>
      </c>
      <c r="AH990" s="83">
        <f t="shared" si="790"/>
        <v>0</v>
      </c>
      <c r="AI990" s="83">
        <f t="shared" si="791"/>
        <v>0</v>
      </c>
      <c r="AJ990" s="718">
        <f t="shared" si="792"/>
        <v>0</v>
      </c>
      <c r="AL990">
        <f t="shared" si="793"/>
        <v>0</v>
      </c>
      <c r="AM990">
        <f t="shared" si="794"/>
        <v>0</v>
      </c>
    </row>
    <row r="991" spans="1:39" ht="15.75" x14ac:dyDescent="0.25">
      <c r="A991" s="561"/>
      <c r="B991" s="561"/>
      <c r="C991" s="561"/>
      <c r="D991" s="672"/>
      <c r="E991" s="209"/>
      <c r="F991" s="209"/>
      <c r="G991" s="209"/>
      <c r="H991" s="176">
        <f t="shared" si="772"/>
        <v>0</v>
      </c>
      <c r="I991" s="209"/>
      <c r="J991" s="209"/>
      <c r="K991" s="176">
        <f t="shared" si="773"/>
        <v>0</v>
      </c>
      <c r="L991" s="209"/>
      <c r="M991" s="177">
        <f t="shared" si="774"/>
        <v>0</v>
      </c>
      <c r="N991" s="1012"/>
      <c r="O991" s="1012"/>
      <c r="P991" s="485"/>
      <c r="Q991" s="778"/>
      <c r="R991" s="778"/>
      <c r="S991" s="785" t="str">
        <f t="shared" si="777"/>
        <v/>
      </c>
      <c r="T991" s="548" t="str">
        <f t="shared" si="775"/>
        <v>Sheet Metal Takeoff</v>
      </c>
      <c r="U991" s="83">
        <f t="shared" si="778"/>
        <v>0</v>
      </c>
      <c r="V991" s="83">
        <f t="shared" si="779"/>
        <v>0</v>
      </c>
      <c r="W991" s="83">
        <f t="shared" si="780"/>
        <v>0</v>
      </c>
      <c r="X991" s="781">
        <f t="shared" si="781"/>
        <v>0</v>
      </c>
      <c r="Y991" s="781">
        <f t="shared" si="782"/>
        <v>0</v>
      </c>
      <c r="Z991" s="781">
        <f t="shared" si="783"/>
        <v>0</v>
      </c>
      <c r="AA991" s="83">
        <f t="shared" si="776"/>
        <v>0</v>
      </c>
      <c r="AB991" s="83">
        <f t="shared" si="784"/>
        <v>0</v>
      </c>
      <c r="AC991" s="83">
        <f t="shared" si="785"/>
        <v>0</v>
      </c>
      <c r="AD991" s="83">
        <f t="shared" si="786"/>
        <v>0</v>
      </c>
      <c r="AE991" s="83">
        <f t="shared" si="787"/>
        <v>0</v>
      </c>
      <c r="AF991" s="83">
        <f t="shared" si="788"/>
        <v>0</v>
      </c>
      <c r="AG991" s="83">
        <f t="shared" si="789"/>
        <v>0</v>
      </c>
      <c r="AH991" s="83">
        <f t="shared" si="790"/>
        <v>0</v>
      </c>
      <c r="AI991" s="83">
        <f t="shared" si="791"/>
        <v>0</v>
      </c>
      <c r="AJ991" s="718">
        <f t="shared" si="792"/>
        <v>0</v>
      </c>
      <c r="AL991">
        <f t="shared" si="793"/>
        <v>0</v>
      </c>
      <c r="AM991">
        <f t="shared" si="794"/>
        <v>0</v>
      </c>
    </row>
    <row r="992" spans="1:39" ht="15.75" x14ac:dyDescent="0.25">
      <c r="A992" s="561"/>
      <c r="B992" s="561"/>
      <c r="C992" s="561"/>
      <c r="D992" s="672"/>
      <c r="E992" s="209"/>
      <c r="F992" s="209"/>
      <c r="G992" s="209"/>
      <c r="H992" s="176">
        <f t="shared" si="772"/>
        <v>0</v>
      </c>
      <c r="I992" s="209"/>
      <c r="J992" s="209"/>
      <c r="K992" s="176">
        <f t="shared" si="773"/>
        <v>0</v>
      </c>
      <c r="L992" s="209"/>
      <c r="M992" s="177">
        <f t="shared" si="774"/>
        <v>0</v>
      </c>
      <c r="N992" s="1012"/>
      <c r="O992" s="1012"/>
      <c r="P992" s="485"/>
      <c r="Q992" s="778"/>
      <c r="R992" s="778"/>
      <c r="S992" s="785" t="str">
        <f t="shared" si="777"/>
        <v/>
      </c>
      <c r="T992" s="548" t="str">
        <f t="shared" si="775"/>
        <v>Sheet Metal Takeoff</v>
      </c>
      <c r="U992" s="83">
        <f t="shared" si="778"/>
        <v>0</v>
      </c>
      <c r="V992" s="83">
        <f t="shared" si="779"/>
        <v>0</v>
      </c>
      <c r="W992" s="83">
        <f t="shared" si="780"/>
        <v>0</v>
      </c>
      <c r="X992" s="781">
        <f t="shared" si="781"/>
        <v>0</v>
      </c>
      <c r="Y992" s="781">
        <f t="shared" si="782"/>
        <v>0</v>
      </c>
      <c r="Z992" s="781">
        <f t="shared" si="783"/>
        <v>0</v>
      </c>
      <c r="AA992" s="83">
        <f t="shared" si="776"/>
        <v>0</v>
      </c>
      <c r="AB992" s="83">
        <f t="shared" si="784"/>
        <v>0</v>
      </c>
      <c r="AC992" s="83">
        <f t="shared" si="785"/>
        <v>0</v>
      </c>
      <c r="AD992" s="83">
        <f t="shared" si="786"/>
        <v>0</v>
      </c>
      <c r="AE992" s="83">
        <f t="shared" si="787"/>
        <v>0</v>
      </c>
      <c r="AF992" s="83">
        <f t="shared" si="788"/>
        <v>0</v>
      </c>
      <c r="AG992" s="83">
        <f t="shared" si="789"/>
        <v>0</v>
      </c>
      <c r="AH992" s="83">
        <f t="shared" si="790"/>
        <v>0</v>
      </c>
      <c r="AI992" s="83">
        <f t="shared" si="791"/>
        <v>0</v>
      </c>
      <c r="AJ992" s="718">
        <f t="shared" si="792"/>
        <v>0</v>
      </c>
      <c r="AL992">
        <f t="shared" si="793"/>
        <v>0</v>
      </c>
      <c r="AM992">
        <f t="shared" si="794"/>
        <v>0</v>
      </c>
    </row>
    <row r="993" spans="1:39" ht="15.75" x14ac:dyDescent="0.25">
      <c r="A993" s="561"/>
      <c r="B993" s="561"/>
      <c r="C993" s="561"/>
      <c r="D993" s="672"/>
      <c r="E993" s="209"/>
      <c r="F993" s="209"/>
      <c r="G993" s="209"/>
      <c r="H993" s="176">
        <f t="shared" si="772"/>
        <v>0</v>
      </c>
      <c r="I993" s="209"/>
      <c r="J993" s="209"/>
      <c r="K993" s="176">
        <f t="shared" si="773"/>
        <v>0</v>
      </c>
      <c r="L993" s="209"/>
      <c r="M993" s="177">
        <f t="shared" si="774"/>
        <v>0</v>
      </c>
      <c r="N993" s="1012"/>
      <c r="O993" s="1012"/>
      <c r="P993" s="485"/>
      <c r="Q993" s="778"/>
      <c r="R993" s="778"/>
      <c r="S993" s="785" t="str">
        <f t="shared" si="777"/>
        <v/>
      </c>
      <c r="T993" s="548" t="str">
        <f t="shared" si="775"/>
        <v>Sheet Metal Takeoff</v>
      </c>
      <c r="U993" s="83">
        <f t="shared" si="778"/>
        <v>0</v>
      </c>
      <c r="V993" s="83">
        <f t="shared" si="779"/>
        <v>0</v>
      </c>
      <c r="W993" s="83">
        <f t="shared" si="780"/>
        <v>0</v>
      </c>
      <c r="X993" s="781">
        <f t="shared" si="781"/>
        <v>0</v>
      </c>
      <c r="Y993" s="781">
        <f t="shared" si="782"/>
        <v>0</v>
      </c>
      <c r="Z993" s="781">
        <f t="shared" si="783"/>
        <v>0</v>
      </c>
      <c r="AA993" s="83">
        <f t="shared" si="776"/>
        <v>0</v>
      </c>
      <c r="AB993" s="83">
        <f t="shared" si="784"/>
        <v>0</v>
      </c>
      <c r="AC993" s="83">
        <f t="shared" si="785"/>
        <v>0</v>
      </c>
      <c r="AD993" s="83">
        <f t="shared" si="786"/>
        <v>0</v>
      </c>
      <c r="AE993" s="83">
        <f t="shared" si="787"/>
        <v>0</v>
      </c>
      <c r="AF993" s="83">
        <f t="shared" si="788"/>
        <v>0</v>
      </c>
      <c r="AG993" s="83">
        <f t="shared" si="789"/>
        <v>0</v>
      </c>
      <c r="AH993" s="83">
        <f t="shared" si="790"/>
        <v>0</v>
      </c>
      <c r="AI993" s="83">
        <f t="shared" si="791"/>
        <v>0</v>
      </c>
      <c r="AJ993" s="718">
        <f t="shared" si="792"/>
        <v>0</v>
      </c>
      <c r="AL993">
        <f t="shared" si="793"/>
        <v>0</v>
      </c>
      <c r="AM993">
        <f t="shared" si="794"/>
        <v>0</v>
      </c>
    </row>
    <row r="994" spans="1:39" ht="15.75" x14ac:dyDescent="0.25">
      <c r="A994" s="561"/>
      <c r="B994" s="561"/>
      <c r="C994" s="561"/>
      <c r="D994" s="672"/>
      <c r="E994" s="209"/>
      <c r="F994" s="209"/>
      <c r="G994" s="209"/>
      <c r="H994" s="176">
        <f t="shared" si="772"/>
        <v>0</v>
      </c>
      <c r="I994" s="209"/>
      <c r="J994" s="209"/>
      <c r="K994" s="176">
        <f t="shared" si="773"/>
        <v>0</v>
      </c>
      <c r="L994" s="209"/>
      <c r="M994" s="177">
        <f t="shared" si="774"/>
        <v>0</v>
      </c>
      <c r="N994" s="1012"/>
      <c r="O994" s="1012"/>
      <c r="P994" s="485"/>
      <c r="Q994" s="778"/>
      <c r="R994" s="778"/>
      <c r="S994" s="785" t="str">
        <f t="shared" si="777"/>
        <v/>
      </c>
      <c r="T994" s="548" t="str">
        <f t="shared" si="775"/>
        <v>Sheet Metal Takeoff</v>
      </c>
      <c r="U994" s="83">
        <f t="shared" si="778"/>
        <v>0</v>
      </c>
      <c r="V994" s="83">
        <f t="shared" si="779"/>
        <v>0</v>
      </c>
      <c r="W994" s="83">
        <f t="shared" si="780"/>
        <v>0</v>
      </c>
      <c r="X994" s="781">
        <f t="shared" si="781"/>
        <v>0</v>
      </c>
      <c r="Y994" s="781">
        <f t="shared" si="782"/>
        <v>0</v>
      </c>
      <c r="Z994" s="781">
        <f t="shared" si="783"/>
        <v>0</v>
      </c>
      <c r="AA994" s="83">
        <f t="shared" si="776"/>
        <v>0</v>
      </c>
      <c r="AB994" s="83">
        <f t="shared" si="784"/>
        <v>0</v>
      </c>
      <c r="AC994" s="83">
        <f t="shared" si="785"/>
        <v>0</v>
      </c>
      <c r="AD994" s="83">
        <f t="shared" si="786"/>
        <v>0</v>
      </c>
      <c r="AE994" s="83">
        <f t="shared" si="787"/>
        <v>0</v>
      </c>
      <c r="AF994" s="83">
        <f t="shared" si="788"/>
        <v>0</v>
      </c>
      <c r="AG994" s="83">
        <f t="shared" si="789"/>
        <v>0</v>
      </c>
      <c r="AH994" s="83">
        <f t="shared" si="790"/>
        <v>0</v>
      </c>
      <c r="AI994" s="83">
        <f t="shared" si="791"/>
        <v>0</v>
      </c>
      <c r="AJ994" s="718">
        <f t="shared" si="792"/>
        <v>0</v>
      </c>
      <c r="AL994">
        <f t="shared" si="793"/>
        <v>0</v>
      </c>
      <c r="AM994">
        <f t="shared" si="794"/>
        <v>0</v>
      </c>
    </row>
    <row r="995" spans="1:39" ht="15.75" x14ac:dyDescent="0.25">
      <c r="A995" s="561"/>
      <c r="B995" s="561"/>
      <c r="C995" s="561"/>
      <c r="D995" s="672"/>
      <c r="E995" s="209"/>
      <c r="F995" s="209"/>
      <c r="G995" s="209"/>
      <c r="H995" s="176">
        <f t="shared" si="772"/>
        <v>0</v>
      </c>
      <c r="I995" s="209"/>
      <c r="J995" s="209"/>
      <c r="K995" s="176">
        <f t="shared" si="773"/>
        <v>0</v>
      </c>
      <c r="L995" s="209"/>
      <c r="M995" s="177">
        <f t="shared" si="774"/>
        <v>0</v>
      </c>
      <c r="N995" s="1012"/>
      <c r="O995" s="1012"/>
      <c r="P995" s="485"/>
      <c r="Q995" s="778"/>
      <c r="R995" s="778"/>
      <c r="S995" s="785" t="str">
        <f t="shared" si="777"/>
        <v/>
      </c>
      <c r="T995" s="548" t="str">
        <f t="shared" si="775"/>
        <v>Sheet Metal Takeoff</v>
      </c>
      <c r="U995" s="83">
        <f t="shared" si="778"/>
        <v>0</v>
      </c>
      <c r="V995" s="83">
        <f t="shared" si="779"/>
        <v>0</v>
      </c>
      <c r="W995" s="83">
        <f t="shared" si="780"/>
        <v>0</v>
      </c>
      <c r="X995" s="781">
        <f t="shared" si="781"/>
        <v>0</v>
      </c>
      <c r="Y995" s="781">
        <f t="shared" si="782"/>
        <v>0</v>
      </c>
      <c r="Z995" s="781">
        <f t="shared" si="783"/>
        <v>0</v>
      </c>
      <c r="AA995" s="83">
        <f t="shared" si="776"/>
        <v>0</v>
      </c>
      <c r="AB995" s="83">
        <f t="shared" si="784"/>
        <v>0</v>
      </c>
      <c r="AC995" s="83">
        <f t="shared" si="785"/>
        <v>0</v>
      </c>
      <c r="AD995" s="83">
        <f t="shared" si="786"/>
        <v>0</v>
      </c>
      <c r="AE995" s="83">
        <f t="shared" si="787"/>
        <v>0</v>
      </c>
      <c r="AF995" s="83">
        <f t="shared" si="788"/>
        <v>0</v>
      </c>
      <c r="AG995" s="83">
        <f t="shared" si="789"/>
        <v>0</v>
      </c>
      <c r="AH995" s="83">
        <f t="shared" si="790"/>
        <v>0</v>
      </c>
      <c r="AI995" s="83">
        <f t="shared" si="791"/>
        <v>0</v>
      </c>
      <c r="AJ995" s="718">
        <f t="shared" si="792"/>
        <v>0</v>
      </c>
      <c r="AL995">
        <f t="shared" si="793"/>
        <v>0</v>
      </c>
      <c r="AM995">
        <f t="shared" si="794"/>
        <v>0</v>
      </c>
    </row>
    <row r="996" spans="1:39" ht="15.75" x14ac:dyDescent="0.25">
      <c r="A996" s="561"/>
      <c r="B996" s="561"/>
      <c r="C996" s="561"/>
      <c r="D996" s="672"/>
      <c r="E996" s="209"/>
      <c r="F996" s="209"/>
      <c r="G996" s="209"/>
      <c r="H996" s="176">
        <f t="shared" si="772"/>
        <v>0</v>
      </c>
      <c r="I996" s="209"/>
      <c r="J996" s="209"/>
      <c r="K996" s="176">
        <f t="shared" si="773"/>
        <v>0</v>
      </c>
      <c r="L996" s="209"/>
      <c r="M996" s="177">
        <f t="shared" si="774"/>
        <v>0</v>
      </c>
      <c r="N996" s="1012"/>
      <c r="O996" s="1012"/>
      <c r="P996" s="485"/>
      <c r="Q996" s="778"/>
      <c r="R996" s="778"/>
      <c r="S996" s="785" t="str">
        <f t="shared" si="777"/>
        <v/>
      </c>
      <c r="T996" s="548" t="str">
        <f t="shared" si="775"/>
        <v>Sheet Metal Takeoff</v>
      </c>
      <c r="U996" s="83">
        <f t="shared" si="778"/>
        <v>0</v>
      </c>
      <c r="V996" s="83">
        <f t="shared" si="779"/>
        <v>0</v>
      </c>
      <c r="W996" s="83">
        <f t="shared" si="780"/>
        <v>0</v>
      </c>
      <c r="X996" s="781">
        <f t="shared" si="781"/>
        <v>0</v>
      </c>
      <c r="Y996" s="781">
        <f t="shared" si="782"/>
        <v>0</v>
      </c>
      <c r="Z996" s="781">
        <f t="shared" si="783"/>
        <v>0</v>
      </c>
      <c r="AA996" s="83">
        <f t="shared" si="776"/>
        <v>0</v>
      </c>
      <c r="AB996" s="83">
        <f t="shared" si="784"/>
        <v>0</v>
      </c>
      <c r="AC996" s="83">
        <f t="shared" si="785"/>
        <v>0</v>
      </c>
      <c r="AD996" s="83">
        <f t="shared" si="786"/>
        <v>0</v>
      </c>
      <c r="AE996" s="83">
        <f t="shared" si="787"/>
        <v>0</v>
      </c>
      <c r="AF996" s="83">
        <f t="shared" si="788"/>
        <v>0</v>
      </c>
      <c r="AG996" s="83">
        <f t="shared" si="789"/>
        <v>0</v>
      </c>
      <c r="AH996" s="83">
        <f t="shared" si="790"/>
        <v>0</v>
      </c>
      <c r="AI996" s="83">
        <f t="shared" si="791"/>
        <v>0</v>
      </c>
      <c r="AJ996" s="718">
        <f t="shared" si="792"/>
        <v>0</v>
      </c>
      <c r="AL996">
        <f t="shared" si="793"/>
        <v>0</v>
      </c>
      <c r="AM996">
        <f t="shared" si="794"/>
        <v>0</v>
      </c>
    </row>
    <row r="997" spans="1:39" ht="15.75" x14ac:dyDescent="0.25">
      <c r="A997" s="561"/>
      <c r="B997" s="561"/>
      <c r="C997" s="561"/>
      <c r="D997" s="672"/>
      <c r="E997" s="209"/>
      <c r="F997" s="209"/>
      <c r="G997" s="209"/>
      <c r="H997" s="176">
        <f t="shared" si="772"/>
        <v>0</v>
      </c>
      <c r="I997" s="209"/>
      <c r="J997" s="209"/>
      <c r="K997" s="176">
        <f t="shared" si="773"/>
        <v>0</v>
      </c>
      <c r="L997" s="209"/>
      <c r="M997" s="177">
        <f t="shared" si="774"/>
        <v>0</v>
      </c>
      <c r="N997" s="1012"/>
      <c r="O997" s="1012"/>
      <c r="P997" s="485"/>
      <c r="Q997" s="778"/>
      <c r="R997" s="778"/>
      <c r="S997" s="785" t="str">
        <f t="shared" si="777"/>
        <v/>
      </c>
      <c r="T997" s="548" t="str">
        <f t="shared" si="775"/>
        <v>Sheet Metal Takeoff</v>
      </c>
      <c r="U997" s="83">
        <f t="shared" si="778"/>
        <v>0</v>
      </c>
      <c r="V997" s="83">
        <f t="shared" si="779"/>
        <v>0</v>
      </c>
      <c r="W997" s="83">
        <f t="shared" si="780"/>
        <v>0</v>
      </c>
      <c r="X997" s="781">
        <f t="shared" si="781"/>
        <v>0</v>
      </c>
      <c r="Y997" s="781">
        <f t="shared" si="782"/>
        <v>0</v>
      </c>
      <c r="Z997" s="781">
        <f t="shared" si="783"/>
        <v>0</v>
      </c>
      <c r="AA997" s="83">
        <f t="shared" si="776"/>
        <v>0</v>
      </c>
      <c r="AB997" s="83">
        <f t="shared" si="784"/>
        <v>0</v>
      </c>
      <c r="AC997" s="83">
        <f t="shared" si="785"/>
        <v>0</v>
      </c>
      <c r="AD997" s="83">
        <f t="shared" si="786"/>
        <v>0</v>
      </c>
      <c r="AE997" s="83">
        <f t="shared" si="787"/>
        <v>0</v>
      </c>
      <c r="AF997" s="83">
        <f t="shared" si="788"/>
        <v>0</v>
      </c>
      <c r="AG997" s="83">
        <f t="shared" si="789"/>
        <v>0</v>
      </c>
      <c r="AH997" s="83">
        <f t="shared" si="790"/>
        <v>0</v>
      </c>
      <c r="AI997" s="83">
        <f t="shared" si="791"/>
        <v>0</v>
      </c>
      <c r="AJ997" s="718">
        <f t="shared" si="792"/>
        <v>0</v>
      </c>
      <c r="AL997">
        <f t="shared" si="793"/>
        <v>0</v>
      </c>
      <c r="AM997">
        <f t="shared" si="794"/>
        <v>0</v>
      </c>
    </row>
    <row r="998" spans="1:39" ht="15.75" x14ac:dyDescent="0.25">
      <c r="A998" s="561"/>
      <c r="B998" s="561"/>
      <c r="C998" s="561"/>
      <c r="D998" s="672"/>
      <c r="E998" s="209"/>
      <c r="F998" s="209"/>
      <c r="G998" s="209"/>
      <c r="H998" s="176">
        <f t="shared" si="772"/>
        <v>0</v>
      </c>
      <c r="I998" s="209"/>
      <c r="J998" s="209"/>
      <c r="K998" s="176">
        <f t="shared" si="773"/>
        <v>0</v>
      </c>
      <c r="L998" s="209"/>
      <c r="M998" s="177">
        <f t="shared" si="774"/>
        <v>0</v>
      </c>
      <c r="N998" s="1012"/>
      <c r="O998" s="1012"/>
      <c r="P998" s="485"/>
      <c r="Q998" s="778"/>
      <c r="R998" s="778"/>
      <c r="S998" s="785" t="str">
        <f t="shared" si="777"/>
        <v/>
      </c>
      <c r="T998" s="548" t="str">
        <f t="shared" si="775"/>
        <v>Sheet Metal Takeoff</v>
      </c>
      <c r="U998" s="83">
        <f t="shared" si="778"/>
        <v>0</v>
      </c>
      <c r="V998" s="83">
        <f t="shared" si="779"/>
        <v>0</v>
      </c>
      <c r="W998" s="83">
        <f t="shared" si="780"/>
        <v>0</v>
      </c>
      <c r="X998" s="781">
        <f t="shared" si="781"/>
        <v>0</v>
      </c>
      <c r="Y998" s="781">
        <f t="shared" si="782"/>
        <v>0</v>
      </c>
      <c r="Z998" s="781">
        <f t="shared" si="783"/>
        <v>0</v>
      </c>
      <c r="AA998" s="83">
        <f t="shared" si="776"/>
        <v>0</v>
      </c>
      <c r="AB998" s="83">
        <f t="shared" si="784"/>
        <v>0</v>
      </c>
      <c r="AC998" s="83">
        <f t="shared" si="785"/>
        <v>0</v>
      </c>
      <c r="AD998" s="83">
        <f t="shared" si="786"/>
        <v>0</v>
      </c>
      <c r="AE998" s="83">
        <f t="shared" si="787"/>
        <v>0</v>
      </c>
      <c r="AF998" s="83">
        <f t="shared" si="788"/>
        <v>0</v>
      </c>
      <c r="AG998" s="83">
        <f t="shared" si="789"/>
        <v>0</v>
      </c>
      <c r="AH998" s="83">
        <f t="shared" si="790"/>
        <v>0</v>
      </c>
      <c r="AI998" s="83">
        <f t="shared" si="791"/>
        <v>0</v>
      </c>
      <c r="AJ998" s="718">
        <f t="shared" si="792"/>
        <v>0</v>
      </c>
      <c r="AL998">
        <f t="shared" si="793"/>
        <v>0</v>
      </c>
      <c r="AM998">
        <f t="shared" si="794"/>
        <v>0</v>
      </c>
    </row>
    <row r="999" spans="1:39" ht="15.75" x14ac:dyDescent="0.25">
      <c r="A999" s="561"/>
      <c r="B999" s="561"/>
      <c r="C999" s="561"/>
      <c r="D999" s="672"/>
      <c r="E999" s="209"/>
      <c r="F999" s="209"/>
      <c r="G999" s="209"/>
      <c r="H999" s="176">
        <f t="shared" si="772"/>
        <v>0</v>
      </c>
      <c r="I999" s="209"/>
      <c r="J999" s="209"/>
      <c r="K999" s="176">
        <f t="shared" si="773"/>
        <v>0</v>
      </c>
      <c r="L999" s="209"/>
      <c r="M999" s="177">
        <f t="shared" si="774"/>
        <v>0</v>
      </c>
      <c r="N999" s="1012"/>
      <c r="O999" s="1012"/>
      <c r="P999" s="485"/>
      <c r="Q999" s="778"/>
      <c r="R999" s="778"/>
      <c r="S999" s="785" t="str">
        <f t="shared" si="777"/>
        <v/>
      </c>
      <c r="T999" s="548" t="str">
        <f t="shared" si="775"/>
        <v>Sheet Metal Takeoff</v>
      </c>
      <c r="U999" s="83">
        <f t="shared" si="778"/>
        <v>0</v>
      </c>
      <c r="V999" s="83">
        <f t="shared" si="779"/>
        <v>0</v>
      </c>
      <c r="W999" s="83">
        <f t="shared" si="780"/>
        <v>0</v>
      </c>
      <c r="X999" s="781">
        <f t="shared" si="781"/>
        <v>0</v>
      </c>
      <c r="Y999" s="781">
        <f t="shared" si="782"/>
        <v>0</v>
      </c>
      <c r="Z999" s="781">
        <f t="shared" si="783"/>
        <v>0</v>
      </c>
      <c r="AA999" s="83">
        <f t="shared" si="776"/>
        <v>0</v>
      </c>
      <c r="AB999" s="83">
        <f t="shared" si="784"/>
        <v>0</v>
      </c>
      <c r="AC999" s="83">
        <f t="shared" si="785"/>
        <v>0</v>
      </c>
      <c r="AD999" s="83">
        <f t="shared" si="786"/>
        <v>0</v>
      </c>
      <c r="AE999" s="83">
        <f t="shared" si="787"/>
        <v>0</v>
      </c>
      <c r="AF999" s="83">
        <f t="shared" si="788"/>
        <v>0</v>
      </c>
      <c r="AG999" s="83">
        <f t="shared" si="789"/>
        <v>0</v>
      </c>
      <c r="AH999" s="83">
        <f t="shared" si="790"/>
        <v>0</v>
      </c>
      <c r="AI999" s="83">
        <f t="shared" si="791"/>
        <v>0</v>
      </c>
      <c r="AJ999" s="718">
        <f t="shared" si="792"/>
        <v>0</v>
      </c>
      <c r="AL999">
        <f t="shared" si="793"/>
        <v>0</v>
      </c>
      <c r="AM999">
        <f t="shared" si="794"/>
        <v>0</v>
      </c>
    </row>
    <row r="1000" spans="1:39" ht="15.75" x14ac:dyDescent="0.25">
      <c r="A1000" s="561"/>
      <c r="B1000" s="561"/>
      <c r="C1000" s="561"/>
      <c r="D1000" s="672"/>
      <c r="E1000" s="209"/>
      <c r="F1000" s="209"/>
      <c r="G1000" s="209"/>
      <c r="H1000" s="176">
        <f t="shared" si="772"/>
        <v>0</v>
      </c>
      <c r="I1000" s="209"/>
      <c r="J1000" s="209"/>
      <c r="K1000" s="176">
        <f t="shared" si="773"/>
        <v>0</v>
      </c>
      <c r="L1000" s="209"/>
      <c r="M1000" s="177">
        <f t="shared" si="774"/>
        <v>0</v>
      </c>
      <c r="N1000" s="1012"/>
      <c r="O1000" s="1012"/>
      <c r="P1000" s="485"/>
      <c r="Q1000" s="778"/>
      <c r="R1000" s="778"/>
      <c r="S1000" s="785" t="str">
        <f t="shared" si="777"/>
        <v/>
      </c>
      <c r="T1000" s="548" t="str">
        <f t="shared" si="775"/>
        <v>Sheet Metal Takeoff</v>
      </c>
      <c r="U1000" s="83">
        <f t="shared" si="778"/>
        <v>0</v>
      </c>
      <c r="V1000" s="83">
        <f t="shared" si="779"/>
        <v>0</v>
      </c>
      <c r="W1000" s="83">
        <f t="shared" si="780"/>
        <v>0</v>
      </c>
      <c r="X1000" s="781">
        <f t="shared" si="781"/>
        <v>0</v>
      </c>
      <c r="Y1000" s="781">
        <f t="shared" si="782"/>
        <v>0</v>
      </c>
      <c r="Z1000" s="781">
        <f t="shared" si="783"/>
        <v>0</v>
      </c>
      <c r="AA1000" s="83">
        <f t="shared" si="776"/>
        <v>0</v>
      </c>
      <c r="AB1000" s="83">
        <f t="shared" si="784"/>
        <v>0</v>
      </c>
      <c r="AC1000" s="83">
        <f t="shared" si="785"/>
        <v>0</v>
      </c>
      <c r="AD1000" s="83">
        <f t="shared" si="786"/>
        <v>0</v>
      </c>
      <c r="AE1000" s="83">
        <f t="shared" si="787"/>
        <v>0</v>
      </c>
      <c r="AF1000" s="83">
        <f t="shared" si="788"/>
        <v>0</v>
      </c>
      <c r="AG1000" s="83">
        <f t="shared" si="789"/>
        <v>0</v>
      </c>
      <c r="AH1000" s="83">
        <f t="shared" si="790"/>
        <v>0</v>
      </c>
      <c r="AI1000" s="83">
        <f t="shared" si="791"/>
        <v>0</v>
      </c>
      <c r="AJ1000" s="718">
        <f t="shared" si="792"/>
        <v>0</v>
      </c>
      <c r="AL1000">
        <f t="shared" si="793"/>
        <v>0</v>
      </c>
      <c r="AM1000">
        <f t="shared" si="794"/>
        <v>0</v>
      </c>
    </row>
    <row r="1001" spans="1:39" ht="15.75" x14ac:dyDescent="0.25">
      <c r="A1001" s="561"/>
      <c r="B1001" s="561"/>
      <c r="C1001" s="561"/>
      <c r="D1001" s="672"/>
      <c r="E1001" s="209"/>
      <c r="F1001" s="209"/>
      <c r="G1001" s="209"/>
      <c r="H1001" s="176">
        <f t="shared" si="772"/>
        <v>0</v>
      </c>
      <c r="I1001" s="209"/>
      <c r="J1001" s="209"/>
      <c r="K1001" s="176">
        <f t="shared" si="773"/>
        <v>0</v>
      </c>
      <c r="L1001" s="209"/>
      <c r="M1001" s="177">
        <f t="shared" si="774"/>
        <v>0</v>
      </c>
      <c r="N1001" s="1012"/>
      <c r="O1001" s="1012"/>
      <c r="P1001" s="485"/>
      <c r="Q1001" s="778"/>
      <c r="R1001" s="778"/>
      <c r="S1001" s="785" t="str">
        <f t="shared" si="777"/>
        <v/>
      </c>
      <c r="T1001" s="548" t="str">
        <f t="shared" si="775"/>
        <v>Sheet Metal Takeoff</v>
      </c>
      <c r="U1001" s="83">
        <f t="shared" si="778"/>
        <v>0</v>
      </c>
      <c r="V1001" s="83">
        <f t="shared" si="779"/>
        <v>0</v>
      </c>
      <c r="W1001" s="83">
        <f t="shared" si="780"/>
        <v>0</v>
      </c>
      <c r="X1001" s="781">
        <f t="shared" si="781"/>
        <v>0</v>
      </c>
      <c r="Y1001" s="781">
        <f t="shared" si="782"/>
        <v>0</v>
      </c>
      <c r="Z1001" s="781">
        <f t="shared" si="783"/>
        <v>0</v>
      </c>
      <c r="AA1001" s="83">
        <f t="shared" si="776"/>
        <v>0</v>
      </c>
      <c r="AB1001" s="83">
        <f t="shared" si="784"/>
        <v>0</v>
      </c>
      <c r="AC1001" s="83">
        <f t="shared" si="785"/>
        <v>0</v>
      </c>
      <c r="AD1001" s="83">
        <f t="shared" si="786"/>
        <v>0</v>
      </c>
      <c r="AE1001" s="83">
        <f t="shared" si="787"/>
        <v>0</v>
      </c>
      <c r="AF1001" s="83">
        <f t="shared" si="788"/>
        <v>0</v>
      </c>
      <c r="AG1001" s="83">
        <f t="shared" si="789"/>
        <v>0</v>
      </c>
      <c r="AH1001" s="83">
        <f t="shared" si="790"/>
        <v>0</v>
      </c>
      <c r="AI1001" s="83">
        <f t="shared" si="791"/>
        <v>0</v>
      </c>
      <c r="AJ1001" s="718">
        <f t="shared" si="792"/>
        <v>0</v>
      </c>
      <c r="AL1001">
        <f t="shared" si="793"/>
        <v>0</v>
      </c>
      <c r="AM1001">
        <f t="shared" si="794"/>
        <v>0</v>
      </c>
    </row>
    <row r="1002" spans="1:39" ht="15.75" x14ac:dyDescent="0.25">
      <c r="A1002" s="561"/>
      <c r="B1002" s="561"/>
      <c r="C1002" s="561"/>
      <c r="D1002" s="672"/>
      <c r="E1002" s="209"/>
      <c r="F1002" s="209"/>
      <c r="G1002" s="209"/>
      <c r="H1002" s="176">
        <f t="shared" si="772"/>
        <v>0</v>
      </c>
      <c r="I1002" s="209"/>
      <c r="J1002" s="209"/>
      <c r="K1002" s="176">
        <f t="shared" si="773"/>
        <v>0</v>
      </c>
      <c r="L1002" s="209"/>
      <c r="M1002" s="177">
        <f t="shared" si="774"/>
        <v>0</v>
      </c>
      <c r="N1002" s="1012"/>
      <c r="O1002" s="1012"/>
      <c r="P1002" s="485"/>
      <c r="Q1002" s="778"/>
      <c r="R1002" s="778"/>
      <c r="S1002" s="785" t="str">
        <f t="shared" si="777"/>
        <v/>
      </c>
      <c r="T1002" s="548" t="str">
        <f t="shared" si="775"/>
        <v>Sheet Metal Takeoff</v>
      </c>
      <c r="U1002" s="83">
        <f t="shared" si="778"/>
        <v>0</v>
      </c>
      <c r="V1002" s="83">
        <f t="shared" si="779"/>
        <v>0</v>
      </c>
      <c r="W1002" s="83">
        <f t="shared" si="780"/>
        <v>0</v>
      </c>
      <c r="X1002" s="781">
        <f t="shared" si="781"/>
        <v>0</v>
      </c>
      <c r="Y1002" s="781">
        <f t="shared" si="782"/>
        <v>0</v>
      </c>
      <c r="Z1002" s="781">
        <f t="shared" si="783"/>
        <v>0</v>
      </c>
      <c r="AA1002" s="83">
        <f t="shared" si="776"/>
        <v>0</v>
      </c>
      <c r="AB1002" s="83">
        <f t="shared" si="784"/>
        <v>0</v>
      </c>
      <c r="AC1002" s="83">
        <f t="shared" si="785"/>
        <v>0</v>
      </c>
      <c r="AD1002" s="83">
        <f t="shared" si="786"/>
        <v>0</v>
      </c>
      <c r="AE1002" s="83">
        <f t="shared" si="787"/>
        <v>0</v>
      </c>
      <c r="AF1002" s="83">
        <f t="shared" si="788"/>
        <v>0</v>
      </c>
      <c r="AG1002" s="83">
        <f t="shared" si="789"/>
        <v>0</v>
      </c>
      <c r="AH1002" s="83">
        <f t="shared" si="790"/>
        <v>0</v>
      </c>
      <c r="AI1002" s="83">
        <f t="shared" si="791"/>
        <v>0</v>
      </c>
      <c r="AJ1002" s="718">
        <f t="shared" si="792"/>
        <v>0</v>
      </c>
      <c r="AL1002">
        <f t="shared" si="793"/>
        <v>0</v>
      </c>
      <c r="AM1002">
        <f t="shared" si="794"/>
        <v>0</v>
      </c>
    </row>
    <row r="1003" spans="1:39" ht="15.75" x14ac:dyDescent="0.25">
      <c r="A1003" s="561"/>
      <c r="B1003" s="561"/>
      <c r="C1003" s="561"/>
      <c r="D1003" s="672"/>
      <c r="E1003" s="209"/>
      <c r="F1003" s="209"/>
      <c r="G1003" s="209"/>
      <c r="H1003" s="176">
        <f t="shared" si="772"/>
        <v>0</v>
      </c>
      <c r="I1003" s="209"/>
      <c r="J1003" s="209"/>
      <c r="K1003" s="176">
        <f t="shared" si="773"/>
        <v>0</v>
      </c>
      <c r="L1003" s="209"/>
      <c r="M1003" s="177">
        <f t="shared" si="774"/>
        <v>0</v>
      </c>
      <c r="N1003" s="1012"/>
      <c r="O1003" s="1012"/>
      <c r="P1003" s="485"/>
      <c r="Q1003" s="778"/>
      <c r="R1003" s="778"/>
      <c r="S1003" s="785" t="str">
        <f t="shared" si="777"/>
        <v/>
      </c>
      <c r="T1003" s="548" t="str">
        <f t="shared" si="775"/>
        <v>Sheet Metal Takeoff</v>
      </c>
      <c r="U1003" s="83">
        <f t="shared" si="778"/>
        <v>0</v>
      </c>
      <c r="V1003" s="83">
        <f t="shared" si="779"/>
        <v>0</v>
      </c>
      <c r="W1003" s="83">
        <f t="shared" si="780"/>
        <v>0</v>
      </c>
      <c r="X1003" s="781">
        <f t="shared" si="781"/>
        <v>0</v>
      </c>
      <c r="Y1003" s="781">
        <f t="shared" si="782"/>
        <v>0</v>
      </c>
      <c r="Z1003" s="781">
        <f t="shared" si="783"/>
        <v>0</v>
      </c>
      <c r="AA1003" s="83">
        <f t="shared" si="776"/>
        <v>0</v>
      </c>
      <c r="AB1003" s="83">
        <f t="shared" si="784"/>
        <v>0</v>
      </c>
      <c r="AC1003" s="83">
        <f t="shared" si="785"/>
        <v>0</v>
      </c>
      <c r="AD1003" s="83">
        <f t="shared" si="786"/>
        <v>0</v>
      </c>
      <c r="AE1003" s="83">
        <f t="shared" si="787"/>
        <v>0</v>
      </c>
      <c r="AF1003" s="83">
        <f t="shared" si="788"/>
        <v>0</v>
      </c>
      <c r="AG1003" s="83">
        <f t="shared" si="789"/>
        <v>0</v>
      </c>
      <c r="AH1003" s="83">
        <f t="shared" si="790"/>
        <v>0</v>
      </c>
      <c r="AI1003" s="83">
        <f t="shared" si="791"/>
        <v>0</v>
      </c>
      <c r="AJ1003" s="718">
        <f t="shared" si="792"/>
        <v>0</v>
      </c>
      <c r="AL1003">
        <f t="shared" si="793"/>
        <v>0</v>
      </c>
      <c r="AM1003">
        <f t="shared" si="794"/>
        <v>0</v>
      </c>
    </row>
    <row r="1004" spans="1:39" ht="15.75" x14ac:dyDescent="0.25">
      <c r="A1004" s="561"/>
      <c r="B1004" s="561"/>
      <c r="C1004" s="561"/>
      <c r="D1004" s="672"/>
      <c r="E1004" s="209"/>
      <c r="F1004" s="209"/>
      <c r="G1004" s="209"/>
      <c r="H1004" s="176">
        <f t="shared" si="772"/>
        <v>0</v>
      </c>
      <c r="I1004" s="209"/>
      <c r="J1004" s="209"/>
      <c r="K1004" s="176">
        <f t="shared" si="773"/>
        <v>0</v>
      </c>
      <c r="L1004" s="209"/>
      <c r="M1004" s="177">
        <f t="shared" si="774"/>
        <v>0</v>
      </c>
      <c r="N1004" s="1012"/>
      <c r="O1004" s="1012"/>
      <c r="P1004" s="485"/>
      <c r="Q1004" s="778"/>
      <c r="R1004" s="778"/>
      <c r="S1004" s="785" t="str">
        <f t="shared" si="777"/>
        <v/>
      </c>
      <c r="T1004" s="548" t="str">
        <f t="shared" si="775"/>
        <v>Sheet Metal Takeoff</v>
      </c>
      <c r="U1004" s="83">
        <f t="shared" si="778"/>
        <v>0</v>
      </c>
      <c r="V1004" s="83">
        <f t="shared" si="779"/>
        <v>0</v>
      </c>
      <c r="W1004" s="83">
        <f t="shared" si="780"/>
        <v>0</v>
      </c>
      <c r="X1004" s="781">
        <f t="shared" si="781"/>
        <v>0</v>
      </c>
      <c r="Y1004" s="781">
        <f t="shared" si="782"/>
        <v>0</v>
      </c>
      <c r="Z1004" s="781">
        <f t="shared" si="783"/>
        <v>0</v>
      </c>
      <c r="AA1004" s="83">
        <f t="shared" si="776"/>
        <v>0</v>
      </c>
      <c r="AB1004" s="83">
        <f t="shared" si="784"/>
        <v>0</v>
      </c>
      <c r="AC1004" s="83">
        <f t="shared" si="785"/>
        <v>0</v>
      </c>
      <c r="AD1004" s="83">
        <f t="shared" si="786"/>
        <v>0</v>
      </c>
      <c r="AE1004" s="83">
        <f t="shared" si="787"/>
        <v>0</v>
      </c>
      <c r="AF1004" s="83">
        <f t="shared" si="788"/>
        <v>0</v>
      </c>
      <c r="AG1004" s="83">
        <f t="shared" si="789"/>
        <v>0</v>
      </c>
      <c r="AH1004" s="83">
        <f t="shared" si="790"/>
        <v>0</v>
      </c>
      <c r="AI1004" s="83">
        <f t="shared" si="791"/>
        <v>0</v>
      </c>
      <c r="AJ1004" s="718">
        <f t="shared" si="792"/>
        <v>0</v>
      </c>
      <c r="AL1004">
        <f t="shared" si="793"/>
        <v>0</v>
      </c>
      <c r="AM1004">
        <f t="shared" si="794"/>
        <v>0</v>
      </c>
    </row>
    <row r="1005" spans="1:39" ht="15.75" hidden="1" customHeight="1" x14ac:dyDescent="0.25">
      <c r="A1005" s="561"/>
      <c r="B1005" s="561"/>
      <c r="C1005" s="561"/>
      <c r="D1005" s="672"/>
      <c r="E1005" s="209"/>
      <c r="F1005" s="209"/>
      <c r="G1005" s="209"/>
      <c r="H1005" s="176">
        <f t="shared" si="772"/>
        <v>0</v>
      </c>
      <c r="I1005" s="209"/>
      <c r="J1005" s="209"/>
      <c r="K1005" s="176">
        <f t="shared" si="773"/>
        <v>0</v>
      </c>
      <c r="L1005" s="209"/>
      <c r="M1005" s="177">
        <f t="shared" si="774"/>
        <v>0</v>
      </c>
      <c r="N1005" s="1012"/>
      <c r="O1005" s="1012"/>
      <c r="P1005" s="485"/>
      <c r="Q1005" s="778"/>
      <c r="R1005" s="778"/>
      <c r="S1005" s="785" t="str">
        <f t="shared" si="777"/>
        <v/>
      </c>
      <c r="T1005" s="548" t="str">
        <f t="shared" si="775"/>
        <v>Sheet Metal Takeoff</v>
      </c>
      <c r="U1005" s="83">
        <f>ROUND(IF($T1005="Plumb Takeoff",$H1005*U$3,IF($T1005="Pipe Takeoff",$H1005*U$4,$H1005*U$2)),2)</f>
        <v>0</v>
      </c>
      <c r="V1005" s="83">
        <f t="shared" si="779"/>
        <v>0</v>
      </c>
      <c r="W1005" s="83">
        <f t="shared" si="780"/>
        <v>0</v>
      </c>
      <c r="X1005" s="781">
        <f t="shared" si="781"/>
        <v>0</v>
      </c>
      <c r="Y1005" s="781">
        <f t="shared" si="782"/>
        <v>0</v>
      </c>
      <c r="Z1005" s="781">
        <f t="shared" si="783"/>
        <v>0</v>
      </c>
      <c r="AA1005" s="83">
        <f t="shared" si="776"/>
        <v>0</v>
      </c>
      <c r="AB1005" s="83">
        <f t="shared" si="784"/>
        <v>0</v>
      </c>
      <c r="AC1005" s="83">
        <f t="shared" si="785"/>
        <v>0</v>
      </c>
      <c r="AD1005" s="83">
        <f t="shared" si="786"/>
        <v>0</v>
      </c>
      <c r="AE1005" s="83">
        <f t="shared" si="787"/>
        <v>0</v>
      </c>
      <c r="AF1005" s="83">
        <f t="shared" si="788"/>
        <v>0</v>
      </c>
      <c r="AG1005" s="83">
        <f t="shared" si="789"/>
        <v>0</v>
      </c>
      <c r="AH1005" s="83">
        <f t="shared" si="790"/>
        <v>0</v>
      </c>
      <c r="AI1005" s="83">
        <f t="shared" si="791"/>
        <v>0</v>
      </c>
      <c r="AJ1005" s="718">
        <f t="shared" si="792"/>
        <v>0</v>
      </c>
      <c r="AL1005">
        <f t="shared" si="793"/>
        <v>0</v>
      </c>
      <c r="AM1005">
        <f t="shared" si="794"/>
        <v>0</v>
      </c>
    </row>
    <row r="1006" spans="1:39" ht="15.75" x14ac:dyDescent="0.25">
      <c r="A1006" s="551"/>
      <c r="B1006" s="551"/>
      <c r="C1006" s="551"/>
      <c r="D1006" s="673"/>
      <c r="E1006" s="552"/>
      <c r="F1006" s="553"/>
      <c r="G1006" s="553"/>
      <c r="H1006" s="181">
        <f>SUM(H980:H1005)</f>
        <v>0</v>
      </c>
      <c r="I1006" s="182"/>
      <c r="J1006" s="182"/>
      <c r="K1006" s="181">
        <f>SUM(K980:K1005)</f>
        <v>0</v>
      </c>
      <c r="L1006" s="182"/>
      <c r="M1006" s="177">
        <f>SUM(M980:M1005)</f>
        <v>0</v>
      </c>
      <c r="O1006" s="486"/>
      <c r="AJ1006" s="718"/>
    </row>
    <row r="1009" ht="12.75" customHeight="1" x14ac:dyDescent="0.25"/>
    <row r="1010" ht="13.5" customHeight="1" x14ac:dyDescent="0.25"/>
  </sheetData>
  <sheetProtection algorithmName="SHA-512" hashValue="hNU9/MJvUahI9qwaMy8MgjoV5gd/EzAtIOQeZ0wRMLK2qnc/rao4F3S/INP3AxJ1NHtRf2fmNc4VlBFo3F259A==" saltValue="DRLpkz1a0lfRueXqX/s0Hw==" spinCount="100000" sheet="1" objects="1" scenarios="1" sort="0" autoFilter="0" pivotTables="0"/>
  <mergeCells count="1034">
    <mergeCell ref="N155:O155"/>
    <mergeCell ref="N156:O156"/>
    <mergeCell ref="F667:G667"/>
    <mergeCell ref="I667:J667"/>
    <mergeCell ref="F698:G698"/>
    <mergeCell ref="I698:J698"/>
    <mergeCell ref="F729:G729"/>
    <mergeCell ref="I729:J729"/>
    <mergeCell ref="F760:G760"/>
    <mergeCell ref="I760:J760"/>
    <mergeCell ref="F946:G946"/>
    <mergeCell ref="I946:J946"/>
    <mergeCell ref="F977:G977"/>
    <mergeCell ref="I977:J977"/>
    <mergeCell ref="F791:G791"/>
    <mergeCell ref="I791:J791"/>
    <mergeCell ref="F822:G822"/>
    <mergeCell ref="I822:J822"/>
    <mergeCell ref="F853:G853"/>
    <mergeCell ref="I853:J853"/>
    <mergeCell ref="F884:G884"/>
    <mergeCell ref="I884:J884"/>
    <mergeCell ref="F915:G915"/>
    <mergeCell ref="I915:J915"/>
    <mergeCell ref="N175:O175"/>
    <mergeCell ref="N176:O176"/>
    <mergeCell ref="N177:O177"/>
    <mergeCell ref="N178:O178"/>
    <mergeCell ref="N179:O179"/>
    <mergeCell ref="N167:O167"/>
    <mergeCell ref="N168:O168"/>
    <mergeCell ref="N172:O172"/>
    <mergeCell ref="F9:G9"/>
    <mergeCell ref="F388:G388"/>
    <mergeCell ref="I388:J388"/>
    <mergeCell ref="F419:G419"/>
    <mergeCell ref="I419:J419"/>
    <mergeCell ref="F450:G450"/>
    <mergeCell ref="I450:J450"/>
    <mergeCell ref="F38:G38"/>
    <mergeCell ref="I38:J38"/>
    <mergeCell ref="F481:G481"/>
    <mergeCell ref="I481:J481"/>
    <mergeCell ref="F512:G512"/>
    <mergeCell ref="I512:J512"/>
    <mergeCell ref="F543:G543"/>
    <mergeCell ref="I543:J543"/>
    <mergeCell ref="F574:G574"/>
    <mergeCell ref="I574:J574"/>
    <mergeCell ref="P761:P762"/>
    <mergeCell ref="P792:P793"/>
    <mergeCell ref="P823:P824"/>
    <mergeCell ref="P854:P855"/>
    <mergeCell ref="P885:P886"/>
    <mergeCell ref="P916:P917"/>
    <mergeCell ref="P947:P948"/>
    <mergeCell ref="P978:P979"/>
    <mergeCell ref="F72:G72"/>
    <mergeCell ref="I72:J72"/>
    <mergeCell ref="F103:G103"/>
    <mergeCell ref="I103:J103"/>
    <mergeCell ref="F136:G136"/>
    <mergeCell ref="I136:J136"/>
    <mergeCell ref="F171:G171"/>
    <mergeCell ref="I171:J171"/>
    <mergeCell ref="F202:G202"/>
    <mergeCell ref="I202:J202"/>
    <mergeCell ref="F233:G233"/>
    <mergeCell ref="I233:J233"/>
    <mergeCell ref="F264:G264"/>
    <mergeCell ref="I264:J264"/>
    <mergeCell ref="F295:G295"/>
    <mergeCell ref="I295:J295"/>
    <mergeCell ref="F326:G326"/>
    <mergeCell ref="I326:J326"/>
    <mergeCell ref="F357:G357"/>
    <mergeCell ref="I357:J357"/>
    <mergeCell ref="F605:G605"/>
    <mergeCell ref="I605:J605"/>
    <mergeCell ref="F636:G636"/>
    <mergeCell ref="I636:J636"/>
    <mergeCell ref="P234:P235"/>
    <mergeCell ref="P265:P266"/>
    <mergeCell ref="P296:P297"/>
    <mergeCell ref="P327:P328"/>
    <mergeCell ref="P358:P359"/>
    <mergeCell ref="P389:P390"/>
    <mergeCell ref="P420:P421"/>
    <mergeCell ref="P451:P452"/>
    <mergeCell ref="P482:P483"/>
    <mergeCell ref="P513:P514"/>
    <mergeCell ref="P544:P545"/>
    <mergeCell ref="P575:P576"/>
    <mergeCell ref="P606:P607"/>
    <mergeCell ref="P637:P638"/>
    <mergeCell ref="P668:P669"/>
    <mergeCell ref="P699:P700"/>
    <mergeCell ref="P730:P731"/>
    <mergeCell ref="P39:P40"/>
    <mergeCell ref="P73:P74"/>
    <mergeCell ref="P104:P105"/>
    <mergeCell ref="P137:P138"/>
    <mergeCell ref="P172:P173"/>
    <mergeCell ref="P203:P204"/>
    <mergeCell ref="N44:O44"/>
    <mergeCell ref="N45:O45"/>
    <mergeCell ref="N46:O46"/>
    <mergeCell ref="N47:O47"/>
    <mergeCell ref="N48:O48"/>
    <mergeCell ref="N39:O39"/>
    <mergeCell ref="N40:O40"/>
    <mergeCell ref="N41:O41"/>
    <mergeCell ref="N42:O42"/>
    <mergeCell ref="N43:O43"/>
    <mergeCell ref="N55:O55"/>
    <mergeCell ref="N56:O56"/>
    <mergeCell ref="N57:O57"/>
    <mergeCell ref="N58:O58"/>
    <mergeCell ref="N59:O59"/>
    <mergeCell ref="N49:O49"/>
    <mergeCell ref="N50:O50"/>
    <mergeCell ref="N51:O51"/>
    <mergeCell ref="N80:O80"/>
    <mergeCell ref="N81:O81"/>
    <mergeCell ref="N82:O82"/>
    <mergeCell ref="N83:O83"/>
    <mergeCell ref="N84:O84"/>
    <mergeCell ref="N75:O75"/>
    <mergeCell ref="N76:O76"/>
    <mergeCell ref="N77:O77"/>
    <mergeCell ref="N78:O78"/>
    <mergeCell ref="N79:O79"/>
    <mergeCell ref="N52:O52"/>
    <mergeCell ref="N53:O53"/>
    <mergeCell ref="N67:O67"/>
    <mergeCell ref="N68:O68"/>
    <mergeCell ref="N69:O69"/>
    <mergeCell ref="N73:O73"/>
    <mergeCell ref="N74:O74"/>
    <mergeCell ref="N60:O60"/>
    <mergeCell ref="N61:O61"/>
    <mergeCell ref="N62:O62"/>
    <mergeCell ref="N63:O63"/>
    <mergeCell ref="N64:O64"/>
    <mergeCell ref="N100:O100"/>
    <mergeCell ref="N104:O104"/>
    <mergeCell ref="N105:O105"/>
    <mergeCell ref="N65:O65"/>
    <mergeCell ref="N66:O66"/>
    <mergeCell ref="N54:O54"/>
    <mergeCell ref="N106:O106"/>
    <mergeCell ref="N107:O107"/>
    <mergeCell ref="N95:O95"/>
    <mergeCell ref="N96:O96"/>
    <mergeCell ref="N97:O97"/>
    <mergeCell ref="N98:O98"/>
    <mergeCell ref="N99:O99"/>
    <mergeCell ref="N90:O90"/>
    <mergeCell ref="N91:O91"/>
    <mergeCell ref="N92:O92"/>
    <mergeCell ref="N93:O93"/>
    <mergeCell ref="N94:O94"/>
    <mergeCell ref="N85:O85"/>
    <mergeCell ref="N86:O86"/>
    <mergeCell ref="N87:O87"/>
    <mergeCell ref="N88:O88"/>
    <mergeCell ref="N89:O89"/>
    <mergeCell ref="N125:O125"/>
    <mergeCell ref="N126:O126"/>
    <mergeCell ref="N127:O127"/>
    <mergeCell ref="N128:O128"/>
    <mergeCell ref="N129:O129"/>
    <mergeCell ref="N120:O120"/>
    <mergeCell ref="N121:O121"/>
    <mergeCell ref="N122:O122"/>
    <mergeCell ref="N123:O123"/>
    <mergeCell ref="N124:O124"/>
    <mergeCell ref="N113:O113"/>
    <mergeCell ref="N114:O114"/>
    <mergeCell ref="N115:O115"/>
    <mergeCell ref="N118:O118"/>
    <mergeCell ref="N119:O119"/>
    <mergeCell ref="N108:O108"/>
    <mergeCell ref="N109:O109"/>
    <mergeCell ref="N110:O110"/>
    <mergeCell ref="N111:O111"/>
    <mergeCell ref="N112:O112"/>
    <mergeCell ref="N116:O116"/>
    <mergeCell ref="N117:O117"/>
    <mergeCell ref="N149:O149"/>
    <mergeCell ref="N150:O150"/>
    <mergeCell ref="N152:O152"/>
    <mergeCell ref="N153:O153"/>
    <mergeCell ref="N154:O154"/>
    <mergeCell ref="N143:O143"/>
    <mergeCell ref="N145:O145"/>
    <mergeCell ref="N146:O146"/>
    <mergeCell ref="N147:O147"/>
    <mergeCell ref="N148:O148"/>
    <mergeCell ref="N138:O138"/>
    <mergeCell ref="N139:O139"/>
    <mergeCell ref="N140:O140"/>
    <mergeCell ref="N141:O141"/>
    <mergeCell ref="N142:O142"/>
    <mergeCell ref="N130:O130"/>
    <mergeCell ref="N131:O131"/>
    <mergeCell ref="N132:O132"/>
    <mergeCell ref="N133:O133"/>
    <mergeCell ref="N137:O137"/>
    <mergeCell ref="N144:O144"/>
    <mergeCell ref="N151:O151"/>
    <mergeCell ref="N173:O173"/>
    <mergeCell ref="N174:O174"/>
    <mergeCell ref="N162:O162"/>
    <mergeCell ref="N163:O163"/>
    <mergeCell ref="N164:O164"/>
    <mergeCell ref="N165:O165"/>
    <mergeCell ref="N166:O166"/>
    <mergeCell ref="N157:O157"/>
    <mergeCell ref="N158:O158"/>
    <mergeCell ref="N159:O159"/>
    <mergeCell ref="N160:O160"/>
    <mergeCell ref="N161:O161"/>
    <mergeCell ref="N195:O195"/>
    <mergeCell ref="N196:O196"/>
    <mergeCell ref="N197:O197"/>
    <mergeCell ref="N198:O198"/>
    <mergeCell ref="N199:O199"/>
    <mergeCell ref="N190:O190"/>
    <mergeCell ref="N191:O191"/>
    <mergeCell ref="N192:O192"/>
    <mergeCell ref="N193:O193"/>
    <mergeCell ref="N194:O194"/>
    <mergeCell ref="N185:O185"/>
    <mergeCell ref="N186:O186"/>
    <mergeCell ref="N187:O187"/>
    <mergeCell ref="N188:O188"/>
    <mergeCell ref="N189:O189"/>
    <mergeCell ref="N180:O180"/>
    <mergeCell ref="N181:O181"/>
    <mergeCell ref="N182:O182"/>
    <mergeCell ref="N183:O183"/>
    <mergeCell ref="N184:O184"/>
    <mergeCell ref="N218:O218"/>
    <mergeCell ref="N219:O219"/>
    <mergeCell ref="N220:O220"/>
    <mergeCell ref="N221:O221"/>
    <mergeCell ref="N222:O222"/>
    <mergeCell ref="N213:O213"/>
    <mergeCell ref="N214:O214"/>
    <mergeCell ref="N215:O215"/>
    <mergeCell ref="N216:O216"/>
    <mergeCell ref="N217:O217"/>
    <mergeCell ref="N208:O208"/>
    <mergeCell ref="N209:O209"/>
    <mergeCell ref="N210:O210"/>
    <mergeCell ref="N211:O211"/>
    <mergeCell ref="N212:O212"/>
    <mergeCell ref="N203:O203"/>
    <mergeCell ref="N204:O204"/>
    <mergeCell ref="N205:O205"/>
    <mergeCell ref="N206:O206"/>
    <mergeCell ref="N207:O207"/>
    <mergeCell ref="N241:O241"/>
    <mergeCell ref="N242:O242"/>
    <mergeCell ref="N243:O243"/>
    <mergeCell ref="N244:O244"/>
    <mergeCell ref="N245:O245"/>
    <mergeCell ref="N236:O236"/>
    <mergeCell ref="N237:O237"/>
    <mergeCell ref="N238:O238"/>
    <mergeCell ref="N239:O239"/>
    <mergeCell ref="N240:O240"/>
    <mergeCell ref="N228:O228"/>
    <mergeCell ref="N229:O229"/>
    <mergeCell ref="N230:O230"/>
    <mergeCell ref="N234:O234"/>
    <mergeCell ref="N235:O235"/>
    <mergeCell ref="N223:O223"/>
    <mergeCell ref="N224:O224"/>
    <mergeCell ref="N225:O225"/>
    <mergeCell ref="N226:O226"/>
    <mergeCell ref="N227:O227"/>
    <mergeCell ref="N261:O261"/>
    <mergeCell ref="N265:O265"/>
    <mergeCell ref="N266:O266"/>
    <mergeCell ref="N267:O267"/>
    <mergeCell ref="N268:O268"/>
    <mergeCell ref="N256:O256"/>
    <mergeCell ref="N257:O257"/>
    <mergeCell ref="N258:O258"/>
    <mergeCell ref="N259:O259"/>
    <mergeCell ref="N260:O260"/>
    <mergeCell ref="N251:O251"/>
    <mergeCell ref="N252:O252"/>
    <mergeCell ref="N253:O253"/>
    <mergeCell ref="N254:O254"/>
    <mergeCell ref="N255:O255"/>
    <mergeCell ref="N246:O246"/>
    <mergeCell ref="N247:O247"/>
    <mergeCell ref="N248:O248"/>
    <mergeCell ref="N249:O249"/>
    <mergeCell ref="N250:O250"/>
    <mergeCell ref="N284:O284"/>
    <mergeCell ref="N285:O285"/>
    <mergeCell ref="N286:O286"/>
    <mergeCell ref="N287:O287"/>
    <mergeCell ref="N288:O288"/>
    <mergeCell ref="N279:O279"/>
    <mergeCell ref="N280:O280"/>
    <mergeCell ref="N281:O281"/>
    <mergeCell ref="N282:O282"/>
    <mergeCell ref="N283:O283"/>
    <mergeCell ref="N274:O274"/>
    <mergeCell ref="N275:O275"/>
    <mergeCell ref="N276:O276"/>
    <mergeCell ref="N277:O277"/>
    <mergeCell ref="N278:O278"/>
    <mergeCell ref="N269:O269"/>
    <mergeCell ref="N270:O270"/>
    <mergeCell ref="N271:O271"/>
    <mergeCell ref="N272:O272"/>
    <mergeCell ref="N273:O273"/>
    <mergeCell ref="N307:O307"/>
    <mergeCell ref="N308:O308"/>
    <mergeCell ref="N309:O309"/>
    <mergeCell ref="N310:O310"/>
    <mergeCell ref="N311:O311"/>
    <mergeCell ref="N302:O302"/>
    <mergeCell ref="N303:O303"/>
    <mergeCell ref="N304:O304"/>
    <mergeCell ref="N305:O305"/>
    <mergeCell ref="N306:O306"/>
    <mergeCell ref="N297:O297"/>
    <mergeCell ref="N298:O298"/>
    <mergeCell ref="N299:O299"/>
    <mergeCell ref="N300:O300"/>
    <mergeCell ref="N301:O301"/>
    <mergeCell ref="N289:O289"/>
    <mergeCell ref="N290:O290"/>
    <mergeCell ref="N291:O291"/>
    <mergeCell ref="N292:O292"/>
    <mergeCell ref="N296:O296"/>
    <mergeCell ref="N330:O330"/>
    <mergeCell ref="N331:O331"/>
    <mergeCell ref="N332:O332"/>
    <mergeCell ref="N333:O333"/>
    <mergeCell ref="N334:O334"/>
    <mergeCell ref="N322:O322"/>
    <mergeCell ref="N323:O323"/>
    <mergeCell ref="N327:O327"/>
    <mergeCell ref="N328:O328"/>
    <mergeCell ref="N329:O329"/>
    <mergeCell ref="N317:O317"/>
    <mergeCell ref="N318:O318"/>
    <mergeCell ref="N319:O319"/>
    <mergeCell ref="N320:O320"/>
    <mergeCell ref="N321:O321"/>
    <mergeCell ref="N312:O312"/>
    <mergeCell ref="N313:O313"/>
    <mergeCell ref="N314:O314"/>
    <mergeCell ref="N315:O315"/>
    <mergeCell ref="N316:O316"/>
    <mergeCell ref="N350:O350"/>
    <mergeCell ref="N351:O351"/>
    <mergeCell ref="N352:O352"/>
    <mergeCell ref="N353:O353"/>
    <mergeCell ref="N354:O354"/>
    <mergeCell ref="N345:O345"/>
    <mergeCell ref="N346:O346"/>
    <mergeCell ref="N347:O347"/>
    <mergeCell ref="N348:O348"/>
    <mergeCell ref="N349:O349"/>
    <mergeCell ref="N340:O340"/>
    <mergeCell ref="N341:O341"/>
    <mergeCell ref="N342:O342"/>
    <mergeCell ref="N343:O343"/>
    <mergeCell ref="N344:O344"/>
    <mergeCell ref="N335:O335"/>
    <mergeCell ref="N336:O336"/>
    <mergeCell ref="N337:O337"/>
    <mergeCell ref="N338:O338"/>
    <mergeCell ref="N339:O339"/>
    <mergeCell ref="N373:O373"/>
    <mergeCell ref="N374:O374"/>
    <mergeCell ref="N375:O375"/>
    <mergeCell ref="N376:O376"/>
    <mergeCell ref="N377:O377"/>
    <mergeCell ref="N368:O368"/>
    <mergeCell ref="N369:O369"/>
    <mergeCell ref="N370:O370"/>
    <mergeCell ref="N371:O371"/>
    <mergeCell ref="N372:O372"/>
    <mergeCell ref="N363:O363"/>
    <mergeCell ref="N364:O364"/>
    <mergeCell ref="N365:O365"/>
    <mergeCell ref="N366:O366"/>
    <mergeCell ref="N367:O367"/>
    <mergeCell ref="N358:O358"/>
    <mergeCell ref="N359:O359"/>
    <mergeCell ref="N360:O360"/>
    <mergeCell ref="N361:O361"/>
    <mergeCell ref="N362:O362"/>
    <mergeCell ref="N396:O396"/>
    <mergeCell ref="N397:O397"/>
    <mergeCell ref="N398:O398"/>
    <mergeCell ref="N399:O399"/>
    <mergeCell ref="N400:O400"/>
    <mergeCell ref="N391:O391"/>
    <mergeCell ref="N392:O392"/>
    <mergeCell ref="N393:O393"/>
    <mergeCell ref="N394:O394"/>
    <mergeCell ref="N395:O395"/>
    <mergeCell ref="N383:O383"/>
    <mergeCell ref="N384:O384"/>
    <mergeCell ref="N385:O385"/>
    <mergeCell ref="N389:O389"/>
    <mergeCell ref="N390:O390"/>
    <mergeCell ref="N378:O378"/>
    <mergeCell ref="N379:O379"/>
    <mergeCell ref="N380:O380"/>
    <mergeCell ref="N381:O381"/>
    <mergeCell ref="N382:O382"/>
    <mergeCell ref="N416:O416"/>
    <mergeCell ref="N420:O420"/>
    <mergeCell ref="N421:O421"/>
    <mergeCell ref="N422:O422"/>
    <mergeCell ref="N423:O423"/>
    <mergeCell ref="N411:O411"/>
    <mergeCell ref="N412:O412"/>
    <mergeCell ref="N413:O413"/>
    <mergeCell ref="N414:O414"/>
    <mergeCell ref="N415:O415"/>
    <mergeCell ref="N406:O406"/>
    <mergeCell ref="N407:O407"/>
    <mergeCell ref="N408:O408"/>
    <mergeCell ref="N409:O409"/>
    <mergeCell ref="N410:O410"/>
    <mergeCell ref="N401:O401"/>
    <mergeCell ref="N402:O402"/>
    <mergeCell ref="N403:O403"/>
    <mergeCell ref="N404:O404"/>
    <mergeCell ref="N405:O405"/>
    <mergeCell ref="N439:O439"/>
    <mergeCell ref="N440:O440"/>
    <mergeCell ref="N441:O441"/>
    <mergeCell ref="N442:O442"/>
    <mergeCell ref="N443:O443"/>
    <mergeCell ref="N434:O434"/>
    <mergeCell ref="N435:O435"/>
    <mergeCell ref="N436:O436"/>
    <mergeCell ref="N437:O437"/>
    <mergeCell ref="N438:O438"/>
    <mergeCell ref="N429:O429"/>
    <mergeCell ref="N430:O430"/>
    <mergeCell ref="N431:O431"/>
    <mergeCell ref="N432:O432"/>
    <mergeCell ref="N433:O433"/>
    <mergeCell ref="N424:O424"/>
    <mergeCell ref="N425:O425"/>
    <mergeCell ref="N426:O426"/>
    <mergeCell ref="N427:O427"/>
    <mergeCell ref="N428:O428"/>
    <mergeCell ref="N462:O462"/>
    <mergeCell ref="N463:O463"/>
    <mergeCell ref="N464:O464"/>
    <mergeCell ref="N465:O465"/>
    <mergeCell ref="N466:O466"/>
    <mergeCell ref="N457:O457"/>
    <mergeCell ref="N458:O458"/>
    <mergeCell ref="N459:O459"/>
    <mergeCell ref="N460:O460"/>
    <mergeCell ref="N461:O461"/>
    <mergeCell ref="N452:O452"/>
    <mergeCell ref="N453:O453"/>
    <mergeCell ref="N454:O454"/>
    <mergeCell ref="N455:O455"/>
    <mergeCell ref="N456:O456"/>
    <mergeCell ref="N444:O444"/>
    <mergeCell ref="N445:O445"/>
    <mergeCell ref="N446:O446"/>
    <mergeCell ref="N447:O447"/>
    <mergeCell ref="N451:O451"/>
    <mergeCell ref="N485:O485"/>
    <mergeCell ref="N486:O486"/>
    <mergeCell ref="N487:O487"/>
    <mergeCell ref="N488:O488"/>
    <mergeCell ref="N489:O489"/>
    <mergeCell ref="N477:O477"/>
    <mergeCell ref="N478:O478"/>
    <mergeCell ref="N482:O482"/>
    <mergeCell ref="N483:O483"/>
    <mergeCell ref="N484:O484"/>
    <mergeCell ref="N472:O472"/>
    <mergeCell ref="N473:O473"/>
    <mergeCell ref="N474:O474"/>
    <mergeCell ref="N475:O475"/>
    <mergeCell ref="N476:O476"/>
    <mergeCell ref="N467:O467"/>
    <mergeCell ref="N468:O468"/>
    <mergeCell ref="N469:O469"/>
    <mergeCell ref="N470:O470"/>
    <mergeCell ref="N471:O471"/>
    <mergeCell ref="N505:O505"/>
    <mergeCell ref="N506:O506"/>
    <mergeCell ref="N507:O507"/>
    <mergeCell ref="N508:O508"/>
    <mergeCell ref="N509:O509"/>
    <mergeCell ref="N500:O500"/>
    <mergeCell ref="N501:O501"/>
    <mergeCell ref="N502:O502"/>
    <mergeCell ref="N503:O503"/>
    <mergeCell ref="N504:O504"/>
    <mergeCell ref="N495:O495"/>
    <mergeCell ref="N496:O496"/>
    <mergeCell ref="N497:O497"/>
    <mergeCell ref="N498:O498"/>
    <mergeCell ref="N499:O499"/>
    <mergeCell ref="N490:O490"/>
    <mergeCell ref="N491:O491"/>
    <mergeCell ref="N492:O492"/>
    <mergeCell ref="N493:O493"/>
    <mergeCell ref="N494:O494"/>
    <mergeCell ref="N528:O528"/>
    <mergeCell ref="N529:O529"/>
    <mergeCell ref="N530:O530"/>
    <mergeCell ref="N531:O531"/>
    <mergeCell ref="N532:O532"/>
    <mergeCell ref="N523:O523"/>
    <mergeCell ref="N524:O524"/>
    <mergeCell ref="N525:O525"/>
    <mergeCell ref="N526:O526"/>
    <mergeCell ref="N527:O527"/>
    <mergeCell ref="N518:O518"/>
    <mergeCell ref="N519:O519"/>
    <mergeCell ref="N520:O520"/>
    <mergeCell ref="N521:O521"/>
    <mergeCell ref="N522:O522"/>
    <mergeCell ref="N513:O513"/>
    <mergeCell ref="N514:O514"/>
    <mergeCell ref="N515:O515"/>
    <mergeCell ref="N516:O516"/>
    <mergeCell ref="N517:O517"/>
    <mergeCell ref="N551:O551"/>
    <mergeCell ref="N552:O552"/>
    <mergeCell ref="N553:O553"/>
    <mergeCell ref="N554:O554"/>
    <mergeCell ref="N555:O555"/>
    <mergeCell ref="N546:O546"/>
    <mergeCell ref="N547:O547"/>
    <mergeCell ref="N548:O548"/>
    <mergeCell ref="N549:O549"/>
    <mergeCell ref="N550:O550"/>
    <mergeCell ref="N538:O538"/>
    <mergeCell ref="N539:O539"/>
    <mergeCell ref="N540:O540"/>
    <mergeCell ref="N544:O544"/>
    <mergeCell ref="N545:O545"/>
    <mergeCell ref="N533:O533"/>
    <mergeCell ref="N534:O534"/>
    <mergeCell ref="N535:O535"/>
    <mergeCell ref="N536:O536"/>
    <mergeCell ref="N537:O537"/>
    <mergeCell ref="N571:O571"/>
    <mergeCell ref="N575:O575"/>
    <mergeCell ref="N576:O576"/>
    <mergeCell ref="N577:O577"/>
    <mergeCell ref="N578:O578"/>
    <mergeCell ref="N566:O566"/>
    <mergeCell ref="N567:O567"/>
    <mergeCell ref="N568:O568"/>
    <mergeCell ref="N569:O569"/>
    <mergeCell ref="N570:O570"/>
    <mergeCell ref="N561:O561"/>
    <mergeCell ref="N562:O562"/>
    <mergeCell ref="N563:O563"/>
    <mergeCell ref="N564:O564"/>
    <mergeCell ref="N565:O565"/>
    <mergeCell ref="N556:O556"/>
    <mergeCell ref="N557:O557"/>
    <mergeCell ref="N558:O558"/>
    <mergeCell ref="N559:O559"/>
    <mergeCell ref="N560:O560"/>
    <mergeCell ref="N594:O594"/>
    <mergeCell ref="N595:O595"/>
    <mergeCell ref="N596:O596"/>
    <mergeCell ref="N597:O597"/>
    <mergeCell ref="N598:O598"/>
    <mergeCell ref="N589:O589"/>
    <mergeCell ref="N590:O590"/>
    <mergeCell ref="N591:O591"/>
    <mergeCell ref="N592:O592"/>
    <mergeCell ref="N593:O593"/>
    <mergeCell ref="N584:O584"/>
    <mergeCell ref="N585:O585"/>
    <mergeCell ref="N586:O586"/>
    <mergeCell ref="N587:O587"/>
    <mergeCell ref="N588:O588"/>
    <mergeCell ref="N579:O579"/>
    <mergeCell ref="N580:O580"/>
    <mergeCell ref="N581:O581"/>
    <mergeCell ref="N582:O582"/>
    <mergeCell ref="N583:O583"/>
    <mergeCell ref="N617:O617"/>
    <mergeCell ref="N618:O618"/>
    <mergeCell ref="N619:O619"/>
    <mergeCell ref="N620:O620"/>
    <mergeCell ref="N621:O621"/>
    <mergeCell ref="N612:O612"/>
    <mergeCell ref="N613:O613"/>
    <mergeCell ref="N614:O614"/>
    <mergeCell ref="N615:O615"/>
    <mergeCell ref="N616:O616"/>
    <mergeCell ref="N607:O607"/>
    <mergeCell ref="N608:O608"/>
    <mergeCell ref="N609:O609"/>
    <mergeCell ref="N610:O610"/>
    <mergeCell ref="N611:O611"/>
    <mergeCell ref="N599:O599"/>
    <mergeCell ref="N600:O600"/>
    <mergeCell ref="N601:O601"/>
    <mergeCell ref="N602:O602"/>
    <mergeCell ref="N606:O606"/>
    <mergeCell ref="N637:O637"/>
    <mergeCell ref="N638:O638"/>
    <mergeCell ref="N639:O639"/>
    <mergeCell ref="N640:O640"/>
    <mergeCell ref="N641:O641"/>
    <mergeCell ref="N642:O642"/>
    <mergeCell ref="N643:O643"/>
    <mergeCell ref="N644:O644"/>
    <mergeCell ref="N645:O645"/>
    <mergeCell ref="N632:O632"/>
    <mergeCell ref="N633:O633"/>
    <mergeCell ref="N627:O627"/>
    <mergeCell ref="N628:O628"/>
    <mergeCell ref="N629:O629"/>
    <mergeCell ref="N630:O630"/>
    <mergeCell ref="N631:O631"/>
    <mergeCell ref="N622:O622"/>
    <mergeCell ref="N623:O623"/>
    <mergeCell ref="N624:O624"/>
    <mergeCell ref="N625:O625"/>
    <mergeCell ref="N626:O626"/>
    <mergeCell ref="N655:O655"/>
    <mergeCell ref="N656:O656"/>
    <mergeCell ref="N657:O657"/>
    <mergeCell ref="N658:O658"/>
    <mergeCell ref="N659:O659"/>
    <mergeCell ref="N660:O660"/>
    <mergeCell ref="N661:O661"/>
    <mergeCell ref="N662:O662"/>
    <mergeCell ref="N663:O663"/>
    <mergeCell ref="N646:O646"/>
    <mergeCell ref="N647:O647"/>
    <mergeCell ref="N648:O648"/>
    <mergeCell ref="N649:O649"/>
    <mergeCell ref="N650:O650"/>
    <mergeCell ref="N651:O651"/>
    <mergeCell ref="N652:O652"/>
    <mergeCell ref="N653:O653"/>
    <mergeCell ref="N654:O654"/>
    <mergeCell ref="N676:O676"/>
    <mergeCell ref="N677:O677"/>
    <mergeCell ref="N678:O678"/>
    <mergeCell ref="N679:O679"/>
    <mergeCell ref="N680:O680"/>
    <mergeCell ref="N681:O681"/>
    <mergeCell ref="N682:O682"/>
    <mergeCell ref="N683:O683"/>
    <mergeCell ref="N684:O684"/>
    <mergeCell ref="N664:O664"/>
    <mergeCell ref="N668:O668"/>
    <mergeCell ref="N669:O669"/>
    <mergeCell ref="N670:O670"/>
    <mergeCell ref="N671:O671"/>
    <mergeCell ref="N672:O672"/>
    <mergeCell ref="N673:O673"/>
    <mergeCell ref="N674:O674"/>
    <mergeCell ref="N675:O675"/>
    <mergeCell ref="N694:O694"/>
    <mergeCell ref="N695:O695"/>
    <mergeCell ref="N699:O699"/>
    <mergeCell ref="N700:O700"/>
    <mergeCell ref="N701:O701"/>
    <mergeCell ref="N702:O702"/>
    <mergeCell ref="N703:O703"/>
    <mergeCell ref="N704:O704"/>
    <mergeCell ref="N705:O705"/>
    <mergeCell ref="N685:O685"/>
    <mergeCell ref="N686:O686"/>
    <mergeCell ref="N687:O687"/>
    <mergeCell ref="N688:O688"/>
    <mergeCell ref="N689:O689"/>
    <mergeCell ref="N690:O690"/>
    <mergeCell ref="N691:O691"/>
    <mergeCell ref="N692:O692"/>
    <mergeCell ref="N693:O693"/>
    <mergeCell ref="N715:O715"/>
    <mergeCell ref="N716:O716"/>
    <mergeCell ref="N717:O717"/>
    <mergeCell ref="N718:O718"/>
    <mergeCell ref="N719:O719"/>
    <mergeCell ref="N720:O720"/>
    <mergeCell ref="N721:O721"/>
    <mergeCell ref="N722:O722"/>
    <mergeCell ref="N723:O723"/>
    <mergeCell ref="N706:O706"/>
    <mergeCell ref="N707:O707"/>
    <mergeCell ref="N708:O708"/>
    <mergeCell ref="N709:O709"/>
    <mergeCell ref="N710:O710"/>
    <mergeCell ref="N711:O711"/>
    <mergeCell ref="N712:O712"/>
    <mergeCell ref="N713:O713"/>
    <mergeCell ref="N714:O714"/>
    <mergeCell ref="N736:O736"/>
    <mergeCell ref="N737:O737"/>
    <mergeCell ref="N738:O738"/>
    <mergeCell ref="N739:O739"/>
    <mergeCell ref="N740:O740"/>
    <mergeCell ref="N741:O741"/>
    <mergeCell ref="N742:O742"/>
    <mergeCell ref="N743:O743"/>
    <mergeCell ref="N744:O744"/>
    <mergeCell ref="N724:O724"/>
    <mergeCell ref="N725:O725"/>
    <mergeCell ref="N726:O726"/>
    <mergeCell ref="N730:O730"/>
    <mergeCell ref="N731:O731"/>
    <mergeCell ref="N732:O732"/>
    <mergeCell ref="N733:O733"/>
    <mergeCell ref="N734:O734"/>
    <mergeCell ref="N735:O735"/>
    <mergeCell ref="N754:O754"/>
    <mergeCell ref="N755:O755"/>
    <mergeCell ref="N756:O756"/>
    <mergeCell ref="N757:O757"/>
    <mergeCell ref="N761:O761"/>
    <mergeCell ref="N762:O762"/>
    <mergeCell ref="N763:O763"/>
    <mergeCell ref="N764:O764"/>
    <mergeCell ref="N765:O765"/>
    <mergeCell ref="N745:O745"/>
    <mergeCell ref="N746:O746"/>
    <mergeCell ref="N747:O747"/>
    <mergeCell ref="N748:O748"/>
    <mergeCell ref="N749:O749"/>
    <mergeCell ref="N750:O750"/>
    <mergeCell ref="N751:O751"/>
    <mergeCell ref="N752:O752"/>
    <mergeCell ref="N753:O753"/>
    <mergeCell ref="N775:O775"/>
    <mergeCell ref="N776:O776"/>
    <mergeCell ref="N777:O777"/>
    <mergeCell ref="N778:O778"/>
    <mergeCell ref="N779:O779"/>
    <mergeCell ref="N780:O780"/>
    <mergeCell ref="N781:O781"/>
    <mergeCell ref="N782:O782"/>
    <mergeCell ref="N783:O783"/>
    <mergeCell ref="N766:O766"/>
    <mergeCell ref="N767:O767"/>
    <mergeCell ref="N768:O768"/>
    <mergeCell ref="N769:O769"/>
    <mergeCell ref="N770:O770"/>
    <mergeCell ref="N771:O771"/>
    <mergeCell ref="N772:O772"/>
    <mergeCell ref="N773:O773"/>
    <mergeCell ref="N774:O774"/>
    <mergeCell ref="N796:O796"/>
    <mergeCell ref="N797:O797"/>
    <mergeCell ref="N798:O798"/>
    <mergeCell ref="N799:O799"/>
    <mergeCell ref="N800:O800"/>
    <mergeCell ref="N801:O801"/>
    <mergeCell ref="N802:O802"/>
    <mergeCell ref="N803:O803"/>
    <mergeCell ref="N804:O804"/>
    <mergeCell ref="N784:O784"/>
    <mergeCell ref="N785:O785"/>
    <mergeCell ref="N786:O786"/>
    <mergeCell ref="N787:O787"/>
    <mergeCell ref="N788:O788"/>
    <mergeCell ref="N792:O792"/>
    <mergeCell ref="N793:O793"/>
    <mergeCell ref="N794:O794"/>
    <mergeCell ref="N795:O795"/>
    <mergeCell ref="N814:O814"/>
    <mergeCell ref="N815:O815"/>
    <mergeCell ref="N816:O816"/>
    <mergeCell ref="N817:O817"/>
    <mergeCell ref="N818:O818"/>
    <mergeCell ref="N819:O819"/>
    <mergeCell ref="N823:O823"/>
    <mergeCell ref="N824:O824"/>
    <mergeCell ref="N825:O825"/>
    <mergeCell ref="N805:O805"/>
    <mergeCell ref="N806:O806"/>
    <mergeCell ref="N807:O807"/>
    <mergeCell ref="N808:O808"/>
    <mergeCell ref="N809:O809"/>
    <mergeCell ref="N810:O810"/>
    <mergeCell ref="N811:O811"/>
    <mergeCell ref="N812:O812"/>
    <mergeCell ref="N813:O813"/>
    <mergeCell ref="N835:O835"/>
    <mergeCell ref="N836:O836"/>
    <mergeCell ref="N837:O837"/>
    <mergeCell ref="N838:O838"/>
    <mergeCell ref="N839:O839"/>
    <mergeCell ref="N840:O840"/>
    <mergeCell ref="N841:O841"/>
    <mergeCell ref="N842:O842"/>
    <mergeCell ref="N843:O843"/>
    <mergeCell ref="N826:O826"/>
    <mergeCell ref="N827:O827"/>
    <mergeCell ref="N828:O828"/>
    <mergeCell ref="N829:O829"/>
    <mergeCell ref="N830:O830"/>
    <mergeCell ref="N831:O831"/>
    <mergeCell ref="N832:O832"/>
    <mergeCell ref="N833:O833"/>
    <mergeCell ref="N834:O834"/>
    <mergeCell ref="N856:O856"/>
    <mergeCell ref="N857:O857"/>
    <mergeCell ref="N858:O858"/>
    <mergeCell ref="N859:O859"/>
    <mergeCell ref="N860:O860"/>
    <mergeCell ref="N861:O861"/>
    <mergeCell ref="N862:O862"/>
    <mergeCell ref="N863:O863"/>
    <mergeCell ref="N864:O864"/>
    <mergeCell ref="N844:O844"/>
    <mergeCell ref="N845:O845"/>
    <mergeCell ref="N846:O846"/>
    <mergeCell ref="N847:O847"/>
    <mergeCell ref="N848:O848"/>
    <mergeCell ref="N849:O849"/>
    <mergeCell ref="N850:O850"/>
    <mergeCell ref="N854:O854"/>
    <mergeCell ref="N855:O855"/>
    <mergeCell ref="N874:O874"/>
    <mergeCell ref="N875:O875"/>
    <mergeCell ref="N876:O876"/>
    <mergeCell ref="N877:O877"/>
    <mergeCell ref="N878:O878"/>
    <mergeCell ref="N879:O879"/>
    <mergeCell ref="N880:O880"/>
    <mergeCell ref="N881:O881"/>
    <mergeCell ref="N885:O885"/>
    <mergeCell ref="N865:O865"/>
    <mergeCell ref="N866:O866"/>
    <mergeCell ref="N867:O867"/>
    <mergeCell ref="N868:O868"/>
    <mergeCell ref="N869:O869"/>
    <mergeCell ref="N870:O870"/>
    <mergeCell ref="N871:O871"/>
    <mergeCell ref="N872:O872"/>
    <mergeCell ref="N873:O873"/>
    <mergeCell ref="N895:O895"/>
    <mergeCell ref="N896:O896"/>
    <mergeCell ref="N897:O897"/>
    <mergeCell ref="N898:O898"/>
    <mergeCell ref="N899:O899"/>
    <mergeCell ref="N900:O900"/>
    <mergeCell ref="N901:O901"/>
    <mergeCell ref="N902:O902"/>
    <mergeCell ref="N903:O903"/>
    <mergeCell ref="N886:O886"/>
    <mergeCell ref="N887:O887"/>
    <mergeCell ref="N888:O888"/>
    <mergeCell ref="N889:O889"/>
    <mergeCell ref="N890:O890"/>
    <mergeCell ref="N891:O891"/>
    <mergeCell ref="N892:O892"/>
    <mergeCell ref="N893:O893"/>
    <mergeCell ref="N894:O894"/>
    <mergeCell ref="N916:O916"/>
    <mergeCell ref="N917:O917"/>
    <mergeCell ref="N918:O918"/>
    <mergeCell ref="N919:O919"/>
    <mergeCell ref="N920:O920"/>
    <mergeCell ref="N921:O921"/>
    <mergeCell ref="N922:O922"/>
    <mergeCell ref="N923:O923"/>
    <mergeCell ref="N924:O924"/>
    <mergeCell ref="N904:O904"/>
    <mergeCell ref="N905:O905"/>
    <mergeCell ref="N906:O906"/>
    <mergeCell ref="N907:O907"/>
    <mergeCell ref="N908:O908"/>
    <mergeCell ref="N909:O909"/>
    <mergeCell ref="N910:O910"/>
    <mergeCell ref="N911:O911"/>
    <mergeCell ref="N912:O912"/>
    <mergeCell ref="N934:O934"/>
    <mergeCell ref="N935:O935"/>
    <mergeCell ref="N936:O936"/>
    <mergeCell ref="N937:O937"/>
    <mergeCell ref="N938:O938"/>
    <mergeCell ref="N939:O939"/>
    <mergeCell ref="N940:O940"/>
    <mergeCell ref="N941:O941"/>
    <mergeCell ref="N942:O942"/>
    <mergeCell ref="N925:O925"/>
    <mergeCell ref="N926:O926"/>
    <mergeCell ref="N927:O927"/>
    <mergeCell ref="N928:O928"/>
    <mergeCell ref="N929:O929"/>
    <mergeCell ref="N930:O930"/>
    <mergeCell ref="N931:O931"/>
    <mergeCell ref="N932:O932"/>
    <mergeCell ref="N933:O933"/>
    <mergeCell ref="N956:O956"/>
    <mergeCell ref="N957:O957"/>
    <mergeCell ref="N958:O958"/>
    <mergeCell ref="N959:O959"/>
    <mergeCell ref="N960:O960"/>
    <mergeCell ref="N961:O961"/>
    <mergeCell ref="N962:O962"/>
    <mergeCell ref="N963:O963"/>
    <mergeCell ref="N943:O943"/>
    <mergeCell ref="N947:O947"/>
    <mergeCell ref="N948:O948"/>
    <mergeCell ref="N949:O949"/>
    <mergeCell ref="N950:O950"/>
    <mergeCell ref="N951:O951"/>
    <mergeCell ref="N952:O952"/>
    <mergeCell ref="N953:O953"/>
    <mergeCell ref="N954:O954"/>
    <mergeCell ref="N1004:O1004"/>
    <mergeCell ref="N1005:O1005"/>
    <mergeCell ref="N994:O994"/>
    <mergeCell ref="N995:O995"/>
    <mergeCell ref="N996:O996"/>
    <mergeCell ref="N997:O997"/>
    <mergeCell ref="N998:O998"/>
    <mergeCell ref="N999:O999"/>
    <mergeCell ref="N1000:O1000"/>
    <mergeCell ref="N1001:O1001"/>
    <mergeCell ref="N1002:O1002"/>
    <mergeCell ref="N982:O982"/>
    <mergeCell ref="N983:O983"/>
    <mergeCell ref="N984:O984"/>
    <mergeCell ref="N1003:O1003"/>
    <mergeCell ref="N985:O985"/>
    <mergeCell ref="N986:O986"/>
    <mergeCell ref="N987:O987"/>
    <mergeCell ref="Q575:Q576"/>
    <mergeCell ref="N988:O988"/>
    <mergeCell ref="N989:O989"/>
    <mergeCell ref="N990:O990"/>
    <mergeCell ref="N991:O991"/>
    <mergeCell ref="N992:O992"/>
    <mergeCell ref="N993:O993"/>
    <mergeCell ref="Q39:Q40"/>
    <mergeCell ref="Q73:Q74"/>
    <mergeCell ref="Q104:Q105"/>
    <mergeCell ref="Q137:Q138"/>
    <mergeCell ref="Q172:Q173"/>
    <mergeCell ref="Q203:Q204"/>
    <mergeCell ref="Q234:Q235"/>
    <mergeCell ref="Q265:Q266"/>
    <mergeCell ref="Q296:Q297"/>
    <mergeCell ref="N973:O973"/>
    <mergeCell ref="N974:O974"/>
    <mergeCell ref="N978:O978"/>
    <mergeCell ref="N979:O979"/>
    <mergeCell ref="N980:O980"/>
    <mergeCell ref="N981:O981"/>
    <mergeCell ref="N964:O964"/>
    <mergeCell ref="N965:O965"/>
    <mergeCell ref="N966:O966"/>
    <mergeCell ref="N967:O967"/>
    <mergeCell ref="N968:O968"/>
    <mergeCell ref="N969:O969"/>
    <mergeCell ref="N970:O970"/>
    <mergeCell ref="N971:O971"/>
    <mergeCell ref="N972:O972"/>
    <mergeCell ref="N955:O955"/>
    <mergeCell ref="R73:R74"/>
    <mergeCell ref="R104:R105"/>
    <mergeCell ref="R137:R138"/>
    <mergeCell ref="R172:R173"/>
    <mergeCell ref="R203:R204"/>
    <mergeCell ref="R234:R235"/>
    <mergeCell ref="R265:R266"/>
    <mergeCell ref="R296:R297"/>
    <mergeCell ref="R327:R328"/>
    <mergeCell ref="R39:R40"/>
    <mergeCell ref="L1:R1"/>
    <mergeCell ref="Q885:Q886"/>
    <mergeCell ref="Q916:Q917"/>
    <mergeCell ref="Q947:Q948"/>
    <mergeCell ref="Q978:Q979"/>
    <mergeCell ref="Q606:Q607"/>
    <mergeCell ref="Q637:Q638"/>
    <mergeCell ref="Q668:Q669"/>
    <mergeCell ref="Q699:Q700"/>
    <mergeCell ref="Q730:Q731"/>
    <mergeCell ref="Q761:Q762"/>
    <mergeCell ref="Q792:Q793"/>
    <mergeCell ref="Q823:Q824"/>
    <mergeCell ref="Q854:Q855"/>
    <mergeCell ref="Q327:Q328"/>
    <mergeCell ref="Q358:Q359"/>
    <mergeCell ref="Q389:Q390"/>
    <mergeCell ref="Q420:Q421"/>
    <mergeCell ref="Q451:Q452"/>
    <mergeCell ref="Q482:Q483"/>
    <mergeCell ref="Q513:Q514"/>
    <mergeCell ref="Q544:Q545"/>
    <mergeCell ref="R916:R917"/>
    <mergeCell ref="R947:R948"/>
    <mergeCell ref="R978:R979"/>
    <mergeCell ref="R637:R638"/>
    <mergeCell ref="R668:R669"/>
    <mergeCell ref="R699:R700"/>
    <mergeCell ref="R730:R731"/>
    <mergeCell ref="R761:R762"/>
    <mergeCell ref="R792:R793"/>
    <mergeCell ref="R823:R824"/>
    <mergeCell ref="R854:R855"/>
    <mergeCell ref="R885:R886"/>
    <mergeCell ref="R358:R359"/>
    <mergeCell ref="R389:R390"/>
    <mergeCell ref="R420:R421"/>
    <mergeCell ref="R451:R452"/>
    <mergeCell ref="R482:R483"/>
    <mergeCell ref="R513:R514"/>
    <mergeCell ref="R544:R545"/>
    <mergeCell ref="R575:R576"/>
    <mergeCell ref="R606:R607"/>
  </mergeCells>
  <conditionalFormatting sqref="P69">
    <cfRule type="expression" dxfId="542" priority="1934">
      <formula>$P69="Yes"</formula>
    </cfRule>
  </conditionalFormatting>
  <conditionalFormatting sqref="D65:G68 I65:P68 H65:H69 D41:P64">
    <cfRule type="expression" dxfId="541" priority="1926">
      <formula>OR($P41="Yes",$Q41="OT",$Q41="DBLT")</formula>
    </cfRule>
  </conditionalFormatting>
  <conditionalFormatting sqref="C41">
    <cfRule type="expression" dxfId="540" priority="1774">
      <formula>$H41&lt;&gt;0</formula>
    </cfRule>
  </conditionalFormatting>
  <conditionalFormatting sqref="B41">
    <cfRule type="expression" dxfId="539" priority="1773">
      <formula>$K41&lt;&gt;0</formula>
    </cfRule>
  </conditionalFormatting>
  <conditionalFormatting sqref="A41">
    <cfRule type="expression" dxfId="538" priority="1772">
      <formula>$M41&lt;&gt;0</formula>
    </cfRule>
  </conditionalFormatting>
  <conditionalFormatting sqref="D75:G99 N75:Q99">
    <cfRule type="expression" dxfId="537" priority="984">
      <formula>OR($P75="Yes",$Q75="OT",$Q75="DBLT")</formula>
    </cfRule>
  </conditionalFormatting>
  <conditionalFormatting sqref="D106:G132 N106:Q132">
    <cfRule type="expression" dxfId="536" priority="983">
      <formula>OR($P106="Yes",$Q106="OT",$Q106="DBLT")</formula>
    </cfRule>
  </conditionalFormatting>
  <conditionalFormatting sqref="D139:G167 N139:Q167">
    <cfRule type="expression" dxfId="535" priority="982">
      <formula>OR($P139="Yes",$Q139="OT",$Q139="DBLT")</formula>
    </cfRule>
  </conditionalFormatting>
  <conditionalFormatting sqref="D174:G198 N174:Q198">
    <cfRule type="expression" dxfId="534" priority="981">
      <formula>OR($P174="Yes",$Q174="OT",$Q174="DBLT")</formula>
    </cfRule>
  </conditionalFormatting>
  <conditionalFormatting sqref="D205:G229 N205:Q229">
    <cfRule type="expression" dxfId="533" priority="980">
      <formula>OR($P205="Yes",$Q205="OT",$Q205="DBLT")</formula>
    </cfRule>
  </conditionalFormatting>
  <conditionalFormatting sqref="D236:G260 N236:Q260">
    <cfRule type="expression" dxfId="532" priority="979">
      <formula>OR($P236="Yes",$Q236="OT",$Q236="DBLT")</formula>
    </cfRule>
  </conditionalFormatting>
  <conditionalFormatting sqref="D267:G291 N267:Q291">
    <cfRule type="expression" dxfId="531" priority="978">
      <formula>OR($P267="Yes",$Q267="OT",$Q267="DBLT")</formula>
    </cfRule>
  </conditionalFormatting>
  <conditionalFormatting sqref="D298:G322 N298:Q322">
    <cfRule type="expression" dxfId="530" priority="977">
      <formula>OR($P298="Yes",$Q298="OT",$Q298="DBLT")</formula>
    </cfRule>
  </conditionalFormatting>
  <conditionalFormatting sqref="D329:G353 N329:Q353">
    <cfRule type="expression" dxfId="529" priority="976">
      <formula>OR($P329="Yes",$Q329="OT",$Q329="DBLT")</formula>
    </cfRule>
  </conditionalFormatting>
  <conditionalFormatting sqref="D360:G384 N360:Q384">
    <cfRule type="expression" dxfId="528" priority="975">
      <formula>OR($P360="Yes",$Q360="OT",$Q360="DBLT")</formula>
    </cfRule>
  </conditionalFormatting>
  <conditionalFormatting sqref="D391:G415 N391:Q415">
    <cfRule type="expression" dxfId="527" priority="974">
      <formula>OR($P391="Yes",$Q391="OT",$Q391="DBLT")</formula>
    </cfRule>
  </conditionalFormatting>
  <conditionalFormatting sqref="D422:G446 N422:Q446">
    <cfRule type="expression" dxfId="526" priority="973">
      <formula>OR($P422="Yes",$Q422="OT",$Q422="DBLT")</formula>
    </cfRule>
  </conditionalFormatting>
  <conditionalFormatting sqref="D453:G477 N453:Q477">
    <cfRule type="expression" dxfId="525" priority="972">
      <formula>OR($P453="Yes",$Q453="OT",$Q453="DBLT")</formula>
    </cfRule>
  </conditionalFormatting>
  <conditionalFormatting sqref="D484:G508 N484:Q508">
    <cfRule type="expression" dxfId="524" priority="971">
      <formula>OR($P484="Yes",$Q484="OT",$Q484="DBLT")</formula>
    </cfRule>
  </conditionalFormatting>
  <conditionalFormatting sqref="D515:G539 N515:Q539">
    <cfRule type="expression" dxfId="523" priority="970">
      <formula>OR($P515="Yes",$Q515="OT",$Q515="DBLT")</formula>
    </cfRule>
  </conditionalFormatting>
  <conditionalFormatting sqref="D546:G570 N546:Q570">
    <cfRule type="expression" dxfId="522" priority="969">
      <formula>OR($P546="Yes",$Q546="OT",$Q546="DBLT")</formula>
    </cfRule>
  </conditionalFormatting>
  <conditionalFormatting sqref="D577:G601 N577:Q601">
    <cfRule type="expression" dxfId="521" priority="968">
      <formula>OR($P577="Yes",$Q577="OT",$Q577="DBLT")</formula>
    </cfRule>
  </conditionalFormatting>
  <conditionalFormatting sqref="D608:G632 N608:Q632">
    <cfRule type="expression" dxfId="520" priority="967">
      <formula>OR($P608="Yes",$Q608="OT",$Q608="DBLT")</formula>
    </cfRule>
  </conditionalFormatting>
  <conditionalFormatting sqref="D639:G663 N639:Q663">
    <cfRule type="expression" dxfId="519" priority="966">
      <formula>OR($P639="Yes",$Q639="OT",$Q639="DBLT")</formula>
    </cfRule>
  </conditionalFormatting>
  <conditionalFormatting sqref="D670:G694 N670:Q694">
    <cfRule type="expression" dxfId="518" priority="965">
      <formula>OR($P670="Yes",$Q670="OT",$Q670="DBLT")</formula>
    </cfRule>
  </conditionalFormatting>
  <conditionalFormatting sqref="D701:G725 N701:Q725">
    <cfRule type="expression" dxfId="517" priority="964">
      <formula>OR($P701="Yes",$Q701="OT",$Q701="DBLT")</formula>
    </cfRule>
  </conditionalFormatting>
  <conditionalFormatting sqref="D732:G756 N732:Q756">
    <cfRule type="expression" dxfId="516" priority="963">
      <formula>OR($P732="Yes",$Q732="OT",$Q732="DBLT")</formula>
    </cfRule>
  </conditionalFormatting>
  <conditionalFormatting sqref="D763:G787 N763:Q787">
    <cfRule type="expression" dxfId="515" priority="962">
      <formula>OR($P763="Yes",$Q763="OT",$Q763="DBLT")</formula>
    </cfRule>
  </conditionalFormatting>
  <conditionalFormatting sqref="D794:G818 N794:Q818">
    <cfRule type="expression" dxfId="514" priority="961">
      <formula>OR($P794="Yes",$Q794="OT",$Q794="DBLT")</formula>
    </cfRule>
  </conditionalFormatting>
  <conditionalFormatting sqref="D825:G849 N825:Q849">
    <cfRule type="expression" dxfId="513" priority="960">
      <formula>OR($P825="Yes",$Q825="OT",$Q825="DBLT")</formula>
    </cfRule>
  </conditionalFormatting>
  <conditionalFormatting sqref="D856:G880 N856:Q880">
    <cfRule type="expression" dxfId="512" priority="959">
      <formula>OR($P856="Yes",$Q856="OT",$Q856="DBLT")</formula>
    </cfRule>
  </conditionalFormatting>
  <conditionalFormatting sqref="D887:G911 N887:Q911">
    <cfRule type="expression" dxfId="511" priority="958">
      <formula>OR($P887="Yes",$Q887="OT",$Q887="DBLT")</formula>
    </cfRule>
  </conditionalFormatting>
  <conditionalFormatting sqref="D918:G942 N918:Q942">
    <cfRule type="expression" dxfId="510" priority="957">
      <formula>OR($P918="Yes",$Q918="OT",$Q918="DBLT")</formula>
    </cfRule>
  </conditionalFormatting>
  <conditionalFormatting sqref="D949:G973 N949:Q973">
    <cfRule type="expression" dxfId="509" priority="956">
      <formula>OR($P949="Yes",$Q949="OT",$Q949="DBLT")</formula>
    </cfRule>
  </conditionalFormatting>
  <conditionalFormatting sqref="D980:G1004 N980:Q1004">
    <cfRule type="expression" dxfId="508" priority="955">
      <formula>OR($P980="Yes",$Q980="OT",$Q980="DBLT")</formula>
    </cfRule>
  </conditionalFormatting>
  <conditionalFormatting sqref="I75:M75">
    <cfRule type="expression" dxfId="507" priority="953">
      <formula>OR($P75="Yes",$Q75="OT",$Q75="DBLT")</formula>
    </cfRule>
  </conditionalFormatting>
  <conditionalFormatting sqref="I76:M99">
    <cfRule type="expression" dxfId="506" priority="952">
      <formula>OR($P76="Yes",$Q76="OT",$Q76="DBLT")</formula>
    </cfRule>
  </conditionalFormatting>
  <conditionalFormatting sqref="I106:M106">
    <cfRule type="expression" dxfId="505" priority="950">
      <formula>OR($P106="Yes",$Q106="OT",$Q106="DBLT")</formula>
    </cfRule>
  </conditionalFormatting>
  <conditionalFormatting sqref="I107:M132">
    <cfRule type="expression" dxfId="504" priority="949">
      <formula>OR($P107="Yes",$Q107="OT",$Q107="DBLT")</formula>
    </cfRule>
  </conditionalFormatting>
  <conditionalFormatting sqref="I139:M139">
    <cfRule type="expression" dxfId="503" priority="947">
      <formula>OR($P139="Yes",$Q139="OT",$Q139="DBLT")</formula>
    </cfRule>
  </conditionalFormatting>
  <conditionalFormatting sqref="I140:M167">
    <cfRule type="expression" dxfId="502" priority="946">
      <formula>OR($P140="Yes",$Q140="OT",$Q140="DBLT")</formula>
    </cfRule>
  </conditionalFormatting>
  <conditionalFormatting sqref="I174:M174">
    <cfRule type="expression" dxfId="501" priority="944">
      <formula>OR($P174="Yes",$Q174="OT",$Q174="DBLT")</formula>
    </cfRule>
  </conditionalFormatting>
  <conditionalFormatting sqref="I175:M198">
    <cfRule type="expression" dxfId="500" priority="943">
      <formula>OR($P175="Yes",$Q175="OT",$Q175="DBLT")</formula>
    </cfRule>
  </conditionalFormatting>
  <conditionalFormatting sqref="I205:M205">
    <cfRule type="expression" dxfId="499" priority="941">
      <formula>OR($P205="Yes",$Q205="OT",$Q205="DBLT")</formula>
    </cfRule>
  </conditionalFormatting>
  <conditionalFormatting sqref="I206:M229">
    <cfRule type="expression" dxfId="498" priority="940">
      <formula>OR($P206="Yes",$Q206="OT",$Q206="DBLT")</formula>
    </cfRule>
  </conditionalFormatting>
  <conditionalFormatting sqref="I236:M236">
    <cfRule type="expression" dxfId="497" priority="938">
      <formula>OR($P236="Yes",$Q236="OT",$Q236="DBLT")</formula>
    </cfRule>
  </conditionalFormatting>
  <conditionalFormatting sqref="I237:M260">
    <cfRule type="expression" dxfId="496" priority="937">
      <formula>OR($P237="Yes",$Q237="OT",$Q237="DBLT")</formula>
    </cfRule>
  </conditionalFormatting>
  <conditionalFormatting sqref="I267:M267">
    <cfRule type="expression" dxfId="495" priority="935">
      <formula>OR($P267="Yes",$Q267="OT",$Q267="DBLT")</formula>
    </cfRule>
  </conditionalFormatting>
  <conditionalFormatting sqref="I268:M291">
    <cfRule type="expression" dxfId="494" priority="934">
      <formula>OR($P268="Yes",$Q268="OT",$Q268="DBLT")</formula>
    </cfRule>
  </conditionalFormatting>
  <conditionalFormatting sqref="I298:M298">
    <cfRule type="expression" dxfId="493" priority="932">
      <formula>OR($P298="Yes",$Q298="OT",$Q298="DBLT")</formula>
    </cfRule>
  </conditionalFormatting>
  <conditionalFormatting sqref="I299:M322">
    <cfRule type="expression" dxfId="492" priority="931">
      <formula>OR($P299="Yes",$Q299="OT",$Q299="DBLT")</formula>
    </cfRule>
  </conditionalFormatting>
  <conditionalFormatting sqref="I329:M329">
    <cfRule type="expression" dxfId="491" priority="929">
      <formula>OR($P329="Yes",$Q329="OT",$Q329="DBLT")</formula>
    </cfRule>
  </conditionalFormatting>
  <conditionalFormatting sqref="I330:M353">
    <cfRule type="expression" dxfId="490" priority="928">
      <formula>OR($P330="Yes",$Q330="OT",$Q330="DBLT")</formula>
    </cfRule>
  </conditionalFormatting>
  <conditionalFormatting sqref="I360:M360">
    <cfRule type="expression" dxfId="489" priority="926">
      <formula>OR($P360="Yes",$Q360="OT",$Q360="DBLT")</formula>
    </cfRule>
  </conditionalFormatting>
  <conditionalFormatting sqref="I361:M384">
    <cfRule type="expression" dxfId="488" priority="925">
      <formula>OR($P361="Yes",$Q361="OT",$Q361="DBLT")</formula>
    </cfRule>
  </conditionalFormatting>
  <conditionalFormatting sqref="I391:M391">
    <cfRule type="expression" dxfId="487" priority="923">
      <formula>OR($P391="Yes",$Q391="OT",$Q391="DBLT")</formula>
    </cfRule>
  </conditionalFormatting>
  <conditionalFormatting sqref="I392:M415">
    <cfRule type="expression" dxfId="486" priority="922">
      <formula>OR($P392="Yes",$Q392="OT",$Q392="DBLT")</formula>
    </cfRule>
  </conditionalFormatting>
  <conditionalFormatting sqref="I422:M422">
    <cfRule type="expression" dxfId="485" priority="920">
      <formula>OR($P422="Yes",$Q422="OT",$Q422="DBLT")</formula>
    </cfRule>
  </conditionalFormatting>
  <conditionalFormatting sqref="I423:M446">
    <cfRule type="expression" dxfId="484" priority="919">
      <formula>OR($P423="Yes",$Q423="OT",$Q423="DBLT")</formula>
    </cfRule>
  </conditionalFormatting>
  <conditionalFormatting sqref="I453:M453">
    <cfRule type="expression" dxfId="483" priority="917">
      <formula>OR($P453="Yes",$Q453="OT",$Q453="DBLT")</formula>
    </cfRule>
  </conditionalFormatting>
  <conditionalFormatting sqref="I454:M477">
    <cfRule type="expression" dxfId="482" priority="916">
      <formula>OR($P454="Yes",$Q454="OT",$Q454="DBLT")</formula>
    </cfRule>
  </conditionalFormatting>
  <conditionalFormatting sqref="I484:M484">
    <cfRule type="expression" dxfId="481" priority="914">
      <formula>OR($P484="Yes",$Q484="OT",$Q484="DBLT")</formula>
    </cfRule>
  </conditionalFormatting>
  <conditionalFormatting sqref="I485:M508">
    <cfRule type="expression" dxfId="480" priority="913">
      <formula>OR($P485="Yes",$Q485="OT",$Q485="DBLT")</formula>
    </cfRule>
  </conditionalFormatting>
  <conditionalFormatting sqref="I515:M515">
    <cfRule type="expression" dxfId="479" priority="911">
      <formula>OR($P515="Yes",$Q515="OT",$Q515="DBLT")</formula>
    </cfRule>
  </conditionalFormatting>
  <conditionalFormatting sqref="I516:M539">
    <cfRule type="expression" dxfId="478" priority="910">
      <formula>OR($P516="Yes",$Q516="OT",$Q516="DBLT")</formula>
    </cfRule>
  </conditionalFormatting>
  <conditionalFormatting sqref="I546:M546">
    <cfRule type="expression" dxfId="477" priority="908">
      <formula>OR($P546="Yes",$Q546="OT",$Q546="DBLT")</formula>
    </cfRule>
  </conditionalFormatting>
  <conditionalFormatting sqref="I547:M570">
    <cfRule type="expression" dxfId="476" priority="907">
      <formula>OR($P547="Yes",$Q547="OT",$Q547="DBLT")</formula>
    </cfRule>
  </conditionalFormatting>
  <conditionalFormatting sqref="I577:M577">
    <cfRule type="expression" dxfId="475" priority="905">
      <formula>OR($P577="Yes",$Q577="OT",$Q577="DBLT")</formula>
    </cfRule>
  </conditionalFormatting>
  <conditionalFormatting sqref="I578:M601">
    <cfRule type="expression" dxfId="474" priority="904">
      <formula>OR($P578="Yes",$Q578="OT",$Q578="DBLT")</formula>
    </cfRule>
  </conditionalFormatting>
  <conditionalFormatting sqref="I608:M608">
    <cfRule type="expression" dxfId="473" priority="902">
      <formula>OR($P608="Yes",$Q608="OT",$Q608="DBLT")</formula>
    </cfRule>
  </conditionalFormatting>
  <conditionalFormatting sqref="I609:M632">
    <cfRule type="expression" dxfId="472" priority="901">
      <formula>OR($P609="Yes",$Q609="OT",$Q609="DBLT")</formula>
    </cfRule>
  </conditionalFormatting>
  <conditionalFormatting sqref="I639:M639">
    <cfRule type="expression" dxfId="471" priority="899">
      <formula>OR($P639="Yes",$Q639="OT",$Q639="DBLT")</formula>
    </cfRule>
  </conditionalFormatting>
  <conditionalFormatting sqref="I640:M663">
    <cfRule type="expression" dxfId="470" priority="898">
      <formula>OR($P640="Yes",$Q640="OT",$Q640="DBLT")</formula>
    </cfRule>
  </conditionalFormatting>
  <conditionalFormatting sqref="I670:M670">
    <cfRule type="expression" dxfId="469" priority="896">
      <formula>OR($P670="Yes",$Q670="OT",$Q670="DBLT")</formula>
    </cfRule>
  </conditionalFormatting>
  <conditionalFormatting sqref="I671:M694">
    <cfRule type="expression" dxfId="468" priority="895">
      <formula>OR($P671="Yes",$Q671="OT",$Q671="DBLT")</formula>
    </cfRule>
  </conditionalFormatting>
  <conditionalFormatting sqref="I701:M701">
    <cfRule type="expression" dxfId="467" priority="893">
      <formula>OR($P701="Yes",$Q701="OT",$Q701="DBLT")</formula>
    </cfRule>
  </conditionalFormatting>
  <conditionalFormatting sqref="I702:M725">
    <cfRule type="expression" dxfId="466" priority="892">
      <formula>OR($P702="Yes",$Q702="OT",$Q702="DBLT")</formula>
    </cfRule>
  </conditionalFormatting>
  <conditionalFormatting sqref="I732:M732">
    <cfRule type="expression" dxfId="465" priority="890">
      <formula>OR($P732="Yes",$Q732="OT",$Q732="DBLT")</formula>
    </cfRule>
  </conditionalFormatting>
  <conditionalFormatting sqref="I733:M756">
    <cfRule type="expression" dxfId="464" priority="889">
      <formula>OR($P733="Yes",$Q733="OT",$Q733="DBLT")</formula>
    </cfRule>
  </conditionalFormatting>
  <conditionalFormatting sqref="I763:M763">
    <cfRule type="expression" dxfId="463" priority="887">
      <formula>OR($P763="Yes",$Q763="OT",$Q763="DBLT")</formula>
    </cfRule>
  </conditionalFormatting>
  <conditionalFormatting sqref="I764:M787">
    <cfRule type="expression" dxfId="462" priority="886">
      <formula>OR($P764="Yes",$Q764="OT",$Q764="DBLT")</formula>
    </cfRule>
  </conditionalFormatting>
  <conditionalFormatting sqref="I794:M794">
    <cfRule type="expression" dxfId="461" priority="884">
      <formula>OR($P794="Yes",$Q794="OT",$Q794="DBLT")</formula>
    </cfRule>
  </conditionalFormatting>
  <conditionalFormatting sqref="I795:M818">
    <cfRule type="expression" dxfId="460" priority="883">
      <formula>OR($P795="Yes",$Q795="OT",$Q795="DBLT")</formula>
    </cfRule>
  </conditionalFormatting>
  <conditionalFormatting sqref="I825:M825">
    <cfRule type="expression" dxfId="459" priority="881">
      <formula>OR($P825="Yes",$Q825="OT",$Q825="DBLT")</formula>
    </cfRule>
  </conditionalFormatting>
  <conditionalFormatting sqref="I826:M849">
    <cfRule type="expression" dxfId="458" priority="880">
      <formula>OR($P826="Yes",$Q826="OT",$Q826="DBLT")</formula>
    </cfRule>
  </conditionalFormatting>
  <conditionalFormatting sqref="I856:M856">
    <cfRule type="expression" dxfId="457" priority="878">
      <formula>OR($P856="Yes",$Q856="OT",$Q856="DBLT")</formula>
    </cfRule>
  </conditionalFormatting>
  <conditionalFormatting sqref="I857:M880">
    <cfRule type="expression" dxfId="456" priority="877">
      <formula>OR($P857="Yes",$Q857="OT",$Q857="DBLT")</formula>
    </cfRule>
  </conditionalFormatting>
  <conditionalFormatting sqref="I887:M887">
    <cfRule type="expression" dxfId="455" priority="875">
      <formula>OR($P887="Yes",$Q887="OT",$Q887="DBLT")</formula>
    </cfRule>
  </conditionalFormatting>
  <conditionalFormatting sqref="I888:M911">
    <cfRule type="expression" dxfId="454" priority="874">
      <formula>OR($P888="Yes",$Q888="OT",$Q888="DBLT")</formula>
    </cfRule>
  </conditionalFormatting>
  <conditionalFormatting sqref="I918:M918">
    <cfRule type="expression" dxfId="453" priority="872">
      <formula>OR($P918="Yes",$Q918="OT",$Q918="DBLT")</formula>
    </cfRule>
  </conditionalFormatting>
  <conditionalFormatting sqref="I919:M942">
    <cfRule type="expression" dxfId="452" priority="871">
      <formula>OR($P919="Yes",$Q919="OT",$Q919="DBLT")</formula>
    </cfRule>
  </conditionalFormatting>
  <conditionalFormatting sqref="I949:M949">
    <cfRule type="expression" dxfId="451" priority="869">
      <formula>OR($P949="Yes",$Q949="OT",$Q949="DBLT")</formula>
    </cfRule>
  </conditionalFormatting>
  <conditionalFormatting sqref="I950:M973">
    <cfRule type="expression" dxfId="450" priority="868">
      <formula>OR($P950="Yes",$Q950="OT",$Q950="DBLT")</formula>
    </cfRule>
  </conditionalFormatting>
  <conditionalFormatting sqref="I980:M980">
    <cfRule type="expression" dxfId="449" priority="866">
      <formula>OR($P980="Yes",$Q980="OT",$Q980="DBLT")</formula>
    </cfRule>
  </conditionalFormatting>
  <conditionalFormatting sqref="I981:M1004">
    <cfRule type="expression" dxfId="448" priority="865">
      <formula>OR($P981="Yes",$Q981="OT",$Q981="DBLT")</formula>
    </cfRule>
  </conditionalFormatting>
  <conditionalFormatting sqref="D69:G69 I69:O69">
    <cfRule type="expression" dxfId="447" priority="859">
      <formula>OR($P69="Yes",$Q69="OT",$Q69="DBLT")</formula>
    </cfRule>
  </conditionalFormatting>
  <conditionalFormatting sqref="D100:G100 N100:Q100">
    <cfRule type="expression" dxfId="446" priority="847">
      <formula>OR($P100="Yes",$Q100="OT",$Q100="DBLT")</formula>
    </cfRule>
  </conditionalFormatting>
  <conditionalFormatting sqref="I100:M100">
    <cfRule type="expression" dxfId="445" priority="846">
      <formula>OR($P100="Yes",$Q100="OT",$Q100="DBLT")</formula>
    </cfRule>
  </conditionalFormatting>
  <conditionalFormatting sqref="D133:G133 N133:Q133">
    <cfRule type="expression" dxfId="444" priority="839">
      <formula>OR($P133="Yes",$Q133="OT",$Q133="DBLT")</formula>
    </cfRule>
  </conditionalFormatting>
  <conditionalFormatting sqref="I133:M133">
    <cfRule type="expression" dxfId="443" priority="838">
      <formula>OR($P133="Yes",$Q133="OT",$Q133="DBLT")</formula>
    </cfRule>
  </conditionalFormatting>
  <conditionalFormatting sqref="D168:G168 N168:Q168">
    <cfRule type="expression" dxfId="442" priority="831">
      <formula>OR($P168="Yes",$Q168="OT",$Q168="DBLT")</formula>
    </cfRule>
  </conditionalFormatting>
  <conditionalFormatting sqref="I168:M168">
    <cfRule type="expression" dxfId="441" priority="830">
      <formula>OR($P168="Yes",$Q168="OT",$Q168="DBLT")</formula>
    </cfRule>
  </conditionalFormatting>
  <conditionalFormatting sqref="D199:G199 N199:Q199">
    <cfRule type="expression" dxfId="440" priority="823">
      <formula>OR($P199="Yes",$Q199="OT",$Q199="DBLT")</formula>
    </cfRule>
  </conditionalFormatting>
  <conditionalFormatting sqref="I199:M199">
    <cfRule type="expression" dxfId="439" priority="822">
      <formula>OR($P199="Yes",$Q199="OT",$Q199="DBLT")</formula>
    </cfRule>
  </conditionalFormatting>
  <conditionalFormatting sqref="D230:G230 N230:Q230">
    <cfRule type="expression" dxfId="438" priority="815">
      <formula>OR($P230="Yes",$Q230="OT",$Q230="DBLT")</formula>
    </cfRule>
  </conditionalFormatting>
  <conditionalFormatting sqref="I230:M230">
    <cfRule type="expression" dxfId="437" priority="814">
      <formula>OR($P230="Yes",$Q230="OT",$Q230="DBLT")</formula>
    </cfRule>
  </conditionalFormatting>
  <conditionalFormatting sqref="D261:G261 N261:Q261">
    <cfRule type="expression" dxfId="436" priority="807">
      <formula>OR($P261="Yes",$Q261="OT",$Q261="DBLT")</formula>
    </cfRule>
  </conditionalFormatting>
  <conditionalFormatting sqref="I261:M261">
    <cfRule type="expression" dxfId="435" priority="806">
      <formula>OR($P261="Yes",$Q261="OT",$Q261="DBLT")</formula>
    </cfRule>
  </conditionalFormatting>
  <conditionalFormatting sqref="D292:G292 N292:Q292">
    <cfRule type="expression" dxfId="434" priority="799">
      <formula>OR($P292="Yes",$Q292="OT",$Q292="DBLT")</formula>
    </cfRule>
  </conditionalFormatting>
  <conditionalFormatting sqref="I292:M292">
    <cfRule type="expression" dxfId="433" priority="798">
      <formula>OR($P292="Yes",$Q292="OT",$Q292="DBLT")</formula>
    </cfRule>
  </conditionalFormatting>
  <conditionalFormatting sqref="D323:G323 N323:Q323">
    <cfRule type="expression" dxfId="432" priority="791">
      <formula>OR($P323="Yes",$Q323="OT",$Q323="DBLT")</formula>
    </cfRule>
  </conditionalFormatting>
  <conditionalFormatting sqref="I323:M323">
    <cfRule type="expression" dxfId="431" priority="790">
      <formula>OR($P323="Yes",$Q323="OT",$Q323="DBLT")</formula>
    </cfRule>
  </conditionalFormatting>
  <conditionalFormatting sqref="D354:G354 N354:Q354">
    <cfRule type="expression" dxfId="430" priority="783">
      <formula>OR($P354="Yes",$Q354="OT",$Q354="DBLT")</formula>
    </cfRule>
  </conditionalFormatting>
  <conditionalFormatting sqref="I354:M354">
    <cfRule type="expression" dxfId="429" priority="782">
      <formula>OR($P354="Yes",$Q354="OT",$Q354="DBLT")</formula>
    </cfRule>
  </conditionalFormatting>
  <conditionalFormatting sqref="D385:G385 N385:Q385">
    <cfRule type="expression" dxfId="428" priority="775">
      <formula>OR($P385="Yes",$Q385="OT",$Q385="DBLT")</formula>
    </cfRule>
  </conditionalFormatting>
  <conditionalFormatting sqref="I385:M385">
    <cfRule type="expression" dxfId="427" priority="774">
      <formula>OR($P385="Yes",$Q385="OT",$Q385="DBLT")</formula>
    </cfRule>
  </conditionalFormatting>
  <conditionalFormatting sqref="D416:G416 N416:Q416">
    <cfRule type="expression" dxfId="426" priority="767">
      <formula>OR($P416="Yes",$Q416="OT",$Q416="DBLT")</formula>
    </cfRule>
  </conditionalFormatting>
  <conditionalFormatting sqref="I416:M416">
    <cfRule type="expression" dxfId="425" priority="766">
      <formula>OR($P416="Yes",$Q416="OT",$Q416="DBLT")</formula>
    </cfRule>
  </conditionalFormatting>
  <conditionalFormatting sqref="D447:G447 N447:Q447">
    <cfRule type="expression" dxfId="424" priority="759">
      <formula>OR($P447="Yes",$Q447="OT",$Q447="DBLT")</formula>
    </cfRule>
  </conditionalFormatting>
  <conditionalFormatting sqref="I447:M447">
    <cfRule type="expression" dxfId="423" priority="758">
      <formula>OR($P447="Yes",$Q447="OT",$Q447="DBLT")</formula>
    </cfRule>
  </conditionalFormatting>
  <conditionalFormatting sqref="D478:G478 N478:Q478">
    <cfRule type="expression" dxfId="422" priority="751">
      <formula>OR($P478="Yes",$Q478="OT",$Q478="DBLT")</formula>
    </cfRule>
  </conditionalFormatting>
  <conditionalFormatting sqref="I478:M478">
    <cfRule type="expression" dxfId="421" priority="750">
      <formula>OR($P478="Yes",$Q478="OT",$Q478="DBLT")</formula>
    </cfRule>
  </conditionalFormatting>
  <conditionalFormatting sqref="D509:G509 N509:Q509">
    <cfRule type="expression" dxfId="420" priority="743">
      <formula>OR($P509="Yes",$Q509="OT",$Q509="DBLT")</formula>
    </cfRule>
  </conditionalFormatting>
  <conditionalFormatting sqref="I509:M509">
    <cfRule type="expression" dxfId="419" priority="742">
      <formula>OR($P509="Yes",$Q509="OT",$Q509="DBLT")</formula>
    </cfRule>
  </conditionalFormatting>
  <conditionalFormatting sqref="D540:G540 N540:Q540">
    <cfRule type="expression" dxfId="418" priority="735">
      <formula>OR($P540="Yes",$Q540="OT",$Q540="DBLT")</formula>
    </cfRule>
  </conditionalFormatting>
  <conditionalFormatting sqref="I540:M540">
    <cfRule type="expression" dxfId="417" priority="734">
      <formula>OR($P540="Yes",$Q540="OT",$Q540="DBLT")</formula>
    </cfRule>
  </conditionalFormatting>
  <conditionalFormatting sqref="D571:G571 N571:Q571">
    <cfRule type="expression" dxfId="416" priority="727">
      <formula>OR($P571="Yes",$Q571="OT",$Q571="DBLT")</formula>
    </cfRule>
  </conditionalFormatting>
  <conditionalFormatting sqref="I571:M571">
    <cfRule type="expression" dxfId="415" priority="726">
      <formula>OR($P571="Yes",$Q571="OT",$Q571="DBLT")</formula>
    </cfRule>
  </conditionalFormatting>
  <conditionalFormatting sqref="D602:G602 N602:Q602">
    <cfRule type="expression" dxfId="414" priority="719">
      <formula>OR($P602="Yes",$Q602="OT",$Q602="DBLT")</formula>
    </cfRule>
  </conditionalFormatting>
  <conditionalFormatting sqref="I602:M602">
    <cfRule type="expression" dxfId="413" priority="718">
      <formula>OR($P602="Yes",$Q602="OT",$Q602="DBLT")</formula>
    </cfRule>
  </conditionalFormatting>
  <conditionalFormatting sqref="D633:G633 N633:Q633">
    <cfRule type="expression" dxfId="412" priority="711">
      <formula>OR($P633="Yes",$Q633="OT",$Q633="DBLT")</formula>
    </cfRule>
  </conditionalFormatting>
  <conditionalFormatting sqref="I633:M633">
    <cfRule type="expression" dxfId="411" priority="710">
      <formula>OR($P633="Yes",$Q633="OT",$Q633="DBLT")</formula>
    </cfRule>
  </conditionalFormatting>
  <conditionalFormatting sqref="D664:G664 N664:Q664">
    <cfRule type="expression" dxfId="410" priority="703">
      <formula>OR($P664="Yes",$Q664="OT",$Q664="DBLT")</formula>
    </cfRule>
  </conditionalFormatting>
  <conditionalFormatting sqref="I664:M664">
    <cfRule type="expression" dxfId="409" priority="702">
      <formula>OR($P664="Yes",$Q664="OT",$Q664="DBLT")</formula>
    </cfRule>
  </conditionalFormatting>
  <conditionalFormatting sqref="D695:G695 N695:Q695">
    <cfRule type="expression" dxfId="408" priority="695">
      <formula>OR($P695="Yes",$Q695="OT",$Q695="DBLT")</formula>
    </cfRule>
  </conditionalFormatting>
  <conditionalFormatting sqref="I695:M695">
    <cfRule type="expression" dxfId="407" priority="694">
      <formula>OR($P695="Yes",$Q695="OT",$Q695="DBLT")</formula>
    </cfRule>
  </conditionalFormatting>
  <conditionalFormatting sqref="D726:G726 N726:Q726">
    <cfRule type="expression" dxfId="406" priority="687">
      <formula>OR($P726="Yes",$Q726="OT",$Q726="DBLT")</formula>
    </cfRule>
  </conditionalFormatting>
  <conditionalFormatting sqref="I726:M726">
    <cfRule type="expression" dxfId="405" priority="686">
      <formula>OR($P726="Yes",$Q726="OT",$Q726="DBLT")</formula>
    </cfRule>
  </conditionalFormatting>
  <conditionalFormatting sqref="D757:G757 N757:Q757">
    <cfRule type="expression" dxfId="404" priority="679">
      <formula>OR($P757="Yes",$Q757="OT",$Q757="DBLT")</formula>
    </cfRule>
  </conditionalFormatting>
  <conditionalFormatting sqref="I757:M757">
    <cfRule type="expression" dxfId="403" priority="678">
      <formula>OR($P757="Yes",$Q757="OT",$Q757="DBLT")</formula>
    </cfRule>
  </conditionalFormatting>
  <conditionalFormatting sqref="D788:G788 N788:Q788">
    <cfRule type="expression" dxfId="402" priority="671">
      <formula>OR($P788="Yes",$Q788="OT",$Q788="DBLT")</formula>
    </cfRule>
  </conditionalFormatting>
  <conditionalFormatting sqref="I788:M788">
    <cfRule type="expression" dxfId="401" priority="670">
      <formula>OR($P788="Yes",$Q788="OT",$Q788="DBLT")</formula>
    </cfRule>
  </conditionalFormatting>
  <conditionalFormatting sqref="D819:G819 N819:Q819">
    <cfRule type="expression" dxfId="400" priority="663">
      <formula>OR($P819="Yes",$Q819="OT",$Q819="DBLT")</formula>
    </cfRule>
  </conditionalFormatting>
  <conditionalFormatting sqref="I819:M819">
    <cfRule type="expression" dxfId="399" priority="662">
      <formula>OR($P819="Yes",$Q819="OT",$Q819="DBLT")</formula>
    </cfRule>
  </conditionalFormatting>
  <conditionalFormatting sqref="D850:G850 N850:Q850">
    <cfRule type="expression" dxfId="398" priority="655">
      <formula>OR($P850="Yes",$Q850="OT",$Q850="DBLT")</formula>
    </cfRule>
  </conditionalFormatting>
  <conditionalFormatting sqref="I850:M850">
    <cfRule type="expression" dxfId="397" priority="654">
      <formula>OR($P850="Yes",$Q850="OT",$Q850="DBLT")</formula>
    </cfRule>
  </conditionalFormatting>
  <conditionalFormatting sqref="D881:G881 N881:Q881">
    <cfRule type="expression" dxfId="396" priority="647">
      <formula>OR($P881="Yes",$Q881="OT",$Q881="DBLT")</formula>
    </cfRule>
  </conditionalFormatting>
  <conditionalFormatting sqref="I881:M881">
    <cfRule type="expression" dxfId="395" priority="646">
      <formula>OR($P881="Yes",$Q881="OT",$Q881="DBLT")</formula>
    </cfRule>
  </conditionalFormatting>
  <conditionalFormatting sqref="D912:G912 N912:Q912">
    <cfRule type="expression" dxfId="394" priority="639">
      <formula>OR($P912="Yes",$Q912="OT",$Q912="DBLT")</formula>
    </cfRule>
  </conditionalFormatting>
  <conditionalFormatting sqref="I912:M912">
    <cfRule type="expression" dxfId="393" priority="638">
      <formula>OR($P912="Yes",$Q912="OT",$Q912="DBLT")</formula>
    </cfRule>
  </conditionalFormatting>
  <conditionalFormatting sqref="D943:G943 N943:Q943">
    <cfRule type="expression" dxfId="392" priority="631">
      <formula>OR($P943="Yes",$Q943="OT",$Q943="DBLT")</formula>
    </cfRule>
  </conditionalFormatting>
  <conditionalFormatting sqref="I943:M943">
    <cfRule type="expression" dxfId="391" priority="630">
      <formula>OR($P943="Yes",$Q943="OT",$Q943="DBLT")</formula>
    </cfRule>
  </conditionalFormatting>
  <conditionalFormatting sqref="D974:G974 N974:Q974">
    <cfRule type="expression" dxfId="390" priority="623">
      <formula>OR($P974="Yes",$Q974="OT",$Q974="DBLT")</formula>
    </cfRule>
  </conditionalFormatting>
  <conditionalFormatting sqref="I974:M974">
    <cfRule type="expression" dxfId="389" priority="622">
      <formula>OR($P974="Yes",$Q974="OT",$Q974="DBLT")</formula>
    </cfRule>
  </conditionalFormatting>
  <conditionalFormatting sqref="D1005:G1005 N1005:Q1005">
    <cfRule type="expression" dxfId="388" priority="615">
      <formula>OR($P1005="Yes",$Q1005="OT",$Q1005="DBLT")</formula>
    </cfRule>
  </conditionalFormatting>
  <conditionalFormatting sqref="I1005:M1005">
    <cfRule type="expression" dxfId="387" priority="614">
      <formula>OR($P1005="Yes",$Q1005="OT",$Q1005="DBLT")</formula>
    </cfRule>
  </conditionalFormatting>
  <conditionalFormatting sqref="R3">
    <cfRule type="expression" dxfId="386" priority="613">
      <formula>SM_ExludeGroup31=TRUE</formula>
    </cfRule>
  </conditionalFormatting>
  <conditionalFormatting sqref="R2">
    <cfRule type="expression" dxfId="385" priority="612">
      <formula>SM_ExludeGroup30=TRUE</formula>
    </cfRule>
  </conditionalFormatting>
  <conditionalFormatting sqref="Q6">
    <cfRule type="expression" dxfId="384" priority="611">
      <formula>SM_ExludeGroup29=TRUE</formula>
    </cfRule>
  </conditionalFormatting>
  <conditionalFormatting sqref="Q5">
    <cfRule type="expression" dxfId="383" priority="610">
      <formula>SM_ExludeGroup28=TRUE</formula>
    </cfRule>
  </conditionalFormatting>
  <conditionalFormatting sqref="Q4">
    <cfRule type="expression" dxfId="382" priority="609">
      <formula>SM_ExludeGroup27=TRUE</formula>
    </cfRule>
  </conditionalFormatting>
  <conditionalFormatting sqref="Q3">
    <cfRule type="expression" dxfId="381" priority="608">
      <formula>SM_ExludeGroup26=TRUE</formula>
    </cfRule>
  </conditionalFormatting>
  <conditionalFormatting sqref="Q2">
    <cfRule type="expression" dxfId="380" priority="607">
      <formula>SM_ExludeGroup25=TRUE</formula>
    </cfRule>
  </conditionalFormatting>
  <conditionalFormatting sqref="P6">
    <cfRule type="expression" dxfId="379" priority="606">
      <formula>SM_ExludeGroup24=TRUE</formula>
    </cfRule>
  </conditionalFormatting>
  <conditionalFormatting sqref="P5">
    <cfRule type="expression" dxfId="378" priority="605">
      <formula>SM_ExludeGroup23=TRUE</formula>
    </cfRule>
  </conditionalFormatting>
  <conditionalFormatting sqref="P4">
    <cfRule type="expression" dxfId="377" priority="604">
      <formula>SM_ExludeGroup22=TRUE</formula>
    </cfRule>
  </conditionalFormatting>
  <conditionalFormatting sqref="P3">
    <cfRule type="expression" dxfId="376" priority="603">
      <formula>SM_ExludeGroup21=TRUE</formula>
    </cfRule>
  </conditionalFormatting>
  <conditionalFormatting sqref="P2">
    <cfRule type="expression" dxfId="375" priority="602">
      <formula>SM_ExludeGroup20=TRUE</formula>
    </cfRule>
  </conditionalFormatting>
  <conditionalFormatting sqref="O6">
    <cfRule type="expression" dxfId="374" priority="601">
      <formula>SM_ExludeGroup19=TRUE</formula>
    </cfRule>
  </conditionalFormatting>
  <conditionalFormatting sqref="O5">
    <cfRule type="expression" dxfId="373" priority="600">
      <formula>SM_ExludeGroup18=TRUE</formula>
    </cfRule>
  </conditionalFormatting>
  <conditionalFormatting sqref="O4">
    <cfRule type="expression" dxfId="372" priority="599">
      <formula>SM_ExludeGroup17=TRUE</formula>
    </cfRule>
  </conditionalFormatting>
  <conditionalFormatting sqref="O3">
    <cfRule type="expression" dxfId="371" priority="598">
      <formula>SM_ExludeGroup16=TRUE</formula>
    </cfRule>
  </conditionalFormatting>
  <conditionalFormatting sqref="O2">
    <cfRule type="expression" dxfId="370" priority="597">
      <formula>SM_ExludeGroup15=TRUE</formula>
    </cfRule>
  </conditionalFormatting>
  <conditionalFormatting sqref="N6">
    <cfRule type="expression" dxfId="369" priority="596">
      <formula>SM_ExludeGroup14=TRUE</formula>
    </cfRule>
  </conditionalFormatting>
  <conditionalFormatting sqref="N5">
    <cfRule type="expression" dxfId="368" priority="595">
      <formula>SM_ExludeGroup13=TRUE</formula>
    </cfRule>
  </conditionalFormatting>
  <conditionalFormatting sqref="N4">
    <cfRule type="expression" dxfId="367" priority="594">
      <formula>SM_ExludeGroup12=TRUE</formula>
    </cfRule>
  </conditionalFormatting>
  <conditionalFormatting sqref="N3">
    <cfRule type="expression" dxfId="366" priority="593">
      <formula>SM_ExludeGroup11=TRUE</formula>
    </cfRule>
  </conditionalFormatting>
  <conditionalFormatting sqref="N2">
    <cfRule type="expression" dxfId="365" priority="592">
      <formula>SM_ExludeGroup10=TRUE</formula>
    </cfRule>
  </conditionalFormatting>
  <conditionalFormatting sqref="M6">
    <cfRule type="expression" dxfId="364" priority="591">
      <formula>SM_ExludeGroup9=TRUE</formula>
    </cfRule>
  </conditionalFormatting>
  <conditionalFormatting sqref="M5">
    <cfRule type="expression" dxfId="363" priority="590">
      <formula>SM_ExludeGroup8=TRUE</formula>
    </cfRule>
  </conditionalFormatting>
  <conditionalFormatting sqref="M4">
    <cfRule type="expression" dxfId="362" priority="589">
      <formula>SM_ExludeGroup7=TRUE</formula>
    </cfRule>
  </conditionalFormatting>
  <conditionalFormatting sqref="M3">
    <cfRule type="expression" dxfId="361" priority="588">
      <formula>SM_ExludeGroup6=TRUE</formula>
    </cfRule>
  </conditionalFormatting>
  <conditionalFormatting sqref="M2">
    <cfRule type="expression" dxfId="360" priority="587">
      <formula>SM_ExludeGroup5=TRUE</formula>
    </cfRule>
  </conditionalFormatting>
  <conditionalFormatting sqref="L6">
    <cfRule type="expression" dxfId="359" priority="586">
      <formula>SM_ExludeGroup4=TRUE</formula>
    </cfRule>
  </conditionalFormatting>
  <conditionalFormatting sqref="L5">
    <cfRule type="expression" dxfId="358" priority="585">
      <formula>SM_ExludeGroup3=TRUE</formula>
    </cfRule>
  </conditionalFormatting>
  <conditionalFormatting sqref="L4">
    <cfRule type="expression" dxfId="357" priority="584">
      <formula>SM_ExludeGroup2=TRUE</formula>
    </cfRule>
  </conditionalFormatting>
  <conditionalFormatting sqref="L3">
    <cfRule type="expression" dxfId="356" priority="583">
      <formula>SM_ExludeGroup1=TRUE</formula>
    </cfRule>
  </conditionalFormatting>
  <conditionalFormatting sqref="C981:C1005">
    <cfRule type="expression" dxfId="355" priority="399">
      <formula>$H981&lt;&gt;0</formula>
    </cfRule>
  </conditionalFormatting>
  <conditionalFormatting sqref="B981:B1005">
    <cfRule type="expression" dxfId="354" priority="398">
      <formula>$K981&lt;&gt;0</formula>
    </cfRule>
  </conditionalFormatting>
  <conditionalFormatting sqref="A981:A1005">
    <cfRule type="expression" dxfId="353" priority="397">
      <formula>$M981&lt;&gt;0</formula>
    </cfRule>
  </conditionalFormatting>
  <conditionalFormatting sqref="C42:C69">
    <cfRule type="expression" dxfId="352" priority="579">
      <formula>$H42&lt;&gt;0</formula>
    </cfRule>
  </conditionalFormatting>
  <conditionalFormatting sqref="B42:B69">
    <cfRule type="expression" dxfId="351" priority="578">
      <formula>$K42&lt;&gt;0</formula>
    </cfRule>
  </conditionalFormatting>
  <conditionalFormatting sqref="A42:A69">
    <cfRule type="expression" dxfId="350" priority="577">
      <formula>$M42&lt;&gt;0</formula>
    </cfRule>
  </conditionalFormatting>
  <conditionalFormatting sqref="C75">
    <cfRule type="expression" dxfId="349" priority="576">
      <formula>$H75&lt;&gt;0</formula>
    </cfRule>
  </conditionalFormatting>
  <conditionalFormatting sqref="B75">
    <cfRule type="expression" dxfId="348" priority="575">
      <formula>$K75&lt;&gt;0</formula>
    </cfRule>
  </conditionalFormatting>
  <conditionalFormatting sqref="A75">
    <cfRule type="expression" dxfId="347" priority="574">
      <formula>$M75&lt;&gt;0</formula>
    </cfRule>
  </conditionalFormatting>
  <conditionalFormatting sqref="C76:C100">
    <cfRule type="expression" dxfId="346" priority="573">
      <formula>$H76&lt;&gt;0</formula>
    </cfRule>
  </conditionalFormatting>
  <conditionalFormatting sqref="B76:B100">
    <cfRule type="expression" dxfId="345" priority="572">
      <formula>$K76&lt;&gt;0</formula>
    </cfRule>
  </conditionalFormatting>
  <conditionalFormatting sqref="A76:A100">
    <cfRule type="expression" dxfId="344" priority="571">
      <formula>$M76&lt;&gt;0</formula>
    </cfRule>
  </conditionalFormatting>
  <conditionalFormatting sqref="C106">
    <cfRule type="expression" dxfId="343" priority="570">
      <formula>$H106&lt;&gt;0</formula>
    </cfRule>
  </conditionalFormatting>
  <conditionalFormatting sqref="B106">
    <cfRule type="expression" dxfId="342" priority="569">
      <formula>$K106&lt;&gt;0</formula>
    </cfRule>
  </conditionalFormatting>
  <conditionalFormatting sqref="A106">
    <cfRule type="expression" dxfId="341" priority="568">
      <formula>$M106&lt;&gt;0</formula>
    </cfRule>
  </conditionalFormatting>
  <conditionalFormatting sqref="C107:C133">
    <cfRule type="expression" dxfId="340" priority="567">
      <formula>$H107&lt;&gt;0</formula>
    </cfRule>
  </conditionalFormatting>
  <conditionalFormatting sqref="B107:B133">
    <cfRule type="expression" dxfId="339" priority="566">
      <formula>$K107&lt;&gt;0</formula>
    </cfRule>
  </conditionalFormatting>
  <conditionalFormatting sqref="A107:A133">
    <cfRule type="expression" dxfId="338" priority="565">
      <formula>$M107&lt;&gt;0</formula>
    </cfRule>
  </conditionalFormatting>
  <conditionalFormatting sqref="C139">
    <cfRule type="expression" dxfId="337" priority="564">
      <formula>$H139&lt;&gt;0</formula>
    </cfRule>
  </conditionalFormatting>
  <conditionalFormatting sqref="B139">
    <cfRule type="expression" dxfId="336" priority="563">
      <formula>$K139&lt;&gt;0</formula>
    </cfRule>
  </conditionalFormatting>
  <conditionalFormatting sqref="A139">
    <cfRule type="expression" dxfId="335" priority="562">
      <formula>$M139&lt;&gt;0</formula>
    </cfRule>
  </conditionalFormatting>
  <conditionalFormatting sqref="C140:C168">
    <cfRule type="expression" dxfId="334" priority="561">
      <formula>$H140&lt;&gt;0</formula>
    </cfRule>
  </conditionalFormatting>
  <conditionalFormatting sqref="B140:B168">
    <cfRule type="expression" dxfId="333" priority="560">
      <formula>$K140&lt;&gt;0</formula>
    </cfRule>
  </conditionalFormatting>
  <conditionalFormatting sqref="A140:A168">
    <cfRule type="expression" dxfId="332" priority="559">
      <formula>$M140&lt;&gt;0</formula>
    </cfRule>
  </conditionalFormatting>
  <conditionalFormatting sqref="C174">
    <cfRule type="expression" dxfId="331" priority="558">
      <formula>$H174&lt;&gt;0</formula>
    </cfRule>
  </conditionalFormatting>
  <conditionalFormatting sqref="B174">
    <cfRule type="expression" dxfId="330" priority="557">
      <formula>$K174&lt;&gt;0</formula>
    </cfRule>
  </conditionalFormatting>
  <conditionalFormatting sqref="A174">
    <cfRule type="expression" dxfId="329" priority="556">
      <formula>$M174&lt;&gt;0</formula>
    </cfRule>
  </conditionalFormatting>
  <conditionalFormatting sqref="C175:C199">
    <cfRule type="expression" dxfId="328" priority="555">
      <formula>$H175&lt;&gt;0</formula>
    </cfRule>
  </conditionalFormatting>
  <conditionalFormatting sqref="B175:B199">
    <cfRule type="expression" dxfId="327" priority="554">
      <formula>$K175&lt;&gt;0</formula>
    </cfRule>
  </conditionalFormatting>
  <conditionalFormatting sqref="A175:A199">
    <cfRule type="expression" dxfId="326" priority="553">
      <formula>$M175&lt;&gt;0</formula>
    </cfRule>
  </conditionalFormatting>
  <conditionalFormatting sqref="C205">
    <cfRule type="expression" dxfId="325" priority="552">
      <formula>$H205&lt;&gt;0</formula>
    </cfRule>
  </conditionalFormatting>
  <conditionalFormatting sqref="B205">
    <cfRule type="expression" dxfId="324" priority="551">
      <formula>$K205&lt;&gt;0</formula>
    </cfRule>
  </conditionalFormatting>
  <conditionalFormatting sqref="A205">
    <cfRule type="expression" dxfId="323" priority="550">
      <formula>$M205&lt;&gt;0</formula>
    </cfRule>
  </conditionalFormatting>
  <conditionalFormatting sqref="C206:C230">
    <cfRule type="expression" dxfId="322" priority="549">
      <formula>$H206&lt;&gt;0</formula>
    </cfRule>
  </conditionalFormatting>
  <conditionalFormatting sqref="B206:B230">
    <cfRule type="expression" dxfId="321" priority="548">
      <formula>$K206&lt;&gt;0</formula>
    </cfRule>
  </conditionalFormatting>
  <conditionalFormatting sqref="A206:A230">
    <cfRule type="expression" dxfId="320" priority="547">
      <formula>$M206&lt;&gt;0</formula>
    </cfRule>
  </conditionalFormatting>
  <conditionalFormatting sqref="C236">
    <cfRule type="expression" dxfId="319" priority="546">
      <formula>$H236&lt;&gt;0</formula>
    </cfRule>
  </conditionalFormatting>
  <conditionalFormatting sqref="B236">
    <cfRule type="expression" dxfId="318" priority="545">
      <formula>$K236&lt;&gt;0</formula>
    </cfRule>
  </conditionalFormatting>
  <conditionalFormatting sqref="A236">
    <cfRule type="expression" dxfId="317" priority="544">
      <formula>$M236&lt;&gt;0</formula>
    </cfRule>
  </conditionalFormatting>
  <conditionalFormatting sqref="C237:C261">
    <cfRule type="expression" dxfId="316" priority="543">
      <formula>$H237&lt;&gt;0</formula>
    </cfRule>
  </conditionalFormatting>
  <conditionalFormatting sqref="B237:B261">
    <cfRule type="expression" dxfId="315" priority="542">
      <formula>$K237&lt;&gt;0</formula>
    </cfRule>
  </conditionalFormatting>
  <conditionalFormatting sqref="A237:A261">
    <cfRule type="expression" dxfId="314" priority="541">
      <formula>$M237&lt;&gt;0</formula>
    </cfRule>
  </conditionalFormatting>
  <conditionalFormatting sqref="C267">
    <cfRule type="expression" dxfId="313" priority="540">
      <formula>$H267&lt;&gt;0</formula>
    </cfRule>
  </conditionalFormatting>
  <conditionalFormatting sqref="B267">
    <cfRule type="expression" dxfId="312" priority="539">
      <formula>$K267&lt;&gt;0</formula>
    </cfRule>
  </conditionalFormatting>
  <conditionalFormatting sqref="A267">
    <cfRule type="expression" dxfId="311" priority="538">
      <formula>$M267&lt;&gt;0</formula>
    </cfRule>
  </conditionalFormatting>
  <conditionalFormatting sqref="C268:C292">
    <cfRule type="expression" dxfId="310" priority="537">
      <formula>$H268&lt;&gt;0</formula>
    </cfRule>
  </conditionalFormatting>
  <conditionalFormatting sqref="B268:B292">
    <cfRule type="expression" dxfId="309" priority="536">
      <formula>$K268&lt;&gt;0</formula>
    </cfRule>
  </conditionalFormatting>
  <conditionalFormatting sqref="A268:A292">
    <cfRule type="expression" dxfId="308" priority="535">
      <formula>$M268&lt;&gt;0</formula>
    </cfRule>
  </conditionalFormatting>
  <conditionalFormatting sqref="C298">
    <cfRule type="expression" dxfId="307" priority="534">
      <formula>$H298&lt;&gt;0</formula>
    </cfRule>
  </conditionalFormatting>
  <conditionalFormatting sqref="B298">
    <cfRule type="expression" dxfId="306" priority="533">
      <formula>$K298&lt;&gt;0</formula>
    </cfRule>
  </conditionalFormatting>
  <conditionalFormatting sqref="A298">
    <cfRule type="expression" dxfId="305" priority="532">
      <formula>$M298&lt;&gt;0</formula>
    </cfRule>
  </conditionalFormatting>
  <conditionalFormatting sqref="C299:C323">
    <cfRule type="expression" dxfId="304" priority="531">
      <formula>$H299&lt;&gt;0</formula>
    </cfRule>
  </conditionalFormatting>
  <conditionalFormatting sqref="B299:B323">
    <cfRule type="expression" dxfId="303" priority="530">
      <formula>$K299&lt;&gt;0</formula>
    </cfRule>
  </conditionalFormatting>
  <conditionalFormatting sqref="A299:A323">
    <cfRule type="expression" dxfId="302" priority="529">
      <formula>$M299&lt;&gt;0</formula>
    </cfRule>
  </conditionalFormatting>
  <conditionalFormatting sqref="C329">
    <cfRule type="expression" dxfId="301" priority="528">
      <formula>$H329&lt;&gt;0</formula>
    </cfRule>
  </conditionalFormatting>
  <conditionalFormatting sqref="B329">
    <cfRule type="expression" dxfId="300" priority="527">
      <formula>$K329&lt;&gt;0</formula>
    </cfRule>
  </conditionalFormatting>
  <conditionalFormatting sqref="A329">
    <cfRule type="expression" dxfId="299" priority="526">
      <formula>$M329&lt;&gt;0</formula>
    </cfRule>
  </conditionalFormatting>
  <conditionalFormatting sqref="C330:C354">
    <cfRule type="expression" dxfId="298" priority="525">
      <formula>$H330&lt;&gt;0</formula>
    </cfRule>
  </conditionalFormatting>
  <conditionalFormatting sqref="B330:B354">
    <cfRule type="expression" dxfId="297" priority="524">
      <formula>$K330&lt;&gt;0</formula>
    </cfRule>
  </conditionalFormatting>
  <conditionalFormatting sqref="A330:A354">
    <cfRule type="expression" dxfId="296" priority="523">
      <formula>$M330&lt;&gt;0</formula>
    </cfRule>
  </conditionalFormatting>
  <conditionalFormatting sqref="C360">
    <cfRule type="expression" dxfId="295" priority="522">
      <formula>$H360&lt;&gt;0</formula>
    </cfRule>
  </conditionalFormatting>
  <conditionalFormatting sqref="B360">
    <cfRule type="expression" dxfId="294" priority="521">
      <formula>$K360&lt;&gt;0</formula>
    </cfRule>
  </conditionalFormatting>
  <conditionalFormatting sqref="A360">
    <cfRule type="expression" dxfId="293" priority="520">
      <formula>$M360&lt;&gt;0</formula>
    </cfRule>
  </conditionalFormatting>
  <conditionalFormatting sqref="C361:C385">
    <cfRule type="expression" dxfId="292" priority="519">
      <formula>$H361&lt;&gt;0</formula>
    </cfRule>
  </conditionalFormatting>
  <conditionalFormatting sqref="B361:B385">
    <cfRule type="expression" dxfId="291" priority="518">
      <formula>$K361&lt;&gt;0</formula>
    </cfRule>
  </conditionalFormatting>
  <conditionalFormatting sqref="A361:A385">
    <cfRule type="expression" dxfId="290" priority="517">
      <formula>$M361&lt;&gt;0</formula>
    </cfRule>
  </conditionalFormatting>
  <conditionalFormatting sqref="C391">
    <cfRule type="expression" dxfId="289" priority="516">
      <formula>$H391&lt;&gt;0</formula>
    </cfRule>
  </conditionalFormatting>
  <conditionalFormatting sqref="B391">
    <cfRule type="expression" dxfId="288" priority="515">
      <formula>$K391&lt;&gt;0</formula>
    </cfRule>
  </conditionalFormatting>
  <conditionalFormatting sqref="A391">
    <cfRule type="expression" dxfId="287" priority="514">
      <formula>$M391&lt;&gt;0</formula>
    </cfRule>
  </conditionalFormatting>
  <conditionalFormatting sqref="C392:C416">
    <cfRule type="expression" dxfId="286" priority="513">
      <formula>$H392&lt;&gt;0</formula>
    </cfRule>
  </conditionalFormatting>
  <conditionalFormatting sqref="B392:B416">
    <cfRule type="expression" dxfId="285" priority="512">
      <formula>$K392&lt;&gt;0</formula>
    </cfRule>
  </conditionalFormatting>
  <conditionalFormatting sqref="A392:A416">
    <cfRule type="expression" dxfId="284" priority="511">
      <formula>$M392&lt;&gt;0</formula>
    </cfRule>
  </conditionalFormatting>
  <conditionalFormatting sqref="C422">
    <cfRule type="expression" dxfId="283" priority="510">
      <formula>$H422&lt;&gt;0</formula>
    </cfRule>
  </conditionalFormatting>
  <conditionalFormatting sqref="B422">
    <cfRule type="expression" dxfId="282" priority="509">
      <formula>$K422&lt;&gt;0</formula>
    </cfRule>
  </conditionalFormatting>
  <conditionalFormatting sqref="A422">
    <cfRule type="expression" dxfId="281" priority="508">
      <formula>$M422&lt;&gt;0</formula>
    </cfRule>
  </conditionalFormatting>
  <conditionalFormatting sqref="C423:C447">
    <cfRule type="expression" dxfId="280" priority="507">
      <formula>$H423&lt;&gt;0</formula>
    </cfRule>
  </conditionalFormatting>
  <conditionalFormatting sqref="B423:B447">
    <cfRule type="expression" dxfId="279" priority="506">
      <formula>$K423&lt;&gt;0</formula>
    </cfRule>
  </conditionalFormatting>
  <conditionalFormatting sqref="A423:A447">
    <cfRule type="expression" dxfId="278" priority="505">
      <formula>$M423&lt;&gt;0</formula>
    </cfRule>
  </conditionalFormatting>
  <conditionalFormatting sqref="C453">
    <cfRule type="expression" dxfId="277" priority="504">
      <formula>$H453&lt;&gt;0</formula>
    </cfRule>
  </conditionalFormatting>
  <conditionalFormatting sqref="B453">
    <cfRule type="expression" dxfId="276" priority="503">
      <formula>$K453&lt;&gt;0</formula>
    </cfRule>
  </conditionalFormatting>
  <conditionalFormatting sqref="A453">
    <cfRule type="expression" dxfId="275" priority="502">
      <formula>$M453&lt;&gt;0</formula>
    </cfRule>
  </conditionalFormatting>
  <conditionalFormatting sqref="C454:C478">
    <cfRule type="expression" dxfId="274" priority="501">
      <formula>$H454&lt;&gt;0</formula>
    </cfRule>
  </conditionalFormatting>
  <conditionalFormatting sqref="B454:B478">
    <cfRule type="expression" dxfId="273" priority="500">
      <formula>$K454&lt;&gt;0</formula>
    </cfRule>
  </conditionalFormatting>
  <conditionalFormatting sqref="A454:A478">
    <cfRule type="expression" dxfId="272" priority="499">
      <formula>$M454&lt;&gt;0</formula>
    </cfRule>
  </conditionalFormatting>
  <conditionalFormatting sqref="C484">
    <cfRule type="expression" dxfId="271" priority="498">
      <formula>$H484&lt;&gt;0</formula>
    </cfRule>
  </conditionalFormatting>
  <conditionalFormatting sqref="B484">
    <cfRule type="expression" dxfId="270" priority="497">
      <formula>$K484&lt;&gt;0</formula>
    </cfRule>
  </conditionalFormatting>
  <conditionalFormatting sqref="A484">
    <cfRule type="expression" dxfId="269" priority="496">
      <formula>$M484&lt;&gt;0</formula>
    </cfRule>
  </conditionalFormatting>
  <conditionalFormatting sqref="C485:C509">
    <cfRule type="expression" dxfId="268" priority="495">
      <formula>$H485&lt;&gt;0</formula>
    </cfRule>
  </conditionalFormatting>
  <conditionalFormatting sqref="B485:B509">
    <cfRule type="expression" dxfId="267" priority="494">
      <formula>$K485&lt;&gt;0</formula>
    </cfRule>
  </conditionalFormatting>
  <conditionalFormatting sqref="A485:A509">
    <cfRule type="expression" dxfId="266" priority="493">
      <formula>$M485&lt;&gt;0</formula>
    </cfRule>
  </conditionalFormatting>
  <conditionalFormatting sqref="C515">
    <cfRule type="expression" dxfId="265" priority="492">
      <formula>$H515&lt;&gt;0</formula>
    </cfRule>
  </conditionalFormatting>
  <conditionalFormatting sqref="B515">
    <cfRule type="expression" dxfId="264" priority="491">
      <formula>$K515&lt;&gt;0</formula>
    </cfRule>
  </conditionalFormatting>
  <conditionalFormatting sqref="A515">
    <cfRule type="expression" dxfId="263" priority="490">
      <formula>$M515&lt;&gt;0</formula>
    </cfRule>
  </conditionalFormatting>
  <conditionalFormatting sqref="C516:C540">
    <cfRule type="expression" dxfId="262" priority="489">
      <formula>$H516&lt;&gt;0</formula>
    </cfRule>
  </conditionalFormatting>
  <conditionalFormatting sqref="B516:B540">
    <cfRule type="expression" dxfId="261" priority="488">
      <formula>$K516&lt;&gt;0</formula>
    </cfRule>
  </conditionalFormatting>
  <conditionalFormatting sqref="A516:A540">
    <cfRule type="expression" dxfId="260" priority="487">
      <formula>$M516&lt;&gt;0</formula>
    </cfRule>
  </conditionalFormatting>
  <conditionalFormatting sqref="C546">
    <cfRule type="expression" dxfId="259" priority="486">
      <formula>$H546&lt;&gt;0</formula>
    </cfRule>
  </conditionalFormatting>
  <conditionalFormatting sqref="B546">
    <cfRule type="expression" dxfId="258" priority="485">
      <formula>$K546&lt;&gt;0</formula>
    </cfRule>
  </conditionalFormatting>
  <conditionalFormatting sqref="A546">
    <cfRule type="expression" dxfId="257" priority="484">
      <formula>$M546&lt;&gt;0</formula>
    </cfRule>
  </conditionalFormatting>
  <conditionalFormatting sqref="C547:C571">
    <cfRule type="expression" dxfId="256" priority="483">
      <formula>$H547&lt;&gt;0</formula>
    </cfRule>
  </conditionalFormatting>
  <conditionalFormatting sqref="B547:B571">
    <cfRule type="expression" dxfId="255" priority="482">
      <formula>$K547&lt;&gt;0</formula>
    </cfRule>
  </conditionalFormatting>
  <conditionalFormatting sqref="A547:A571">
    <cfRule type="expression" dxfId="254" priority="481">
      <formula>$M547&lt;&gt;0</formula>
    </cfRule>
  </conditionalFormatting>
  <conditionalFormatting sqref="C577">
    <cfRule type="expression" dxfId="253" priority="480">
      <formula>$H577&lt;&gt;0</formula>
    </cfRule>
  </conditionalFormatting>
  <conditionalFormatting sqref="B577">
    <cfRule type="expression" dxfId="252" priority="479">
      <formula>$K577&lt;&gt;0</formula>
    </cfRule>
  </conditionalFormatting>
  <conditionalFormatting sqref="A577">
    <cfRule type="expression" dxfId="251" priority="478">
      <formula>$M577&lt;&gt;0</formula>
    </cfRule>
  </conditionalFormatting>
  <conditionalFormatting sqref="C578:C602">
    <cfRule type="expression" dxfId="250" priority="477">
      <formula>$H578&lt;&gt;0</formula>
    </cfRule>
  </conditionalFormatting>
  <conditionalFormatting sqref="B578:B602">
    <cfRule type="expression" dxfId="249" priority="476">
      <formula>$K578&lt;&gt;0</formula>
    </cfRule>
  </conditionalFormatting>
  <conditionalFormatting sqref="A578:A602">
    <cfRule type="expression" dxfId="248" priority="475">
      <formula>$M578&lt;&gt;0</formula>
    </cfRule>
  </conditionalFormatting>
  <conditionalFormatting sqref="C608">
    <cfRule type="expression" dxfId="247" priority="474">
      <formula>$H608&lt;&gt;0</formula>
    </cfRule>
  </conditionalFormatting>
  <conditionalFormatting sqref="B608">
    <cfRule type="expression" dxfId="246" priority="473">
      <formula>$K608&lt;&gt;0</formula>
    </cfRule>
  </conditionalFormatting>
  <conditionalFormatting sqref="A608">
    <cfRule type="expression" dxfId="245" priority="472">
      <formula>$M608&lt;&gt;0</formula>
    </cfRule>
  </conditionalFormatting>
  <conditionalFormatting sqref="C609:C633">
    <cfRule type="expression" dxfId="244" priority="471">
      <formula>$H609&lt;&gt;0</formula>
    </cfRule>
  </conditionalFormatting>
  <conditionalFormatting sqref="B609:B633">
    <cfRule type="expression" dxfId="243" priority="470">
      <formula>$K609&lt;&gt;0</formula>
    </cfRule>
  </conditionalFormatting>
  <conditionalFormatting sqref="A609:A633">
    <cfRule type="expression" dxfId="242" priority="469">
      <formula>$M609&lt;&gt;0</formula>
    </cfRule>
  </conditionalFormatting>
  <conditionalFormatting sqref="C639">
    <cfRule type="expression" dxfId="241" priority="468">
      <formula>$H639&lt;&gt;0</formula>
    </cfRule>
  </conditionalFormatting>
  <conditionalFormatting sqref="B639">
    <cfRule type="expression" dxfId="240" priority="467">
      <formula>$K639&lt;&gt;0</formula>
    </cfRule>
  </conditionalFormatting>
  <conditionalFormatting sqref="A639">
    <cfRule type="expression" dxfId="239" priority="466">
      <formula>$M639&lt;&gt;0</formula>
    </cfRule>
  </conditionalFormatting>
  <conditionalFormatting sqref="C640:C664">
    <cfRule type="expression" dxfId="238" priority="465">
      <formula>$H640&lt;&gt;0</formula>
    </cfRule>
  </conditionalFormatting>
  <conditionalFormatting sqref="B640:B664">
    <cfRule type="expression" dxfId="237" priority="464">
      <formula>$K640&lt;&gt;0</formula>
    </cfRule>
  </conditionalFormatting>
  <conditionalFormatting sqref="A640:A664">
    <cfRule type="expression" dxfId="236" priority="463">
      <formula>$M640&lt;&gt;0</formula>
    </cfRule>
  </conditionalFormatting>
  <conditionalFormatting sqref="C670">
    <cfRule type="expression" dxfId="235" priority="462">
      <formula>$H670&lt;&gt;0</formula>
    </cfRule>
  </conditionalFormatting>
  <conditionalFormatting sqref="B670">
    <cfRule type="expression" dxfId="234" priority="461">
      <formula>$K670&lt;&gt;0</formula>
    </cfRule>
  </conditionalFormatting>
  <conditionalFormatting sqref="A670">
    <cfRule type="expression" dxfId="233" priority="460">
      <formula>$M670&lt;&gt;0</formula>
    </cfRule>
  </conditionalFormatting>
  <conditionalFormatting sqref="C671:C695">
    <cfRule type="expression" dxfId="232" priority="459">
      <formula>$H671&lt;&gt;0</formula>
    </cfRule>
  </conditionalFormatting>
  <conditionalFormatting sqref="B671:B695">
    <cfRule type="expression" dxfId="231" priority="458">
      <formula>$K671&lt;&gt;0</formula>
    </cfRule>
  </conditionalFormatting>
  <conditionalFormatting sqref="A671:A695">
    <cfRule type="expression" dxfId="230" priority="457">
      <formula>$M671&lt;&gt;0</formula>
    </cfRule>
  </conditionalFormatting>
  <conditionalFormatting sqref="C701">
    <cfRule type="expression" dxfId="229" priority="456">
      <formula>$H701&lt;&gt;0</formula>
    </cfRule>
  </conditionalFormatting>
  <conditionalFormatting sqref="B701">
    <cfRule type="expression" dxfId="228" priority="455">
      <formula>$K701&lt;&gt;0</formula>
    </cfRule>
  </conditionalFormatting>
  <conditionalFormatting sqref="A701">
    <cfRule type="expression" dxfId="227" priority="454">
      <formula>$M701&lt;&gt;0</formula>
    </cfRule>
  </conditionalFormatting>
  <conditionalFormatting sqref="C702:C726">
    <cfRule type="expression" dxfId="226" priority="453">
      <formula>$H702&lt;&gt;0</formula>
    </cfRule>
  </conditionalFormatting>
  <conditionalFormatting sqref="B702:B726">
    <cfRule type="expression" dxfId="225" priority="452">
      <formula>$K702&lt;&gt;0</formula>
    </cfRule>
  </conditionalFormatting>
  <conditionalFormatting sqref="A702:A726">
    <cfRule type="expression" dxfId="224" priority="451">
      <formula>$M702&lt;&gt;0</formula>
    </cfRule>
  </conditionalFormatting>
  <conditionalFormatting sqref="C732">
    <cfRule type="expression" dxfId="223" priority="450">
      <formula>$H732&lt;&gt;0</formula>
    </cfRule>
  </conditionalFormatting>
  <conditionalFormatting sqref="B732">
    <cfRule type="expression" dxfId="222" priority="449">
      <formula>$K732&lt;&gt;0</formula>
    </cfRule>
  </conditionalFormatting>
  <conditionalFormatting sqref="A732">
    <cfRule type="expression" dxfId="221" priority="448">
      <formula>$M732&lt;&gt;0</formula>
    </cfRule>
  </conditionalFormatting>
  <conditionalFormatting sqref="C733:C757">
    <cfRule type="expression" dxfId="220" priority="447">
      <formula>$H733&lt;&gt;0</formula>
    </cfRule>
  </conditionalFormatting>
  <conditionalFormatting sqref="B733:B757">
    <cfRule type="expression" dxfId="219" priority="446">
      <formula>$K733&lt;&gt;0</formula>
    </cfRule>
  </conditionalFormatting>
  <conditionalFormatting sqref="A733:A757">
    <cfRule type="expression" dxfId="218" priority="445">
      <formula>$M733&lt;&gt;0</formula>
    </cfRule>
  </conditionalFormatting>
  <conditionalFormatting sqref="C763">
    <cfRule type="expression" dxfId="217" priority="444">
      <formula>$H763&lt;&gt;0</formula>
    </cfRule>
  </conditionalFormatting>
  <conditionalFormatting sqref="B763">
    <cfRule type="expression" dxfId="216" priority="443">
      <formula>$K763&lt;&gt;0</formula>
    </cfRule>
  </conditionalFormatting>
  <conditionalFormatting sqref="A763">
    <cfRule type="expression" dxfId="215" priority="442">
      <formula>$M763&lt;&gt;0</formula>
    </cfRule>
  </conditionalFormatting>
  <conditionalFormatting sqref="C764:C788">
    <cfRule type="expression" dxfId="214" priority="441">
      <formula>$H764&lt;&gt;0</formula>
    </cfRule>
  </conditionalFormatting>
  <conditionalFormatting sqref="B764:B788">
    <cfRule type="expression" dxfId="213" priority="440">
      <formula>$K764&lt;&gt;0</formula>
    </cfRule>
  </conditionalFormatting>
  <conditionalFormatting sqref="A764:A788">
    <cfRule type="expression" dxfId="212" priority="439">
      <formula>$M764&lt;&gt;0</formula>
    </cfRule>
  </conditionalFormatting>
  <conditionalFormatting sqref="C794">
    <cfRule type="expression" dxfId="211" priority="438">
      <formula>$H794&lt;&gt;0</formula>
    </cfRule>
  </conditionalFormatting>
  <conditionalFormatting sqref="B794">
    <cfRule type="expression" dxfId="210" priority="437">
      <formula>$K794&lt;&gt;0</formula>
    </cfRule>
  </conditionalFormatting>
  <conditionalFormatting sqref="A794">
    <cfRule type="expression" dxfId="209" priority="436">
      <formula>$M794&lt;&gt;0</formula>
    </cfRule>
  </conditionalFormatting>
  <conditionalFormatting sqref="C795:C819">
    <cfRule type="expression" dxfId="208" priority="435">
      <formula>$H795&lt;&gt;0</formula>
    </cfRule>
  </conditionalFormatting>
  <conditionalFormatting sqref="B795:B819">
    <cfRule type="expression" dxfId="207" priority="434">
      <formula>$K795&lt;&gt;0</formula>
    </cfRule>
  </conditionalFormatting>
  <conditionalFormatting sqref="A795:A819">
    <cfRule type="expression" dxfId="206" priority="433">
      <formula>$M795&lt;&gt;0</formula>
    </cfRule>
  </conditionalFormatting>
  <conditionalFormatting sqref="C825">
    <cfRule type="expression" dxfId="205" priority="432">
      <formula>$H825&lt;&gt;0</formula>
    </cfRule>
  </conditionalFormatting>
  <conditionalFormatting sqref="B825">
    <cfRule type="expression" dxfId="204" priority="431">
      <formula>$K825&lt;&gt;0</formula>
    </cfRule>
  </conditionalFormatting>
  <conditionalFormatting sqref="A825">
    <cfRule type="expression" dxfId="203" priority="430">
      <formula>$M825&lt;&gt;0</formula>
    </cfRule>
  </conditionalFormatting>
  <conditionalFormatting sqref="C826:C850">
    <cfRule type="expression" dxfId="202" priority="429">
      <formula>$H826&lt;&gt;0</formula>
    </cfRule>
  </conditionalFormatting>
  <conditionalFormatting sqref="B826:B850">
    <cfRule type="expression" dxfId="201" priority="428">
      <formula>$K826&lt;&gt;0</formula>
    </cfRule>
  </conditionalFormatting>
  <conditionalFormatting sqref="A826:A850">
    <cfRule type="expression" dxfId="200" priority="427">
      <formula>$M826&lt;&gt;0</formula>
    </cfRule>
  </conditionalFormatting>
  <conditionalFormatting sqref="C856">
    <cfRule type="expression" dxfId="199" priority="426">
      <formula>$H856&lt;&gt;0</formula>
    </cfRule>
  </conditionalFormatting>
  <conditionalFormatting sqref="B856">
    <cfRule type="expression" dxfId="198" priority="425">
      <formula>$K856&lt;&gt;0</formula>
    </cfRule>
  </conditionalFormatting>
  <conditionalFormatting sqref="A856">
    <cfRule type="expression" dxfId="197" priority="424">
      <formula>$M856&lt;&gt;0</formula>
    </cfRule>
  </conditionalFormatting>
  <conditionalFormatting sqref="C857:C881">
    <cfRule type="expression" dxfId="196" priority="423">
      <formula>$H857&lt;&gt;0</formula>
    </cfRule>
  </conditionalFormatting>
  <conditionalFormatting sqref="B857:B881">
    <cfRule type="expression" dxfId="195" priority="422">
      <formula>$K857&lt;&gt;0</formula>
    </cfRule>
  </conditionalFormatting>
  <conditionalFormatting sqref="A857:A881">
    <cfRule type="expression" dxfId="194" priority="421">
      <formula>$M857&lt;&gt;0</formula>
    </cfRule>
  </conditionalFormatting>
  <conditionalFormatting sqref="C887">
    <cfRule type="expression" dxfId="193" priority="420">
      <formula>$H887&lt;&gt;0</formula>
    </cfRule>
  </conditionalFormatting>
  <conditionalFormatting sqref="B887">
    <cfRule type="expression" dxfId="192" priority="419">
      <formula>$K887&lt;&gt;0</formula>
    </cfRule>
  </conditionalFormatting>
  <conditionalFormatting sqref="A887">
    <cfRule type="expression" dxfId="191" priority="418">
      <formula>$M887&lt;&gt;0</formula>
    </cfRule>
  </conditionalFormatting>
  <conditionalFormatting sqref="C888:C912">
    <cfRule type="expression" dxfId="190" priority="417">
      <formula>$H888&lt;&gt;0</formula>
    </cfRule>
  </conditionalFormatting>
  <conditionalFormatting sqref="B888:B912">
    <cfRule type="expression" dxfId="189" priority="416">
      <formula>$K888&lt;&gt;0</formula>
    </cfRule>
  </conditionalFormatting>
  <conditionalFormatting sqref="A888:A912">
    <cfRule type="expression" dxfId="188" priority="415">
      <formula>$M888&lt;&gt;0</formula>
    </cfRule>
  </conditionalFormatting>
  <conditionalFormatting sqref="C918">
    <cfRule type="expression" dxfId="187" priority="414">
      <formula>$H918&lt;&gt;0</formula>
    </cfRule>
  </conditionalFormatting>
  <conditionalFormatting sqref="B918">
    <cfRule type="expression" dxfId="186" priority="413">
      <formula>$K918&lt;&gt;0</formula>
    </cfRule>
  </conditionalFormatting>
  <conditionalFormatting sqref="A918">
    <cfRule type="expression" dxfId="185" priority="412">
      <formula>$M918&lt;&gt;0</formula>
    </cfRule>
  </conditionalFormatting>
  <conditionalFormatting sqref="C919:C943">
    <cfRule type="expression" dxfId="184" priority="411">
      <formula>$H919&lt;&gt;0</formula>
    </cfRule>
  </conditionalFormatting>
  <conditionalFormatting sqref="B919:B943">
    <cfRule type="expression" dxfId="183" priority="410">
      <formula>$K919&lt;&gt;0</formula>
    </cfRule>
  </conditionalFormatting>
  <conditionalFormatting sqref="A919:A943">
    <cfRule type="expression" dxfId="182" priority="409">
      <formula>$M919&lt;&gt;0</formula>
    </cfRule>
  </conditionalFormatting>
  <conditionalFormatting sqref="C949">
    <cfRule type="expression" dxfId="181" priority="408">
      <formula>$H949&lt;&gt;0</formula>
    </cfRule>
  </conditionalFormatting>
  <conditionalFormatting sqref="B949">
    <cfRule type="expression" dxfId="180" priority="407">
      <formula>$K949&lt;&gt;0</formula>
    </cfRule>
  </conditionalFormatting>
  <conditionalFormatting sqref="A949">
    <cfRule type="expression" dxfId="179" priority="406">
      <formula>$M949&lt;&gt;0</formula>
    </cfRule>
  </conditionalFormatting>
  <conditionalFormatting sqref="C950:C974">
    <cfRule type="expression" dxfId="178" priority="405">
      <formula>$H950&lt;&gt;0</formula>
    </cfRule>
  </conditionalFormatting>
  <conditionalFormatting sqref="B950:B974">
    <cfRule type="expression" dxfId="177" priority="404">
      <formula>$K950&lt;&gt;0</formula>
    </cfRule>
  </conditionalFormatting>
  <conditionalFormatting sqref="A950:A974">
    <cfRule type="expression" dxfId="176" priority="403">
      <formula>$M950&lt;&gt;0</formula>
    </cfRule>
  </conditionalFormatting>
  <conditionalFormatting sqref="C980">
    <cfRule type="expression" dxfId="175" priority="402">
      <formula>$H980&lt;&gt;0</formula>
    </cfRule>
  </conditionalFormatting>
  <conditionalFormatting sqref="B980">
    <cfRule type="expression" dxfId="174" priority="401">
      <formula>$K980&lt;&gt;0</formula>
    </cfRule>
  </conditionalFormatting>
  <conditionalFormatting sqref="A980">
    <cfRule type="expression" dxfId="173" priority="400">
      <formula>$M980&lt;&gt;0</formula>
    </cfRule>
  </conditionalFormatting>
  <conditionalFormatting sqref="A39:D39 M39:O39 Q39:R39 A73:R73 A104:R104 A137:R137 A172:R172 A203:R203 A234:R234 A265:R265 A296:R296 A327:R327 A358:R358 A389:R389 A420:R420 A451:R451 A482:R482 A513:R513 A544:R544 A575:R575 A606:R606 A637:R637 A668:R668 A699:R699 A730:R730 A761:R761 A792:R792 A823:R823 A854:R854 A885:R885 A916:R916 A947:R947 A978:R978">
    <cfRule type="expression" dxfId="172" priority="1940">
      <formula>$K38="Yes"</formula>
    </cfRule>
  </conditionalFormatting>
  <conditionalFormatting sqref="E39:L39">
    <cfRule type="expression" dxfId="171" priority="396">
      <formula>$K38="Yes"</formula>
    </cfRule>
  </conditionalFormatting>
  <conditionalFormatting sqref="P39">
    <cfRule type="expression" dxfId="170" priority="395">
      <formula>$K38="Yes"</formula>
    </cfRule>
  </conditionalFormatting>
  <conditionalFormatting sqref="Q41:Q69">
    <cfRule type="expression" dxfId="169" priority="175">
      <formula>OR($P41="Yes",$Q41="OT",$Q41="DBLT")</formula>
    </cfRule>
  </conditionalFormatting>
  <conditionalFormatting sqref="C10">
    <cfRule type="expression" dxfId="168" priority="168">
      <formula>$H10&lt;&gt;0</formula>
    </cfRule>
  </conditionalFormatting>
  <conditionalFormatting sqref="B10">
    <cfRule type="expression" dxfId="167" priority="167">
      <formula>$K10&lt;&gt;0</formula>
    </cfRule>
  </conditionalFormatting>
  <conditionalFormatting sqref="A10">
    <cfRule type="expression" dxfId="166" priority="166">
      <formula>$M10&lt;&gt;0</formula>
    </cfRule>
  </conditionalFormatting>
  <conditionalFormatting sqref="C11:C35">
    <cfRule type="expression" dxfId="165" priority="165">
      <formula>$H11&lt;&gt;0</formula>
    </cfRule>
  </conditionalFormatting>
  <conditionalFormatting sqref="B11:B35">
    <cfRule type="expression" dxfId="164" priority="164">
      <formula>$K11&lt;&gt;0</formula>
    </cfRule>
  </conditionalFormatting>
  <conditionalFormatting sqref="A11:A35">
    <cfRule type="expression" dxfId="163" priority="163">
      <formula>$M11&lt;&gt;0</formula>
    </cfRule>
  </conditionalFormatting>
  <conditionalFormatting sqref="E9:G9">
    <cfRule type="expression" dxfId="162" priority="176">
      <formula>$F9="Plumb Takeoff"</formula>
    </cfRule>
    <cfRule type="expression" dxfId="161" priority="177">
      <formula>$F9="Pipe Takeoff"</formula>
    </cfRule>
    <cfRule type="expression" dxfId="160" priority="178">
      <formula>$F9="Sheet Metal Takeoff"</formula>
    </cfRule>
  </conditionalFormatting>
  <conditionalFormatting sqref="E38:G38">
    <cfRule type="expression" dxfId="159" priority="154">
      <formula>$F38="Plumb Takeoff"</formula>
    </cfRule>
    <cfRule type="expression" dxfId="158" priority="155">
      <formula>$F38="Pipe Takeoff"</formula>
    </cfRule>
    <cfRule type="expression" dxfId="157" priority="156">
      <formula>$F38="Sheet Metal Takeoff"</formula>
    </cfRule>
  </conditionalFormatting>
  <conditionalFormatting sqref="E72:G72">
    <cfRule type="expression" dxfId="156" priority="151">
      <formula>$F72="Plumb Takeoff"</formula>
    </cfRule>
    <cfRule type="expression" dxfId="155" priority="152">
      <formula>$F72="Pipe Takeoff"</formula>
    </cfRule>
    <cfRule type="expression" dxfId="154" priority="153">
      <formula>$F72="Sheet Metal Takeoff"</formula>
    </cfRule>
  </conditionalFormatting>
  <conditionalFormatting sqref="E103:G103">
    <cfRule type="expression" dxfId="153" priority="148">
      <formula>$F103="Plumb Takeoff"</formula>
    </cfRule>
    <cfRule type="expression" dxfId="152" priority="149">
      <formula>$F103="Pipe Takeoff"</formula>
    </cfRule>
    <cfRule type="expression" dxfId="151" priority="150">
      <formula>$F103="Sheet Metal Takeoff"</formula>
    </cfRule>
  </conditionalFormatting>
  <conditionalFormatting sqref="E136:G136">
    <cfRule type="expression" dxfId="150" priority="145">
      <formula>$F136="Plumb Takeoff"</formula>
    </cfRule>
    <cfRule type="expression" dxfId="149" priority="146">
      <formula>$F136="Pipe Takeoff"</formula>
    </cfRule>
    <cfRule type="expression" dxfId="148" priority="147">
      <formula>$F136="Sheet Metal Takeoff"</formula>
    </cfRule>
  </conditionalFormatting>
  <conditionalFormatting sqref="E171:G171">
    <cfRule type="expression" dxfId="147" priority="142">
      <formula>$F171="Plumb Takeoff"</formula>
    </cfRule>
    <cfRule type="expression" dxfId="146" priority="143">
      <formula>$F171="Pipe Takeoff"</formula>
    </cfRule>
    <cfRule type="expression" dxfId="145" priority="144">
      <formula>$F171="Sheet Metal Takeoff"</formula>
    </cfRule>
  </conditionalFormatting>
  <conditionalFormatting sqref="E202:G202">
    <cfRule type="expression" dxfId="144" priority="139">
      <formula>$F202="Plumb Takeoff"</formula>
    </cfRule>
    <cfRule type="expression" dxfId="143" priority="140">
      <formula>$F202="Pipe Takeoff"</formula>
    </cfRule>
    <cfRule type="expression" dxfId="142" priority="141">
      <formula>$F202="Sheet Metal Takeoff"</formula>
    </cfRule>
  </conditionalFormatting>
  <conditionalFormatting sqref="E233:G233">
    <cfRule type="expression" dxfId="141" priority="136">
      <formula>$F233="Plumb Takeoff"</formula>
    </cfRule>
    <cfRule type="expression" dxfId="140" priority="137">
      <formula>$F233="Pipe Takeoff"</formula>
    </cfRule>
    <cfRule type="expression" dxfId="139" priority="138">
      <formula>$F233="Sheet Metal Takeoff"</formula>
    </cfRule>
  </conditionalFormatting>
  <conditionalFormatting sqref="E264:G264">
    <cfRule type="expression" dxfId="138" priority="133">
      <formula>$F264="Plumb Takeoff"</formula>
    </cfRule>
    <cfRule type="expression" dxfId="137" priority="134">
      <formula>$F264="Pipe Takeoff"</formula>
    </cfRule>
    <cfRule type="expression" dxfId="136" priority="135">
      <formula>$F264="Sheet Metal Takeoff"</formula>
    </cfRule>
  </conditionalFormatting>
  <conditionalFormatting sqref="E295:G295">
    <cfRule type="expression" dxfId="135" priority="130">
      <formula>$F295="Plumb Takeoff"</formula>
    </cfRule>
    <cfRule type="expression" dxfId="134" priority="131">
      <formula>$F295="Pipe Takeoff"</formula>
    </cfRule>
    <cfRule type="expression" dxfId="133" priority="132">
      <formula>$F295="Sheet Metal Takeoff"</formula>
    </cfRule>
  </conditionalFormatting>
  <conditionalFormatting sqref="E326:G326">
    <cfRule type="expression" dxfId="132" priority="127">
      <formula>$F326="Plumb Takeoff"</formula>
    </cfRule>
    <cfRule type="expression" dxfId="131" priority="128">
      <formula>$F326="Pipe Takeoff"</formula>
    </cfRule>
    <cfRule type="expression" dxfId="130" priority="129">
      <formula>$F326="Sheet Metal Takeoff"</formula>
    </cfRule>
  </conditionalFormatting>
  <conditionalFormatting sqref="E357:G357">
    <cfRule type="expression" dxfId="129" priority="124">
      <formula>$F357="Plumb Takeoff"</formula>
    </cfRule>
    <cfRule type="expression" dxfId="128" priority="125">
      <formula>$F357="Pipe Takeoff"</formula>
    </cfRule>
    <cfRule type="expression" dxfId="127" priority="126">
      <formula>$F357="Sheet Metal Takeoff"</formula>
    </cfRule>
  </conditionalFormatting>
  <conditionalFormatting sqref="E388:G388">
    <cfRule type="expression" dxfId="126" priority="121">
      <formula>$F388="Plumb Takeoff"</formula>
    </cfRule>
    <cfRule type="expression" dxfId="125" priority="122">
      <formula>$F388="Pipe Takeoff"</formula>
    </cfRule>
    <cfRule type="expression" dxfId="124" priority="123">
      <formula>$F388="Sheet Metal Takeoff"</formula>
    </cfRule>
  </conditionalFormatting>
  <conditionalFormatting sqref="E419:G419">
    <cfRule type="expression" dxfId="123" priority="118">
      <formula>$F419="Plumb Takeoff"</formula>
    </cfRule>
    <cfRule type="expression" dxfId="122" priority="119">
      <formula>$F419="Pipe Takeoff"</formula>
    </cfRule>
    <cfRule type="expression" dxfId="121" priority="120">
      <formula>$F419="Sheet Metal Takeoff"</formula>
    </cfRule>
  </conditionalFormatting>
  <conditionalFormatting sqref="E450:G450">
    <cfRule type="expression" dxfId="120" priority="115">
      <formula>$F450="Plumb Takeoff"</formula>
    </cfRule>
    <cfRule type="expression" dxfId="119" priority="116">
      <formula>$F450="Pipe Takeoff"</formula>
    </cfRule>
    <cfRule type="expression" dxfId="118" priority="117">
      <formula>$F450="Sheet Metal Takeoff"</formula>
    </cfRule>
  </conditionalFormatting>
  <conditionalFormatting sqref="E481:G481">
    <cfRule type="expression" dxfId="117" priority="112">
      <formula>$F481="Plumb Takeoff"</formula>
    </cfRule>
    <cfRule type="expression" dxfId="116" priority="113">
      <formula>$F481="Pipe Takeoff"</formula>
    </cfRule>
    <cfRule type="expression" dxfId="115" priority="114">
      <formula>$F481="Sheet Metal Takeoff"</formula>
    </cfRule>
  </conditionalFormatting>
  <conditionalFormatting sqref="E512:G512">
    <cfRule type="expression" dxfId="114" priority="109">
      <formula>$F512="Plumb Takeoff"</formula>
    </cfRule>
    <cfRule type="expression" dxfId="113" priority="110">
      <formula>$F512="Pipe Takeoff"</formula>
    </cfRule>
    <cfRule type="expression" dxfId="112" priority="111">
      <formula>$F512="Sheet Metal Takeoff"</formula>
    </cfRule>
  </conditionalFormatting>
  <conditionalFormatting sqref="E543:G543">
    <cfRule type="expression" dxfId="111" priority="106">
      <formula>$F543="Plumb Takeoff"</formula>
    </cfRule>
    <cfRule type="expression" dxfId="110" priority="107">
      <formula>$F543="Pipe Takeoff"</formula>
    </cfRule>
    <cfRule type="expression" dxfId="109" priority="108">
      <formula>$F543="Sheet Metal Takeoff"</formula>
    </cfRule>
  </conditionalFormatting>
  <conditionalFormatting sqref="E574:G574">
    <cfRule type="expression" dxfId="108" priority="103">
      <formula>$F574="Plumb Takeoff"</formula>
    </cfRule>
    <cfRule type="expression" dxfId="107" priority="104">
      <formula>$F574="Pipe Takeoff"</formula>
    </cfRule>
    <cfRule type="expression" dxfId="106" priority="105">
      <formula>$F574="Sheet Metal Takeoff"</formula>
    </cfRule>
  </conditionalFormatting>
  <conditionalFormatting sqref="E605:G605">
    <cfRule type="expression" dxfId="105" priority="100">
      <formula>$F605="Plumb Takeoff"</formula>
    </cfRule>
    <cfRule type="expression" dxfId="104" priority="101">
      <formula>$F605="Pipe Takeoff"</formula>
    </cfRule>
    <cfRule type="expression" dxfId="103" priority="102">
      <formula>$F605="Sheet Metal Takeoff"</formula>
    </cfRule>
  </conditionalFormatting>
  <conditionalFormatting sqref="E636:G636">
    <cfRule type="expression" dxfId="102" priority="97">
      <formula>$F636="Plumb Takeoff"</formula>
    </cfRule>
    <cfRule type="expression" dxfId="101" priority="98">
      <formula>$F636="Pipe Takeoff"</formula>
    </cfRule>
    <cfRule type="expression" dxfId="100" priority="99">
      <formula>$F636="Sheet Metal Takeoff"</formula>
    </cfRule>
  </conditionalFormatting>
  <conditionalFormatting sqref="E667:G667">
    <cfRule type="expression" dxfId="99" priority="94">
      <formula>$F667="Plumb Takeoff"</formula>
    </cfRule>
    <cfRule type="expression" dxfId="98" priority="95">
      <formula>$F667="Pipe Takeoff"</formula>
    </cfRule>
    <cfRule type="expression" dxfId="97" priority="96">
      <formula>$F667="Sheet Metal Takeoff"</formula>
    </cfRule>
  </conditionalFormatting>
  <conditionalFormatting sqref="E698:G698">
    <cfRule type="expression" dxfId="96" priority="91">
      <formula>$F698="Plumb Takeoff"</formula>
    </cfRule>
    <cfRule type="expression" dxfId="95" priority="92">
      <formula>$F698="Pipe Takeoff"</formula>
    </cfRule>
    <cfRule type="expression" dxfId="94" priority="93">
      <formula>$F698="Sheet Metal Takeoff"</formula>
    </cfRule>
  </conditionalFormatting>
  <conditionalFormatting sqref="E729:G729">
    <cfRule type="expression" dxfId="93" priority="88">
      <formula>$F729="Plumb Takeoff"</formula>
    </cfRule>
    <cfRule type="expression" dxfId="92" priority="89">
      <formula>$F729="Pipe Takeoff"</formula>
    </cfRule>
    <cfRule type="expression" dxfId="91" priority="90">
      <formula>$F729="Sheet Metal Takeoff"</formula>
    </cfRule>
  </conditionalFormatting>
  <conditionalFormatting sqref="E760:G760">
    <cfRule type="expression" dxfId="90" priority="85">
      <formula>$F760="Plumb Takeoff"</formula>
    </cfRule>
    <cfRule type="expression" dxfId="89" priority="86">
      <formula>$F760="Pipe Takeoff"</formula>
    </cfRule>
    <cfRule type="expression" dxfId="88" priority="87">
      <formula>$F760="Sheet Metal Takeoff"</formula>
    </cfRule>
  </conditionalFormatting>
  <conditionalFormatting sqref="E791:G791">
    <cfRule type="expression" dxfId="87" priority="82">
      <formula>$F791="Plumb Takeoff"</formula>
    </cfRule>
    <cfRule type="expression" dxfId="86" priority="83">
      <formula>$F791="Pipe Takeoff"</formula>
    </cfRule>
    <cfRule type="expression" dxfId="85" priority="84">
      <formula>$F791="Sheet Metal Takeoff"</formula>
    </cfRule>
  </conditionalFormatting>
  <conditionalFormatting sqref="E822:G822">
    <cfRule type="expression" dxfId="84" priority="79">
      <formula>$F822="Plumb Takeoff"</formula>
    </cfRule>
    <cfRule type="expression" dxfId="83" priority="80">
      <formula>$F822="Pipe Takeoff"</formula>
    </cfRule>
    <cfRule type="expression" dxfId="82" priority="81">
      <formula>$F822="Sheet Metal Takeoff"</formula>
    </cfRule>
  </conditionalFormatting>
  <conditionalFormatting sqref="E853:G853">
    <cfRule type="expression" dxfId="81" priority="76">
      <formula>$F853="Plumb Takeoff"</formula>
    </cfRule>
    <cfRule type="expression" dxfId="80" priority="77">
      <formula>$F853="Pipe Takeoff"</formula>
    </cfRule>
    <cfRule type="expression" dxfId="79" priority="78">
      <formula>$F853="Sheet Metal Takeoff"</formula>
    </cfRule>
  </conditionalFormatting>
  <conditionalFormatting sqref="E884:G884">
    <cfRule type="expression" dxfId="78" priority="73">
      <formula>$F884="Plumb Takeoff"</formula>
    </cfRule>
    <cfRule type="expression" dxfId="77" priority="74">
      <formula>$F884="Pipe Takeoff"</formula>
    </cfRule>
    <cfRule type="expression" dxfId="76" priority="75">
      <formula>$F884="Sheet Metal Takeoff"</formula>
    </cfRule>
  </conditionalFormatting>
  <conditionalFormatting sqref="E915:G915">
    <cfRule type="expression" dxfId="75" priority="70">
      <formula>$F915="Plumb Takeoff"</formula>
    </cfRule>
    <cfRule type="expression" dxfId="74" priority="71">
      <formula>$F915="Pipe Takeoff"</formula>
    </cfRule>
    <cfRule type="expression" dxfId="73" priority="72">
      <formula>$F915="Sheet Metal Takeoff"</formula>
    </cfRule>
  </conditionalFormatting>
  <conditionalFormatting sqref="E946:G946">
    <cfRule type="expression" dxfId="72" priority="67">
      <formula>$F946="Plumb Takeoff"</formula>
    </cfRule>
    <cfRule type="expression" dxfId="71" priority="68">
      <formula>$F946="Pipe Takeoff"</formula>
    </cfRule>
    <cfRule type="expression" dxfId="70" priority="69">
      <formula>$F946="Sheet Metal Takeoff"</formula>
    </cfRule>
  </conditionalFormatting>
  <conditionalFormatting sqref="E977:G977">
    <cfRule type="expression" dxfId="69" priority="64">
      <formula>$F977="Plumb Takeoff"</formula>
    </cfRule>
    <cfRule type="expression" dxfId="68" priority="65">
      <formula>$F977="Pipe Takeoff"</formula>
    </cfRule>
    <cfRule type="expression" dxfId="67" priority="66">
      <formula>$F977="Sheet Metal Takeoff"</formula>
    </cfRule>
  </conditionalFormatting>
  <conditionalFormatting sqref="R41:R69">
    <cfRule type="expression" dxfId="66" priority="62">
      <formula>OR($P41="Yes",$Q41="OT",$Q41="DBLT")</formula>
    </cfRule>
  </conditionalFormatting>
  <conditionalFormatting sqref="H75:H100">
    <cfRule type="expression" dxfId="65" priority="60">
      <formula>OR($P75="Yes",$Q75="OT",$Q75="DBLT")</formula>
    </cfRule>
  </conditionalFormatting>
  <conditionalFormatting sqref="R75:R100">
    <cfRule type="expression" dxfId="64" priority="59">
      <formula>OR($P75="Yes",$Q75="OT",$Q75="DBLT")</formula>
    </cfRule>
  </conditionalFormatting>
  <conditionalFormatting sqref="R106:R133">
    <cfRule type="expression" dxfId="63" priority="58">
      <formula>OR($P106="Yes",$Q106="OT",$Q106="DBLT")</formula>
    </cfRule>
  </conditionalFormatting>
  <conditionalFormatting sqref="R139:R168">
    <cfRule type="expression" dxfId="62" priority="57">
      <formula>OR($P139="Yes",$Q139="OT",$Q139="DBLT")</formula>
    </cfRule>
  </conditionalFormatting>
  <conditionalFormatting sqref="R174:R199">
    <cfRule type="expression" dxfId="61" priority="56">
      <formula>OR($P174="Yes",$Q174="OT",$Q174="DBLT")</formula>
    </cfRule>
  </conditionalFormatting>
  <conditionalFormatting sqref="R205:R230">
    <cfRule type="expression" dxfId="60" priority="55">
      <formula>OR($P205="Yes",$Q205="OT",$Q205="DBLT")</formula>
    </cfRule>
  </conditionalFormatting>
  <conditionalFormatting sqref="R236:R261">
    <cfRule type="expression" dxfId="59" priority="54">
      <formula>OR($P236="Yes",$Q236="OT",$Q236="DBLT")</formula>
    </cfRule>
  </conditionalFormatting>
  <conditionalFormatting sqref="R267:R292">
    <cfRule type="expression" dxfId="58" priority="53">
      <formula>OR($P267="Yes",$Q267="OT",$Q267="DBLT")</formula>
    </cfRule>
  </conditionalFormatting>
  <conditionalFormatting sqref="R298:R323">
    <cfRule type="expression" dxfId="57" priority="52">
      <formula>OR($P298="Yes",$Q298="OT",$Q298="DBLT")</formula>
    </cfRule>
  </conditionalFormatting>
  <conditionalFormatting sqref="R329:R354">
    <cfRule type="expression" dxfId="56" priority="51">
      <formula>OR($P329="Yes",$Q329="OT",$Q329="DBLT")</formula>
    </cfRule>
  </conditionalFormatting>
  <conditionalFormatting sqref="R360:R385">
    <cfRule type="expression" dxfId="55" priority="50">
      <formula>OR($P360="Yes",$Q360="OT",$Q360="DBLT")</formula>
    </cfRule>
  </conditionalFormatting>
  <conditionalFormatting sqref="R391:R416">
    <cfRule type="expression" dxfId="54" priority="49">
      <formula>OR($P391="Yes",$Q391="OT",$Q391="DBLT")</formula>
    </cfRule>
  </conditionalFormatting>
  <conditionalFormatting sqref="R422:R447">
    <cfRule type="expression" dxfId="53" priority="48">
      <formula>OR($P422="Yes",$Q422="OT",$Q422="DBLT")</formula>
    </cfRule>
  </conditionalFormatting>
  <conditionalFormatting sqref="R453:R478">
    <cfRule type="expression" dxfId="52" priority="47">
      <formula>OR($P453="Yes",$Q453="OT",$Q453="DBLT")</formula>
    </cfRule>
  </conditionalFormatting>
  <conditionalFormatting sqref="R484:R509">
    <cfRule type="expression" dxfId="51" priority="46">
      <formula>OR($P484="Yes",$Q484="OT",$Q484="DBLT")</formula>
    </cfRule>
  </conditionalFormatting>
  <conditionalFormatting sqref="R515:R540">
    <cfRule type="expression" dxfId="50" priority="45">
      <formula>OR($P515="Yes",$Q515="OT",$Q515="DBLT")</formula>
    </cfRule>
  </conditionalFormatting>
  <conditionalFormatting sqref="R546:R571">
    <cfRule type="expression" dxfId="49" priority="44">
      <formula>OR($P546="Yes",$Q546="OT",$Q546="DBLT")</formula>
    </cfRule>
  </conditionalFormatting>
  <conditionalFormatting sqref="R577:R602">
    <cfRule type="expression" dxfId="48" priority="43">
      <formula>OR($P577="Yes",$Q577="OT",$Q577="DBLT")</formula>
    </cfRule>
  </conditionalFormatting>
  <conditionalFormatting sqref="R608:R633">
    <cfRule type="expression" dxfId="47" priority="42">
      <formula>OR($P608="Yes",$Q608="OT",$Q608="DBLT")</formula>
    </cfRule>
  </conditionalFormatting>
  <conditionalFormatting sqref="R639:R664">
    <cfRule type="expression" dxfId="46" priority="41">
      <formula>OR($P639="Yes",$Q639="OT",$Q639="DBLT")</formula>
    </cfRule>
  </conditionalFormatting>
  <conditionalFormatting sqref="R670:R695">
    <cfRule type="expression" dxfId="45" priority="40">
      <formula>OR($P670="Yes",$Q670="OT",$Q670="DBLT")</formula>
    </cfRule>
  </conditionalFormatting>
  <conditionalFormatting sqref="R701:R726">
    <cfRule type="expression" dxfId="44" priority="39">
      <formula>OR($P701="Yes",$Q701="OT",$Q701="DBLT")</formula>
    </cfRule>
  </conditionalFormatting>
  <conditionalFormatting sqref="R732:R757">
    <cfRule type="expression" dxfId="43" priority="38">
      <formula>OR($P732="Yes",$Q732="OT",$Q732="DBLT")</formula>
    </cfRule>
  </conditionalFormatting>
  <conditionalFormatting sqref="R763:R788">
    <cfRule type="expression" dxfId="42" priority="37">
      <formula>OR($P763="Yes",$Q763="OT",$Q763="DBLT")</formula>
    </cfRule>
  </conditionalFormatting>
  <conditionalFormatting sqref="R794:R819">
    <cfRule type="expression" dxfId="41" priority="36">
      <formula>OR($P794="Yes",$Q794="OT",$Q794="DBLT")</formula>
    </cfRule>
  </conditionalFormatting>
  <conditionalFormatting sqref="R825:R850">
    <cfRule type="expression" dxfId="40" priority="35">
      <formula>OR($P825="Yes",$Q825="OT",$Q825="DBLT")</formula>
    </cfRule>
  </conditionalFormatting>
  <conditionalFormatting sqref="R856:R881">
    <cfRule type="expression" dxfId="39" priority="34">
      <formula>OR($P856="Yes",$Q856="OT",$Q856="DBLT")</formula>
    </cfRule>
  </conditionalFormatting>
  <conditionalFormatting sqref="R887:R912">
    <cfRule type="expression" dxfId="38" priority="33">
      <formula>OR($P887="Yes",$Q887="OT",$Q887="DBLT")</formula>
    </cfRule>
  </conditionalFormatting>
  <conditionalFormatting sqref="R918:R943">
    <cfRule type="expression" dxfId="37" priority="32">
      <formula>OR($P918="Yes",$Q918="OT",$Q918="DBLT")</formula>
    </cfRule>
  </conditionalFormatting>
  <conditionalFormatting sqref="R949:R974">
    <cfRule type="expression" dxfId="36" priority="31">
      <formula>OR($P949="Yes",$Q949="OT",$Q949="DBLT")</formula>
    </cfRule>
  </conditionalFormatting>
  <conditionalFormatting sqref="R980:R1005">
    <cfRule type="expression" dxfId="35" priority="30">
      <formula>OR($P980="Yes",$Q980="OT",$Q980="DBLT")</formula>
    </cfRule>
  </conditionalFormatting>
  <conditionalFormatting sqref="H106:H133">
    <cfRule type="expression" dxfId="34" priority="29">
      <formula>OR($P106="Yes",$Q106="OT",$Q106="DBLT")</formula>
    </cfRule>
  </conditionalFormatting>
  <conditionalFormatting sqref="H139:H168">
    <cfRule type="expression" dxfId="33" priority="28">
      <formula>OR($P139="Yes",$Q139="OT",$Q139="DBLT")</formula>
    </cfRule>
  </conditionalFormatting>
  <conditionalFormatting sqref="H174:H199">
    <cfRule type="expression" dxfId="32" priority="27">
      <formula>OR($P174="Yes",$Q174="OT",$Q174="DBLT")</formula>
    </cfRule>
  </conditionalFormatting>
  <conditionalFormatting sqref="H205:H230">
    <cfRule type="expression" dxfId="31" priority="26">
      <formula>OR($P205="Yes",$Q205="OT",$Q205="DBLT")</formula>
    </cfRule>
  </conditionalFormatting>
  <conditionalFormatting sqref="H236:H261">
    <cfRule type="expression" dxfId="30" priority="25">
      <formula>OR($P236="Yes",$Q236="OT",$Q236="DBLT")</formula>
    </cfRule>
  </conditionalFormatting>
  <conditionalFormatting sqref="H267:H292">
    <cfRule type="expression" dxfId="29" priority="24">
      <formula>OR($P267="Yes",$Q267="OT",$Q267="DBLT")</formula>
    </cfRule>
  </conditionalFormatting>
  <conditionalFormatting sqref="H298:H323">
    <cfRule type="expression" dxfId="28" priority="23">
      <formula>OR($P298="Yes",$Q298="OT",$Q298="DBLT")</formula>
    </cfRule>
  </conditionalFormatting>
  <conditionalFormatting sqref="H329:H354">
    <cfRule type="expression" dxfId="27" priority="22">
      <formula>OR($P329="Yes",$Q329="OT",$Q329="DBLT")</formula>
    </cfRule>
  </conditionalFormatting>
  <conditionalFormatting sqref="H360:H385">
    <cfRule type="expression" dxfId="26" priority="21">
      <formula>OR($P360="Yes",$Q360="OT",$Q360="DBLT")</formula>
    </cfRule>
  </conditionalFormatting>
  <conditionalFormatting sqref="H391:H416">
    <cfRule type="expression" dxfId="25" priority="20">
      <formula>OR($P391="Yes",$Q391="OT",$Q391="DBLT")</formula>
    </cfRule>
  </conditionalFormatting>
  <conditionalFormatting sqref="H422:H447">
    <cfRule type="expression" dxfId="24" priority="19">
      <formula>OR($P422="Yes",$Q422="OT",$Q422="DBLT")</formula>
    </cfRule>
  </conditionalFormatting>
  <conditionalFormatting sqref="H453:H478">
    <cfRule type="expression" dxfId="23" priority="18">
      <formula>OR($P453="Yes",$Q453="OT",$Q453="DBLT")</formula>
    </cfRule>
  </conditionalFormatting>
  <conditionalFormatting sqref="H484:H509">
    <cfRule type="expression" dxfId="22" priority="17">
      <formula>OR($P484="Yes",$Q484="OT",$Q484="DBLT")</formula>
    </cfRule>
  </conditionalFormatting>
  <conditionalFormatting sqref="H515:H540">
    <cfRule type="expression" dxfId="21" priority="16">
      <formula>OR($P515="Yes",$Q515="OT",$Q515="DBLT")</formula>
    </cfRule>
  </conditionalFormatting>
  <conditionalFormatting sqref="H546:H571">
    <cfRule type="expression" dxfId="20" priority="15">
      <formula>OR($P546="Yes",$Q546="OT",$Q546="DBLT")</formula>
    </cfRule>
  </conditionalFormatting>
  <conditionalFormatting sqref="H577:H602">
    <cfRule type="expression" dxfId="19" priority="14">
      <formula>OR($P577="Yes",$Q577="OT",$Q577="DBLT")</formula>
    </cfRule>
  </conditionalFormatting>
  <conditionalFormatting sqref="H608:H633">
    <cfRule type="expression" dxfId="18" priority="13">
      <formula>OR($P608="Yes",$Q608="OT",$Q608="DBLT")</formula>
    </cfRule>
  </conditionalFormatting>
  <conditionalFormatting sqref="H639:H664">
    <cfRule type="expression" dxfId="17" priority="12">
      <formula>OR($P639="Yes",$Q639="OT",$Q639="DBLT")</formula>
    </cfRule>
  </conditionalFormatting>
  <conditionalFormatting sqref="H670:H695">
    <cfRule type="expression" dxfId="16" priority="11">
      <formula>OR($P670="Yes",$Q670="OT",$Q670="DBLT")</formula>
    </cfRule>
  </conditionalFormatting>
  <conditionalFormatting sqref="H701:H726">
    <cfRule type="expression" dxfId="15" priority="10">
      <formula>OR($P701="Yes",$Q701="OT",$Q701="DBLT")</formula>
    </cfRule>
  </conditionalFormatting>
  <conditionalFormatting sqref="H732:H757">
    <cfRule type="expression" dxfId="14" priority="9">
      <formula>OR($P732="Yes",$Q732="OT",$Q732="DBLT")</formula>
    </cfRule>
  </conditionalFormatting>
  <conditionalFormatting sqref="H763:H788">
    <cfRule type="expression" dxfId="13" priority="8">
      <formula>OR($P763="Yes",$Q763="OT",$Q763="DBLT")</formula>
    </cfRule>
  </conditionalFormatting>
  <conditionalFormatting sqref="H794:H819">
    <cfRule type="expression" dxfId="12" priority="7">
      <formula>OR($P794="Yes",$Q794="OT",$Q794="DBLT")</formula>
    </cfRule>
  </conditionalFormatting>
  <conditionalFormatting sqref="H825:H850">
    <cfRule type="expression" dxfId="11" priority="6">
      <formula>OR($P825="Yes",$Q825="OT",$Q825="DBLT")</formula>
    </cfRule>
  </conditionalFormatting>
  <conditionalFormatting sqref="H856:H881">
    <cfRule type="expression" dxfId="10" priority="5">
      <formula>OR($P856="Yes",$Q856="OT",$Q856="DBLT")</formula>
    </cfRule>
  </conditionalFormatting>
  <conditionalFormatting sqref="H887:H912">
    <cfRule type="expression" dxfId="9" priority="4">
      <formula>OR($P887="Yes",$Q887="OT",$Q887="DBLT")</formula>
    </cfRule>
  </conditionalFormatting>
  <conditionalFormatting sqref="H918:H943">
    <cfRule type="expression" dxfId="8" priority="3">
      <formula>OR($P918="Yes",$Q918="OT",$Q918="DBLT")</formula>
    </cfRule>
  </conditionalFormatting>
  <conditionalFormatting sqref="H949:H974">
    <cfRule type="expression" dxfId="7" priority="2">
      <formula>OR($P949="Yes",$Q949="OT",$Q949="DBLT")</formula>
    </cfRule>
  </conditionalFormatting>
  <conditionalFormatting sqref="H980:H1005">
    <cfRule type="expression" dxfId="6" priority="1">
      <formula>OR($P980="Yes",$Q980="OT",$Q980="DBLT")</formula>
    </cfRule>
  </conditionalFormatting>
  <dataValidations count="9">
    <dataValidation type="list" allowBlank="1" showInputMessage="1" showErrorMessage="1" sqref="P949:P974 P484:P509 P887:P912 P918:P943 P139:P168 P794:P819 P75:P100 P732:P757 P980:P1005 P670:P695 P174:P199 P608:P633 P236:P261 P391:P416 P298:P323 P453:P478 P360:P385 P422:P447 P329:P354 P515:P540 P267:P292 P546:P571 P205:P230 P577:P602 P106:P133 P639:P664 P856:P881 P701:P726 P825:P850 P763:P788 P41:P69" xr:uid="{00000000-0002-0000-0F00-000000000000}">
      <formula1>"Yes"</formula1>
    </dataValidation>
    <dataValidation type="list" allowBlank="1" showInputMessage="1" showErrorMessage="1" sqref="K915 K38 K136 K72 K202 K103 K264 K171 K326 K233 K388 K295 K450 K357 K512 K419 K574 K481 K636 K543 K698 K605 K760 K667 K822 K729 K884 K791 K946 K853 K977" xr:uid="{00000000-0002-0000-0F00-000001000000}">
      <formula1>"FALSE, TRUE"</formula1>
    </dataValidation>
    <dataValidation type="list" allowBlank="1" showInputMessage="1" showErrorMessage="1" sqref="Q980:Q1005 Q75:Q100 Q139:Q168 Q106:Q133 Q174:Q199 Q205:Q230 Q236:Q261 Q267:Q292 Q298:Q323 Q329:Q354 Q360:Q385 Q391:Q416 Q422:Q447 Q453:Q478 Q484:Q509 Q515:Q540 Q546:Q571 Q577:Q602 Q608:Q633 Q639:Q664 Q670:Q695 Q701:Q726 Q732:Q757 Q763:Q788 Q794:Q819 Q825:Q850 Q856:Q881 Q887:Q912 Q918:Q943 Q949:Q974 Q41:Q69" xr:uid="{00000000-0002-0000-0F00-000002000000}">
      <formula1>"OT, DBLT"</formula1>
    </dataValidation>
    <dataValidation type="list" allowBlank="1" showInputMessage="1" showErrorMessage="1" sqref="C949:C974 C139:C168 C75:C100 C980:C1005 C106:C133 C174:C199 C205:C230 C236:C261 C267:C292 C298:C323 C329:C354 C360:C385 C391:C416 C422:C447 C453:C478 C484:C509 C515:C540 C546:C571 C577:C602 C608:C633 C639:C664 C670:C695 C701:C726 C732:C757 C763:C788 C794:C819 C825:C850 C856:C881 C887:C912 C918:C943 C41:C69" xr:uid="{00000000-0002-0000-0F00-000003000000}">
      <formula1>Phase_Code_List_Field</formula1>
    </dataValidation>
    <dataValidation type="list" allowBlank="1" showInputMessage="1" showErrorMessage="1" sqref="A139:A168 A75:A100 A980:A1005 A106:A133 A174:A199 A205:A230 A236:A261 A267:A292 A298:A323 A329:A354 A360:A385 A391:A416 A422:A447 A453:A478 A484:A509 A515:A540 A546:A571 A577:A602 A608:A633 A639:A664 A670:A695 A701:A726 A732:A757 A763:A788 A794:A819 A825:A850 A856:A881 A887:A912 A918:A943 A949:A974 A41:A69" xr:uid="{00000000-0002-0000-0F00-000004000000}">
      <formula1>Phase_Code_List_Material</formula1>
    </dataValidation>
    <dataValidation type="list" allowBlank="1" showInputMessage="1" showErrorMessage="1" sqref="B139:B168 B75:B100 B980:B1005 B106:B133 B174:B199 B205:B230 B236:B261 B267:B292 B298:B323 B329:B354 B360:B385 B391:B416 B422:B447 B453:B478 B484:B509 B515:B540 B546:B571 B577:B602 B608:B633 B639:B664 B670:B695 B701:B726 B732:B757 B763:B788 B794:B819 B825:B850 B856:B881 B887:B912 B918:B943 B949:B974 B41:B69" xr:uid="{00000000-0002-0000-0F00-000005000000}">
      <formula1>Phase_Code_List_Shop</formula1>
    </dataValidation>
    <dataValidation type="list" allowBlank="1" showInputMessage="1" showErrorMessage="1" sqref="F9:G9 F38:G38 F72:G72 F103:G103 F136:G136 F171:G171 F202:G202 F233:G233 F264:G264 F295:G295 F326:G326 F357:G357 F388:G388 F419:G419 F450:G450 F481:G481 F512:G512 F543:G543 F574:G574 F605:G605 F636:G636 F667:G667 F698:G698 F729:G729 F760:G760 F791:G791 F822:G822 F853:G853 F884:G884 F915:G915 F946:G946 F977:G977" xr:uid="{9D14AEB9-EAF3-4F16-82FE-E9B0495B3B09}">
      <formula1>"Sheet Metal Takeoff,Plumb Takeoff,Pipe Takeoff"</formula1>
    </dataValidation>
    <dataValidation type="list" allowBlank="1" showInputMessage="1" showErrorMessage="1" sqref="R140:R168 R76:R100 R981:R1005 R107:R133 R175:R199 R206:R230 R237:R261 R268:R292 R299:R323 R330:R354 R361:R385 R392:R416 R423:R447 R454:R478 R485:R509 R516:R540 R547:R571 R578:R602 R609:R633 R640:R664 R671:R695 R702:R726 R733:R757 R764:R788 R795:R819 R826:R850 R857:R881 R888:R912 R919:R943 R950:R974 R42:R69" xr:uid="{41BC46CD-3419-4FB5-8536-26C0FC7E8DA4}">
      <formula1>"SWING, GRAVE, HAZARD"</formula1>
    </dataValidation>
    <dataValidation type="list" allowBlank="1" showInputMessage="1" showErrorMessage="1" sqref="R41 R75 R106 R139 R174 R205 R236 R267 R298 R329 R360 R391 R422 R453 R484 R515 R546 R577 R608 R639 R670 R701 R732 R763 R794 R825 R856 R887 R918 R949 R980" xr:uid="{44BA7479-0D7F-417A-9F4B-94EB9D00C699}">
      <formula1>"SWING, GRAVE, SPECIAL"</formula1>
    </dataValidation>
  </dataValidations>
  <hyperlinks>
    <hyperlink ref="L2" location="Breakdown_SMCAE" display="Breakdown_SMCAE" xr:uid="{00000000-0004-0000-0F00-000000000000}"/>
    <hyperlink ref="L3" location="Breakdown_SM1" display="Breakdown_SM1" xr:uid="{00000000-0004-0000-0F00-000001000000}"/>
    <hyperlink ref="L4" location="Breakdown_SM2" display="Breakdown_SM2" xr:uid="{00000000-0004-0000-0F00-000002000000}"/>
    <hyperlink ref="L5" location="Breakdown_SM3" display="Breakdown_SM3" xr:uid="{00000000-0004-0000-0F00-000003000000}"/>
    <hyperlink ref="L6" location="Breakdown_SM4" display="Breakdown_SM4" xr:uid="{00000000-0004-0000-0F00-000004000000}"/>
    <hyperlink ref="M2:Q6" location="Breakdown_SM1" display="Breakdown_SM1" xr:uid="{00000000-0004-0000-0F00-000005000000}"/>
    <hyperlink ref="R2:R3" location="Breakdown_SM1" display="Breakdown_SM1" xr:uid="{00000000-0004-0000-0F00-000006000000}"/>
    <hyperlink ref="M2" location="Breakdown_SM5" display="Breakdown_SM5" xr:uid="{00000000-0004-0000-0F00-000007000000}"/>
    <hyperlink ref="M3" location="Breakdown_SM6" display="Breakdown_SM6" xr:uid="{00000000-0004-0000-0F00-000008000000}"/>
    <hyperlink ref="M4" location="Breakdown_SM7" display="Breakdown_SM7" xr:uid="{00000000-0004-0000-0F00-000009000000}"/>
    <hyperlink ref="M5" location="Breakdown_SM8" display="Breakdown_SM8" xr:uid="{00000000-0004-0000-0F00-00000A000000}"/>
    <hyperlink ref="M6" location="Breakdown_SM9" display="Breakdown_SM9" xr:uid="{00000000-0004-0000-0F00-00000B000000}"/>
    <hyperlink ref="N2" location="Breakdown_SM10" display="Breakdown_SM10" xr:uid="{00000000-0004-0000-0F00-00000C000000}"/>
    <hyperlink ref="N3" location="Breakdown_SM11" display="Breakdown_SM11" xr:uid="{00000000-0004-0000-0F00-00000D000000}"/>
    <hyperlink ref="N4" location="Breakdown_SM12" display="Breakdown_SM12" xr:uid="{00000000-0004-0000-0F00-00000E000000}"/>
    <hyperlink ref="N5" location="Breakdown_SM13" display="Breakdown_SM13" xr:uid="{00000000-0004-0000-0F00-00000F000000}"/>
    <hyperlink ref="N6" location="Breakdown_SM14" display="Breakdown_SM14" xr:uid="{00000000-0004-0000-0F00-000010000000}"/>
    <hyperlink ref="O2" location="Breakdown_SM15" display="Breakdown_SM15" xr:uid="{00000000-0004-0000-0F00-000011000000}"/>
    <hyperlink ref="O3" location="Breakdown_SM16" display="Breakdown_SM16" xr:uid="{00000000-0004-0000-0F00-000012000000}"/>
    <hyperlink ref="O4" location="Breakdown_SM17" display="Breakdown_SM17" xr:uid="{00000000-0004-0000-0F00-000013000000}"/>
    <hyperlink ref="O5" location="Breakdown_SM18" display="Breakdown_SM18" xr:uid="{00000000-0004-0000-0F00-000014000000}"/>
    <hyperlink ref="O6" location="Breakdown_SM19" display="Breakdown_SM19" xr:uid="{00000000-0004-0000-0F00-000015000000}"/>
    <hyperlink ref="P2" location="Breakdown_SM20" display="Breakdown_SM20" xr:uid="{00000000-0004-0000-0F00-000016000000}"/>
    <hyperlink ref="P3" location="Breakdown_SM21" display="Breakdown_SM21" xr:uid="{00000000-0004-0000-0F00-000017000000}"/>
    <hyperlink ref="P4" location="Breakdown_SM22" display="Breakdown_SM22" xr:uid="{00000000-0004-0000-0F00-000018000000}"/>
    <hyperlink ref="P5" location="Breakdown_SM23" display="Breakdown_SM23" xr:uid="{00000000-0004-0000-0F00-000019000000}"/>
    <hyperlink ref="P6" location="Breakdown_SM24" display="Breakdown_SM24" xr:uid="{00000000-0004-0000-0F00-00001A000000}"/>
    <hyperlink ref="Q2" location="Breakdown_SM25" display="Breakdown_SM25" xr:uid="{00000000-0004-0000-0F00-00001B000000}"/>
    <hyperlink ref="Q3" location="Breakdown_SM26" display="Breakdown_SM26" xr:uid="{00000000-0004-0000-0F00-00001C000000}"/>
    <hyperlink ref="Q4" location="Breakdown_SM27" display="Breakdown_SM27" xr:uid="{00000000-0004-0000-0F00-00001D000000}"/>
    <hyperlink ref="Q5" location="Breakdown_SM28" display="Breakdown_SM28" xr:uid="{00000000-0004-0000-0F00-00001E000000}"/>
    <hyperlink ref="Q6" location="Breakdown_SM29" display="Breakdown_SM29" xr:uid="{00000000-0004-0000-0F00-00001F000000}"/>
    <hyperlink ref="R2" location="Breakdown_SM30" display="Breakdown_SM30" xr:uid="{00000000-0004-0000-0F00-000020000000}"/>
    <hyperlink ref="R3" location="Breakdown_SM31" display="Breakdown_SM31" xr:uid="{00000000-0004-0000-0F00-000021000000}"/>
  </hyperlinks>
  <pageMargins left="0.75" right="0.75" top="1" bottom="1" header="0.5" footer="0.5"/>
  <pageSetup scale="53" fitToHeight="0" orientation="landscape" r:id="rId1"/>
  <headerFooter scaleWithDoc="0" alignWithMargins="0">
    <oddFooter>&amp;L&amp;D&amp;C&amp;F&amp;RPage &amp;P of &amp;N</oddFooter>
  </headerFooter>
  <rowBreaks count="31" manualBreakCount="31">
    <brk id="37" max="15" man="1"/>
    <brk id="71" max="15" man="1"/>
    <brk id="102" max="15" man="1"/>
    <brk id="135" max="15" man="1"/>
    <brk id="170" max="15" man="1"/>
    <brk id="201" max="15" man="1"/>
    <brk id="232" max="15" man="1"/>
    <brk id="263" max="15" man="1"/>
    <brk id="294" max="15" man="1"/>
    <brk id="325" max="15" man="1"/>
    <brk id="356" max="15" man="1"/>
    <brk id="387" max="15" man="1"/>
    <brk id="418" max="15" man="1"/>
    <brk id="449" max="15" man="1"/>
    <brk id="480" max="15" man="1"/>
    <brk id="511" max="15" man="1"/>
    <brk id="542" max="15" man="1"/>
    <brk id="573" max="15" man="1"/>
    <brk id="604" max="15" man="1"/>
    <brk id="635" max="15" man="1"/>
    <brk id="666" max="15" man="1"/>
    <brk id="697" max="15" man="1"/>
    <brk id="728" max="15" man="1"/>
    <brk id="759" max="15" man="1"/>
    <brk id="790" max="15" man="1"/>
    <brk id="821" max="15" man="1"/>
    <brk id="852" max="15" man="1"/>
    <brk id="883" max="15" man="1"/>
    <brk id="914" max="15" man="1"/>
    <brk id="945" max="15" man="1"/>
    <brk id="976" max="15" man="1"/>
  </rowBreaks>
  <ignoredErrors>
    <ignoredError sqref="F14 I14 L1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InsertRowsAndFillFormulas_caller">
                <anchor moveWithCells="1" sizeWithCells="1">
                  <from>
                    <xdr:col>4</xdr:col>
                    <xdr:colOff>0</xdr:colOff>
                    <xdr:row>3</xdr:row>
                    <xdr:rowOff>0</xdr:rowOff>
                  </from>
                  <to>
                    <xdr:col>5</xdr:col>
                    <xdr:colOff>371475</xdr:colOff>
                    <xdr:row>4</xdr:row>
                    <xdr:rowOff>0</xdr:rowOff>
                  </to>
                </anchor>
              </controlPr>
            </control>
          </mc:Choice>
        </mc:AlternateContent>
        <mc:AlternateContent xmlns:mc="http://schemas.openxmlformats.org/markup-compatibility/2006">
          <mc:Choice Requires="x14">
            <control shapeId="5124" r:id="rId5" name="Button 4">
              <controlPr defaultSize="0" print="0" autoFill="0" autoPict="0" macro="[0]!Goto_Phase_Codes">
                <anchor moveWithCells="1" sizeWithCells="1">
                  <from>
                    <xdr:col>8</xdr:col>
                    <xdr:colOff>0</xdr:colOff>
                    <xdr:row>0</xdr:row>
                    <xdr:rowOff>0</xdr:rowOff>
                  </from>
                  <to>
                    <xdr:col>10</xdr:col>
                    <xdr:colOff>0</xdr:colOff>
                    <xdr:row>2</xdr:row>
                    <xdr:rowOff>0</xdr:rowOff>
                  </to>
                </anchor>
              </controlPr>
            </control>
          </mc:Choice>
        </mc:AlternateContent>
        <mc:AlternateContent xmlns:mc="http://schemas.openxmlformats.org/markup-compatibility/2006">
          <mc:Choice Requires="x14">
            <control shapeId="5125" r:id="rId6" name="Button 5">
              <controlPr defaultSize="0" print="0" autoFill="0" autoPict="0" macro="[0]!Goto_MCAA_RECAP">
                <anchor moveWithCells="1" sizeWithCells="1">
                  <from>
                    <xdr:col>8</xdr:col>
                    <xdr:colOff>0</xdr:colOff>
                    <xdr:row>3</xdr:row>
                    <xdr:rowOff>0</xdr:rowOff>
                  </from>
                  <to>
                    <xdr:col>10</xdr:col>
                    <xdr:colOff>0</xdr:colOff>
                    <xdr:row>3</xdr:row>
                    <xdr:rowOff>209550</xdr:rowOff>
                  </to>
                </anchor>
              </controlPr>
            </control>
          </mc:Choice>
        </mc:AlternateContent>
        <mc:AlternateContent xmlns:mc="http://schemas.openxmlformats.org/markup-compatibility/2006">
          <mc:Choice Requires="x14">
            <control shapeId="5126" r:id="rId7" name="Button 6">
              <controlPr defaultSize="0" print="0" autoFill="0" autoPict="0" macro="[0]!Select_CAE_Destination">
                <anchor moveWithCells="1" sizeWithCells="1">
                  <from>
                    <xdr:col>6</xdr:col>
                    <xdr:colOff>0</xdr:colOff>
                    <xdr:row>0</xdr:row>
                    <xdr:rowOff>0</xdr:rowOff>
                  </from>
                  <to>
                    <xdr:col>7</xdr:col>
                    <xdr:colOff>266700</xdr:colOff>
                    <xdr:row>2</xdr:row>
                    <xdr:rowOff>0</xdr:rowOff>
                  </to>
                </anchor>
              </controlPr>
            </control>
          </mc:Choice>
        </mc:AlternateContent>
        <mc:AlternateContent xmlns:mc="http://schemas.openxmlformats.org/markup-compatibility/2006">
          <mc:Choice Requires="x14">
            <control shapeId="5133" r:id="rId8" name="Button 13">
              <controlPr defaultSize="0" print="0" autoFill="0" autoPict="0" macro="[0]!HideSMBookingColumns">
                <anchor moveWithCells="1" sizeWithCells="1">
                  <from>
                    <xdr:col>4</xdr:col>
                    <xdr:colOff>0</xdr:colOff>
                    <xdr:row>0</xdr:row>
                    <xdr:rowOff>0</xdr:rowOff>
                  </from>
                  <to>
                    <xdr:col>5</xdr:col>
                    <xdr:colOff>666750</xdr:colOff>
                    <xdr:row>2</xdr:row>
                    <xdr:rowOff>0</xdr:rowOff>
                  </to>
                </anchor>
              </controlPr>
            </control>
          </mc:Choice>
        </mc:AlternateContent>
        <mc:AlternateContent xmlns:mc="http://schemas.openxmlformats.org/markup-compatibility/2006">
          <mc:Choice Requires="x14">
            <control shapeId="5145" r:id="rId9" name="Check Box 25">
              <controlPr defaultSize="0" autoFill="0" autoLine="0" autoPict="0">
                <anchor moveWithCells="1">
                  <from>
                    <xdr:col>11</xdr:col>
                    <xdr:colOff>0</xdr:colOff>
                    <xdr:row>2</xdr:row>
                    <xdr:rowOff>0</xdr:rowOff>
                  </from>
                  <to>
                    <xdr:col>11</xdr:col>
                    <xdr:colOff>295275</xdr:colOff>
                    <xdr:row>3</xdr:row>
                    <xdr:rowOff>0</xdr:rowOff>
                  </to>
                </anchor>
              </controlPr>
            </control>
          </mc:Choice>
        </mc:AlternateContent>
        <mc:AlternateContent xmlns:mc="http://schemas.openxmlformats.org/markup-compatibility/2006">
          <mc:Choice Requires="x14">
            <control shapeId="5146" r:id="rId10" name="Check Box 26">
              <controlPr defaultSize="0" autoFill="0" autoLine="0" autoPict="0">
                <anchor moveWithCells="1">
                  <from>
                    <xdr:col>11</xdr:col>
                    <xdr:colOff>0</xdr:colOff>
                    <xdr:row>3</xdr:row>
                    <xdr:rowOff>0</xdr:rowOff>
                  </from>
                  <to>
                    <xdr:col>11</xdr:col>
                    <xdr:colOff>285750</xdr:colOff>
                    <xdr:row>4</xdr:row>
                    <xdr:rowOff>0</xdr:rowOff>
                  </to>
                </anchor>
              </controlPr>
            </control>
          </mc:Choice>
        </mc:AlternateContent>
        <mc:AlternateContent xmlns:mc="http://schemas.openxmlformats.org/markup-compatibility/2006">
          <mc:Choice Requires="x14">
            <control shapeId="5148" r:id="rId11" name="Check Box 28">
              <controlPr defaultSize="0" autoFill="0" autoLine="0" autoPict="0">
                <anchor moveWithCells="1">
                  <from>
                    <xdr:col>11</xdr:col>
                    <xdr:colOff>0</xdr:colOff>
                    <xdr:row>4</xdr:row>
                    <xdr:rowOff>0</xdr:rowOff>
                  </from>
                  <to>
                    <xdr:col>11</xdr:col>
                    <xdr:colOff>257175</xdr:colOff>
                    <xdr:row>5</xdr:row>
                    <xdr:rowOff>0</xdr:rowOff>
                  </to>
                </anchor>
              </controlPr>
            </control>
          </mc:Choice>
        </mc:AlternateContent>
        <mc:AlternateContent xmlns:mc="http://schemas.openxmlformats.org/markup-compatibility/2006">
          <mc:Choice Requires="x14">
            <control shapeId="5149" r:id="rId12" name="Check Box 29">
              <controlPr defaultSize="0" autoFill="0" autoLine="0" autoPict="0">
                <anchor moveWithCells="1">
                  <from>
                    <xdr:col>11</xdr:col>
                    <xdr:colOff>0</xdr:colOff>
                    <xdr:row>5</xdr:row>
                    <xdr:rowOff>0</xdr:rowOff>
                  </from>
                  <to>
                    <xdr:col>11</xdr:col>
                    <xdr:colOff>266700</xdr:colOff>
                    <xdr:row>6</xdr:row>
                    <xdr:rowOff>0</xdr:rowOff>
                  </to>
                </anchor>
              </controlPr>
            </control>
          </mc:Choice>
        </mc:AlternateContent>
        <mc:AlternateContent xmlns:mc="http://schemas.openxmlformats.org/markup-compatibility/2006">
          <mc:Choice Requires="x14">
            <control shapeId="5150" r:id="rId13" name="Check Box 30">
              <controlPr defaultSize="0" autoFill="0" autoLine="0" autoPict="0">
                <anchor moveWithCells="1">
                  <from>
                    <xdr:col>12</xdr:col>
                    <xdr:colOff>0</xdr:colOff>
                    <xdr:row>1</xdr:row>
                    <xdr:rowOff>0</xdr:rowOff>
                  </from>
                  <to>
                    <xdr:col>12</xdr:col>
                    <xdr:colOff>257175</xdr:colOff>
                    <xdr:row>2</xdr:row>
                    <xdr:rowOff>0</xdr:rowOff>
                  </to>
                </anchor>
              </controlPr>
            </control>
          </mc:Choice>
        </mc:AlternateContent>
        <mc:AlternateContent xmlns:mc="http://schemas.openxmlformats.org/markup-compatibility/2006">
          <mc:Choice Requires="x14">
            <control shapeId="5151" r:id="rId14" name="Check Box 31">
              <controlPr defaultSize="0" autoFill="0" autoLine="0" autoPict="0">
                <anchor moveWithCells="1">
                  <from>
                    <xdr:col>12</xdr:col>
                    <xdr:colOff>0</xdr:colOff>
                    <xdr:row>2</xdr:row>
                    <xdr:rowOff>0</xdr:rowOff>
                  </from>
                  <to>
                    <xdr:col>12</xdr:col>
                    <xdr:colOff>257175</xdr:colOff>
                    <xdr:row>3</xdr:row>
                    <xdr:rowOff>0</xdr:rowOff>
                  </to>
                </anchor>
              </controlPr>
            </control>
          </mc:Choice>
        </mc:AlternateContent>
        <mc:AlternateContent xmlns:mc="http://schemas.openxmlformats.org/markup-compatibility/2006">
          <mc:Choice Requires="x14">
            <control shapeId="5152" r:id="rId15" name="Check Box 32">
              <controlPr defaultSize="0" autoFill="0" autoLine="0" autoPict="0">
                <anchor moveWithCells="1">
                  <from>
                    <xdr:col>12</xdr:col>
                    <xdr:colOff>0</xdr:colOff>
                    <xdr:row>3</xdr:row>
                    <xdr:rowOff>0</xdr:rowOff>
                  </from>
                  <to>
                    <xdr:col>12</xdr:col>
                    <xdr:colOff>228600</xdr:colOff>
                    <xdr:row>4</xdr:row>
                    <xdr:rowOff>0</xdr:rowOff>
                  </to>
                </anchor>
              </controlPr>
            </control>
          </mc:Choice>
        </mc:AlternateContent>
        <mc:AlternateContent xmlns:mc="http://schemas.openxmlformats.org/markup-compatibility/2006">
          <mc:Choice Requires="x14">
            <control shapeId="5153" r:id="rId16" name="Check Box 33">
              <controlPr defaultSize="0" autoFill="0" autoLine="0" autoPict="0">
                <anchor moveWithCells="1">
                  <from>
                    <xdr:col>12</xdr:col>
                    <xdr:colOff>0</xdr:colOff>
                    <xdr:row>4</xdr:row>
                    <xdr:rowOff>0</xdr:rowOff>
                  </from>
                  <to>
                    <xdr:col>12</xdr:col>
                    <xdr:colOff>257175</xdr:colOff>
                    <xdr:row>5</xdr:row>
                    <xdr:rowOff>0</xdr:rowOff>
                  </to>
                </anchor>
              </controlPr>
            </control>
          </mc:Choice>
        </mc:AlternateContent>
        <mc:AlternateContent xmlns:mc="http://schemas.openxmlformats.org/markup-compatibility/2006">
          <mc:Choice Requires="x14">
            <control shapeId="5154" r:id="rId17" name="Check Box 34">
              <controlPr defaultSize="0" autoFill="0" autoLine="0" autoPict="0">
                <anchor moveWithCells="1">
                  <from>
                    <xdr:col>12</xdr:col>
                    <xdr:colOff>0</xdr:colOff>
                    <xdr:row>5</xdr:row>
                    <xdr:rowOff>0</xdr:rowOff>
                  </from>
                  <to>
                    <xdr:col>12</xdr:col>
                    <xdr:colOff>247650</xdr:colOff>
                    <xdr:row>6</xdr:row>
                    <xdr:rowOff>0</xdr:rowOff>
                  </to>
                </anchor>
              </controlPr>
            </control>
          </mc:Choice>
        </mc:AlternateContent>
        <mc:AlternateContent xmlns:mc="http://schemas.openxmlformats.org/markup-compatibility/2006">
          <mc:Choice Requires="x14">
            <control shapeId="5155" r:id="rId18" name="Check Box 35">
              <controlPr defaultSize="0" autoFill="0" autoLine="0" autoPict="0">
                <anchor moveWithCells="1">
                  <from>
                    <xdr:col>13</xdr:col>
                    <xdr:colOff>0</xdr:colOff>
                    <xdr:row>1</xdr:row>
                    <xdr:rowOff>0</xdr:rowOff>
                  </from>
                  <to>
                    <xdr:col>13</xdr:col>
                    <xdr:colOff>257175</xdr:colOff>
                    <xdr:row>2</xdr:row>
                    <xdr:rowOff>0</xdr:rowOff>
                  </to>
                </anchor>
              </controlPr>
            </control>
          </mc:Choice>
        </mc:AlternateContent>
        <mc:AlternateContent xmlns:mc="http://schemas.openxmlformats.org/markup-compatibility/2006">
          <mc:Choice Requires="x14">
            <control shapeId="5156" r:id="rId19" name="Check Box 36">
              <controlPr defaultSize="0" autoFill="0" autoLine="0" autoPict="0">
                <anchor moveWithCells="1">
                  <from>
                    <xdr:col>13</xdr:col>
                    <xdr:colOff>0</xdr:colOff>
                    <xdr:row>2</xdr:row>
                    <xdr:rowOff>0</xdr:rowOff>
                  </from>
                  <to>
                    <xdr:col>13</xdr:col>
                    <xdr:colOff>257175</xdr:colOff>
                    <xdr:row>3</xdr:row>
                    <xdr:rowOff>0</xdr:rowOff>
                  </to>
                </anchor>
              </controlPr>
            </control>
          </mc:Choice>
        </mc:AlternateContent>
        <mc:AlternateContent xmlns:mc="http://schemas.openxmlformats.org/markup-compatibility/2006">
          <mc:Choice Requires="x14">
            <control shapeId="5157" r:id="rId20" name="Check Box 37">
              <controlPr defaultSize="0" autoFill="0" autoLine="0" autoPict="0">
                <anchor moveWithCells="1">
                  <from>
                    <xdr:col>13</xdr:col>
                    <xdr:colOff>0</xdr:colOff>
                    <xdr:row>3</xdr:row>
                    <xdr:rowOff>0</xdr:rowOff>
                  </from>
                  <to>
                    <xdr:col>13</xdr:col>
                    <xdr:colOff>257175</xdr:colOff>
                    <xdr:row>4</xdr:row>
                    <xdr:rowOff>0</xdr:rowOff>
                  </to>
                </anchor>
              </controlPr>
            </control>
          </mc:Choice>
        </mc:AlternateContent>
        <mc:AlternateContent xmlns:mc="http://schemas.openxmlformats.org/markup-compatibility/2006">
          <mc:Choice Requires="x14">
            <control shapeId="5158" r:id="rId21" name="Check Box 38">
              <controlPr defaultSize="0" autoFill="0" autoLine="0" autoPict="0">
                <anchor moveWithCells="1">
                  <from>
                    <xdr:col>13</xdr:col>
                    <xdr:colOff>0</xdr:colOff>
                    <xdr:row>4</xdr:row>
                    <xdr:rowOff>0</xdr:rowOff>
                  </from>
                  <to>
                    <xdr:col>13</xdr:col>
                    <xdr:colOff>257175</xdr:colOff>
                    <xdr:row>5</xdr:row>
                    <xdr:rowOff>0</xdr:rowOff>
                  </to>
                </anchor>
              </controlPr>
            </control>
          </mc:Choice>
        </mc:AlternateContent>
        <mc:AlternateContent xmlns:mc="http://schemas.openxmlformats.org/markup-compatibility/2006">
          <mc:Choice Requires="x14">
            <control shapeId="5159" r:id="rId22" name="Check Box 39">
              <controlPr defaultSize="0" autoFill="0" autoLine="0" autoPict="0">
                <anchor moveWithCells="1">
                  <from>
                    <xdr:col>13</xdr:col>
                    <xdr:colOff>0</xdr:colOff>
                    <xdr:row>5</xdr:row>
                    <xdr:rowOff>0</xdr:rowOff>
                  </from>
                  <to>
                    <xdr:col>13</xdr:col>
                    <xdr:colOff>257175</xdr:colOff>
                    <xdr:row>6</xdr:row>
                    <xdr:rowOff>0</xdr:rowOff>
                  </to>
                </anchor>
              </controlPr>
            </control>
          </mc:Choice>
        </mc:AlternateContent>
        <mc:AlternateContent xmlns:mc="http://schemas.openxmlformats.org/markup-compatibility/2006">
          <mc:Choice Requires="x14">
            <control shapeId="5160" r:id="rId23" name="Check Box 40">
              <controlPr defaultSize="0" autoFill="0" autoLine="0" autoPict="0">
                <anchor moveWithCells="1">
                  <from>
                    <xdr:col>14</xdr:col>
                    <xdr:colOff>0</xdr:colOff>
                    <xdr:row>1</xdr:row>
                    <xdr:rowOff>0</xdr:rowOff>
                  </from>
                  <to>
                    <xdr:col>14</xdr:col>
                    <xdr:colOff>257175</xdr:colOff>
                    <xdr:row>2</xdr:row>
                    <xdr:rowOff>0</xdr:rowOff>
                  </to>
                </anchor>
              </controlPr>
            </control>
          </mc:Choice>
        </mc:AlternateContent>
        <mc:AlternateContent xmlns:mc="http://schemas.openxmlformats.org/markup-compatibility/2006">
          <mc:Choice Requires="x14">
            <control shapeId="5161" r:id="rId24" name="Check Box 41">
              <controlPr defaultSize="0" autoFill="0" autoLine="0" autoPict="0">
                <anchor moveWithCells="1">
                  <from>
                    <xdr:col>14</xdr:col>
                    <xdr:colOff>0</xdr:colOff>
                    <xdr:row>2</xdr:row>
                    <xdr:rowOff>0</xdr:rowOff>
                  </from>
                  <to>
                    <xdr:col>14</xdr:col>
                    <xdr:colOff>257175</xdr:colOff>
                    <xdr:row>3</xdr:row>
                    <xdr:rowOff>0</xdr:rowOff>
                  </to>
                </anchor>
              </controlPr>
            </control>
          </mc:Choice>
        </mc:AlternateContent>
        <mc:AlternateContent xmlns:mc="http://schemas.openxmlformats.org/markup-compatibility/2006">
          <mc:Choice Requires="x14">
            <control shapeId="5162" r:id="rId25" name="Check Box 42">
              <controlPr defaultSize="0" autoFill="0" autoLine="0" autoPict="0">
                <anchor moveWithCells="1">
                  <from>
                    <xdr:col>14</xdr:col>
                    <xdr:colOff>0</xdr:colOff>
                    <xdr:row>3</xdr:row>
                    <xdr:rowOff>0</xdr:rowOff>
                  </from>
                  <to>
                    <xdr:col>14</xdr:col>
                    <xdr:colOff>257175</xdr:colOff>
                    <xdr:row>4</xdr:row>
                    <xdr:rowOff>0</xdr:rowOff>
                  </to>
                </anchor>
              </controlPr>
            </control>
          </mc:Choice>
        </mc:AlternateContent>
        <mc:AlternateContent xmlns:mc="http://schemas.openxmlformats.org/markup-compatibility/2006">
          <mc:Choice Requires="x14">
            <control shapeId="5163" r:id="rId26" name="Check Box 43">
              <controlPr defaultSize="0" autoFill="0" autoLine="0" autoPict="0">
                <anchor moveWithCells="1">
                  <from>
                    <xdr:col>14</xdr:col>
                    <xdr:colOff>0</xdr:colOff>
                    <xdr:row>4</xdr:row>
                    <xdr:rowOff>0</xdr:rowOff>
                  </from>
                  <to>
                    <xdr:col>14</xdr:col>
                    <xdr:colOff>257175</xdr:colOff>
                    <xdr:row>5</xdr:row>
                    <xdr:rowOff>0</xdr:rowOff>
                  </to>
                </anchor>
              </controlPr>
            </control>
          </mc:Choice>
        </mc:AlternateContent>
        <mc:AlternateContent xmlns:mc="http://schemas.openxmlformats.org/markup-compatibility/2006">
          <mc:Choice Requires="x14">
            <control shapeId="5164" r:id="rId27" name="Check Box 44">
              <controlPr defaultSize="0" autoFill="0" autoLine="0" autoPict="0">
                <anchor moveWithCells="1">
                  <from>
                    <xdr:col>14</xdr:col>
                    <xdr:colOff>0</xdr:colOff>
                    <xdr:row>5</xdr:row>
                    <xdr:rowOff>0</xdr:rowOff>
                  </from>
                  <to>
                    <xdr:col>14</xdr:col>
                    <xdr:colOff>257175</xdr:colOff>
                    <xdr:row>6</xdr:row>
                    <xdr:rowOff>0</xdr:rowOff>
                  </to>
                </anchor>
              </controlPr>
            </control>
          </mc:Choice>
        </mc:AlternateContent>
        <mc:AlternateContent xmlns:mc="http://schemas.openxmlformats.org/markup-compatibility/2006">
          <mc:Choice Requires="x14">
            <control shapeId="5165" r:id="rId28" name="Check Box 45">
              <controlPr defaultSize="0" autoFill="0" autoLine="0" autoPict="0">
                <anchor moveWithCells="1">
                  <from>
                    <xdr:col>15</xdr:col>
                    <xdr:colOff>0</xdr:colOff>
                    <xdr:row>1</xdr:row>
                    <xdr:rowOff>0</xdr:rowOff>
                  </from>
                  <to>
                    <xdr:col>15</xdr:col>
                    <xdr:colOff>257175</xdr:colOff>
                    <xdr:row>2</xdr:row>
                    <xdr:rowOff>0</xdr:rowOff>
                  </to>
                </anchor>
              </controlPr>
            </control>
          </mc:Choice>
        </mc:AlternateContent>
        <mc:AlternateContent xmlns:mc="http://schemas.openxmlformats.org/markup-compatibility/2006">
          <mc:Choice Requires="x14">
            <control shapeId="5166" r:id="rId29" name="Check Box 46">
              <controlPr defaultSize="0" autoFill="0" autoLine="0" autoPict="0">
                <anchor moveWithCells="1">
                  <from>
                    <xdr:col>15</xdr:col>
                    <xdr:colOff>0</xdr:colOff>
                    <xdr:row>2</xdr:row>
                    <xdr:rowOff>0</xdr:rowOff>
                  </from>
                  <to>
                    <xdr:col>15</xdr:col>
                    <xdr:colOff>257175</xdr:colOff>
                    <xdr:row>3</xdr:row>
                    <xdr:rowOff>0</xdr:rowOff>
                  </to>
                </anchor>
              </controlPr>
            </control>
          </mc:Choice>
        </mc:AlternateContent>
        <mc:AlternateContent xmlns:mc="http://schemas.openxmlformats.org/markup-compatibility/2006">
          <mc:Choice Requires="x14">
            <control shapeId="5167" r:id="rId30" name="Check Box 47">
              <controlPr defaultSize="0" autoFill="0" autoLine="0" autoPict="0">
                <anchor moveWithCells="1">
                  <from>
                    <xdr:col>15</xdr:col>
                    <xdr:colOff>0</xdr:colOff>
                    <xdr:row>3</xdr:row>
                    <xdr:rowOff>0</xdr:rowOff>
                  </from>
                  <to>
                    <xdr:col>15</xdr:col>
                    <xdr:colOff>257175</xdr:colOff>
                    <xdr:row>4</xdr:row>
                    <xdr:rowOff>0</xdr:rowOff>
                  </to>
                </anchor>
              </controlPr>
            </control>
          </mc:Choice>
        </mc:AlternateContent>
        <mc:AlternateContent xmlns:mc="http://schemas.openxmlformats.org/markup-compatibility/2006">
          <mc:Choice Requires="x14">
            <control shapeId="5168" r:id="rId31" name="Check Box 48">
              <controlPr defaultSize="0" autoFill="0" autoLine="0" autoPict="0">
                <anchor moveWithCells="1">
                  <from>
                    <xdr:col>15</xdr:col>
                    <xdr:colOff>0</xdr:colOff>
                    <xdr:row>4</xdr:row>
                    <xdr:rowOff>0</xdr:rowOff>
                  </from>
                  <to>
                    <xdr:col>15</xdr:col>
                    <xdr:colOff>257175</xdr:colOff>
                    <xdr:row>5</xdr:row>
                    <xdr:rowOff>0</xdr:rowOff>
                  </to>
                </anchor>
              </controlPr>
            </control>
          </mc:Choice>
        </mc:AlternateContent>
        <mc:AlternateContent xmlns:mc="http://schemas.openxmlformats.org/markup-compatibility/2006">
          <mc:Choice Requires="x14">
            <control shapeId="5169" r:id="rId32" name="Check Box 49">
              <controlPr defaultSize="0" autoFill="0" autoLine="0" autoPict="0">
                <anchor moveWithCells="1">
                  <from>
                    <xdr:col>15</xdr:col>
                    <xdr:colOff>0</xdr:colOff>
                    <xdr:row>5</xdr:row>
                    <xdr:rowOff>0</xdr:rowOff>
                  </from>
                  <to>
                    <xdr:col>15</xdr:col>
                    <xdr:colOff>257175</xdr:colOff>
                    <xdr:row>6</xdr:row>
                    <xdr:rowOff>0</xdr:rowOff>
                  </to>
                </anchor>
              </controlPr>
            </control>
          </mc:Choice>
        </mc:AlternateContent>
        <mc:AlternateContent xmlns:mc="http://schemas.openxmlformats.org/markup-compatibility/2006">
          <mc:Choice Requires="x14">
            <control shapeId="5172" r:id="rId33" name="Check Box 52">
              <controlPr defaultSize="0" autoFill="0" autoLine="0" autoPict="0">
                <anchor moveWithCells="1">
                  <from>
                    <xdr:col>16</xdr:col>
                    <xdr:colOff>0</xdr:colOff>
                    <xdr:row>1</xdr:row>
                    <xdr:rowOff>0</xdr:rowOff>
                  </from>
                  <to>
                    <xdr:col>16</xdr:col>
                    <xdr:colOff>257175</xdr:colOff>
                    <xdr:row>2</xdr:row>
                    <xdr:rowOff>0</xdr:rowOff>
                  </to>
                </anchor>
              </controlPr>
            </control>
          </mc:Choice>
        </mc:AlternateContent>
        <mc:AlternateContent xmlns:mc="http://schemas.openxmlformats.org/markup-compatibility/2006">
          <mc:Choice Requires="x14">
            <control shapeId="5173" r:id="rId34" name="Check Box 53">
              <controlPr defaultSize="0" autoFill="0" autoLine="0" autoPict="0">
                <anchor moveWithCells="1">
                  <from>
                    <xdr:col>16</xdr:col>
                    <xdr:colOff>0</xdr:colOff>
                    <xdr:row>2</xdr:row>
                    <xdr:rowOff>0</xdr:rowOff>
                  </from>
                  <to>
                    <xdr:col>16</xdr:col>
                    <xdr:colOff>257175</xdr:colOff>
                    <xdr:row>3</xdr:row>
                    <xdr:rowOff>0</xdr:rowOff>
                  </to>
                </anchor>
              </controlPr>
            </control>
          </mc:Choice>
        </mc:AlternateContent>
        <mc:AlternateContent xmlns:mc="http://schemas.openxmlformats.org/markup-compatibility/2006">
          <mc:Choice Requires="x14">
            <control shapeId="5174" r:id="rId35" name="Check Box 54">
              <controlPr defaultSize="0" autoFill="0" autoLine="0" autoPict="0">
                <anchor moveWithCells="1">
                  <from>
                    <xdr:col>16</xdr:col>
                    <xdr:colOff>0</xdr:colOff>
                    <xdr:row>3</xdr:row>
                    <xdr:rowOff>0</xdr:rowOff>
                  </from>
                  <to>
                    <xdr:col>16</xdr:col>
                    <xdr:colOff>257175</xdr:colOff>
                    <xdr:row>4</xdr:row>
                    <xdr:rowOff>0</xdr:rowOff>
                  </to>
                </anchor>
              </controlPr>
            </control>
          </mc:Choice>
        </mc:AlternateContent>
        <mc:AlternateContent xmlns:mc="http://schemas.openxmlformats.org/markup-compatibility/2006">
          <mc:Choice Requires="x14">
            <control shapeId="5175" r:id="rId36" name="Check Box 55">
              <controlPr defaultSize="0" autoFill="0" autoLine="0" autoPict="0">
                <anchor moveWithCells="1">
                  <from>
                    <xdr:col>16</xdr:col>
                    <xdr:colOff>0</xdr:colOff>
                    <xdr:row>4</xdr:row>
                    <xdr:rowOff>0</xdr:rowOff>
                  </from>
                  <to>
                    <xdr:col>16</xdr:col>
                    <xdr:colOff>257175</xdr:colOff>
                    <xdr:row>5</xdr:row>
                    <xdr:rowOff>0</xdr:rowOff>
                  </to>
                </anchor>
              </controlPr>
            </control>
          </mc:Choice>
        </mc:AlternateContent>
        <mc:AlternateContent xmlns:mc="http://schemas.openxmlformats.org/markup-compatibility/2006">
          <mc:Choice Requires="x14">
            <control shapeId="5176" r:id="rId37" name="Check Box 56">
              <controlPr defaultSize="0" autoFill="0" autoLine="0" autoPict="0">
                <anchor moveWithCells="1">
                  <from>
                    <xdr:col>16</xdr:col>
                    <xdr:colOff>0</xdr:colOff>
                    <xdr:row>5</xdr:row>
                    <xdr:rowOff>0</xdr:rowOff>
                  </from>
                  <to>
                    <xdr:col>16</xdr:col>
                    <xdr:colOff>257175</xdr:colOff>
                    <xdr:row>6</xdr:row>
                    <xdr:rowOff>0</xdr:rowOff>
                  </to>
                </anchor>
              </controlPr>
            </control>
          </mc:Choice>
        </mc:AlternateContent>
        <mc:AlternateContent xmlns:mc="http://schemas.openxmlformats.org/markup-compatibility/2006">
          <mc:Choice Requires="x14">
            <control shapeId="5177" r:id="rId38" name="Check Box 57">
              <controlPr defaultSize="0" autoFill="0" autoLine="0" autoPict="0">
                <anchor moveWithCells="1">
                  <from>
                    <xdr:col>17</xdr:col>
                    <xdr:colOff>0</xdr:colOff>
                    <xdr:row>1</xdr:row>
                    <xdr:rowOff>0</xdr:rowOff>
                  </from>
                  <to>
                    <xdr:col>17</xdr:col>
                    <xdr:colOff>257175</xdr:colOff>
                    <xdr:row>2</xdr:row>
                    <xdr:rowOff>0</xdr:rowOff>
                  </to>
                </anchor>
              </controlPr>
            </control>
          </mc:Choice>
        </mc:AlternateContent>
        <mc:AlternateContent xmlns:mc="http://schemas.openxmlformats.org/markup-compatibility/2006">
          <mc:Choice Requires="x14">
            <control shapeId="5178" r:id="rId39" name="Check Box 58">
              <controlPr defaultSize="0" autoFill="0" autoLine="0" autoPict="0">
                <anchor moveWithCells="1">
                  <from>
                    <xdr:col>17</xdr:col>
                    <xdr:colOff>0</xdr:colOff>
                    <xdr:row>2</xdr:row>
                    <xdr:rowOff>0</xdr:rowOff>
                  </from>
                  <to>
                    <xdr:col>17</xdr:col>
                    <xdr:colOff>257175</xdr:colOff>
                    <xdr:row>3</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dimension ref="A1:AD133"/>
  <sheetViews>
    <sheetView tabSelected="1" zoomScale="85" zoomScaleNormal="85" workbookViewId="0">
      <selection activeCell="H6" sqref="H6:J6"/>
    </sheetView>
  </sheetViews>
  <sheetFormatPr defaultRowHeight="12.75" x14ac:dyDescent="0.2"/>
  <cols>
    <col min="1" max="1" width="12.5703125" customWidth="1"/>
    <col min="2" max="4" width="13.85546875" customWidth="1"/>
    <col min="5" max="7" width="15.140625" customWidth="1"/>
    <col min="8" max="8" width="18.7109375" bestFit="1" customWidth="1"/>
    <col min="9" max="9" width="19.42578125" customWidth="1"/>
    <col min="10" max="10" width="21.140625" customWidth="1"/>
    <col min="11" max="11" width="7.42578125" style="123" customWidth="1"/>
    <col min="12" max="12" width="6" customWidth="1"/>
    <col min="13" max="13" width="52" customWidth="1"/>
    <col min="14" max="14" width="15.7109375" customWidth="1"/>
    <col min="15" max="15" width="14.85546875" bestFit="1" customWidth="1"/>
    <col min="16" max="16" width="9.28515625" bestFit="1" customWidth="1"/>
    <col min="17" max="17" width="13.42578125" customWidth="1"/>
    <col min="18" max="18" width="13.85546875" customWidth="1"/>
    <col min="21" max="21" width="13.28515625" customWidth="1"/>
    <col min="22" max="22" width="12.85546875" customWidth="1"/>
    <col min="23" max="23" width="13.85546875" customWidth="1"/>
  </cols>
  <sheetData>
    <row r="1" spans="1:30" ht="19.5" customHeight="1" x14ac:dyDescent="0.2">
      <c r="L1" s="25" t="s">
        <v>1636</v>
      </c>
      <c r="M1" s="719">
        <v>45895</v>
      </c>
    </row>
    <row r="2" spans="1:30" x14ac:dyDescent="0.2">
      <c r="A2" t="s">
        <v>1835</v>
      </c>
      <c r="M2" t="s">
        <v>1834</v>
      </c>
    </row>
    <row r="3" spans="1:30" ht="15.75" x14ac:dyDescent="0.25">
      <c r="K3" s="505"/>
    </row>
    <row r="4" spans="1:30" ht="15.75" x14ac:dyDescent="0.25">
      <c r="K4" s="506"/>
    </row>
    <row r="5" spans="1:30" ht="18.75" customHeight="1" x14ac:dyDescent="0.25">
      <c r="K5" s="507"/>
      <c r="M5" s="650" t="s">
        <v>1597</v>
      </c>
      <c r="N5" s="1149" t="s">
        <v>1599</v>
      </c>
      <c r="O5" s="1149"/>
      <c r="P5" s="1149"/>
    </row>
    <row r="6" spans="1:30" ht="26.25" x14ac:dyDescent="0.4">
      <c r="D6" s="590" t="s">
        <v>11</v>
      </c>
      <c r="E6" s="297"/>
      <c r="G6" s="175" t="s">
        <v>13</v>
      </c>
      <c r="H6" s="1115" t="s">
        <v>1836</v>
      </c>
      <c r="I6" s="1116"/>
      <c r="J6" s="1116"/>
      <c r="K6" s="507"/>
      <c r="L6" s="1"/>
      <c r="M6" s="650" t="s">
        <v>1589</v>
      </c>
      <c r="N6" s="651"/>
    </row>
    <row r="7" spans="1:30" ht="18.75" customHeight="1" x14ac:dyDescent="0.3">
      <c r="A7" s="391" t="s">
        <v>1303</v>
      </c>
      <c r="B7" s="392" t="s">
        <v>1837</v>
      </c>
      <c r="C7" s="393"/>
      <c r="D7" s="391" t="s">
        <v>12</v>
      </c>
      <c r="E7" s="394"/>
      <c r="F7" s="395"/>
      <c r="G7" s="396" t="s">
        <v>14</v>
      </c>
      <c r="H7" s="1117"/>
      <c r="I7" s="1117"/>
      <c r="J7" s="1117"/>
      <c r="K7" s="507"/>
      <c r="M7" s="650" t="s">
        <v>1590</v>
      </c>
      <c r="N7" s="651"/>
    </row>
    <row r="8" spans="1:30" ht="16.5" thickBot="1" x14ac:dyDescent="0.3">
      <c r="A8" s="589"/>
      <c r="I8" s="557"/>
      <c r="J8" s="557"/>
      <c r="K8" s="507"/>
      <c r="N8" s="83"/>
    </row>
    <row r="9" spans="1:30" s="3" customFormat="1" ht="25.5" customHeight="1" thickTop="1" thickBot="1" x14ac:dyDescent="0.35">
      <c r="A9" s="1072" t="s">
        <v>15</v>
      </c>
      <c r="B9" s="1144" t="s">
        <v>48</v>
      </c>
      <c r="C9" s="1145"/>
      <c r="D9" s="1146"/>
      <c r="E9" s="1126" t="s">
        <v>263</v>
      </c>
      <c r="F9" s="1127"/>
      <c r="G9" s="1127"/>
      <c r="H9" s="1128"/>
      <c r="I9" s="19"/>
      <c r="J9" s="591"/>
      <c r="K9" s="2"/>
      <c r="L9" s="2"/>
      <c r="M9" s="650" t="s">
        <v>1591</v>
      </c>
      <c r="N9" s="653" t="str">
        <f>IF(N6=0,"",Info_Total_Bid/N6)</f>
        <v/>
      </c>
      <c r="O9" s="2"/>
      <c r="P9" s="2"/>
      <c r="Q9" s="2"/>
      <c r="R9" s="2"/>
      <c r="S9" s="2"/>
      <c r="T9" s="2"/>
      <c r="U9" s="2"/>
      <c r="V9" s="2"/>
      <c r="W9" s="2"/>
      <c r="X9" s="2"/>
      <c r="Y9" s="2"/>
      <c r="Z9" s="2"/>
      <c r="AA9" s="2"/>
      <c r="AB9" s="2"/>
      <c r="AC9" s="2"/>
      <c r="AD9" s="2"/>
    </row>
    <row r="10" spans="1:30" ht="20.100000000000001" customHeight="1" thickTop="1" thickBot="1" x14ac:dyDescent="0.35">
      <c r="A10" s="1073"/>
      <c r="B10" s="397" t="s">
        <v>1755</v>
      </c>
      <c r="C10" s="398" t="s">
        <v>1756</v>
      </c>
      <c r="D10" s="399" t="s">
        <v>20</v>
      </c>
      <c r="E10" s="685" t="s">
        <v>1757</v>
      </c>
      <c r="F10" s="752" t="s">
        <v>1758</v>
      </c>
      <c r="G10" s="684" t="s">
        <v>219</v>
      </c>
      <c r="H10" s="604" t="s">
        <v>220</v>
      </c>
      <c r="I10" s="19"/>
      <c r="J10" s="20"/>
      <c r="K10"/>
      <c r="M10" s="650" t="s">
        <v>1592</v>
      </c>
      <c r="N10" s="652" t="str">
        <f>IF(N7=0,"",N7/SUM(E18:G18))</f>
        <v/>
      </c>
      <c r="R10" t="s">
        <v>1810</v>
      </c>
    </row>
    <row r="11" spans="1:30" ht="20.100000000000001" customHeight="1" thickTop="1" thickBot="1" x14ac:dyDescent="0.35">
      <c r="A11" s="1140" t="s">
        <v>1407</v>
      </c>
      <c r="B11" s="1141"/>
      <c r="C11" s="1141"/>
      <c r="D11" s="1141"/>
      <c r="E11" s="681">
        <f>SUMIF(Takeoff_PayType,"Plumb Takeoff",SM_FieldLaborColumn)</f>
        <v>0</v>
      </c>
      <c r="F11" s="682">
        <f>SUMIF(Takeoff_PayType,"Pipe Takeoff",SM_FieldLaborColumn)</f>
        <v>0</v>
      </c>
      <c r="G11" s="683">
        <f>SUMIF(Takeoff_PayType,"Sheet Metal Takeoff",SM_FieldLaborColumn)</f>
        <v>3779.5</v>
      </c>
      <c r="H11" s="558">
        <f>SM_Shop_Labor</f>
        <v>529.59999999999991</v>
      </c>
      <c r="I11" s="559"/>
      <c r="J11" s="20"/>
      <c r="K11"/>
      <c r="M11" s="650" t="s">
        <v>1593</v>
      </c>
      <c r="N11" s="652" t="str">
        <f>IF(N7=0,"",N7/H18)</f>
        <v/>
      </c>
      <c r="R11" s="799" t="s">
        <v>1755</v>
      </c>
      <c r="S11" s="800" t="s">
        <v>1756</v>
      </c>
      <c r="T11" s="801" t="s">
        <v>20</v>
      </c>
    </row>
    <row r="12" spans="1:30" ht="21.6" customHeight="1" thickTop="1" thickBot="1" x14ac:dyDescent="0.3">
      <c r="A12" s="592" t="s">
        <v>1523</v>
      </c>
      <c r="B12" s="802">
        <v>0.16</v>
      </c>
      <c r="C12" s="192">
        <v>0.16</v>
      </c>
      <c r="D12" s="803">
        <v>0.16</v>
      </c>
      <c r="E12" s="220">
        <f>SUM($E$11*B12)</f>
        <v>0</v>
      </c>
      <c r="F12" s="221">
        <f>SUM($F$11*C12)</f>
        <v>0</v>
      </c>
      <c r="G12" s="222">
        <f>ROUND(SUM($G$11*D12),2)</f>
        <v>604.72</v>
      </c>
      <c r="H12" s="606">
        <f>$H$11*I12</f>
        <v>0</v>
      </c>
      <c r="I12" s="605">
        <v>0</v>
      </c>
      <c r="J12" s="607" t="s">
        <v>24</v>
      </c>
      <c r="R12" s="802">
        <v>0.16</v>
      </c>
      <c r="S12" s="192">
        <v>0.16</v>
      </c>
      <c r="T12" s="803">
        <v>0.16</v>
      </c>
    </row>
    <row r="13" spans="1:30" ht="21.6" customHeight="1" thickTop="1" thickBot="1" x14ac:dyDescent="0.3">
      <c r="A13" s="660" t="s">
        <v>1621</v>
      </c>
      <c r="B13" s="802">
        <v>0.04</v>
      </c>
      <c r="C13" s="192">
        <v>0.09</v>
      </c>
      <c r="D13" s="803">
        <v>0.01</v>
      </c>
      <c r="E13" s="220">
        <f t="shared" ref="E13:E16" si="0">SUM($E$11*B13)</f>
        <v>0</v>
      </c>
      <c r="F13" s="223">
        <f>SUM($F$11*C13)</f>
        <v>0</v>
      </c>
      <c r="G13" s="224">
        <f>ROUND(SUM($G$11*D13),2)</f>
        <v>37.799999999999997</v>
      </c>
      <c r="H13" s="606">
        <f t="shared" ref="H13:H17" si="1">$H$11*I13</f>
        <v>0</v>
      </c>
      <c r="I13" s="605">
        <v>0</v>
      </c>
      <c r="J13" s="608" t="s">
        <v>21</v>
      </c>
      <c r="M13" s="227" t="s">
        <v>1064</v>
      </c>
      <c r="R13" s="802">
        <v>0.04</v>
      </c>
      <c r="S13" s="192">
        <v>0.09</v>
      </c>
      <c r="T13" s="803">
        <v>0.01</v>
      </c>
    </row>
    <row r="14" spans="1:30" ht="21.6" customHeight="1" thickTop="1" thickBot="1" x14ac:dyDescent="0.3">
      <c r="A14" s="660" t="s">
        <v>1638</v>
      </c>
      <c r="B14" s="802">
        <v>0.02</v>
      </c>
      <c r="C14" s="192">
        <v>0.02</v>
      </c>
      <c r="D14" s="803">
        <v>0.02</v>
      </c>
      <c r="E14" s="220">
        <f t="shared" si="0"/>
        <v>0</v>
      </c>
      <c r="F14" s="223">
        <f>SUM($F$11*C14)</f>
        <v>0</v>
      </c>
      <c r="G14" s="224">
        <f>ROUND(SUM($G$11*D14),2)</f>
        <v>75.59</v>
      </c>
      <c r="H14" s="606">
        <f t="shared" si="1"/>
        <v>0</v>
      </c>
      <c r="I14" s="605">
        <v>0</v>
      </c>
      <c r="J14" s="608" t="s">
        <v>23</v>
      </c>
      <c r="R14" s="802">
        <v>0.02</v>
      </c>
      <c r="S14" s="192">
        <v>0.02</v>
      </c>
      <c r="T14" s="803">
        <v>0.02</v>
      </c>
    </row>
    <row r="15" spans="1:30" ht="21.6" customHeight="1" thickTop="1" thickBot="1" x14ac:dyDescent="0.3">
      <c r="A15" s="593">
        <v>4</v>
      </c>
      <c r="B15" s="802">
        <v>0.05</v>
      </c>
      <c r="C15" s="192">
        <v>0.05</v>
      </c>
      <c r="D15" s="803">
        <v>0</v>
      </c>
      <c r="E15" s="220">
        <f t="shared" si="0"/>
        <v>0</v>
      </c>
      <c r="F15" s="223">
        <f>SUM($F$11*C15)</f>
        <v>0</v>
      </c>
      <c r="G15" s="224">
        <f>ROUND(SUM($G$11*D15),2)</f>
        <v>0</v>
      </c>
      <c r="H15" s="606">
        <f t="shared" si="1"/>
        <v>0</v>
      </c>
      <c r="I15" s="605">
        <v>0</v>
      </c>
      <c r="J15" s="608" t="s">
        <v>22</v>
      </c>
      <c r="R15" s="802">
        <v>0.05</v>
      </c>
      <c r="S15" s="192">
        <v>0.05</v>
      </c>
      <c r="T15" s="803">
        <v>0</v>
      </c>
    </row>
    <row r="16" spans="1:30" ht="21.6" customHeight="1" thickTop="1" thickBot="1" x14ac:dyDescent="0.35">
      <c r="A16" s="593">
        <v>6</v>
      </c>
      <c r="B16" s="804">
        <v>0.1</v>
      </c>
      <c r="C16" s="805">
        <v>0.1</v>
      </c>
      <c r="D16" s="806">
        <v>0.1</v>
      </c>
      <c r="E16" s="220">
        <f t="shared" si="0"/>
        <v>0</v>
      </c>
      <c r="F16" s="225">
        <f>SUM($F$11*C16)</f>
        <v>0</v>
      </c>
      <c r="G16" s="226">
        <f>ROUND(SUM($G$11*D16),2)</f>
        <v>377.95</v>
      </c>
      <c r="H16" s="606">
        <f t="shared" si="1"/>
        <v>0</v>
      </c>
      <c r="I16" s="605">
        <v>0</v>
      </c>
      <c r="J16" s="608" t="s">
        <v>221</v>
      </c>
      <c r="M16" s="214" t="s">
        <v>1091</v>
      </c>
      <c r="R16" s="804">
        <v>0.1</v>
      </c>
      <c r="S16" s="805">
        <v>0.1</v>
      </c>
      <c r="T16" s="806">
        <v>0.1</v>
      </c>
    </row>
    <row r="17" spans="1:17" ht="21.6" customHeight="1" thickTop="1" thickBot="1" x14ac:dyDescent="0.3">
      <c r="A17" s="594" t="s">
        <v>448</v>
      </c>
      <c r="B17" s="621" t="s">
        <v>1126</v>
      </c>
      <c r="C17" s="1110" t="s">
        <v>1569</v>
      </c>
      <c r="D17" s="1111"/>
      <c r="E17" s="381">
        <f>IF(Schedule_Type="5 8's",E11*$O$21,IF(Schedule_Type="5 10's",E11*$O$22,IF(Schedule_Type="6 10's",E11*$O$23,IF(Schedule_Type="60 60 50",E11*$O$24))))</f>
        <v>0</v>
      </c>
      <c r="F17" s="381">
        <f>IF(Schedule_Type="5 8's",F11*$O$21,IF(Schedule_Type="5 10's",F11*$O$22,IF(Schedule_Type="6 10's",F11*$O$23,IF(Schedule_Type="60 60 50",F11*$O$24))))</f>
        <v>0</v>
      </c>
      <c r="G17" s="381">
        <f>IF(Schedule_Type="5 8's",G11*$O$21,IF(Schedule_Type="5 10's",G11*$O$22,IF(Schedule_Type="6 10's",G11*$O$23,IF(Schedule_Type="60 60 50",G11*$O$24))))</f>
        <v>0</v>
      </c>
      <c r="H17" s="606">
        <f t="shared" si="1"/>
        <v>0</v>
      </c>
      <c r="I17" s="605">
        <v>0</v>
      </c>
      <c r="J17" s="656" t="s">
        <v>1612</v>
      </c>
      <c r="M17" s="82" t="s">
        <v>1089</v>
      </c>
      <c r="O17" s="47"/>
      <c r="P17" s="47"/>
    </row>
    <row r="18" spans="1:17" ht="21.6" customHeight="1" thickTop="1" thickBot="1" x14ac:dyDescent="0.3">
      <c r="A18" s="595"/>
      <c r="B18" s="1138" t="s">
        <v>1401</v>
      </c>
      <c r="C18" s="1138"/>
      <c r="D18" s="1139"/>
      <c r="E18" s="26">
        <f>SUM(E11:E17)</f>
        <v>0</v>
      </c>
      <c r="F18" s="26">
        <f t="shared" ref="F18:H18" si="2">SUM(F11:F17)</f>
        <v>0</v>
      </c>
      <c r="G18" s="26">
        <f t="shared" si="2"/>
        <v>4875.5600000000004</v>
      </c>
      <c r="H18" s="26">
        <f t="shared" si="2"/>
        <v>529.59999999999991</v>
      </c>
      <c r="I18" s="1094"/>
      <c r="J18" s="1123"/>
      <c r="M18" s="82" t="s">
        <v>1090</v>
      </c>
      <c r="N18" s="91"/>
      <c r="O18" s="47"/>
      <c r="P18" s="47"/>
    </row>
    <row r="19" spans="1:17" ht="21.6" customHeight="1" thickTop="1" thickBot="1" x14ac:dyDescent="0.3">
      <c r="A19" s="570" t="s">
        <v>8</v>
      </c>
      <c r="B19" s="571"/>
      <c r="C19" s="571"/>
      <c r="D19" s="571"/>
      <c r="E19" s="1094"/>
      <c r="F19" s="1094"/>
      <c r="G19" s="1095"/>
      <c r="H19" s="1095"/>
      <c r="I19" s="1094"/>
      <c r="J19" s="1123"/>
      <c r="M19" s="82" t="s">
        <v>1747</v>
      </c>
      <c r="N19" s="91" t="s">
        <v>1125</v>
      </c>
      <c r="O19" s="47"/>
    </row>
    <row r="20" spans="1:17" ht="21.6" customHeight="1" thickTop="1" thickBot="1" x14ac:dyDescent="0.3">
      <c r="A20" s="572"/>
      <c r="B20" s="573"/>
      <c r="C20" s="573"/>
      <c r="D20" s="573"/>
      <c r="E20" s="1124" t="s">
        <v>1565</v>
      </c>
      <c r="F20" s="1114"/>
      <c r="G20" s="1114"/>
      <c r="H20" s="1125"/>
      <c r="I20" s="582" t="s">
        <v>1564</v>
      </c>
      <c r="J20" s="582" t="s">
        <v>1532</v>
      </c>
      <c r="M20" s="82" t="s">
        <v>1547</v>
      </c>
      <c r="N20" s="309" t="s">
        <v>1126</v>
      </c>
      <c r="O20" s="309" t="s">
        <v>1127</v>
      </c>
      <c r="Q20" s="390" t="s">
        <v>1302</v>
      </c>
    </row>
    <row r="21" spans="1:17" ht="21.6" customHeight="1" thickTop="1" thickBot="1" x14ac:dyDescent="0.3">
      <c r="A21" s="5" t="s">
        <v>8</v>
      </c>
      <c r="B21" s="1129" t="s">
        <v>1759</v>
      </c>
      <c r="C21" s="1130"/>
      <c r="D21" s="1131"/>
      <c r="E21" s="64">
        <f>IF(Schedule_Type="5 8's",CrewRate_PlumbFitter_Straight,IF(Schedule_Type="5 10's",SUM(4*CrewRate_PlumbFitter_Straight+CrewRate_PlumbFitter_Overtime)/5,IF(Schedule_Type="6 10's",SUM(4*CrewRate_PlumbFitter_Straight+2*CrewRate_PlumbFitter_Overtime)/6,IF(Schedule_Type="60 60 50",SUM(12*CrewRate_PlumbFitter_Straight+5*CrewRate_PlumbFitter_Overtime)/17))))</f>
        <v>129.55000000000001</v>
      </c>
      <c r="F21" s="27"/>
      <c r="G21" s="27"/>
      <c r="H21" s="579"/>
      <c r="I21" s="583">
        <f>SUM(E21*E18)</f>
        <v>0</v>
      </c>
      <c r="J21" s="586">
        <f>SUMIF(Takeoff_PayType,"Plumb Takeoff",TakeOff!AL:AL)</f>
        <v>0</v>
      </c>
      <c r="M21" s="82" t="s">
        <v>130</v>
      </c>
      <c r="N21" s="310" t="s">
        <v>1149</v>
      </c>
      <c r="O21" s="610">
        <v>0</v>
      </c>
      <c r="Q21" s="390">
        <v>0</v>
      </c>
    </row>
    <row r="22" spans="1:17" ht="21.6" customHeight="1" thickTop="1" thickBot="1" x14ac:dyDescent="0.3">
      <c r="A22" s="5" t="s">
        <v>8</v>
      </c>
      <c r="B22" s="1132" t="s">
        <v>1760</v>
      </c>
      <c r="C22" s="1133"/>
      <c r="D22" s="1134"/>
      <c r="E22" s="28"/>
      <c r="F22" s="64">
        <f>IF(Schedule_Type="5 8's",CrewRate_PlumbFitter_Straight,IF(Schedule_Type="5 10's",SUM(4*CrewRate_PlumbFitter_Straight+CrewRate_PlumbFitter_Overtime)/5,IF(Schedule_Type="6 10's",SUM(4*CrewRate_PlumbFitter_Straight+2*CrewRate_PlumbFitter_Overtime)/6,IF(Schedule_Type="60 60 50",SUM(12*CrewRate_PlumbFitter_Straight+5*CrewRate_PlumbFitter_Overtime)/17))))</f>
        <v>129.55000000000001</v>
      </c>
      <c r="G22" s="29"/>
      <c r="H22" s="580"/>
      <c r="I22" s="584">
        <f>SUM(F22*F18)</f>
        <v>0</v>
      </c>
      <c r="J22" s="586">
        <f>SUMIF(Takeoff_PayType,"Pipe Takeoff",TakeOff!AL:AL)</f>
        <v>0</v>
      </c>
      <c r="M22" s="809" t="s">
        <v>129</v>
      </c>
      <c r="N22" s="310" t="s">
        <v>1128</v>
      </c>
      <c r="O22" s="311">
        <v>0.15</v>
      </c>
      <c r="Q22" s="390">
        <v>15</v>
      </c>
    </row>
    <row r="23" spans="1:17" ht="21.6" customHeight="1" thickBot="1" x14ac:dyDescent="0.3">
      <c r="A23" s="5" t="s">
        <v>8</v>
      </c>
      <c r="B23" s="1132" t="s">
        <v>25</v>
      </c>
      <c r="C23" s="1133"/>
      <c r="D23" s="1134"/>
      <c r="E23" s="28"/>
      <c r="F23" s="29"/>
      <c r="G23" s="65">
        <f>IF(Schedule_Type="5 8's",CrewRate_SMField_Straight,IF(Schedule_Type="5 10's",SUM(4*CrewRate_SMField_Straight+CrewRate_SMField_Overtime)/5,IF(Schedule_Type="6 10's",SUM(4*CrewRate_SMField_Straight+2*CrewRate_SMField_Overtime)/6,IF(Schedule_Type="60 60 50",SUM(12*CrewRate_SMField_Straight+5*CrewRate_SMField_Overtime)/17))))</f>
        <v>97.32</v>
      </c>
      <c r="H23" s="580"/>
      <c r="I23" s="584">
        <f>SUM(G18*G23)</f>
        <v>474489.49920000002</v>
      </c>
      <c r="J23" s="586">
        <f>SUMIF(Takeoff_PayType,"Sheet Metal Takeoff",TakeOff!AL:AL)</f>
        <v>0</v>
      </c>
      <c r="L23" s="4"/>
      <c r="M23" s="82"/>
      <c r="N23" s="91" t="s">
        <v>1129</v>
      </c>
      <c r="O23" s="311">
        <v>0.25</v>
      </c>
      <c r="Q23" s="390">
        <v>25</v>
      </c>
    </row>
    <row r="24" spans="1:17" ht="21.6" customHeight="1" thickBot="1" x14ac:dyDescent="0.3">
      <c r="A24" s="5" t="s">
        <v>8</v>
      </c>
      <c r="B24" s="1135" t="s">
        <v>26</v>
      </c>
      <c r="C24" s="1136"/>
      <c r="D24" s="1137"/>
      <c r="E24" s="574"/>
      <c r="F24" s="575"/>
      <c r="G24" s="382"/>
      <c r="H24" s="581">
        <f>CrewRate_SMShop_Straight</f>
        <v>106.5</v>
      </c>
      <c r="I24" s="585">
        <f>SUM(H18*H24)</f>
        <v>56402.399999999987</v>
      </c>
      <c r="J24" s="586">
        <f>SUM(TakeOff!AM:AM)/2</f>
        <v>0</v>
      </c>
      <c r="N24" s="91" t="s">
        <v>1130</v>
      </c>
      <c r="O24" s="311">
        <v>0.25</v>
      </c>
      <c r="Q24" s="390">
        <v>25</v>
      </c>
    </row>
    <row r="25" spans="1:17" ht="21.6" customHeight="1" thickTop="1" thickBot="1" x14ac:dyDescent="0.3">
      <c r="A25" s="5" t="s">
        <v>8</v>
      </c>
      <c r="B25" s="6" t="s">
        <v>8</v>
      </c>
      <c r="C25" s="15"/>
      <c r="D25" s="7" t="s">
        <v>8</v>
      </c>
      <c r="E25" s="8"/>
      <c r="F25" s="8"/>
      <c r="G25" s="1098" t="s">
        <v>1529</v>
      </c>
      <c r="H25" s="1112"/>
      <c r="I25" s="577">
        <f>SUM(I21:I24)</f>
        <v>530891.89919999999</v>
      </c>
      <c r="J25" s="577">
        <f>SUM(J21:J24)</f>
        <v>0</v>
      </c>
      <c r="K25" s="327">
        <v>1</v>
      </c>
      <c r="L25" s="494">
        <v>1</v>
      </c>
      <c r="N25" s="91" t="s">
        <v>1131</v>
      </c>
      <c r="O25" s="312"/>
      <c r="P25" s="91" t="s">
        <v>1132</v>
      </c>
    </row>
    <row r="26" spans="1:17" ht="21.6" customHeight="1" thickTop="1" thickBot="1" x14ac:dyDescent="0.3">
      <c r="A26" s="5"/>
      <c r="B26" s="1103" t="s">
        <v>1765</v>
      </c>
      <c r="C26" s="1104"/>
      <c r="D26" s="1105" t="s">
        <v>1763</v>
      </c>
      <c r="E26" s="1106"/>
      <c r="F26" s="8"/>
      <c r="G26" s="8"/>
      <c r="H26" s="576"/>
      <c r="I26" s="576"/>
      <c r="J26" s="20"/>
      <c r="K26" s="327">
        <v>2</v>
      </c>
      <c r="L26" s="494">
        <v>2</v>
      </c>
      <c r="N26" s="91" t="s">
        <v>1133</v>
      </c>
      <c r="O26" s="312"/>
      <c r="P26" s="91" t="s">
        <v>1134</v>
      </c>
    </row>
    <row r="27" spans="1:17" ht="21.6" customHeight="1" thickTop="1" thickBot="1" x14ac:dyDescent="0.3">
      <c r="A27" s="5"/>
      <c r="B27" s="722" t="s">
        <v>1297</v>
      </c>
      <c r="C27" s="723">
        <f>IF(OCIP_GL_Toggle="No OCIP",0,IF(OCIP_GL_Toggle="OCIP",OCIP_Deduct_Total*-1,IF(OCIP_GL_Toggle="OCIP GL Only",OCIP!O169*-1,0)))</f>
        <v>0</v>
      </c>
      <c r="D27" s="1107">
        <v>0</v>
      </c>
      <c r="E27" s="1108"/>
      <c r="F27" s="8"/>
      <c r="G27" s="8"/>
      <c r="H27" s="1096" t="s">
        <v>1403</v>
      </c>
      <c r="I27" s="1097"/>
      <c r="J27" s="560">
        <f>SUM(I25:J25,C27)</f>
        <v>530891.89919999999</v>
      </c>
      <c r="N27" s="91" t="s">
        <v>1135</v>
      </c>
      <c r="O27" s="47"/>
      <c r="P27" s="47"/>
    </row>
    <row r="28" spans="1:17" ht="21.6" customHeight="1" thickBot="1" x14ac:dyDescent="0.3">
      <c r="A28" s="5"/>
      <c r="B28" s="7"/>
      <c r="C28" s="8"/>
      <c r="D28" s="1109" t="str">
        <f>IF(D27&gt;G18,"ARCH HRS TO HIGH","")</f>
        <v/>
      </c>
      <c r="E28" s="1109"/>
      <c r="F28" s="8"/>
      <c r="G28" s="8"/>
      <c r="H28" s="8"/>
      <c r="I28" s="19"/>
      <c r="J28" s="20"/>
      <c r="N28" s="91"/>
      <c r="O28" s="47"/>
      <c r="P28" s="47"/>
    </row>
    <row r="29" spans="1:17" ht="21.6" customHeight="1" thickTop="1" thickBot="1" x14ac:dyDescent="0.3">
      <c r="A29" s="1113" t="s">
        <v>1528</v>
      </c>
      <c r="B29" s="1114"/>
      <c r="C29" s="588" t="s">
        <v>1753</v>
      </c>
      <c r="D29" s="587">
        <f>SUMIF(Takeoff_PayType,"Plumb Takeoff",SM_MaterialColumn)</f>
        <v>0</v>
      </c>
      <c r="E29" s="8"/>
      <c r="F29" s="588" t="s">
        <v>1754</v>
      </c>
      <c r="G29" s="578">
        <f>SUMIF(Takeoff_PayType,"Pipe Takeoff",SM_MaterialColumn)</f>
        <v>0</v>
      </c>
      <c r="H29" s="8"/>
      <c r="I29" s="588" t="s">
        <v>17</v>
      </c>
      <c r="J29" s="578">
        <f>SM_Material-'MCAA RECAP'!D29-'MCAA RECAP'!G29</f>
        <v>855040</v>
      </c>
      <c r="N29" s="91"/>
      <c r="O29" s="47"/>
      <c r="P29" s="47"/>
    </row>
    <row r="30" spans="1:17" ht="21.6" customHeight="1" thickTop="1" thickBot="1" x14ac:dyDescent="0.3">
      <c r="A30" s="5"/>
      <c r="B30" s="7"/>
      <c r="C30" s="8"/>
      <c r="D30" s="7"/>
      <c r="E30" s="8"/>
      <c r="F30" s="8"/>
      <c r="G30" s="8"/>
      <c r="H30" s="8"/>
      <c r="I30" s="19"/>
      <c r="J30" s="20"/>
      <c r="N30" s="91"/>
      <c r="O30" s="47"/>
      <c r="P30" s="47"/>
    </row>
    <row r="31" spans="1:17" ht="21.6" customHeight="1" thickTop="1" thickBot="1" x14ac:dyDescent="0.3">
      <c r="A31" s="5"/>
      <c r="B31" s="7"/>
      <c r="C31" s="8"/>
      <c r="D31" s="7"/>
      <c r="E31" s="8"/>
      <c r="F31" s="8"/>
      <c r="G31" s="8"/>
      <c r="H31" s="1098" t="s">
        <v>1402</v>
      </c>
      <c r="I31" s="1099"/>
      <c r="J31" s="560">
        <f>SUM(D29,G29,J29)</f>
        <v>855040</v>
      </c>
      <c r="N31" s="91"/>
      <c r="O31" s="47"/>
      <c r="P31" s="47"/>
    </row>
    <row r="32" spans="1:17" ht="21.6" customHeight="1" thickTop="1" thickBot="1" x14ac:dyDescent="0.3">
      <c r="A32" s="1072" t="s">
        <v>15</v>
      </c>
      <c r="B32" s="6" t="s">
        <v>8</v>
      </c>
      <c r="C32" s="15"/>
      <c r="D32" s="7" t="s">
        <v>8</v>
      </c>
      <c r="E32" s="8"/>
      <c r="F32" s="8"/>
      <c r="G32" s="8"/>
      <c r="H32" s="8"/>
      <c r="I32" s="19"/>
      <c r="J32" s="20"/>
      <c r="N32" s="313" t="s">
        <v>1136</v>
      </c>
      <c r="O32" s="47"/>
      <c r="P32" s="47"/>
    </row>
    <row r="33" spans="1:14" ht="21.6" customHeight="1" thickTop="1" thickBot="1" x14ac:dyDescent="0.3">
      <c r="A33" s="1073"/>
      <c r="B33" s="24" t="s">
        <v>8</v>
      </c>
      <c r="C33" s="16"/>
      <c r="D33" s="11" t="s">
        <v>8</v>
      </c>
      <c r="E33" s="1093" t="s">
        <v>32</v>
      </c>
      <c r="F33" s="1070"/>
      <c r="G33" s="1070"/>
      <c r="H33" s="1071"/>
      <c r="I33" s="501" t="s">
        <v>1375</v>
      </c>
      <c r="J33" s="501" t="s">
        <v>1563</v>
      </c>
      <c r="L33" s="250" t="s">
        <v>1078</v>
      </c>
      <c r="M33" s="130"/>
    </row>
    <row r="34" spans="1:14" ht="21.6" hidden="1" customHeight="1" thickTop="1" thickBot="1" x14ac:dyDescent="0.3">
      <c r="A34" s="21"/>
      <c r="B34" s="6"/>
      <c r="C34" s="15"/>
      <c r="D34" s="7"/>
      <c r="E34" s="22"/>
      <c r="F34" s="22"/>
      <c r="G34" s="22"/>
      <c r="H34" s="18" t="s">
        <v>44</v>
      </c>
      <c r="I34" s="193"/>
      <c r="J34" s="23"/>
    </row>
    <row r="35" spans="1:14" ht="21.6" hidden="1" customHeight="1" thickTop="1" thickBot="1" x14ac:dyDescent="0.3">
      <c r="A35" s="21"/>
      <c r="B35" s="6"/>
      <c r="C35" s="15"/>
      <c r="D35" s="7"/>
      <c r="E35" s="22"/>
      <c r="F35" s="22"/>
      <c r="G35" s="22"/>
      <c r="H35" s="30" t="s">
        <v>49</v>
      </c>
      <c r="I35" s="193"/>
      <c r="J35" s="23"/>
    </row>
    <row r="36" spans="1:14" ht="21.6" customHeight="1" thickTop="1" thickBot="1" x14ac:dyDescent="0.3">
      <c r="A36" s="592" t="s">
        <v>223</v>
      </c>
      <c r="B36" s="1091" t="s">
        <v>302</v>
      </c>
      <c r="C36" s="1092"/>
      <c r="D36" s="196"/>
      <c r="E36" s="1100"/>
      <c r="F36" s="1101"/>
      <c r="G36" s="1101"/>
      <c r="H36" s="1102"/>
      <c r="I36" s="195"/>
      <c r="J36" s="194"/>
      <c r="L36" s="1147"/>
      <c r="M36" s="1148"/>
    </row>
    <row r="37" spans="1:14" ht="21.6" customHeight="1" thickTop="1" thickBot="1" x14ac:dyDescent="0.3">
      <c r="A37" s="596" t="str">
        <f>IF(B37="","","7-" &amp; INDEX('Phase Codes'!$A$4:$H$102,MATCH(B37,Codes_Subcontractor,0),1))</f>
        <v>7-01</v>
      </c>
      <c r="B37" s="1052" t="s">
        <v>135</v>
      </c>
      <c r="C37" s="1052"/>
      <c r="D37" s="1052"/>
      <c r="E37" s="1100"/>
      <c r="F37" s="1101"/>
      <c r="G37" s="1101"/>
      <c r="H37" s="1102"/>
      <c r="I37" s="195"/>
      <c r="J37" s="194"/>
      <c r="L37" s="1147"/>
      <c r="M37" s="1148"/>
    </row>
    <row r="38" spans="1:14" ht="21.6" customHeight="1" thickTop="1" thickBot="1" x14ac:dyDescent="0.3">
      <c r="A38" s="596" t="str">
        <f>IF(B38="","","7-" &amp; INDEX('Phase Codes'!$A$4:$H$102,MATCH(B38,Codes_Subcontractor,0),1))</f>
        <v>7-02</v>
      </c>
      <c r="B38" s="1052" t="s">
        <v>139</v>
      </c>
      <c r="C38" s="1052"/>
      <c r="D38" s="1052"/>
      <c r="E38" s="1100"/>
      <c r="F38" s="1101"/>
      <c r="G38" s="1101"/>
      <c r="H38" s="1102"/>
      <c r="I38" s="195"/>
      <c r="J38" s="194"/>
      <c r="L38" s="1147"/>
      <c r="M38" s="1148"/>
    </row>
    <row r="39" spans="1:14" ht="21.6" customHeight="1" thickTop="1" thickBot="1" x14ac:dyDescent="0.3">
      <c r="A39" s="596" t="str">
        <f>IF(B39="","","7-" &amp; INDEX('Phase Codes'!$A$4:$H$102,MATCH(B39,Codes_Subcontractor,0),1))</f>
        <v>7-15</v>
      </c>
      <c r="B39" s="1052" t="s">
        <v>190</v>
      </c>
      <c r="C39" s="1052"/>
      <c r="D39" s="1052"/>
      <c r="E39" s="1100"/>
      <c r="F39" s="1101"/>
      <c r="G39" s="1101"/>
      <c r="H39" s="1102"/>
      <c r="I39" s="195"/>
      <c r="J39" s="194"/>
      <c r="L39" s="1147"/>
      <c r="M39" s="1148"/>
    </row>
    <row r="40" spans="1:14" ht="21.6" customHeight="1" thickTop="1" thickBot="1" x14ac:dyDescent="0.3">
      <c r="A40" s="596" t="str">
        <f>IF(B40="","","7-" &amp; INDEX('Phase Codes'!$A$4:$H$102,MATCH(B40,Codes_Subcontractor,0),1))</f>
        <v>7-07</v>
      </c>
      <c r="B40" s="1052" t="s">
        <v>122</v>
      </c>
      <c r="C40" s="1052"/>
      <c r="D40" s="1052"/>
      <c r="E40" s="1100"/>
      <c r="F40" s="1101"/>
      <c r="G40" s="1101"/>
      <c r="H40" s="1102"/>
      <c r="I40" s="195"/>
      <c r="J40" s="194"/>
      <c r="L40" s="1147"/>
      <c r="M40" s="1148"/>
      <c r="N40" s="25"/>
    </row>
    <row r="41" spans="1:14" ht="21.6" customHeight="1" thickTop="1" thickBot="1" x14ac:dyDescent="0.3">
      <c r="A41" s="596" t="str">
        <f>IF(B41="","","7-" &amp; INDEX('Phase Codes'!$A$4:$H$102,MATCH(B41,Codes_Subcontractor,0),1))</f>
        <v/>
      </c>
      <c r="B41" s="1052"/>
      <c r="C41" s="1052"/>
      <c r="D41" s="1052"/>
      <c r="E41" s="1100"/>
      <c r="F41" s="1101"/>
      <c r="G41" s="1101"/>
      <c r="H41" s="1102"/>
      <c r="I41" s="195"/>
      <c r="J41" s="194"/>
      <c r="L41" s="1147"/>
      <c r="M41" s="1148"/>
    </row>
    <row r="42" spans="1:14" ht="21.6" customHeight="1" thickTop="1" thickBot="1" x14ac:dyDescent="0.3">
      <c r="A42" s="596" t="str">
        <f>IF(B42="","","7-" &amp; INDEX('Phase Codes'!$A$4:$H$102,MATCH(B42,Codes_Subcontractor,0),1))</f>
        <v/>
      </c>
      <c r="B42" s="1052"/>
      <c r="C42" s="1052"/>
      <c r="D42" s="1052"/>
      <c r="E42" s="1100"/>
      <c r="F42" s="1101"/>
      <c r="G42" s="1101"/>
      <c r="H42" s="1102"/>
      <c r="I42" s="195"/>
      <c r="J42" s="194"/>
      <c r="L42" s="1147"/>
      <c r="M42" s="1148"/>
    </row>
    <row r="43" spans="1:14" ht="21.6" customHeight="1" thickTop="1" thickBot="1" x14ac:dyDescent="0.3">
      <c r="A43" s="596" t="str">
        <f>IF(B43="","","7-" &amp; INDEX('Phase Codes'!$A$4:$H$102,MATCH(B43,Codes_Subcontractor,0),1))</f>
        <v/>
      </c>
      <c r="B43" s="1052"/>
      <c r="C43" s="1052"/>
      <c r="D43" s="1052"/>
      <c r="E43" s="1100"/>
      <c r="F43" s="1101"/>
      <c r="G43" s="1101"/>
      <c r="H43" s="1102"/>
      <c r="I43" s="195"/>
      <c r="J43" s="194"/>
      <c r="L43" s="1147"/>
      <c r="M43" s="1148"/>
    </row>
    <row r="44" spans="1:14" ht="21.6" customHeight="1" thickTop="1" thickBot="1" x14ac:dyDescent="0.3">
      <c r="A44" s="596" t="str">
        <f>IF(B44="","","7-" &amp; INDEX('Phase Codes'!$A$4:$H$102,MATCH(B44,Codes_Subcontractor,0),1))</f>
        <v/>
      </c>
      <c r="B44" s="1052"/>
      <c r="C44" s="1052"/>
      <c r="D44" s="1052"/>
      <c r="E44" s="1100"/>
      <c r="F44" s="1101"/>
      <c r="G44" s="1101"/>
      <c r="H44" s="1102"/>
      <c r="I44" s="195"/>
      <c r="J44" s="194"/>
      <c r="L44" s="1147"/>
      <c r="M44" s="1148"/>
    </row>
    <row r="45" spans="1:14" ht="21.6" customHeight="1" thickTop="1" thickBot="1" x14ac:dyDescent="0.3">
      <c r="A45" s="14"/>
      <c r="B45" s="15"/>
      <c r="C45" s="15"/>
      <c r="D45" s="7"/>
      <c r="E45" s="8"/>
      <c r="F45" s="8" t="s">
        <v>8</v>
      </c>
      <c r="G45" s="1118" t="s">
        <v>1404</v>
      </c>
      <c r="H45" s="1119"/>
      <c r="I45" s="1120"/>
      <c r="J45" s="13">
        <f>SUM(J36:J44)</f>
        <v>0</v>
      </c>
    </row>
    <row r="46" spans="1:14" ht="21.6" customHeight="1" thickTop="1" thickBot="1" x14ac:dyDescent="0.3">
      <c r="A46" s="1072" t="s">
        <v>15</v>
      </c>
      <c r="B46" s="15"/>
      <c r="C46" s="15"/>
      <c r="D46" s="7"/>
      <c r="E46" s="1062" t="s">
        <v>33</v>
      </c>
      <c r="F46" s="1062"/>
      <c r="G46" s="1062"/>
      <c r="H46" s="8" t="s">
        <v>8</v>
      </c>
      <c r="I46" s="19"/>
      <c r="J46" s="9" t="s">
        <v>8</v>
      </c>
    </row>
    <row r="47" spans="1:14" ht="21.6" customHeight="1" thickTop="1" thickBot="1" x14ac:dyDescent="0.3">
      <c r="A47" s="1073"/>
      <c r="B47" s="15"/>
      <c r="C47" s="15"/>
      <c r="D47" s="7"/>
      <c r="E47" s="31" t="s">
        <v>37</v>
      </c>
      <c r="F47" s="31" t="s">
        <v>38</v>
      </c>
      <c r="G47" s="31" t="s">
        <v>39</v>
      </c>
      <c r="H47" s="8" t="s">
        <v>8</v>
      </c>
      <c r="I47" s="19"/>
      <c r="J47" s="20" t="s">
        <v>8</v>
      </c>
      <c r="M47" s="227" t="s">
        <v>1064</v>
      </c>
      <c r="N47" s="160" t="s">
        <v>1797</v>
      </c>
    </row>
    <row r="48" spans="1:14" ht="21.6" customHeight="1" thickTop="1" thickBot="1" x14ac:dyDescent="0.3">
      <c r="A48" s="597" t="s">
        <v>231</v>
      </c>
      <c r="B48" s="1074" t="s">
        <v>45</v>
      </c>
      <c r="C48" s="1075"/>
      <c r="D48" s="1076"/>
      <c r="E48" s="791">
        <v>0.1</v>
      </c>
      <c r="F48" s="788">
        <f>ROUND(SUM(E18:H18)*E48,2)</f>
        <v>540.52</v>
      </c>
      <c r="G48" s="33">
        <f>'Crew Mix'!I12</f>
        <v>112.52</v>
      </c>
      <c r="H48" s="34">
        <f>ROUNDUP(SUM(F48*G48),2)</f>
        <v>60819.32</v>
      </c>
      <c r="I48" s="19"/>
      <c r="J48" s="20" t="s">
        <v>8</v>
      </c>
      <c r="L48" t="s">
        <v>46</v>
      </c>
      <c r="N48" s="791">
        <v>0.1</v>
      </c>
    </row>
    <row r="49" spans="1:14" ht="21.6" customHeight="1" thickTop="1" thickBot="1" x14ac:dyDescent="0.3">
      <c r="A49" s="400" t="s">
        <v>232</v>
      </c>
      <c r="B49" s="1066" t="s">
        <v>1774</v>
      </c>
      <c r="C49" s="1067"/>
      <c r="D49" s="1068"/>
      <c r="E49" s="791">
        <v>0.15</v>
      </c>
      <c r="F49" s="789">
        <f>ROUND(SUM(E49*E18),2)</f>
        <v>0</v>
      </c>
      <c r="G49" s="33">
        <f>'Crew Mix'!I138</f>
        <v>134.26</v>
      </c>
      <c r="H49" s="35">
        <f>ROUNDUP(SUM(F49*G49),2)</f>
        <v>0</v>
      </c>
      <c r="I49" s="19"/>
      <c r="J49" s="20" t="s">
        <v>8</v>
      </c>
      <c r="L49" t="s">
        <v>46</v>
      </c>
      <c r="N49" s="791">
        <v>0.15</v>
      </c>
    </row>
    <row r="50" spans="1:14" ht="21.6" customHeight="1" thickTop="1" thickBot="1" x14ac:dyDescent="0.3">
      <c r="A50" s="400" t="s">
        <v>233</v>
      </c>
      <c r="B50" s="1066" t="s">
        <v>1775</v>
      </c>
      <c r="C50" s="1067"/>
      <c r="D50" s="1068"/>
      <c r="E50" s="791">
        <v>0.15</v>
      </c>
      <c r="F50" s="789">
        <f>ROUND(SUM(E50*F18),2)</f>
        <v>0</v>
      </c>
      <c r="G50" s="33">
        <f>'Crew Mix'!I138</f>
        <v>134.26</v>
      </c>
      <c r="H50" s="35">
        <f>ROUNDUP(SUM(F50*G50),2)</f>
        <v>0</v>
      </c>
      <c r="I50" s="19"/>
      <c r="J50" s="20"/>
      <c r="L50" t="s">
        <v>46</v>
      </c>
      <c r="N50" s="791">
        <v>0.15</v>
      </c>
    </row>
    <row r="51" spans="1:14" ht="21.6" customHeight="1" thickTop="1" thickBot="1" x14ac:dyDescent="0.3">
      <c r="A51" s="400" t="s">
        <v>1409</v>
      </c>
      <c r="B51" s="1066" t="s">
        <v>1772</v>
      </c>
      <c r="C51" s="1067"/>
      <c r="D51" s="1068"/>
      <c r="E51" s="791">
        <v>0</v>
      </c>
      <c r="F51" s="789">
        <f>ROUND(SUM(E51*G18),2)</f>
        <v>0</v>
      </c>
      <c r="G51" s="33">
        <f>'Crew Mix'!I13</f>
        <v>109.28</v>
      </c>
      <c r="H51" s="35">
        <f>ROUNDUP(SUM(F51*G51),2)</f>
        <v>0</v>
      </c>
      <c r="I51" s="19"/>
      <c r="J51" s="20" t="s">
        <v>8</v>
      </c>
      <c r="L51" t="s">
        <v>46</v>
      </c>
      <c r="N51" s="791">
        <v>0</v>
      </c>
    </row>
    <row r="52" spans="1:14" ht="21.6" customHeight="1" thickTop="1" thickBot="1" x14ac:dyDescent="0.3">
      <c r="A52" s="400" t="s">
        <v>234</v>
      </c>
      <c r="B52" s="1066" t="s">
        <v>235</v>
      </c>
      <c r="C52" s="1067"/>
      <c r="D52" s="1068"/>
      <c r="E52" s="791">
        <v>0.15</v>
      </c>
      <c r="F52" s="790">
        <f>ROUND(SUM(E52*G18),2)</f>
        <v>731.33</v>
      </c>
      <c r="G52" s="33">
        <f>'Crew Mix'!I13</f>
        <v>109.28</v>
      </c>
      <c r="H52" s="35">
        <f>SUM(F52*G52)</f>
        <v>79919.742400000003</v>
      </c>
      <c r="I52" s="19"/>
      <c r="J52" s="20" t="s">
        <v>8</v>
      </c>
      <c r="L52" t="s">
        <v>46</v>
      </c>
      <c r="N52" s="791">
        <v>0.15</v>
      </c>
    </row>
    <row r="53" spans="1:14" ht="21.6" customHeight="1" thickBot="1" x14ac:dyDescent="0.3">
      <c r="A53" s="400" t="s">
        <v>1376</v>
      </c>
      <c r="B53" s="1063" t="s">
        <v>34</v>
      </c>
      <c r="C53" s="1064"/>
      <c r="D53" s="1065"/>
      <c r="E53" s="32" t="s">
        <v>8</v>
      </c>
      <c r="F53" s="8" t="s">
        <v>8</v>
      </c>
      <c r="G53" s="8"/>
      <c r="H53" s="36">
        <f>J130</f>
        <v>0</v>
      </c>
      <c r="I53" s="19"/>
      <c r="J53" s="20" t="s">
        <v>8</v>
      </c>
      <c r="L53" t="s">
        <v>1551</v>
      </c>
    </row>
    <row r="54" spans="1:14" ht="21.6" customHeight="1" thickTop="1" thickBot="1" x14ac:dyDescent="0.3">
      <c r="A54" s="598" t="s">
        <v>36</v>
      </c>
      <c r="B54" s="1077" t="s">
        <v>35</v>
      </c>
      <c r="C54" s="1078"/>
      <c r="D54" s="1079"/>
      <c r="E54" s="32"/>
      <c r="F54" s="8" t="s">
        <v>8</v>
      </c>
      <c r="G54" s="8"/>
      <c r="H54" s="37">
        <f>H107</f>
        <v>15926.76</v>
      </c>
      <c r="I54" s="38">
        <f>IF(SUM(H53:H54)=0,1,SUM(H53:H54)/H59)</f>
        <v>1.0324636019480556E-2</v>
      </c>
      <c r="J54" s="39" t="s">
        <v>88</v>
      </c>
      <c r="L54" t="s">
        <v>51</v>
      </c>
    </row>
    <row r="55" spans="1:14" ht="21.6" customHeight="1" thickTop="1" thickBot="1" x14ac:dyDescent="0.3">
      <c r="A55" s="14"/>
      <c r="B55" s="15"/>
      <c r="C55" s="1069" t="s">
        <v>197</v>
      </c>
      <c r="D55" s="1070"/>
      <c r="E55" s="1070"/>
      <c r="F55" s="1071"/>
      <c r="G55" s="8"/>
      <c r="H55" s="1121" t="s">
        <v>1405</v>
      </c>
      <c r="I55" s="1122"/>
      <c r="J55" s="40">
        <f>SUM(H48:H54)</f>
        <v>156665.8224</v>
      </c>
    </row>
    <row r="56" spans="1:14" ht="21.6" customHeight="1" thickTop="1" thickBot="1" x14ac:dyDescent="0.3">
      <c r="A56" s="14"/>
      <c r="B56" s="1024" t="s">
        <v>1816</v>
      </c>
      <c r="C56" s="1025"/>
      <c r="D56" s="1024" t="s">
        <v>1531</v>
      </c>
      <c r="E56" s="1025"/>
      <c r="F56" s="1026" t="s">
        <v>17</v>
      </c>
      <c r="G56" s="1027"/>
      <c r="H56" s="19"/>
      <c r="I56" s="19"/>
      <c r="J56" s="116"/>
    </row>
    <row r="57" spans="1:14" ht="21.6" customHeight="1" thickBot="1" x14ac:dyDescent="0.3">
      <c r="A57" s="14"/>
      <c r="B57" s="1028">
        <f>ABS(SUM(WorkRecovery_Pipe))*-1</f>
        <v>0</v>
      </c>
      <c r="C57" s="1029"/>
      <c r="D57" s="1028">
        <f>ABS(SUM(WorkRecovery_Arch))*-1</f>
        <v>0</v>
      </c>
      <c r="E57" s="1029"/>
      <c r="F57" s="1029">
        <f>ABS(SUM(WorkRecovery_SM))*-1</f>
        <v>0</v>
      </c>
      <c r="G57" s="1030"/>
      <c r="H57" s="19"/>
      <c r="I57" s="19"/>
      <c r="J57" s="116"/>
    </row>
    <row r="58" spans="1:14" ht="21.6" customHeight="1" thickTop="1" thickBot="1" x14ac:dyDescent="0.3">
      <c r="A58" s="14"/>
      <c r="B58" s="15"/>
      <c r="C58" s="15"/>
      <c r="D58" s="12"/>
      <c r="E58" s="12"/>
      <c r="F58" s="12"/>
      <c r="G58" s="12"/>
      <c r="H58" s="8"/>
      <c r="I58" s="19"/>
      <c r="J58" s="116"/>
    </row>
    <row r="59" spans="1:14" ht="21.6" customHeight="1" thickTop="1" thickBot="1" x14ac:dyDescent="0.3">
      <c r="A59" s="14"/>
      <c r="B59" s="15"/>
      <c r="C59" s="15"/>
      <c r="D59" s="7"/>
      <c r="E59" s="1031" t="s">
        <v>50</v>
      </c>
      <c r="F59" s="1026"/>
      <c r="G59" s="1032"/>
      <c r="H59" s="41">
        <f>SUM(J55+J45+J27+J31)</f>
        <v>1542597.7216</v>
      </c>
      <c r="I59" s="497" t="s">
        <v>1092</v>
      </c>
      <c r="J59" s="497" t="s">
        <v>47</v>
      </c>
    </row>
    <row r="60" spans="1:14" ht="21.6" customHeight="1" thickTop="1" thickBot="1" x14ac:dyDescent="0.35">
      <c r="A60" s="14"/>
      <c r="B60" s="15"/>
      <c r="C60" s="15"/>
      <c r="D60" s="7"/>
      <c r="E60" s="1053" t="s">
        <v>41</v>
      </c>
      <c r="F60" s="1061"/>
      <c r="G60" s="495">
        <v>0.1</v>
      </c>
      <c r="H60" s="498">
        <f>ROUNDUP(SUM(G60*J45),0)</f>
        <v>0</v>
      </c>
      <c r="I60" s="1150">
        <f>IF(H62=0,0,(H62+H61+H60)/$H$70)</f>
        <v>0.2439415429754499</v>
      </c>
      <c r="J60" s="1150">
        <f>IF(SUM(E11:H11)=0,0,SUM((H62+H61+H60)/$J$27))</f>
        <v>0.94434479176547215</v>
      </c>
      <c r="K60" s="123">
        <v>2</v>
      </c>
    </row>
    <row r="61" spans="1:14" ht="21.6" customHeight="1" thickTop="1" thickBot="1" x14ac:dyDescent="0.35">
      <c r="A61" s="14"/>
      <c r="B61" s="15"/>
      <c r="C61" s="15"/>
      <c r="D61" s="7"/>
      <c r="E61" s="1053" t="s">
        <v>1372</v>
      </c>
      <c r="F61" s="1061"/>
      <c r="G61" s="496">
        <v>0.1</v>
      </c>
      <c r="H61" s="498">
        <f>EMO!E12</f>
        <v>0</v>
      </c>
      <c r="I61" s="1151"/>
      <c r="J61" s="1151"/>
    </row>
    <row r="62" spans="1:14" ht="34.5" customHeight="1" thickTop="1" thickBot="1" x14ac:dyDescent="0.3">
      <c r="A62" s="14"/>
      <c r="B62" s="15"/>
      <c r="C62" s="15"/>
      <c r="D62" s="7"/>
      <c r="E62" s="1058" t="s">
        <v>1373</v>
      </c>
      <c r="F62" s="1059"/>
      <c r="G62" s="496">
        <v>0.32500000000000001</v>
      </c>
      <c r="H62" s="499">
        <f>ROUNDUP((G62*(H59-J45))-EMO!E6,0)</f>
        <v>501345</v>
      </c>
      <c r="I62" s="1152"/>
      <c r="J62" s="1152"/>
      <c r="M62" t="str">
        <f>IF(EMO!E18&gt;0,"Markup has been reduced by $" &amp; EMO!E18 &amp; " due to EMO","")</f>
        <v/>
      </c>
    </row>
    <row r="63" spans="1:14" ht="21.6" customHeight="1" thickBot="1" x14ac:dyDescent="0.3">
      <c r="A63" s="14"/>
      <c r="B63" s="15"/>
      <c r="C63" s="15"/>
      <c r="D63" s="7"/>
      <c r="E63" s="1053" t="s">
        <v>42</v>
      </c>
      <c r="F63" s="1054"/>
      <c r="G63" s="1060"/>
      <c r="H63" s="42">
        <f>SUM(H59:H62)</f>
        <v>2043942.7216</v>
      </c>
      <c r="I63" s="19"/>
      <c r="J63" s="20" t="s">
        <v>8</v>
      </c>
    </row>
    <row r="64" spans="1:14" ht="21.6" customHeight="1" thickBot="1" x14ac:dyDescent="0.3">
      <c r="A64" s="14"/>
      <c r="B64" s="15"/>
      <c r="C64" s="15"/>
      <c r="D64" s="7"/>
      <c r="E64" s="1053" t="s">
        <v>40</v>
      </c>
      <c r="F64" s="1054"/>
      <c r="G64" s="1054"/>
      <c r="H64" s="43">
        <f>SUM(B57:G57)</f>
        <v>0</v>
      </c>
      <c r="I64" s="19"/>
      <c r="J64" s="20" t="s">
        <v>8</v>
      </c>
      <c r="L64" s="250" t="s">
        <v>1078</v>
      </c>
      <c r="M64" s="130"/>
    </row>
    <row r="65" spans="1:16" ht="21.6" customHeight="1" thickTop="1" thickBot="1" x14ac:dyDescent="0.3">
      <c r="A65" s="1035" t="s">
        <v>91</v>
      </c>
      <c r="B65" s="1036"/>
      <c r="C65" s="15"/>
      <c r="D65" s="7"/>
      <c r="E65" s="1053" t="s">
        <v>1374</v>
      </c>
      <c r="F65" s="1054"/>
      <c r="G65" s="1054"/>
      <c r="H65" s="500"/>
      <c r="I65" s="19"/>
      <c r="J65" s="20" t="s">
        <v>8</v>
      </c>
      <c r="L65" s="1147"/>
      <c r="M65" s="1148"/>
    </row>
    <row r="66" spans="1:16" ht="21.6" customHeight="1" thickBot="1" x14ac:dyDescent="0.3">
      <c r="A66" s="1142" t="s">
        <v>1214</v>
      </c>
      <c r="B66" s="1143"/>
      <c r="C66" s="15"/>
      <c r="D66" s="7"/>
      <c r="E66" s="1053" t="s">
        <v>43</v>
      </c>
      <c r="F66" s="1054"/>
      <c r="G66" s="1054"/>
      <c r="H66" s="42">
        <f>IF(Bond_Req="Yes",Bond,0)</f>
        <v>0</v>
      </c>
      <c r="I66" s="19"/>
      <c r="J66" s="20" t="s">
        <v>8</v>
      </c>
      <c r="L66" s="1147"/>
      <c r="M66" s="1148"/>
    </row>
    <row r="67" spans="1:16" ht="21.6" customHeight="1" thickTop="1" thickBot="1" x14ac:dyDescent="0.3">
      <c r="A67" s="14"/>
      <c r="B67" s="15"/>
      <c r="C67" s="15"/>
      <c r="D67" s="7"/>
      <c r="E67" s="1053" t="s">
        <v>54</v>
      </c>
      <c r="F67" s="1054"/>
      <c r="G67" s="1054"/>
      <c r="H67" s="504">
        <f>J83</f>
        <v>0</v>
      </c>
      <c r="I67" s="19"/>
      <c r="J67" s="20"/>
      <c r="L67" s="1147"/>
      <c r="M67" s="1148"/>
    </row>
    <row r="68" spans="1:16" ht="21.6" customHeight="1" thickBot="1" x14ac:dyDescent="0.3">
      <c r="A68" s="14"/>
      <c r="B68" s="15"/>
      <c r="C68" s="15"/>
      <c r="D68" s="7"/>
      <c r="E68" s="1090" t="s">
        <v>1649</v>
      </c>
      <c r="F68" s="1052"/>
      <c r="G68" s="1052"/>
      <c r="H68" s="730">
        <f>SUM(H63:H67)*I68</f>
        <v>11241.6849688</v>
      </c>
      <c r="I68" s="731">
        <f>IF(E68="Oregon CAT Tax", 0.004,IF(E68="Washington B&amp;O Tax", 0.00484,0))+0.0015</f>
        <v>5.4999999999999997E-3</v>
      </c>
      <c r="J68" s="20"/>
      <c r="L68" s="1147" t="s">
        <v>1650</v>
      </c>
      <c r="M68" s="1148"/>
    </row>
    <row r="69" spans="1:16" ht="21.6" customHeight="1" thickBot="1" x14ac:dyDescent="0.3">
      <c r="A69" s="14"/>
      <c r="B69" s="15"/>
      <c r="C69" s="15"/>
      <c r="D69" s="7"/>
      <c r="E69" s="1055" t="s">
        <v>1534</v>
      </c>
      <c r="F69" s="1056"/>
      <c r="G69" s="1056"/>
      <c r="H69" s="602">
        <f>(ROUNDUP(SUM(H63:H68)/5,0)*5)-SUM(H63:H68)+I69</f>
        <v>0.59343119990080595</v>
      </c>
      <c r="I69" s="601"/>
      <c r="J69" s="20" t="s">
        <v>8</v>
      </c>
      <c r="L69" s="1147"/>
      <c r="M69" s="1148"/>
    </row>
    <row r="70" spans="1:16" ht="22.5" thickTop="1" thickBot="1" x14ac:dyDescent="0.4">
      <c r="A70" s="10"/>
      <c r="B70" s="16"/>
      <c r="C70" s="16"/>
      <c r="D70" s="600"/>
      <c r="E70" s="1057" t="s">
        <v>1406</v>
      </c>
      <c r="F70" s="1057"/>
      <c r="G70" s="1057"/>
      <c r="H70" s="40">
        <f>SUM(H63:H69)</f>
        <v>2055185</v>
      </c>
      <c r="I70" s="599"/>
      <c r="J70" s="17" t="s">
        <v>8</v>
      </c>
      <c r="N70" s="746">
        <v>2055185</v>
      </c>
      <c r="O70" s="747">
        <v>45982.294340277775</v>
      </c>
      <c r="P70" s="746">
        <f>Info_Total_Bid-Info_Total_Bid_Stored</f>
        <v>0</v>
      </c>
    </row>
    <row r="71" spans="1:16" ht="14.25" thickTop="1" thickBot="1" x14ac:dyDescent="0.25"/>
    <row r="72" spans="1:16" ht="17.25" thickTop="1" thickBot="1" x14ac:dyDescent="0.3">
      <c r="A72" s="117"/>
      <c r="B72" s="113"/>
      <c r="C72" s="113"/>
      <c r="D72" s="113"/>
      <c r="E72" s="113"/>
      <c r="F72" s="113"/>
      <c r="G72" s="113"/>
      <c r="H72" s="113"/>
      <c r="I72" s="113"/>
      <c r="J72" s="114"/>
    </row>
    <row r="73" spans="1:16" ht="19.5" customHeight="1" thickTop="1" thickBot="1" x14ac:dyDescent="0.35">
      <c r="A73" s="118"/>
      <c r="B73" s="115"/>
      <c r="C73" s="115"/>
      <c r="D73" s="1081" t="s">
        <v>53</v>
      </c>
      <c r="E73" s="1082"/>
      <c r="F73" s="1082"/>
      <c r="G73" s="1082"/>
      <c r="H73" s="1083"/>
      <c r="I73" s="115"/>
      <c r="J73" s="116"/>
    </row>
    <row r="74" spans="1:16" ht="17.25" customHeight="1" thickTop="1" thickBot="1" x14ac:dyDescent="0.3">
      <c r="A74" s="118"/>
      <c r="B74" s="115"/>
      <c r="C74" s="115"/>
      <c r="D74" s="115"/>
      <c r="E74" s="115"/>
      <c r="F74" s="115"/>
      <c r="G74" s="115"/>
      <c r="H74" s="115"/>
      <c r="I74" s="115"/>
      <c r="J74" s="116"/>
    </row>
    <row r="75" spans="1:16" ht="18.95" customHeight="1" thickTop="1" thickBot="1" x14ac:dyDescent="0.3">
      <c r="A75" s="1085" t="s">
        <v>15</v>
      </c>
      <c r="B75" s="115"/>
      <c r="C75" s="115"/>
      <c r="D75" s="115"/>
      <c r="E75" s="115"/>
      <c r="F75" s="115"/>
      <c r="G75" s="115"/>
      <c r="H75" s="115"/>
      <c r="I75" s="115"/>
      <c r="J75" s="116"/>
    </row>
    <row r="76" spans="1:16" ht="18.95" customHeight="1" thickTop="1" thickBot="1" x14ac:dyDescent="0.3">
      <c r="A76" s="1086"/>
      <c r="B76" s="1037" t="s">
        <v>0</v>
      </c>
      <c r="C76" s="1038"/>
      <c r="D76" s="1039"/>
      <c r="E76" s="44" t="s">
        <v>77</v>
      </c>
      <c r="F76" s="44" t="s">
        <v>77</v>
      </c>
      <c r="G76" s="44" t="s">
        <v>68</v>
      </c>
      <c r="H76" s="44" t="s">
        <v>89</v>
      </c>
      <c r="I76" s="1049" t="s">
        <v>69</v>
      </c>
      <c r="J76" s="1049"/>
      <c r="L76" s="250" t="s">
        <v>1078</v>
      </c>
      <c r="M76" s="130"/>
    </row>
    <row r="77" spans="1:16" ht="21" customHeight="1" thickTop="1" thickBot="1" x14ac:dyDescent="0.3">
      <c r="A77" s="90" t="s">
        <v>236</v>
      </c>
      <c r="B77" s="1087" t="s">
        <v>54</v>
      </c>
      <c r="C77" s="1088"/>
      <c r="D77" s="1088"/>
      <c r="E77" s="1088"/>
      <c r="F77" s="1088"/>
      <c r="G77" s="1088"/>
      <c r="H77" s="1089"/>
      <c r="I77" s="503" t="s">
        <v>16</v>
      </c>
      <c r="J77" s="197">
        <v>0</v>
      </c>
      <c r="L77" s="1147"/>
      <c r="M77" s="1148"/>
    </row>
    <row r="78" spans="1:16" ht="21" customHeight="1" thickTop="1" thickBot="1" x14ac:dyDescent="0.3">
      <c r="A78" s="90" t="s">
        <v>437</v>
      </c>
      <c r="B78" s="1044" t="s">
        <v>76</v>
      </c>
      <c r="C78" s="1041"/>
      <c r="D78" s="1041"/>
      <c r="E78" s="1041"/>
      <c r="F78" s="125"/>
      <c r="G78" s="198">
        <v>0</v>
      </c>
      <c r="H78" s="768">
        <f>ROUND(J31*G78,2)</f>
        <v>0</v>
      </c>
      <c r="I78" s="762" t="s">
        <v>70</v>
      </c>
      <c r="J78" s="197">
        <v>0</v>
      </c>
      <c r="L78" s="1147"/>
      <c r="M78" s="1148"/>
    </row>
    <row r="79" spans="1:16" ht="21" customHeight="1" thickTop="1" thickBot="1" x14ac:dyDescent="0.3">
      <c r="A79" s="90" t="s">
        <v>442</v>
      </c>
      <c r="B79" s="1033" t="s">
        <v>1639</v>
      </c>
      <c r="C79" s="1034"/>
      <c r="D79" s="1034"/>
      <c r="E79" s="1034"/>
      <c r="F79" s="126"/>
      <c r="G79" s="199">
        <v>0.03</v>
      </c>
      <c r="H79" s="768">
        <f>ROUND(I25*G79,2)</f>
        <v>15926.76</v>
      </c>
      <c r="I79" s="762" t="s">
        <v>71</v>
      </c>
      <c r="J79" s="197">
        <v>0</v>
      </c>
      <c r="L79" s="1147"/>
      <c r="M79" s="1148"/>
    </row>
    <row r="80" spans="1:16" ht="21" customHeight="1" thickTop="1" thickBot="1" x14ac:dyDescent="0.3">
      <c r="A80" s="90" t="s">
        <v>450</v>
      </c>
      <c r="B80" s="1040" t="s">
        <v>1566</v>
      </c>
      <c r="C80" s="1041"/>
      <c r="D80" s="1041"/>
      <c r="E80" s="1084"/>
      <c r="F80" s="127"/>
      <c r="G80" s="199">
        <v>0</v>
      </c>
      <c r="H80" s="768">
        <f>ROUND(J27*G80,2)</f>
        <v>0</v>
      </c>
      <c r="I80" s="762" t="s">
        <v>72</v>
      </c>
      <c r="J80" s="197">
        <v>0</v>
      </c>
      <c r="L80" s="1147"/>
      <c r="M80" s="1148"/>
    </row>
    <row r="81" spans="1:13" ht="21" customHeight="1" thickTop="1" thickBot="1" x14ac:dyDescent="0.3">
      <c r="A81" s="90" t="s">
        <v>435</v>
      </c>
      <c r="B81" s="1040" t="s">
        <v>1533</v>
      </c>
      <c r="C81" s="1041"/>
      <c r="D81" s="1045"/>
      <c r="E81" s="201"/>
      <c r="F81" s="603"/>
      <c r="G81" s="753">
        <f>'Crew Mix'!I16</f>
        <v>78.56</v>
      </c>
      <c r="H81" s="768">
        <f>ROUND(Trucking_Loads*Trucking_Hrs*Trucking_Rate,2)</f>
        <v>0</v>
      </c>
      <c r="I81" s="762" t="s">
        <v>73</v>
      </c>
      <c r="J81" s="197">
        <v>0</v>
      </c>
      <c r="L81" s="1147"/>
      <c r="M81" s="1148"/>
    </row>
    <row r="82" spans="1:13" ht="21" customHeight="1" thickTop="1" thickBot="1" x14ac:dyDescent="0.3">
      <c r="A82" s="90" t="s">
        <v>441</v>
      </c>
      <c r="B82" s="1040" t="s">
        <v>55</v>
      </c>
      <c r="C82" s="1041"/>
      <c r="D82" s="1041"/>
      <c r="E82" s="1045"/>
      <c r="F82" s="202"/>
      <c r="G82" s="200">
        <v>0</v>
      </c>
      <c r="H82" s="768">
        <f>ROUND(F82*G82,2)</f>
        <v>0</v>
      </c>
      <c r="I82" s="763" t="s">
        <v>1389</v>
      </c>
      <c r="J82" s="502">
        <f>Permits!S1</f>
        <v>0</v>
      </c>
      <c r="K82" s="327"/>
      <c r="L82" s="1147"/>
      <c r="M82" s="1148"/>
    </row>
    <row r="83" spans="1:13" ht="21" customHeight="1" thickTop="1" thickBot="1" x14ac:dyDescent="0.35">
      <c r="A83" s="90" t="s">
        <v>441</v>
      </c>
      <c r="B83" s="1040" t="s">
        <v>56</v>
      </c>
      <c r="C83" s="1041"/>
      <c r="D83" s="1041"/>
      <c r="E83" s="1045"/>
      <c r="F83" s="202"/>
      <c r="G83" s="200">
        <v>0</v>
      </c>
      <c r="H83" s="768">
        <f t="shared" ref="H83:H105" si="3">ROUND(F83*G83,2)</f>
        <v>0</v>
      </c>
      <c r="I83" s="764" t="s">
        <v>75</v>
      </c>
      <c r="J83" s="45">
        <f>SUM(J77:J82)</f>
        <v>0</v>
      </c>
      <c r="L83" s="1147"/>
      <c r="M83" s="1148"/>
    </row>
    <row r="84" spans="1:13" ht="21" customHeight="1" thickTop="1" thickBot="1" x14ac:dyDescent="0.3">
      <c r="A84" s="90" t="s">
        <v>452</v>
      </c>
      <c r="B84" s="1040" t="s">
        <v>57</v>
      </c>
      <c r="C84" s="1041"/>
      <c r="D84" s="1041"/>
      <c r="E84" s="1045"/>
      <c r="F84" s="202"/>
      <c r="G84" s="200">
        <v>0</v>
      </c>
      <c r="H84" s="768">
        <f t="shared" si="3"/>
        <v>0</v>
      </c>
      <c r="I84" s="115"/>
      <c r="J84" s="491"/>
      <c r="L84" s="1147"/>
      <c r="M84" s="1148"/>
    </row>
    <row r="85" spans="1:13" ht="21" customHeight="1" thickTop="1" thickBot="1" x14ac:dyDescent="0.3">
      <c r="A85" s="90" t="s">
        <v>437</v>
      </c>
      <c r="B85" s="1040" t="s">
        <v>58</v>
      </c>
      <c r="C85" s="1041"/>
      <c r="D85" s="1041"/>
      <c r="E85" s="1045"/>
      <c r="F85" s="202"/>
      <c r="G85" s="200">
        <v>0</v>
      </c>
      <c r="H85" s="768">
        <f t="shared" si="3"/>
        <v>0</v>
      </c>
      <c r="I85" s="115"/>
      <c r="J85" s="492"/>
      <c r="L85" s="1147"/>
      <c r="M85" s="1148"/>
    </row>
    <row r="86" spans="1:13" ht="21" customHeight="1" thickTop="1" thickBot="1" x14ac:dyDescent="0.3">
      <c r="A86" s="90" t="s">
        <v>445</v>
      </c>
      <c r="B86" s="1040" t="s">
        <v>59</v>
      </c>
      <c r="C86" s="1041"/>
      <c r="D86" s="1041"/>
      <c r="E86" s="1045"/>
      <c r="F86" s="202"/>
      <c r="G86" s="200">
        <v>0</v>
      </c>
      <c r="H86" s="768">
        <f t="shared" si="3"/>
        <v>0</v>
      </c>
      <c r="I86" s="115"/>
      <c r="J86" s="492"/>
      <c r="L86" s="1147"/>
      <c r="M86" s="1148"/>
    </row>
    <row r="87" spans="1:13" ht="21" customHeight="1" thickTop="1" thickBot="1" x14ac:dyDescent="0.3">
      <c r="A87" s="90" t="s">
        <v>454</v>
      </c>
      <c r="B87" s="1040" t="s">
        <v>60</v>
      </c>
      <c r="C87" s="1041"/>
      <c r="D87" s="1041"/>
      <c r="E87" s="1045"/>
      <c r="F87" s="202"/>
      <c r="G87" s="200">
        <v>0</v>
      </c>
      <c r="H87" s="768">
        <f t="shared" si="3"/>
        <v>0</v>
      </c>
      <c r="I87" s="115"/>
      <c r="J87" s="492"/>
      <c r="L87" s="1147"/>
      <c r="M87" s="1148"/>
    </row>
    <row r="88" spans="1:13" ht="21" customHeight="1" thickTop="1" thickBot="1" x14ac:dyDescent="0.3">
      <c r="A88" s="90" t="s">
        <v>451</v>
      </c>
      <c r="B88" s="1040" t="s">
        <v>61</v>
      </c>
      <c r="C88" s="1041"/>
      <c r="D88" s="1041"/>
      <c r="E88" s="1045"/>
      <c r="F88" s="202"/>
      <c r="G88" s="200">
        <v>0</v>
      </c>
      <c r="H88" s="768">
        <f t="shared" si="3"/>
        <v>0</v>
      </c>
      <c r="I88" s="115"/>
      <c r="J88" s="492"/>
      <c r="L88" s="1147"/>
      <c r="M88" s="1148"/>
    </row>
    <row r="89" spans="1:13" ht="21" customHeight="1" thickTop="1" thickBot="1" x14ac:dyDescent="0.3">
      <c r="A89" s="90" t="s">
        <v>438</v>
      </c>
      <c r="B89" s="1040" t="s">
        <v>62</v>
      </c>
      <c r="C89" s="1041"/>
      <c r="D89" s="1041"/>
      <c r="E89" s="1045"/>
      <c r="F89" s="202"/>
      <c r="G89" s="200">
        <v>0</v>
      </c>
      <c r="H89" s="768">
        <f t="shared" si="3"/>
        <v>0</v>
      </c>
      <c r="I89" s="115"/>
      <c r="J89" s="492"/>
      <c r="L89" s="1147"/>
      <c r="M89" s="1148"/>
    </row>
    <row r="90" spans="1:13" ht="21" customHeight="1" thickTop="1" thickBot="1" x14ac:dyDescent="0.3">
      <c r="A90" s="90" t="s">
        <v>439</v>
      </c>
      <c r="B90" s="1040" t="s">
        <v>63</v>
      </c>
      <c r="C90" s="1041"/>
      <c r="D90" s="1041"/>
      <c r="E90" s="1045"/>
      <c r="F90" s="202"/>
      <c r="G90" s="200">
        <v>0</v>
      </c>
      <c r="H90" s="768">
        <f t="shared" si="3"/>
        <v>0</v>
      </c>
      <c r="I90" s="115"/>
      <c r="J90" s="492"/>
      <c r="L90" s="1147"/>
      <c r="M90" s="1148"/>
    </row>
    <row r="91" spans="1:13" ht="21" customHeight="1" thickTop="1" thickBot="1" x14ac:dyDescent="0.3">
      <c r="A91" s="90" t="s">
        <v>9</v>
      </c>
      <c r="B91" s="1040" t="s">
        <v>64</v>
      </c>
      <c r="C91" s="1041"/>
      <c r="D91" s="1041"/>
      <c r="E91" s="1045"/>
      <c r="F91" s="202"/>
      <c r="G91" s="200">
        <v>0</v>
      </c>
      <c r="H91" s="768">
        <f t="shared" si="3"/>
        <v>0</v>
      </c>
      <c r="I91" s="115"/>
      <c r="J91" s="492"/>
      <c r="L91" s="1147"/>
      <c r="M91" s="1148"/>
    </row>
    <row r="92" spans="1:13" ht="21" customHeight="1" thickTop="1" thickBot="1" x14ac:dyDescent="0.3">
      <c r="A92" s="90" t="s">
        <v>451</v>
      </c>
      <c r="B92" s="1040" t="s">
        <v>1535</v>
      </c>
      <c r="C92" s="1041"/>
      <c r="D92" s="1041"/>
      <c r="E92" s="1045"/>
      <c r="F92" s="202"/>
      <c r="G92" s="200">
        <v>0</v>
      </c>
      <c r="H92" s="768">
        <f t="shared" si="3"/>
        <v>0</v>
      </c>
      <c r="I92" s="115"/>
      <c r="J92" s="492"/>
      <c r="L92" s="1147"/>
      <c r="M92" s="1148"/>
    </row>
    <row r="93" spans="1:13" ht="21" customHeight="1" thickTop="1" thickBot="1" x14ac:dyDescent="0.3">
      <c r="A93" s="90" t="s">
        <v>451</v>
      </c>
      <c r="B93" s="1040" t="s">
        <v>1536</v>
      </c>
      <c r="C93" s="1041"/>
      <c r="D93" s="1041"/>
      <c r="E93" s="1045"/>
      <c r="F93" s="202"/>
      <c r="G93" s="200">
        <v>0</v>
      </c>
      <c r="H93" s="768">
        <f t="shared" si="3"/>
        <v>0</v>
      </c>
      <c r="I93" s="115"/>
      <c r="J93" s="492"/>
      <c r="L93" s="1147"/>
      <c r="M93" s="1148"/>
    </row>
    <row r="94" spans="1:13" ht="21" customHeight="1" thickTop="1" thickBot="1" x14ac:dyDescent="0.3">
      <c r="A94" s="90" t="s">
        <v>451</v>
      </c>
      <c r="B94" s="1040" t="s">
        <v>65</v>
      </c>
      <c r="C94" s="1041"/>
      <c r="D94" s="1041"/>
      <c r="E94" s="1045"/>
      <c r="F94" s="202"/>
      <c r="G94" s="200">
        <v>0</v>
      </c>
      <c r="H94" s="768">
        <f t="shared" si="3"/>
        <v>0</v>
      </c>
      <c r="I94" s="115"/>
      <c r="J94" s="492"/>
      <c r="L94" s="1147"/>
      <c r="M94" s="1148"/>
    </row>
    <row r="95" spans="1:13" ht="21" customHeight="1" thickTop="1" thickBot="1" x14ac:dyDescent="0.3">
      <c r="A95" s="90" t="s">
        <v>451</v>
      </c>
      <c r="B95" s="1040" t="s">
        <v>66</v>
      </c>
      <c r="C95" s="1041"/>
      <c r="D95" s="1041"/>
      <c r="E95" s="1045"/>
      <c r="F95" s="202"/>
      <c r="G95" s="200">
        <v>0</v>
      </c>
      <c r="H95" s="768">
        <f t="shared" si="3"/>
        <v>0</v>
      </c>
      <c r="I95" s="115"/>
      <c r="J95" s="492"/>
      <c r="L95" s="1147"/>
      <c r="M95" s="1148"/>
    </row>
    <row r="96" spans="1:13" ht="21" customHeight="1" thickTop="1" thickBot="1" x14ac:dyDescent="0.3">
      <c r="A96" s="90" t="s">
        <v>431</v>
      </c>
      <c r="B96" s="1040" t="s">
        <v>67</v>
      </c>
      <c r="C96" s="1041"/>
      <c r="D96" s="1041"/>
      <c r="E96" s="1045"/>
      <c r="F96" s="202"/>
      <c r="G96" s="200">
        <v>0</v>
      </c>
      <c r="H96" s="768">
        <f t="shared" si="3"/>
        <v>0</v>
      </c>
      <c r="I96" s="115"/>
      <c r="J96" s="492"/>
      <c r="L96" s="1147"/>
      <c r="M96" s="1148"/>
    </row>
    <row r="97" spans="1:13" ht="21" customHeight="1" thickTop="1" thickBot="1" x14ac:dyDescent="0.3">
      <c r="A97" s="90" t="s">
        <v>410</v>
      </c>
      <c r="B97" s="1044" t="s">
        <v>299</v>
      </c>
      <c r="C97" s="1041"/>
      <c r="D97" s="1041"/>
      <c r="E97" s="1045"/>
      <c r="F97" s="202"/>
      <c r="G97" s="761">
        <f>'Crew Mix'!I14</f>
        <v>99.58</v>
      </c>
      <c r="H97" s="768">
        <f t="shared" si="3"/>
        <v>0</v>
      </c>
      <c r="I97" s="115"/>
      <c r="J97" s="492"/>
      <c r="L97" s="1147"/>
      <c r="M97" s="1148"/>
    </row>
    <row r="98" spans="1:13" ht="21" customHeight="1" thickTop="1" thickBot="1" x14ac:dyDescent="0.3">
      <c r="A98" s="90" t="s">
        <v>231</v>
      </c>
      <c r="B98" s="1044" t="s">
        <v>80</v>
      </c>
      <c r="C98" s="1041"/>
      <c r="D98" s="1041"/>
      <c r="E98" s="1045"/>
      <c r="F98" s="202"/>
      <c r="G98" s="814">
        <f>'Crew Mix'!I19</f>
        <v>53.11</v>
      </c>
      <c r="H98" s="768">
        <f t="shared" si="3"/>
        <v>0</v>
      </c>
      <c r="I98" s="115"/>
      <c r="J98" s="492"/>
      <c r="L98" s="1147"/>
      <c r="M98" s="1148"/>
    </row>
    <row r="99" spans="1:13" ht="21" customHeight="1" thickTop="1" thickBot="1" x14ac:dyDescent="0.3">
      <c r="A99" s="90" t="s">
        <v>447</v>
      </c>
      <c r="B99" s="1044" t="s">
        <v>74</v>
      </c>
      <c r="C99" s="1041"/>
      <c r="D99" s="1041"/>
      <c r="E99" s="1045"/>
      <c r="F99" s="202"/>
      <c r="G99" s="200">
        <v>0</v>
      </c>
      <c r="H99" s="768">
        <f t="shared" si="3"/>
        <v>0</v>
      </c>
      <c r="I99" s="115"/>
      <c r="J99" s="492"/>
      <c r="L99" s="1147"/>
      <c r="M99" s="1148"/>
    </row>
    <row r="100" spans="1:13" ht="21" customHeight="1" thickTop="1" thickBot="1" x14ac:dyDescent="0.3">
      <c r="A100" s="90" t="s">
        <v>434</v>
      </c>
      <c r="B100" s="1044" t="s">
        <v>78</v>
      </c>
      <c r="C100" s="1041"/>
      <c r="D100" s="1041"/>
      <c r="E100" s="1045"/>
      <c r="F100" s="202"/>
      <c r="G100" s="815">
        <f>'Crew Mix'!I19</f>
        <v>53.11</v>
      </c>
      <c r="H100" s="768">
        <f t="shared" si="3"/>
        <v>0</v>
      </c>
      <c r="I100" s="115"/>
      <c r="J100" s="492"/>
      <c r="L100" s="1147"/>
      <c r="M100" s="1148"/>
    </row>
    <row r="101" spans="1:13" ht="21" customHeight="1" thickTop="1" thickBot="1" x14ac:dyDescent="0.3">
      <c r="A101" s="90" t="str">
        <f>IF(B101="","","1-" &amp; INDEX('Phase Codes'!$A$4:$H$102,MATCH(B101,Codes_GC,0),1))</f>
        <v>1-10</v>
      </c>
      <c r="B101" s="1046" t="s">
        <v>195</v>
      </c>
      <c r="C101" s="1047"/>
      <c r="D101" s="1047"/>
      <c r="E101" s="1048"/>
      <c r="F101" s="202"/>
      <c r="G101" s="200">
        <v>0</v>
      </c>
      <c r="H101" s="768">
        <f t="shared" si="3"/>
        <v>0</v>
      </c>
      <c r="I101" s="115"/>
      <c r="J101" s="492"/>
      <c r="L101" s="1147"/>
      <c r="M101" s="1148"/>
    </row>
    <row r="102" spans="1:13" ht="21" customHeight="1" thickTop="1" thickBot="1" x14ac:dyDescent="0.3">
      <c r="A102" s="90" t="str">
        <f>IF(B102="","","1-" &amp; INDEX('Phase Codes'!$A$4:$H$102,MATCH(B102,Codes_GC,0),1))</f>
        <v>1-03</v>
      </c>
      <c r="B102" s="1040" t="s">
        <v>140</v>
      </c>
      <c r="C102" s="1041"/>
      <c r="D102" s="202"/>
      <c r="E102" s="202"/>
      <c r="F102" s="721">
        <f>D102*E102</f>
        <v>0</v>
      </c>
      <c r="G102" s="753">
        <f>'Crew Mix'!I12</f>
        <v>112.52</v>
      </c>
      <c r="H102" s="768">
        <f t="shared" si="3"/>
        <v>0</v>
      </c>
      <c r="I102" s="115"/>
      <c r="J102" s="492"/>
      <c r="L102" s="1147"/>
      <c r="M102" s="1148"/>
    </row>
    <row r="103" spans="1:13" ht="21" customHeight="1" thickTop="1" thickBot="1" x14ac:dyDescent="0.3">
      <c r="A103" s="90" t="str">
        <f>IF(B103="","","1-" &amp; INDEX('Phase Codes'!$A$4:$H$102,MATCH(B103,Codes_GC,0),1))</f>
        <v/>
      </c>
      <c r="B103" s="1046"/>
      <c r="C103" s="1047"/>
      <c r="D103" s="1047"/>
      <c r="E103" s="1048"/>
      <c r="F103" s="202"/>
      <c r="G103" s="200">
        <v>0</v>
      </c>
      <c r="H103" s="768">
        <f t="shared" si="3"/>
        <v>0</v>
      </c>
      <c r="I103" s="115"/>
      <c r="J103" s="492"/>
      <c r="L103" s="1147"/>
      <c r="M103" s="1148"/>
    </row>
    <row r="104" spans="1:13" ht="21" customHeight="1" thickTop="1" thickBot="1" x14ac:dyDescent="0.3">
      <c r="A104" s="90" t="str">
        <f>IF(B104="","","1-" &amp; INDEX('Phase Codes'!$A$4:$H$102,MATCH(B104,Codes_GC,0),1))</f>
        <v/>
      </c>
      <c r="B104" s="1046"/>
      <c r="C104" s="1047"/>
      <c r="D104" s="1047"/>
      <c r="E104" s="1048"/>
      <c r="F104" s="202"/>
      <c r="G104" s="200">
        <v>0</v>
      </c>
      <c r="H104" s="768">
        <f t="shared" si="3"/>
        <v>0</v>
      </c>
      <c r="I104" s="115"/>
      <c r="J104" s="492"/>
      <c r="L104" s="1147"/>
      <c r="M104" s="1148"/>
    </row>
    <row r="105" spans="1:13" ht="21" customHeight="1" thickTop="1" thickBot="1" x14ac:dyDescent="0.3">
      <c r="A105" s="400" t="str">
        <f>IF(B105="","","1-" &amp; INDEX('Phase Codes'!$A$4:$H$102,MATCH(B105,Codes_GC,0),1))</f>
        <v/>
      </c>
      <c r="B105" s="1046"/>
      <c r="C105" s="1047"/>
      <c r="D105" s="1047"/>
      <c r="E105" s="1048"/>
      <c r="F105" s="766"/>
      <c r="G105" s="765">
        <v>0</v>
      </c>
      <c r="H105" s="768">
        <f t="shared" si="3"/>
        <v>0</v>
      </c>
      <c r="I105" s="115"/>
      <c r="J105" s="492"/>
      <c r="L105" s="1147"/>
      <c r="M105" s="1148"/>
    </row>
    <row r="106" spans="1:13" ht="18.95" customHeight="1" thickTop="1" thickBot="1" x14ac:dyDescent="0.3">
      <c r="A106" s="400" t="s">
        <v>448</v>
      </c>
      <c r="B106" s="1044" t="s">
        <v>1766</v>
      </c>
      <c r="C106" s="1041"/>
      <c r="D106" s="1041"/>
      <c r="E106" s="1041"/>
      <c r="F106" s="767"/>
      <c r="G106" s="199">
        <v>0</v>
      </c>
      <c r="H106" s="769">
        <f>ROUND(G106*(J27+J31),2)</f>
        <v>0</v>
      </c>
      <c r="I106" s="115"/>
      <c r="J106" s="492"/>
      <c r="L106" s="1147" t="s">
        <v>1550</v>
      </c>
      <c r="M106" s="1148"/>
    </row>
    <row r="107" spans="1:13" ht="18.95" customHeight="1" thickTop="1" thickBot="1" x14ac:dyDescent="0.3">
      <c r="A107" s="401"/>
      <c r="B107" s="402"/>
      <c r="C107" s="402"/>
      <c r="D107" s="402"/>
      <c r="E107" s="402"/>
      <c r="F107" s="1050" t="s">
        <v>1548</v>
      </c>
      <c r="G107" s="1051"/>
      <c r="H107" s="686">
        <f>SUM(H78:H106)</f>
        <v>15926.76</v>
      </c>
      <c r="I107" s="402"/>
      <c r="J107" s="493"/>
    </row>
    <row r="108" spans="1:13" ht="14.25" thickTop="1" thickBot="1" x14ac:dyDescent="0.25"/>
    <row r="109" spans="1:13" ht="17.25" thickTop="1" thickBot="1" x14ac:dyDescent="0.3">
      <c r="A109" s="117"/>
      <c r="B109" s="113"/>
      <c r="C109" s="113"/>
      <c r="D109" s="113"/>
      <c r="E109" s="113"/>
      <c r="F109" s="113"/>
      <c r="G109" s="113"/>
      <c r="H109" s="113"/>
      <c r="I109" s="113"/>
      <c r="J109" s="114"/>
    </row>
    <row r="110" spans="1:13" ht="19.5" customHeight="1" thickTop="1" thickBot="1" x14ac:dyDescent="0.35">
      <c r="A110" s="118"/>
      <c r="B110" s="115"/>
      <c r="C110" s="115"/>
      <c r="D110" s="1081" t="s">
        <v>90</v>
      </c>
      <c r="E110" s="1082"/>
      <c r="F110" s="1082"/>
      <c r="G110" s="1082"/>
      <c r="H110" s="1083"/>
      <c r="I110" s="115"/>
      <c r="J110" s="116"/>
    </row>
    <row r="111" spans="1:13" ht="18.95" customHeight="1" thickTop="1" thickBot="1" x14ac:dyDescent="0.3">
      <c r="A111" s="118"/>
      <c r="B111" s="115"/>
      <c r="C111" s="115"/>
      <c r="D111" s="115"/>
      <c r="E111" s="115"/>
      <c r="F111" s="115"/>
      <c r="G111" s="115"/>
      <c r="H111" s="115"/>
      <c r="I111" s="115"/>
      <c r="J111" s="116"/>
    </row>
    <row r="112" spans="1:13" ht="18.95" customHeight="1" thickTop="1" thickBot="1" x14ac:dyDescent="0.3">
      <c r="A112" s="1085" t="s">
        <v>15</v>
      </c>
      <c r="B112" s="115"/>
      <c r="C112" s="115"/>
      <c r="D112" s="115"/>
      <c r="E112" s="115"/>
      <c r="F112" s="115"/>
      <c r="G112" s="115"/>
      <c r="H112" s="115"/>
      <c r="I112" s="115"/>
      <c r="J112" s="116"/>
    </row>
    <row r="113" spans="1:13" ht="18.95" customHeight="1" thickTop="1" thickBot="1" x14ac:dyDescent="0.3">
      <c r="A113" s="1086"/>
      <c r="B113" s="1080" t="s">
        <v>0</v>
      </c>
      <c r="C113" s="1080"/>
      <c r="D113" s="1080"/>
      <c r="E113" s="1080"/>
      <c r="F113" s="1080"/>
      <c r="G113" s="95" t="s">
        <v>1</v>
      </c>
      <c r="H113" s="95" t="s">
        <v>52</v>
      </c>
      <c r="I113" s="95" t="s">
        <v>458</v>
      </c>
      <c r="J113" s="96" t="s">
        <v>79</v>
      </c>
      <c r="L113" s="250" t="s">
        <v>1078</v>
      </c>
      <c r="M113" s="130"/>
    </row>
    <row r="114" spans="1:13" ht="21" customHeight="1" thickTop="1" thickBot="1" x14ac:dyDescent="0.3">
      <c r="A114" s="90" t="s">
        <v>228</v>
      </c>
      <c r="B114" s="1023" t="s">
        <v>81</v>
      </c>
      <c r="C114" s="1023"/>
      <c r="D114" s="1023"/>
      <c r="E114" s="1023"/>
      <c r="F114" s="1023"/>
      <c r="G114" s="203"/>
      <c r="H114" s="203"/>
      <c r="I114" s="204">
        <v>250</v>
      </c>
      <c r="J114" s="46">
        <f>ROUND(SUM(G114*H114*I114),2)</f>
        <v>0</v>
      </c>
      <c r="L114" s="1147"/>
      <c r="M114" s="1148"/>
    </row>
    <row r="115" spans="1:13" ht="21" customHeight="1" thickTop="1" thickBot="1" x14ac:dyDescent="0.3">
      <c r="A115" s="90" t="s">
        <v>228</v>
      </c>
      <c r="B115" s="1022" t="s">
        <v>82</v>
      </c>
      <c r="C115" s="1022"/>
      <c r="D115" s="1022"/>
      <c r="E115" s="1022"/>
      <c r="F115" s="1022"/>
      <c r="G115" s="205"/>
      <c r="H115" s="205"/>
      <c r="I115" s="206">
        <v>1000</v>
      </c>
      <c r="J115" s="46">
        <f t="shared" ref="J115:J129" si="4">ROUND(SUM(G115*H115*I115),2)</f>
        <v>0</v>
      </c>
      <c r="L115" s="1147"/>
      <c r="M115" s="1148"/>
    </row>
    <row r="116" spans="1:13" ht="21" customHeight="1" thickTop="1" thickBot="1" x14ac:dyDescent="0.3">
      <c r="A116" s="90" t="s">
        <v>445</v>
      </c>
      <c r="B116" s="1022" t="s">
        <v>1768</v>
      </c>
      <c r="C116" s="1022"/>
      <c r="D116" s="1022"/>
      <c r="E116" s="1022"/>
      <c r="F116" s="1022"/>
      <c r="G116" s="205"/>
      <c r="H116" s="205"/>
      <c r="I116" s="206">
        <v>1200</v>
      </c>
      <c r="J116" s="46">
        <f t="shared" si="4"/>
        <v>0</v>
      </c>
      <c r="L116" s="1147"/>
      <c r="M116" s="1148"/>
    </row>
    <row r="117" spans="1:13" ht="21" customHeight="1" thickTop="1" thickBot="1" x14ac:dyDescent="0.3">
      <c r="A117" s="90" t="s">
        <v>445</v>
      </c>
      <c r="B117" s="1022" t="s">
        <v>1767</v>
      </c>
      <c r="C117" s="1022"/>
      <c r="D117" s="1022"/>
      <c r="E117" s="1022"/>
      <c r="F117" s="1022"/>
      <c r="G117" s="205"/>
      <c r="H117" s="205"/>
      <c r="I117" s="206">
        <v>600</v>
      </c>
      <c r="J117" s="46">
        <f t="shared" si="4"/>
        <v>0</v>
      </c>
      <c r="L117" s="1147"/>
      <c r="M117" s="1148"/>
    </row>
    <row r="118" spans="1:13" ht="21" customHeight="1" thickTop="1" thickBot="1" x14ac:dyDescent="0.3">
      <c r="A118" s="90" t="s">
        <v>445</v>
      </c>
      <c r="B118" s="1022" t="s">
        <v>83</v>
      </c>
      <c r="C118" s="1022"/>
      <c r="D118" s="1022"/>
      <c r="E118" s="1022"/>
      <c r="F118" s="1022"/>
      <c r="G118" s="205"/>
      <c r="H118" s="205"/>
      <c r="I118" s="206">
        <v>0</v>
      </c>
      <c r="J118" s="46">
        <f t="shared" si="4"/>
        <v>0</v>
      </c>
      <c r="L118" s="1147"/>
      <c r="M118" s="1148"/>
    </row>
    <row r="119" spans="1:13" ht="21" customHeight="1" thickTop="1" thickBot="1" x14ac:dyDescent="0.3">
      <c r="A119" s="90" t="s">
        <v>445</v>
      </c>
      <c r="B119" s="1022" t="s">
        <v>1769</v>
      </c>
      <c r="C119" s="1022"/>
      <c r="D119" s="1022"/>
      <c r="E119" s="1022"/>
      <c r="F119" s="1022"/>
      <c r="G119" s="205"/>
      <c r="H119" s="205"/>
      <c r="I119" s="206">
        <v>1550</v>
      </c>
      <c r="J119" s="46">
        <f t="shared" si="4"/>
        <v>0</v>
      </c>
      <c r="L119" s="1147"/>
      <c r="M119" s="1148"/>
    </row>
    <row r="120" spans="1:13" ht="21" customHeight="1" thickTop="1" thickBot="1" x14ac:dyDescent="0.3">
      <c r="A120" s="90" t="s">
        <v>445</v>
      </c>
      <c r="B120" s="1022" t="s">
        <v>1770</v>
      </c>
      <c r="C120" s="1022"/>
      <c r="D120" s="1022"/>
      <c r="E120" s="1022"/>
      <c r="F120" s="1022"/>
      <c r="G120" s="205"/>
      <c r="H120" s="205"/>
      <c r="I120" s="206">
        <v>1750</v>
      </c>
      <c r="J120" s="46">
        <f t="shared" si="4"/>
        <v>0</v>
      </c>
      <c r="L120" s="1147"/>
      <c r="M120" s="1148"/>
    </row>
    <row r="121" spans="1:13" ht="21" customHeight="1" thickTop="1" thickBot="1" x14ac:dyDescent="0.3">
      <c r="A121" s="90" t="s">
        <v>445</v>
      </c>
      <c r="B121" s="1022" t="s">
        <v>1771</v>
      </c>
      <c r="C121" s="1022"/>
      <c r="D121" s="1022"/>
      <c r="E121" s="1022"/>
      <c r="F121" s="1022"/>
      <c r="G121" s="205"/>
      <c r="H121" s="205"/>
      <c r="I121" s="206">
        <v>1000</v>
      </c>
      <c r="J121" s="46">
        <f t="shared" si="4"/>
        <v>0</v>
      </c>
      <c r="L121" s="1147"/>
      <c r="M121" s="1148"/>
    </row>
    <row r="122" spans="1:13" ht="21" customHeight="1" thickTop="1" thickBot="1" x14ac:dyDescent="0.3">
      <c r="A122" s="90" t="s">
        <v>445</v>
      </c>
      <c r="B122" s="1022" t="s">
        <v>84</v>
      </c>
      <c r="C122" s="1022"/>
      <c r="D122" s="1022"/>
      <c r="E122" s="1022"/>
      <c r="F122" s="1022"/>
      <c r="G122" s="205"/>
      <c r="H122" s="205"/>
      <c r="I122" s="206">
        <v>0</v>
      </c>
      <c r="J122" s="46">
        <f t="shared" si="4"/>
        <v>0</v>
      </c>
      <c r="L122" s="1147"/>
      <c r="M122" s="1148"/>
    </row>
    <row r="123" spans="1:13" ht="21" customHeight="1" thickTop="1" thickBot="1" x14ac:dyDescent="0.3">
      <c r="A123" s="90" t="s">
        <v>445</v>
      </c>
      <c r="B123" s="1022" t="s">
        <v>85</v>
      </c>
      <c r="C123" s="1022"/>
      <c r="D123" s="1022"/>
      <c r="E123" s="1022"/>
      <c r="F123" s="1022"/>
      <c r="G123" s="205"/>
      <c r="H123" s="205"/>
      <c r="I123" s="206">
        <v>0</v>
      </c>
      <c r="J123" s="46">
        <f t="shared" si="4"/>
        <v>0</v>
      </c>
      <c r="L123" s="1147"/>
      <c r="M123" s="1148"/>
    </row>
    <row r="124" spans="1:13" ht="21" customHeight="1" thickTop="1" thickBot="1" x14ac:dyDescent="0.3">
      <c r="A124" s="90" t="s">
        <v>445</v>
      </c>
      <c r="B124" s="1022" t="s">
        <v>86</v>
      </c>
      <c r="C124" s="1022"/>
      <c r="D124" s="1022"/>
      <c r="E124" s="1022"/>
      <c r="F124" s="1022"/>
      <c r="G124" s="205"/>
      <c r="H124" s="205"/>
      <c r="I124" s="206">
        <v>0</v>
      </c>
      <c r="J124" s="46">
        <f t="shared" si="4"/>
        <v>0</v>
      </c>
      <c r="L124" s="1147"/>
      <c r="M124" s="1148"/>
    </row>
    <row r="125" spans="1:13" ht="21" customHeight="1" thickTop="1" thickBot="1" x14ac:dyDescent="0.3">
      <c r="A125" s="90" t="s">
        <v>445</v>
      </c>
      <c r="B125" s="1022" t="s">
        <v>87</v>
      </c>
      <c r="C125" s="1022"/>
      <c r="D125" s="1022"/>
      <c r="E125" s="1022"/>
      <c r="F125" s="1022"/>
      <c r="G125" s="205"/>
      <c r="H125" s="205"/>
      <c r="I125" s="206">
        <v>0</v>
      </c>
      <c r="J125" s="46">
        <f t="shared" si="4"/>
        <v>0</v>
      </c>
      <c r="L125" s="1147"/>
      <c r="M125" s="1148"/>
    </row>
    <row r="126" spans="1:13" ht="21" customHeight="1" thickTop="1" thickBot="1" x14ac:dyDescent="0.3">
      <c r="A126" s="90" t="s">
        <v>1432</v>
      </c>
      <c r="B126" s="1022" t="s">
        <v>1538</v>
      </c>
      <c r="C126" s="1022"/>
      <c r="D126" s="1022"/>
      <c r="E126" s="1022"/>
      <c r="F126" s="1022"/>
      <c r="G126" s="205"/>
      <c r="H126" s="205"/>
      <c r="I126" s="206"/>
      <c r="J126" s="46">
        <f t="shared" si="4"/>
        <v>0</v>
      </c>
      <c r="L126" s="1147"/>
      <c r="M126" s="1148"/>
    </row>
    <row r="127" spans="1:13" ht="21" customHeight="1" thickTop="1" thickBot="1" x14ac:dyDescent="0.3">
      <c r="A127" s="90" t="str">
        <f>IF(B127="","","7-" &amp; INDEX('Phase Codes'!$A$4:$H$102,MATCH(B127,Codes_Subcontractor,0),1))</f>
        <v/>
      </c>
      <c r="B127" s="1021"/>
      <c r="C127" s="1021"/>
      <c r="D127" s="1021"/>
      <c r="E127" s="1021"/>
      <c r="F127" s="1021"/>
      <c r="G127" s="205"/>
      <c r="H127" s="205"/>
      <c r="I127" s="206">
        <v>0</v>
      </c>
      <c r="J127" s="46">
        <f t="shared" si="4"/>
        <v>0</v>
      </c>
      <c r="L127" s="1147"/>
      <c r="M127" s="1148"/>
    </row>
    <row r="128" spans="1:13" ht="21" customHeight="1" thickTop="1" thickBot="1" x14ac:dyDescent="0.3">
      <c r="A128" s="90" t="str">
        <f>IF(B128="","","7-" &amp; INDEX('Phase Codes'!$A$4:$H$102,MATCH(B128,Codes_Subcontractor,0),1))</f>
        <v/>
      </c>
      <c r="B128" s="1021"/>
      <c r="C128" s="1021"/>
      <c r="D128" s="1021"/>
      <c r="E128" s="1021"/>
      <c r="F128" s="1021"/>
      <c r="G128" s="205"/>
      <c r="H128" s="205"/>
      <c r="I128" s="206">
        <v>0</v>
      </c>
      <c r="J128" s="46">
        <f t="shared" si="4"/>
        <v>0</v>
      </c>
      <c r="L128" s="1147"/>
      <c r="M128" s="1148"/>
    </row>
    <row r="129" spans="1:13" ht="21" customHeight="1" thickTop="1" thickBot="1" x14ac:dyDescent="0.3">
      <c r="A129" s="400" t="str">
        <f>IF(B129="","","7-" &amp; INDEX('Phase Codes'!$A$4:$H$102,MATCH(B129,Codes_Subcontractor,0),1))</f>
        <v/>
      </c>
      <c r="B129" s="1021"/>
      <c r="C129" s="1021"/>
      <c r="D129" s="1021"/>
      <c r="E129" s="1021"/>
      <c r="F129" s="1021"/>
      <c r="G129" s="207"/>
      <c r="H129" s="207"/>
      <c r="I129" s="208">
        <v>0</v>
      </c>
      <c r="J129" s="759">
        <f t="shared" si="4"/>
        <v>0</v>
      </c>
      <c r="L129" s="1147"/>
      <c r="M129" s="1148"/>
    </row>
    <row r="130" spans="1:13" ht="18.95" customHeight="1" thickTop="1" thickBot="1" x14ac:dyDescent="0.3">
      <c r="A130" s="118"/>
      <c r="B130" s="115"/>
      <c r="C130" s="115"/>
      <c r="D130" s="115"/>
      <c r="E130" s="115"/>
      <c r="F130" s="115"/>
      <c r="G130" s="1042" t="s">
        <v>1549</v>
      </c>
      <c r="H130" s="1043"/>
      <c r="I130" s="1043"/>
      <c r="J130" s="760">
        <f>SUM(J114:J129)</f>
        <v>0</v>
      </c>
    </row>
    <row r="131" spans="1:13" ht="16.5" thickTop="1" x14ac:dyDescent="0.25">
      <c r="A131" s="118"/>
      <c r="B131" s="115"/>
      <c r="C131" s="115"/>
      <c r="D131" s="115"/>
      <c r="E131" s="115"/>
      <c r="F131" s="115"/>
      <c r="G131" s="115"/>
      <c r="H131" s="115"/>
      <c r="I131" s="115"/>
      <c r="J131" s="116"/>
    </row>
    <row r="132" spans="1:13" ht="16.5" thickBot="1" x14ac:dyDescent="0.3">
      <c r="A132" s="401"/>
      <c r="B132" s="402"/>
      <c r="C132" s="402"/>
      <c r="D132" s="402"/>
      <c r="E132" s="402"/>
      <c r="F132" s="402"/>
      <c r="G132" s="402"/>
      <c r="H132" s="402"/>
      <c r="I132" s="402"/>
      <c r="J132" s="403"/>
    </row>
    <row r="133" spans="1:13" ht="13.5" thickTop="1" x14ac:dyDescent="0.2"/>
  </sheetData>
  <sheetProtection algorithmName="SHA-512" hashValue="Gh++M+UHFsg400Skad3WIrARLz8tQsy6QJsQM3dkiOCIKDYWjxQhd1ALOhKsoe0kkoFd5H2CRW0Pu1cYwCU4Hg==" saltValue="doGX9e+Hxm1ru+ubE7rU2Q==" spinCount="100000" sheet="1" objects="1" scenarios="1" sort="0" autoFilter="0" pivotTables="0"/>
  <mergeCells count="195">
    <mergeCell ref="I60:I62"/>
    <mergeCell ref="J60:J62"/>
    <mergeCell ref="E42:H42"/>
    <mergeCell ref="E43:H43"/>
    <mergeCell ref="E44:H44"/>
    <mergeCell ref="L36:M36"/>
    <mergeCell ref="L37:M37"/>
    <mergeCell ref="L38:M38"/>
    <mergeCell ref="L39:M39"/>
    <mergeCell ref="L40:M40"/>
    <mergeCell ref="L41:M41"/>
    <mergeCell ref="L42:M42"/>
    <mergeCell ref="L43:M43"/>
    <mergeCell ref="L44:M44"/>
    <mergeCell ref="L77:M77"/>
    <mergeCell ref="L78:M78"/>
    <mergeCell ref="L88:M88"/>
    <mergeCell ref="L89:M89"/>
    <mergeCell ref="L90:M90"/>
    <mergeCell ref="L91:M91"/>
    <mergeCell ref="N5:P5"/>
    <mergeCell ref="L65:M65"/>
    <mergeCell ref="L66:M66"/>
    <mergeCell ref="L69:M69"/>
    <mergeCell ref="L67:M67"/>
    <mergeCell ref="L68:M68"/>
    <mergeCell ref="L95:M95"/>
    <mergeCell ref="L96:M96"/>
    <mergeCell ref="L97:M97"/>
    <mergeCell ref="L98:M98"/>
    <mergeCell ref="L99:M99"/>
    <mergeCell ref="L100:M100"/>
    <mergeCell ref="L101:M101"/>
    <mergeCell ref="L102:M102"/>
    <mergeCell ref="L103:M103"/>
    <mergeCell ref="L129:M129"/>
    <mergeCell ref="L104:M104"/>
    <mergeCell ref="L105:M105"/>
    <mergeCell ref="L114:M114"/>
    <mergeCell ref="L115:M115"/>
    <mergeCell ref="L116:M116"/>
    <mergeCell ref="L118:M118"/>
    <mergeCell ref="L119:M119"/>
    <mergeCell ref="L120:M120"/>
    <mergeCell ref="L122:M122"/>
    <mergeCell ref="L106:M106"/>
    <mergeCell ref="L123:M123"/>
    <mergeCell ref="L124:M124"/>
    <mergeCell ref="L126:M126"/>
    <mergeCell ref="L127:M127"/>
    <mergeCell ref="L128:M128"/>
    <mergeCell ref="L117:M117"/>
    <mergeCell ref="L121:M121"/>
    <mergeCell ref="L125:M125"/>
    <mergeCell ref="L92:M92"/>
    <mergeCell ref="L93:M93"/>
    <mergeCell ref="L94:M94"/>
    <mergeCell ref="L79:M79"/>
    <mergeCell ref="L80:M80"/>
    <mergeCell ref="L81:M81"/>
    <mergeCell ref="L82:M82"/>
    <mergeCell ref="L83:M83"/>
    <mergeCell ref="L84:M84"/>
    <mergeCell ref="L85:M85"/>
    <mergeCell ref="L86:M86"/>
    <mergeCell ref="L87:M87"/>
    <mergeCell ref="C17:D17"/>
    <mergeCell ref="G25:H25"/>
    <mergeCell ref="A29:B29"/>
    <mergeCell ref="H6:J6"/>
    <mergeCell ref="H7:J7"/>
    <mergeCell ref="G45:I45"/>
    <mergeCell ref="A32:A33"/>
    <mergeCell ref="H55:I55"/>
    <mergeCell ref="D73:H73"/>
    <mergeCell ref="I18:J18"/>
    <mergeCell ref="I19:J19"/>
    <mergeCell ref="E20:H20"/>
    <mergeCell ref="A9:A10"/>
    <mergeCell ref="E9:H9"/>
    <mergeCell ref="B21:D21"/>
    <mergeCell ref="B22:D22"/>
    <mergeCell ref="B23:D23"/>
    <mergeCell ref="B24:D24"/>
    <mergeCell ref="B18:D18"/>
    <mergeCell ref="A11:D11"/>
    <mergeCell ref="A66:B66"/>
    <mergeCell ref="B9:D9"/>
    <mergeCell ref="B42:D42"/>
    <mergeCell ref="B38:D38"/>
    <mergeCell ref="B39:D39"/>
    <mergeCell ref="B40:D40"/>
    <mergeCell ref="B41:D41"/>
    <mergeCell ref="B36:C36"/>
    <mergeCell ref="B37:D37"/>
    <mergeCell ref="E33:H33"/>
    <mergeCell ref="E19:F19"/>
    <mergeCell ref="G19:H19"/>
    <mergeCell ref="H27:I27"/>
    <mergeCell ref="H31:I31"/>
    <mergeCell ref="E36:H36"/>
    <mergeCell ref="E37:H37"/>
    <mergeCell ref="E38:H38"/>
    <mergeCell ref="E39:H39"/>
    <mergeCell ref="E40:H40"/>
    <mergeCell ref="E41:H41"/>
    <mergeCell ref="B26:C26"/>
    <mergeCell ref="D26:E26"/>
    <mergeCell ref="D27:E27"/>
    <mergeCell ref="D28:E28"/>
    <mergeCell ref="A46:A47"/>
    <mergeCell ref="B48:D48"/>
    <mergeCell ref="B49:D49"/>
    <mergeCell ref="B51:D51"/>
    <mergeCell ref="B52:D52"/>
    <mergeCell ref="B54:D54"/>
    <mergeCell ref="B113:F113"/>
    <mergeCell ref="D110:H110"/>
    <mergeCell ref="B80:E80"/>
    <mergeCell ref="B82:E82"/>
    <mergeCell ref="B83:E83"/>
    <mergeCell ref="B84:E84"/>
    <mergeCell ref="B78:E78"/>
    <mergeCell ref="A75:A76"/>
    <mergeCell ref="B85:E85"/>
    <mergeCell ref="B86:E86"/>
    <mergeCell ref="A112:A113"/>
    <mergeCell ref="B106:E106"/>
    <mergeCell ref="E61:F61"/>
    <mergeCell ref="B77:H77"/>
    <mergeCell ref="B81:D81"/>
    <mergeCell ref="E67:G67"/>
    <mergeCell ref="E68:G68"/>
    <mergeCell ref="B43:D43"/>
    <mergeCell ref="B44:D44"/>
    <mergeCell ref="B97:E97"/>
    <mergeCell ref="B98:E98"/>
    <mergeCell ref="B95:E95"/>
    <mergeCell ref="B96:E96"/>
    <mergeCell ref="B93:E93"/>
    <mergeCell ref="B94:E94"/>
    <mergeCell ref="E65:G65"/>
    <mergeCell ref="E66:G66"/>
    <mergeCell ref="E69:G69"/>
    <mergeCell ref="E70:G70"/>
    <mergeCell ref="E62:F62"/>
    <mergeCell ref="E63:G63"/>
    <mergeCell ref="E64:G64"/>
    <mergeCell ref="E60:F60"/>
    <mergeCell ref="E46:G46"/>
    <mergeCell ref="B53:D53"/>
    <mergeCell ref="B90:E90"/>
    <mergeCell ref="B50:D50"/>
    <mergeCell ref="C55:F55"/>
    <mergeCell ref="G130:I130"/>
    <mergeCell ref="B99:E99"/>
    <mergeCell ref="B100:E100"/>
    <mergeCell ref="B101:E101"/>
    <mergeCell ref="B115:F115"/>
    <mergeCell ref="I76:J76"/>
    <mergeCell ref="F107:G107"/>
    <mergeCell ref="B103:E103"/>
    <mergeCell ref="B91:E91"/>
    <mergeCell ref="B92:E92"/>
    <mergeCell ref="B87:E87"/>
    <mergeCell ref="B104:E104"/>
    <mergeCell ref="B105:E105"/>
    <mergeCell ref="B121:F121"/>
    <mergeCell ref="B88:E88"/>
    <mergeCell ref="B127:F127"/>
    <mergeCell ref="B116:F116"/>
    <mergeCell ref="B117:F117"/>
    <mergeCell ref="B118:F118"/>
    <mergeCell ref="B119:F119"/>
    <mergeCell ref="B120:F120"/>
    <mergeCell ref="B125:F125"/>
    <mergeCell ref="B89:E89"/>
    <mergeCell ref="B128:F128"/>
    <mergeCell ref="B129:F129"/>
    <mergeCell ref="B122:F122"/>
    <mergeCell ref="B123:F123"/>
    <mergeCell ref="B124:F124"/>
    <mergeCell ref="B114:F114"/>
    <mergeCell ref="D56:E56"/>
    <mergeCell ref="F56:G56"/>
    <mergeCell ref="D57:E57"/>
    <mergeCell ref="F57:G57"/>
    <mergeCell ref="E59:G59"/>
    <mergeCell ref="B79:E79"/>
    <mergeCell ref="A65:B65"/>
    <mergeCell ref="B126:F126"/>
    <mergeCell ref="B76:D76"/>
    <mergeCell ref="B102:C102"/>
    <mergeCell ref="B56:C56"/>
    <mergeCell ref="B57:C57"/>
  </mergeCells>
  <phoneticPr fontId="23" type="noConversion"/>
  <conditionalFormatting sqref="I36:I44">
    <cfRule type="expression" dxfId="5" priority="10">
      <formula>$H36="Plug"</formula>
    </cfRule>
  </conditionalFormatting>
  <conditionalFormatting sqref="J37:J44">
    <cfRule type="expression" dxfId="4" priority="4">
      <formula>$I37="Plug"</formula>
    </cfRule>
  </conditionalFormatting>
  <conditionalFormatting sqref="J36">
    <cfRule type="expression" dxfId="3" priority="3">
      <formula>$I36="Plug"</formula>
    </cfRule>
  </conditionalFormatting>
  <conditionalFormatting sqref="E68:I68">
    <cfRule type="expression" dxfId="2" priority="2">
      <formula>$E$68=""</formula>
    </cfRule>
  </conditionalFormatting>
  <conditionalFormatting sqref="D26:E28">
    <cfRule type="expression" dxfId="1" priority="1">
      <formula>$D$27&gt;$G$18</formula>
    </cfRule>
  </conditionalFormatting>
  <dataValidations disablePrompts="1" count="9">
    <dataValidation type="list" allowBlank="1" showInputMessage="1" showErrorMessage="1" sqref="I36:I44" xr:uid="{00000000-0002-0000-1000-000000000000}">
      <formula1>$H$34:$H$35</formula1>
    </dataValidation>
    <dataValidation type="list" showInputMessage="1" showErrorMessage="1" sqref="B37:D44" xr:uid="{00000000-0002-0000-1000-000001000000}">
      <formula1>Codes_Subcontractor</formula1>
    </dataValidation>
    <dataValidation type="list" allowBlank="1" showInputMessage="1" showErrorMessage="1" sqref="B101:E101 B103:E105" xr:uid="{00000000-0002-0000-1000-000002000000}">
      <formula1>Codes_GC</formula1>
    </dataValidation>
    <dataValidation type="list" allowBlank="1" showInputMessage="1" showErrorMessage="1" sqref="B127:F129" xr:uid="{00000000-0002-0000-1000-000003000000}">
      <formula1>Codes_Subcontractor</formula1>
    </dataValidation>
    <dataValidation type="list" allowBlank="1" showInputMessage="1" showErrorMessage="1" sqref="A66:B66" xr:uid="{00000000-0002-0000-1000-000004000000}">
      <formula1>"No, Yes"</formula1>
    </dataValidation>
    <dataValidation type="list" allowBlank="1" showInputMessage="1" showErrorMessage="1" sqref="C17:D17" xr:uid="{00000000-0002-0000-1000-000005000000}">
      <formula1>"5 8's, 5 10's, 6 10's, 60 60 50"</formula1>
    </dataValidation>
    <dataValidation type="list" allowBlank="1" showInputMessage="1" showErrorMessage="1" sqref="N5" xr:uid="{00000000-0002-0000-1000-000006000000}">
      <formula1>Type_Of_Work</formula1>
    </dataValidation>
    <dataValidation type="list" allowBlank="1" showInputMessage="1" showErrorMessage="1" sqref="B26:C26" xr:uid="{00000000-0002-0000-1000-000007000000}">
      <formula1>"No OCIP,OCIP,OCIP GL Only"</formula1>
    </dataValidation>
    <dataValidation type="list" allowBlank="1" showInputMessage="1" showErrorMessage="1" sqref="E68:G68" xr:uid="{00000000-0002-0000-1000-000008000000}">
      <formula1>"Oregon CAT Tax, Washington B&amp;O Tax, No Tax"</formula1>
    </dataValidation>
  </dataValidations>
  <hyperlinks>
    <hyperlink ref="A9:A10" location="'Phase Codes'!A1" display="Phase Codes" xr:uid="{00000000-0004-0000-1000-000000000000}"/>
    <hyperlink ref="A32:A33" location="'Phase Codes'!A1" display="Phase Codes" xr:uid="{00000000-0004-0000-1000-000001000000}"/>
    <hyperlink ref="A46:A47" location="'Phase Codes'!A1" display="Phase Codes" xr:uid="{00000000-0004-0000-1000-000002000000}"/>
    <hyperlink ref="A75:A76" location="'Phase Codes'!A1" display="Phase Codes" xr:uid="{00000000-0004-0000-1000-000003000000}"/>
    <hyperlink ref="A112:A113" location="'Phase Codes'!A1" display="Phase Codes" xr:uid="{00000000-0004-0000-1000-000004000000}"/>
    <hyperlink ref="I82" location="Permits!F2" display="Permit Calculator" xr:uid="{00000000-0004-0000-1000-000005000000}"/>
    <hyperlink ref="C55:D55" location="'Work Recovery'!A1" display="Work Recovery" xr:uid="{5B5A2667-0FCE-4D9C-BD69-62315DC35016}"/>
  </hyperlinks>
  <pageMargins left="0.75" right="0.35" top="0.75" bottom="0.61" header="0.5" footer="0.5"/>
  <pageSetup scale="45" fitToHeight="2" orientation="portrait" blackAndWhite="1" r:id="rId1"/>
  <headerFooter scaleWithDoc="0" alignWithMargins="0">
    <oddFooter>&amp;L&amp;D&amp;C&amp;F&amp;RPage &amp;P of &amp;N</oddFooter>
  </headerFooter>
  <rowBreaks count="2" manualBreakCount="2">
    <brk id="70" max="9" man="1"/>
    <brk id="107" max="9" man="1"/>
  </rowBreaks>
  <ignoredErrors>
    <ignoredError sqref="G10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54" r:id="rId4" name="Button 30">
              <controlPr defaultSize="0" print="0" autoFill="0" autoPict="0" macro="[0]!GoalSeek_MCAA">
                <anchor moveWithCells="1" sizeWithCells="1">
                  <from>
                    <xdr:col>10</xdr:col>
                    <xdr:colOff>0</xdr:colOff>
                    <xdr:row>12</xdr:row>
                    <xdr:rowOff>0</xdr:rowOff>
                  </from>
                  <to>
                    <xdr:col>12</xdr:col>
                    <xdr:colOff>0</xdr:colOff>
                    <xdr:row>13</xdr:row>
                    <xdr:rowOff>0</xdr:rowOff>
                  </to>
                </anchor>
              </controlPr>
            </control>
          </mc:Choice>
        </mc:AlternateContent>
        <mc:AlternateContent xmlns:mc="http://schemas.openxmlformats.org/markup-compatibility/2006">
          <mc:Choice Requires="x14">
            <control shapeId="1056" r:id="rId5" name="Button 32">
              <controlPr defaultSize="0" print="0" autoFill="0" autoPict="0" macro="[0]!GoalSeek_MCAA2">
                <anchor moveWithCells="1" sizeWithCells="1">
                  <from>
                    <xdr:col>10</xdr:col>
                    <xdr:colOff>0</xdr:colOff>
                    <xdr:row>46</xdr:row>
                    <xdr:rowOff>0</xdr:rowOff>
                  </from>
                  <to>
                    <xdr:col>12</xdr:col>
                    <xdr:colOff>0</xdr:colOff>
                    <xdr:row>47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pageSetUpPr fitToPage="1"/>
  </sheetPr>
  <dimension ref="A1:AC82"/>
  <sheetViews>
    <sheetView workbookViewId="0">
      <selection activeCell="B21" sqref="B21:S21"/>
    </sheetView>
  </sheetViews>
  <sheetFormatPr defaultRowHeight="12.75" x14ac:dyDescent="0.2"/>
  <cols>
    <col min="1" max="1" width="2" style="262" customWidth="1"/>
    <col min="2" max="2" width="5.7109375" style="262" customWidth="1"/>
    <col min="3" max="3" width="8.28515625" style="262" customWidth="1"/>
    <col min="4" max="5" width="16.5703125" style="262" customWidth="1"/>
    <col min="6" max="6" width="3.85546875" style="262" customWidth="1"/>
    <col min="7" max="7" width="5.140625" style="262" customWidth="1"/>
    <col min="8" max="8" width="7.140625" style="262" customWidth="1"/>
    <col min="9" max="9" width="10.85546875" style="262" customWidth="1"/>
    <col min="10" max="12" width="1.7109375" style="262" customWidth="1"/>
    <col min="13" max="13" width="6" style="262" customWidth="1"/>
    <col min="14" max="14" width="11.28515625" style="262" customWidth="1"/>
    <col min="15" max="15" width="2.28515625" style="262" customWidth="1"/>
    <col min="16" max="16" width="8.42578125" style="262" customWidth="1"/>
    <col min="17" max="17" width="2.42578125" style="262" customWidth="1"/>
    <col min="18" max="18" width="2.42578125" style="262" hidden="1" customWidth="1"/>
    <col min="19" max="19" width="11.5703125" style="262" customWidth="1"/>
    <col min="20" max="20" width="2.28515625" style="262" customWidth="1"/>
    <col min="21" max="22" width="9.140625" style="262"/>
    <col min="23" max="23" width="3.7109375" style="738" customWidth="1"/>
    <col min="24" max="24" width="19.28515625" style="739" customWidth="1"/>
    <col min="25" max="25" width="9.140625" style="739"/>
    <col min="26" max="26" width="3.7109375" style="738" customWidth="1"/>
    <col min="27" max="27" width="22" style="739" bestFit="1" customWidth="1"/>
    <col min="28" max="28" width="9.140625" style="739"/>
    <col min="29" max="29" width="72" style="740" bestFit="1" customWidth="1"/>
    <col min="30" max="245" width="9.140625" style="262"/>
    <col min="246" max="246" width="2" style="262" customWidth="1"/>
    <col min="247" max="247" width="5.7109375" style="262" customWidth="1"/>
    <col min="248" max="248" width="8.28515625" style="262" customWidth="1"/>
    <col min="249" max="250" width="16.5703125" style="262" customWidth="1"/>
    <col min="251" max="251" width="3.85546875" style="262" customWidth="1"/>
    <col min="252" max="252" width="5.140625" style="262" customWidth="1"/>
    <col min="253" max="253" width="7.140625" style="262" customWidth="1"/>
    <col min="254" max="254" width="10.85546875" style="262" customWidth="1"/>
    <col min="255" max="257" width="1.7109375" style="262" customWidth="1"/>
    <col min="258" max="258" width="6" style="262" customWidth="1"/>
    <col min="259" max="259" width="11.28515625" style="262" customWidth="1"/>
    <col min="260" max="260" width="2.28515625" style="262" customWidth="1"/>
    <col min="261" max="261" width="8.42578125" style="262" customWidth="1"/>
    <col min="262" max="262" width="2.42578125" style="262" customWidth="1"/>
    <col min="263" max="263" width="0" style="262" hidden="1" customWidth="1"/>
    <col min="264" max="264" width="11.5703125" style="262" customWidth="1"/>
    <col min="265" max="265" width="2.28515625" style="262" customWidth="1"/>
    <col min="266" max="266" width="7" style="262" customWidth="1"/>
    <col min="267" max="501" width="9.140625" style="262"/>
    <col min="502" max="502" width="2" style="262" customWidth="1"/>
    <col min="503" max="503" width="5.7109375" style="262" customWidth="1"/>
    <col min="504" max="504" width="8.28515625" style="262" customWidth="1"/>
    <col min="505" max="506" width="16.5703125" style="262" customWidth="1"/>
    <col min="507" max="507" width="3.85546875" style="262" customWidth="1"/>
    <col min="508" max="508" width="5.140625" style="262" customWidth="1"/>
    <col min="509" max="509" width="7.140625" style="262" customWidth="1"/>
    <col min="510" max="510" width="10.85546875" style="262" customWidth="1"/>
    <col min="511" max="513" width="1.7109375" style="262" customWidth="1"/>
    <col min="514" max="514" width="6" style="262" customWidth="1"/>
    <col min="515" max="515" width="11.28515625" style="262" customWidth="1"/>
    <col min="516" max="516" width="2.28515625" style="262" customWidth="1"/>
    <col min="517" max="517" width="8.42578125" style="262" customWidth="1"/>
    <col min="518" max="518" width="2.42578125" style="262" customWidth="1"/>
    <col min="519" max="519" width="0" style="262" hidden="1" customWidth="1"/>
    <col min="520" max="520" width="11.5703125" style="262" customWidth="1"/>
    <col min="521" max="521" width="2.28515625" style="262" customWidth="1"/>
    <col min="522" max="522" width="7" style="262" customWidth="1"/>
    <col min="523" max="757" width="9.140625" style="262"/>
    <col min="758" max="758" width="2" style="262" customWidth="1"/>
    <col min="759" max="759" width="5.7109375" style="262" customWidth="1"/>
    <col min="760" max="760" width="8.28515625" style="262" customWidth="1"/>
    <col min="761" max="762" width="16.5703125" style="262" customWidth="1"/>
    <col min="763" max="763" width="3.85546875" style="262" customWidth="1"/>
    <col min="764" max="764" width="5.140625" style="262" customWidth="1"/>
    <col min="765" max="765" width="7.140625" style="262" customWidth="1"/>
    <col min="766" max="766" width="10.85546875" style="262" customWidth="1"/>
    <col min="767" max="769" width="1.7109375" style="262" customWidth="1"/>
    <col min="770" max="770" width="6" style="262" customWidth="1"/>
    <col min="771" max="771" width="11.28515625" style="262" customWidth="1"/>
    <col min="772" max="772" width="2.28515625" style="262" customWidth="1"/>
    <col min="773" max="773" width="8.42578125" style="262" customWidth="1"/>
    <col min="774" max="774" width="2.42578125" style="262" customWidth="1"/>
    <col min="775" max="775" width="0" style="262" hidden="1" customWidth="1"/>
    <col min="776" max="776" width="11.5703125" style="262" customWidth="1"/>
    <col min="777" max="777" width="2.28515625" style="262" customWidth="1"/>
    <col min="778" max="778" width="7" style="262" customWidth="1"/>
    <col min="779" max="1013" width="9.140625" style="262"/>
    <col min="1014" max="1014" width="2" style="262" customWidth="1"/>
    <col min="1015" max="1015" width="5.7109375" style="262" customWidth="1"/>
    <col min="1016" max="1016" width="8.28515625" style="262" customWidth="1"/>
    <col min="1017" max="1018" width="16.5703125" style="262" customWidth="1"/>
    <col min="1019" max="1019" width="3.85546875" style="262" customWidth="1"/>
    <col min="1020" max="1020" width="5.140625" style="262" customWidth="1"/>
    <col min="1021" max="1021" width="7.140625" style="262" customWidth="1"/>
    <col min="1022" max="1022" width="10.85546875" style="262" customWidth="1"/>
    <col min="1023" max="1025" width="1.7109375" style="262" customWidth="1"/>
    <col min="1026" max="1026" width="6" style="262" customWidth="1"/>
    <col min="1027" max="1027" width="11.28515625" style="262" customWidth="1"/>
    <col min="1028" max="1028" width="2.28515625" style="262" customWidth="1"/>
    <col min="1029" max="1029" width="8.42578125" style="262" customWidth="1"/>
    <col min="1030" max="1030" width="2.42578125" style="262" customWidth="1"/>
    <col min="1031" max="1031" width="0" style="262" hidden="1" customWidth="1"/>
    <col min="1032" max="1032" width="11.5703125" style="262" customWidth="1"/>
    <col min="1033" max="1033" width="2.28515625" style="262" customWidth="1"/>
    <col min="1034" max="1034" width="7" style="262" customWidth="1"/>
    <col min="1035" max="1269" width="9.140625" style="262"/>
    <col min="1270" max="1270" width="2" style="262" customWidth="1"/>
    <col min="1271" max="1271" width="5.7109375" style="262" customWidth="1"/>
    <col min="1272" max="1272" width="8.28515625" style="262" customWidth="1"/>
    <col min="1273" max="1274" width="16.5703125" style="262" customWidth="1"/>
    <col min="1275" max="1275" width="3.85546875" style="262" customWidth="1"/>
    <col min="1276" max="1276" width="5.140625" style="262" customWidth="1"/>
    <col min="1277" max="1277" width="7.140625" style="262" customWidth="1"/>
    <col min="1278" max="1278" width="10.85546875" style="262" customWidth="1"/>
    <col min="1279" max="1281" width="1.7109375" style="262" customWidth="1"/>
    <col min="1282" max="1282" width="6" style="262" customWidth="1"/>
    <col min="1283" max="1283" width="11.28515625" style="262" customWidth="1"/>
    <col min="1284" max="1284" width="2.28515625" style="262" customWidth="1"/>
    <col min="1285" max="1285" width="8.42578125" style="262" customWidth="1"/>
    <col min="1286" max="1286" width="2.42578125" style="262" customWidth="1"/>
    <col min="1287" max="1287" width="0" style="262" hidden="1" customWidth="1"/>
    <col min="1288" max="1288" width="11.5703125" style="262" customWidth="1"/>
    <col min="1289" max="1289" width="2.28515625" style="262" customWidth="1"/>
    <col min="1290" max="1290" width="7" style="262" customWidth="1"/>
    <col min="1291" max="1525" width="9.140625" style="262"/>
    <col min="1526" max="1526" width="2" style="262" customWidth="1"/>
    <col min="1527" max="1527" width="5.7109375" style="262" customWidth="1"/>
    <col min="1528" max="1528" width="8.28515625" style="262" customWidth="1"/>
    <col min="1529" max="1530" width="16.5703125" style="262" customWidth="1"/>
    <col min="1531" max="1531" width="3.85546875" style="262" customWidth="1"/>
    <col min="1532" max="1532" width="5.140625" style="262" customWidth="1"/>
    <col min="1533" max="1533" width="7.140625" style="262" customWidth="1"/>
    <col min="1534" max="1534" width="10.85546875" style="262" customWidth="1"/>
    <col min="1535" max="1537" width="1.7109375" style="262" customWidth="1"/>
    <col min="1538" max="1538" width="6" style="262" customWidth="1"/>
    <col min="1539" max="1539" width="11.28515625" style="262" customWidth="1"/>
    <col min="1540" max="1540" width="2.28515625" style="262" customWidth="1"/>
    <col min="1541" max="1541" width="8.42578125" style="262" customWidth="1"/>
    <col min="1542" max="1542" width="2.42578125" style="262" customWidth="1"/>
    <col min="1543" max="1543" width="0" style="262" hidden="1" customWidth="1"/>
    <col min="1544" max="1544" width="11.5703125" style="262" customWidth="1"/>
    <col min="1545" max="1545" width="2.28515625" style="262" customWidth="1"/>
    <col min="1546" max="1546" width="7" style="262" customWidth="1"/>
    <col min="1547" max="1781" width="9.140625" style="262"/>
    <col min="1782" max="1782" width="2" style="262" customWidth="1"/>
    <col min="1783" max="1783" width="5.7109375" style="262" customWidth="1"/>
    <col min="1784" max="1784" width="8.28515625" style="262" customWidth="1"/>
    <col min="1785" max="1786" width="16.5703125" style="262" customWidth="1"/>
    <col min="1787" max="1787" width="3.85546875" style="262" customWidth="1"/>
    <col min="1788" max="1788" width="5.140625" style="262" customWidth="1"/>
    <col min="1789" max="1789" width="7.140625" style="262" customWidth="1"/>
    <col min="1790" max="1790" width="10.85546875" style="262" customWidth="1"/>
    <col min="1791" max="1793" width="1.7109375" style="262" customWidth="1"/>
    <col min="1794" max="1794" width="6" style="262" customWidth="1"/>
    <col min="1795" max="1795" width="11.28515625" style="262" customWidth="1"/>
    <col min="1796" max="1796" width="2.28515625" style="262" customWidth="1"/>
    <col min="1797" max="1797" width="8.42578125" style="262" customWidth="1"/>
    <col min="1798" max="1798" width="2.42578125" style="262" customWidth="1"/>
    <col min="1799" max="1799" width="0" style="262" hidden="1" customWidth="1"/>
    <col min="1800" max="1800" width="11.5703125" style="262" customWidth="1"/>
    <col min="1801" max="1801" width="2.28515625" style="262" customWidth="1"/>
    <col min="1802" max="1802" width="7" style="262" customWidth="1"/>
    <col min="1803" max="2037" width="9.140625" style="262"/>
    <col min="2038" max="2038" width="2" style="262" customWidth="1"/>
    <col min="2039" max="2039" width="5.7109375" style="262" customWidth="1"/>
    <col min="2040" max="2040" width="8.28515625" style="262" customWidth="1"/>
    <col min="2041" max="2042" width="16.5703125" style="262" customWidth="1"/>
    <col min="2043" max="2043" width="3.85546875" style="262" customWidth="1"/>
    <col min="2044" max="2044" width="5.140625" style="262" customWidth="1"/>
    <col min="2045" max="2045" width="7.140625" style="262" customWidth="1"/>
    <col min="2046" max="2046" width="10.85546875" style="262" customWidth="1"/>
    <col min="2047" max="2049" width="1.7109375" style="262" customWidth="1"/>
    <col min="2050" max="2050" width="6" style="262" customWidth="1"/>
    <col min="2051" max="2051" width="11.28515625" style="262" customWidth="1"/>
    <col min="2052" max="2052" width="2.28515625" style="262" customWidth="1"/>
    <col min="2053" max="2053" width="8.42578125" style="262" customWidth="1"/>
    <col min="2054" max="2054" width="2.42578125" style="262" customWidth="1"/>
    <col min="2055" max="2055" width="0" style="262" hidden="1" customWidth="1"/>
    <col min="2056" max="2056" width="11.5703125" style="262" customWidth="1"/>
    <col min="2057" max="2057" width="2.28515625" style="262" customWidth="1"/>
    <col min="2058" max="2058" width="7" style="262" customWidth="1"/>
    <col min="2059" max="2293" width="9.140625" style="262"/>
    <col min="2294" max="2294" width="2" style="262" customWidth="1"/>
    <col min="2295" max="2295" width="5.7109375" style="262" customWidth="1"/>
    <col min="2296" max="2296" width="8.28515625" style="262" customWidth="1"/>
    <col min="2297" max="2298" width="16.5703125" style="262" customWidth="1"/>
    <col min="2299" max="2299" width="3.85546875" style="262" customWidth="1"/>
    <col min="2300" max="2300" width="5.140625" style="262" customWidth="1"/>
    <col min="2301" max="2301" width="7.140625" style="262" customWidth="1"/>
    <col min="2302" max="2302" width="10.85546875" style="262" customWidth="1"/>
    <col min="2303" max="2305" width="1.7109375" style="262" customWidth="1"/>
    <col min="2306" max="2306" width="6" style="262" customWidth="1"/>
    <col min="2307" max="2307" width="11.28515625" style="262" customWidth="1"/>
    <col min="2308" max="2308" width="2.28515625" style="262" customWidth="1"/>
    <col min="2309" max="2309" width="8.42578125" style="262" customWidth="1"/>
    <col min="2310" max="2310" width="2.42578125" style="262" customWidth="1"/>
    <col min="2311" max="2311" width="0" style="262" hidden="1" customWidth="1"/>
    <col min="2312" max="2312" width="11.5703125" style="262" customWidth="1"/>
    <col min="2313" max="2313" width="2.28515625" style="262" customWidth="1"/>
    <col min="2314" max="2314" width="7" style="262" customWidth="1"/>
    <col min="2315" max="2549" width="9.140625" style="262"/>
    <col min="2550" max="2550" width="2" style="262" customWidth="1"/>
    <col min="2551" max="2551" width="5.7109375" style="262" customWidth="1"/>
    <col min="2552" max="2552" width="8.28515625" style="262" customWidth="1"/>
    <col min="2553" max="2554" width="16.5703125" style="262" customWidth="1"/>
    <col min="2555" max="2555" width="3.85546875" style="262" customWidth="1"/>
    <col min="2556" max="2556" width="5.140625" style="262" customWidth="1"/>
    <col min="2557" max="2557" width="7.140625" style="262" customWidth="1"/>
    <col min="2558" max="2558" width="10.85546875" style="262" customWidth="1"/>
    <col min="2559" max="2561" width="1.7109375" style="262" customWidth="1"/>
    <col min="2562" max="2562" width="6" style="262" customWidth="1"/>
    <col min="2563" max="2563" width="11.28515625" style="262" customWidth="1"/>
    <col min="2564" max="2564" width="2.28515625" style="262" customWidth="1"/>
    <col min="2565" max="2565" width="8.42578125" style="262" customWidth="1"/>
    <col min="2566" max="2566" width="2.42578125" style="262" customWidth="1"/>
    <col min="2567" max="2567" width="0" style="262" hidden="1" customWidth="1"/>
    <col min="2568" max="2568" width="11.5703125" style="262" customWidth="1"/>
    <col min="2569" max="2569" width="2.28515625" style="262" customWidth="1"/>
    <col min="2570" max="2570" width="7" style="262" customWidth="1"/>
    <col min="2571" max="2805" width="9.140625" style="262"/>
    <col min="2806" max="2806" width="2" style="262" customWidth="1"/>
    <col min="2807" max="2807" width="5.7109375" style="262" customWidth="1"/>
    <col min="2808" max="2808" width="8.28515625" style="262" customWidth="1"/>
    <col min="2809" max="2810" width="16.5703125" style="262" customWidth="1"/>
    <col min="2811" max="2811" width="3.85546875" style="262" customWidth="1"/>
    <col min="2812" max="2812" width="5.140625" style="262" customWidth="1"/>
    <col min="2813" max="2813" width="7.140625" style="262" customWidth="1"/>
    <col min="2814" max="2814" width="10.85546875" style="262" customWidth="1"/>
    <col min="2815" max="2817" width="1.7109375" style="262" customWidth="1"/>
    <col min="2818" max="2818" width="6" style="262" customWidth="1"/>
    <col min="2819" max="2819" width="11.28515625" style="262" customWidth="1"/>
    <col min="2820" max="2820" width="2.28515625" style="262" customWidth="1"/>
    <col min="2821" max="2821" width="8.42578125" style="262" customWidth="1"/>
    <col min="2822" max="2822" width="2.42578125" style="262" customWidth="1"/>
    <col min="2823" max="2823" width="0" style="262" hidden="1" customWidth="1"/>
    <col min="2824" max="2824" width="11.5703125" style="262" customWidth="1"/>
    <col min="2825" max="2825" width="2.28515625" style="262" customWidth="1"/>
    <col min="2826" max="2826" width="7" style="262" customWidth="1"/>
    <col min="2827" max="3061" width="9.140625" style="262"/>
    <col min="3062" max="3062" width="2" style="262" customWidth="1"/>
    <col min="3063" max="3063" width="5.7109375" style="262" customWidth="1"/>
    <col min="3064" max="3064" width="8.28515625" style="262" customWidth="1"/>
    <col min="3065" max="3066" width="16.5703125" style="262" customWidth="1"/>
    <col min="3067" max="3067" width="3.85546875" style="262" customWidth="1"/>
    <col min="3068" max="3068" width="5.140625" style="262" customWidth="1"/>
    <col min="3069" max="3069" width="7.140625" style="262" customWidth="1"/>
    <col min="3070" max="3070" width="10.85546875" style="262" customWidth="1"/>
    <col min="3071" max="3073" width="1.7109375" style="262" customWidth="1"/>
    <col min="3074" max="3074" width="6" style="262" customWidth="1"/>
    <col min="3075" max="3075" width="11.28515625" style="262" customWidth="1"/>
    <col min="3076" max="3076" width="2.28515625" style="262" customWidth="1"/>
    <col min="3077" max="3077" width="8.42578125" style="262" customWidth="1"/>
    <col min="3078" max="3078" width="2.42578125" style="262" customWidth="1"/>
    <col min="3079" max="3079" width="0" style="262" hidden="1" customWidth="1"/>
    <col min="3080" max="3080" width="11.5703125" style="262" customWidth="1"/>
    <col min="3081" max="3081" width="2.28515625" style="262" customWidth="1"/>
    <col min="3082" max="3082" width="7" style="262" customWidth="1"/>
    <col min="3083" max="3317" width="9.140625" style="262"/>
    <col min="3318" max="3318" width="2" style="262" customWidth="1"/>
    <col min="3319" max="3319" width="5.7109375" style="262" customWidth="1"/>
    <col min="3320" max="3320" width="8.28515625" style="262" customWidth="1"/>
    <col min="3321" max="3322" width="16.5703125" style="262" customWidth="1"/>
    <col min="3323" max="3323" width="3.85546875" style="262" customWidth="1"/>
    <col min="3324" max="3324" width="5.140625" style="262" customWidth="1"/>
    <col min="3325" max="3325" width="7.140625" style="262" customWidth="1"/>
    <col min="3326" max="3326" width="10.85546875" style="262" customWidth="1"/>
    <col min="3327" max="3329" width="1.7109375" style="262" customWidth="1"/>
    <col min="3330" max="3330" width="6" style="262" customWidth="1"/>
    <col min="3331" max="3331" width="11.28515625" style="262" customWidth="1"/>
    <col min="3332" max="3332" width="2.28515625" style="262" customWidth="1"/>
    <col min="3333" max="3333" width="8.42578125" style="262" customWidth="1"/>
    <col min="3334" max="3334" width="2.42578125" style="262" customWidth="1"/>
    <col min="3335" max="3335" width="0" style="262" hidden="1" customWidth="1"/>
    <col min="3336" max="3336" width="11.5703125" style="262" customWidth="1"/>
    <col min="3337" max="3337" width="2.28515625" style="262" customWidth="1"/>
    <col min="3338" max="3338" width="7" style="262" customWidth="1"/>
    <col min="3339" max="3573" width="9.140625" style="262"/>
    <col min="3574" max="3574" width="2" style="262" customWidth="1"/>
    <col min="3575" max="3575" width="5.7109375" style="262" customWidth="1"/>
    <col min="3576" max="3576" width="8.28515625" style="262" customWidth="1"/>
    <col min="3577" max="3578" width="16.5703125" style="262" customWidth="1"/>
    <col min="3579" max="3579" width="3.85546875" style="262" customWidth="1"/>
    <col min="3580" max="3580" width="5.140625" style="262" customWidth="1"/>
    <col min="3581" max="3581" width="7.140625" style="262" customWidth="1"/>
    <col min="3582" max="3582" width="10.85546875" style="262" customWidth="1"/>
    <col min="3583" max="3585" width="1.7109375" style="262" customWidth="1"/>
    <col min="3586" max="3586" width="6" style="262" customWidth="1"/>
    <col min="3587" max="3587" width="11.28515625" style="262" customWidth="1"/>
    <col min="3588" max="3588" width="2.28515625" style="262" customWidth="1"/>
    <col min="3589" max="3589" width="8.42578125" style="262" customWidth="1"/>
    <col min="3590" max="3590" width="2.42578125" style="262" customWidth="1"/>
    <col min="3591" max="3591" width="0" style="262" hidden="1" customWidth="1"/>
    <col min="3592" max="3592" width="11.5703125" style="262" customWidth="1"/>
    <col min="3593" max="3593" width="2.28515625" style="262" customWidth="1"/>
    <col min="3594" max="3594" width="7" style="262" customWidth="1"/>
    <col min="3595" max="3829" width="9.140625" style="262"/>
    <col min="3830" max="3830" width="2" style="262" customWidth="1"/>
    <col min="3831" max="3831" width="5.7109375" style="262" customWidth="1"/>
    <col min="3832" max="3832" width="8.28515625" style="262" customWidth="1"/>
    <col min="3833" max="3834" width="16.5703125" style="262" customWidth="1"/>
    <col min="3835" max="3835" width="3.85546875" style="262" customWidth="1"/>
    <col min="3836" max="3836" width="5.140625" style="262" customWidth="1"/>
    <col min="3837" max="3837" width="7.140625" style="262" customWidth="1"/>
    <col min="3838" max="3838" width="10.85546875" style="262" customWidth="1"/>
    <col min="3839" max="3841" width="1.7109375" style="262" customWidth="1"/>
    <col min="3842" max="3842" width="6" style="262" customWidth="1"/>
    <col min="3843" max="3843" width="11.28515625" style="262" customWidth="1"/>
    <col min="3844" max="3844" width="2.28515625" style="262" customWidth="1"/>
    <col min="3845" max="3845" width="8.42578125" style="262" customWidth="1"/>
    <col min="3846" max="3846" width="2.42578125" style="262" customWidth="1"/>
    <col min="3847" max="3847" width="0" style="262" hidden="1" customWidth="1"/>
    <col min="3848" max="3848" width="11.5703125" style="262" customWidth="1"/>
    <col min="3849" max="3849" width="2.28515625" style="262" customWidth="1"/>
    <col min="3850" max="3850" width="7" style="262" customWidth="1"/>
    <col min="3851" max="4085" width="9.140625" style="262"/>
    <col min="4086" max="4086" width="2" style="262" customWidth="1"/>
    <col min="4087" max="4087" width="5.7109375" style="262" customWidth="1"/>
    <col min="4088" max="4088" width="8.28515625" style="262" customWidth="1"/>
    <col min="4089" max="4090" width="16.5703125" style="262" customWidth="1"/>
    <col min="4091" max="4091" width="3.85546875" style="262" customWidth="1"/>
    <col min="4092" max="4092" width="5.140625" style="262" customWidth="1"/>
    <col min="4093" max="4093" width="7.140625" style="262" customWidth="1"/>
    <col min="4094" max="4094" width="10.85546875" style="262" customWidth="1"/>
    <col min="4095" max="4097" width="1.7109375" style="262" customWidth="1"/>
    <col min="4098" max="4098" width="6" style="262" customWidth="1"/>
    <col min="4099" max="4099" width="11.28515625" style="262" customWidth="1"/>
    <col min="4100" max="4100" width="2.28515625" style="262" customWidth="1"/>
    <col min="4101" max="4101" width="8.42578125" style="262" customWidth="1"/>
    <col min="4102" max="4102" width="2.42578125" style="262" customWidth="1"/>
    <col min="4103" max="4103" width="0" style="262" hidden="1" customWidth="1"/>
    <col min="4104" max="4104" width="11.5703125" style="262" customWidth="1"/>
    <col min="4105" max="4105" width="2.28515625" style="262" customWidth="1"/>
    <col min="4106" max="4106" width="7" style="262" customWidth="1"/>
    <col min="4107" max="4341" width="9.140625" style="262"/>
    <col min="4342" max="4342" width="2" style="262" customWidth="1"/>
    <col min="4343" max="4343" width="5.7109375" style="262" customWidth="1"/>
    <col min="4344" max="4344" width="8.28515625" style="262" customWidth="1"/>
    <col min="4345" max="4346" width="16.5703125" style="262" customWidth="1"/>
    <col min="4347" max="4347" width="3.85546875" style="262" customWidth="1"/>
    <col min="4348" max="4348" width="5.140625" style="262" customWidth="1"/>
    <col min="4349" max="4349" width="7.140625" style="262" customWidth="1"/>
    <col min="4350" max="4350" width="10.85546875" style="262" customWidth="1"/>
    <col min="4351" max="4353" width="1.7109375" style="262" customWidth="1"/>
    <col min="4354" max="4354" width="6" style="262" customWidth="1"/>
    <col min="4355" max="4355" width="11.28515625" style="262" customWidth="1"/>
    <col min="4356" max="4356" width="2.28515625" style="262" customWidth="1"/>
    <col min="4357" max="4357" width="8.42578125" style="262" customWidth="1"/>
    <col min="4358" max="4358" width="2.42578125" style="262" customWidth="1"/>
    <col min="4359" max="4359" width="0" style="262" hidden="1" customWidth="1"/>
    <col min="4360" max="4360" width="11.5703125" style="262" customWidth="1"/>
    <col min="4361" max="4361" width="2.28515625" style="262" customWidth="1"/>
    <col min="4362" max="4362" width="7" style="262" customWidth="1"/>
    <col min="4363" max="4597" width="9.140625" style="262"/>
    <col min="4598" max="4598" width="2" style="262" customWidth="1"/>
    <col min="4599" max="4599" width="5.7109375" style="262" customWidth="1"/>
    <col min="4600" max="4600" width="8.28515625" style="262" customWidth="1"/>
    <col min="4601" max="4602" width="16.5703125" style="262" customWidth="1"/>
    <col min="4603" max="4603" width="3.85546875" style="262" customWidth="1"/>
    <col min="4604" max="4604" width="5.140625" style="262" customWidth="1"/>
    <col min="4605" max="4605" width="7.140625" style="262" customWidth="1"/>
    <col min="4606" max="4606" width="10.85546875" style="262" customWidth="1"/>
    <col min="4607" max="4609" width="1.7109375" style="262" customWidth="1"/>
    <col min="4610" max="4610" width="6" style="262" customWidth="1"/>
    <col min="4611" max="4611" width="11.28515625" style="262" customWidth="1"/>
    <col min="4612" max="4612" width="2.28515625" style="262" customWidth="1"/>
    <col min="4613" max="4613" width="8.42578125" style="262" customWidth="1"/>
    <col min="4614" max="4614" width="2.42578125" style="262" customWidth="1"/>
    <col min="4615" max="4615" width="0" style="262" hidden="1" customWidth="1"/>
    <col min="4616" max="4616" width="11.5703125" style="262" customWidth="1"/>
    <col min="4617" max="4617" width="2.28515625" style="262" customWidth="1"/>
    <col min="4618" max="4618" width="7" style="262" customWidth="1"/>
    <col min="4619" max="4853" width="9.140625" style="262"/>
    <col min="4854" max="4854" width="2" style="262" customWidth="1"/>
    <col min="4855" max="4855" width="5.7109375" style="262" customWidth="1"/>
    <col min="4856" max="4856" width="8.28515625" style="262" customWidth="1"/>
    <col min="4857" max="4858" width="16.5703125" style="262" customWidth="1"/>
    <col min="4859" max="4859" width="3.85546875" style="262" customWidth="1"/>
    <col min="4860" max="4860" width="5.140625" style="262" customWidth="1"/>
    <col min="4861" max="4861" width="7.140625" style="262" customWidth="1"/>
    <col min="4862" max="4862" width="10.85546875" style="262" customWidth="1"/>
    <col min="4863" max="4865" width="1.7109375" style="262" customWidth="1"/>
    <col min="4866" max="4866" width="6" style="262" customWidth="1"/>
    <col min="4867" max="4867" width="11.28515625" style="262" customWidth="1"/>
    <col min="4868" max="4868" width="2.28515625" style="262" customWidth="1"/>
    <col min="4869" max="4869" width="8.42578125" style="262" customWidth="1"/>
    <col min="4870" max="4870" width="2.42578125" style="262" customWidth="1"/>
    <col min="4871" max="4871" width="0" style="262" hidden="1" customWidth="1"/>
    <col min="4872" max="4872" width="11.5703125" style="262" customWidth="1"/>
    <col min="4873" max="4873" width="2.28515625" style="262" customWidth="1"/>
    <col min="4874" max="4874" width="7" style="262" customWidth="1"/>
    <col min="4875" max="5109" width="9.140625" style="262"/>
    <col min="5110" max="5110" width="2" style="262" customWidth="1"/>
    <col min="5111" max="5111" width="5.7109375" style="262" customWidth="1"/>
    <col min="5112" max="5112" width="8.28515625" style="262" customWidth="1"/>
    <col min="5113" max="5114" width="16.5703125" style="262" customWidth="1"/>
    <col min="5115" max="5115" width="3.85546875" style="262" customWidth="1"/>
    <col min="5116" max="5116" width="5.140625" style="262" customWidth="1"/>
    <col min="5117" max="5117" width="7.140625" style="262" customWidth="1"/>
    <col min="5118" max="5118" width="10.85546875" style="262" customWidth="1"/>
    <col min="5119" max="5121" width="1.7109375" style="262" customWidth="1"/>
    <col min="5122" max="5122" width="6" style="262" customWidth="1"/>
    <col min="5123" max="5123" width="11.28515625" style="262" customWidth="1"/>
    <col min="5124" max="5124" width="2.28515625" style="262" customWidth="1"/>
    <col min="5125" max="5125" width="8.42578125" style="262" customWidth="1"/>
    <col min="5126" max="5126" width="2.42578125" style="262" customWidth="1"/>
    <col min="5127" max="5127" width="0" style="262" hidden="1" customWidth="1"/>
    <col min="5128" max="5128" width="11.5703125" style="262" customWidth="1"/>
    <col min="5129" max="5129" width="2.28515625" style="262" customWidth="1"/>
    <col min="5130" max="5130" width="7" style="262" customWidth="1"/>
    <col min="5131" max="5365" width="9.140625" style="262"/>
    <col min="5366" max="5366" width="2" style="262" customWidth="1"/>
    <col min="5367" max="5367" width="5.7109375" style="262" customWidth="1"/>
    <col min="5368" max="5368" width="8.28515625" style="262" customWidth="1"/>
    <col min="5369" max="5370" width="16.5703125" style="262" customWidth="1"/>
    <col min="5371" max="5371" width="3.85546875" style="262" customWidth="1"/>
    <col min="5372" max="5372" width="5.140625" style="262" customWidth="1"/>
    <col min="5373" max="5373" width="7.140625" style="262" customWidth="1"/>
    <col min="5374" max="5374" width="10.85546875" style="262" customWidth="1"/>
    <col min="5375" max="5377" width="1.7109375" style="262" customWidth="1"/>
    <col min="5378" max="5378" width="6" style="262" customWidth="1"/>
    <col min="5379" max="5379" width="11.28515625" style="262" customWidth="1"/>
    <col min="5380" max="5380" width="2.28515625" style="262" customWidth="1"/>
    <col min="5381" max="5381" width="8.42578125" style="262" customWidth="1"/>
    <col min="5382" max="5382" width="2.42578125" style="262" customWidth="1"/>
    <col min="5383" max="5383" width="0" style="262" hidden="1" customWidth="1"/>
    <col min="5384" max="5384" width="11.5703125" style="262" customWidth="1"/>
    <col min="5385" max="5385" width="2.28515625" style="262" customWidth="1"/>
    <col min="5386" max="5386" width="7" style="262" customWidth="1"/>
    <col min="5387" max="5621" width="9.140625" style="262"/>
    <col min="5622" max="5622" width="2" style="262" customWidth="1"/>
    <col min="5623" max="5623" width="5.7109375" style="262" customWidth="1"/>
    <col min="5624" max="5624" width="8.28515625" style="262" customWidth="1"/>
    <col min="5625" max="5626" width="16.5703125" style="262" customWidth="1"/>
    <col min="5627" max="5627" width="3.85546875" style="262" customWidth="1"/>
    <col min="5628" max="5628" width="5.140625" style="262" customWidth="1"/>
    <col min="5629" max="5629" width="7.140625" style="262" customWidth="1"/>
    <col min="5630" max="5630" width="10.85546875" style="262" customWidth="1"/>
    <col min="5631" max="5633" width="1.7109375" style="262" customWidth="1"/>
    <col min="5634" max="5634" width="6" style="262" customWidth="1"/>
    <col min="5635" max="5635" width="11.28515625" style="262" customWidth="1"/>
    <col min="5636" max="5636" width="2.28515625" style="262" customWidth="1"/>
    <col min="5637" max="5637" width="8.42578125" style="262" customWidth="1"/>
    <col min="5638" max="5638" width="2.42578125" style="262" customWidth="1"/>
    <col min="5639" max="5639" width="0" style="262" hidden="1" customWidth="1"/>
    <col min="5640" max="5640" width="11.5703125" style="262" customWidth="1"/>
    <col min="5641" max="5641" width="2.28515625" style="262" customWidth="1"/>
    <col min="5642" max="5642" width="7" style="262" customWidth="1"/>
    <col min="5643" max="5877" width="9.140625" style="262"/>
    <col min="5878" max="5878" width="2" style="262" customWidth="1"/>
    <col min="5879" max="5879" width="5.7109375" style="262" customWidth="1"/>
    <col min="5880" max="5880" width="8.28515625" style="262" customWidth="1"/>
    <col min="5881" max="5882" width="16.5703125" style="262" customWidth="1"/>
    <col min="5883" max="5883" width="3.85546875" style="262" customWidth="1"/>
    <col min="5884" max="5884" width="5.140625" style="262" customWidth="1"/>
    <col min="5885" max="5885" width="7.140625" style="262" customWidth="1"/>
    <col min="5886" max="5886" width="10.85546875" style="262" customWidth="1"/>
    <col min="5887" max="5889" width="1.7109375" style="262" customWidth="1"/>
    <col min="5890" max="5890" width="6" style="262" customWidth="1"/>
    <col min="5891" max="5891" width="11.28515625" style="262" customWidth="1"/>
    <col min="5892" max="5892" width="2.28515625" style="262" customWidth="1"/>
    <col min="5893" max="5893" width="8.42578125" style="262" customWidth="1"/>
    <col min="5894" max="5894" width="2.42578125" style="262" customWidth="1"/>
    <col min="5895" max="5895" width="0" style="262" hidden="1" customWidth="1"/>
    <col min="5896" max="5896" width="11.5703125" style="262" customWidth="1"/>
    <col min="5897" max="5897" width="2.28515625" style="262" customWidth="1"/>
    <col min="5898" max="5898" width="7" style="262" customWidth="1"/>
    <col min="5899" max="6133" width="9.140625" style="262"/>
    <col min="6134" max="6134" width="2" style="262" customWidth="1"/>
    <col min="6135" max="6135" width="5.7109375" style="262" customWidth="1"/>
    <col min="6136" max="6136" width="8.28515625" style="262" customWidth="1"/>
    <col min="6137" max="6138" width="16.5703125" style="262" customWidth="1"/>
    <col min="6139" max="6139" width="3.85546875" style="262" customWidth="1"/>
    <col min="6140" max="6140" width="5.140625" style="262" customWidth="1"/>
    <col min="6141" max="6141" width="7.140625" style="262" customWidth="1"/>
    <col min="6142" max="6142" width="10.85546875" style="262" customWidth="1"/>
    <col min="6143" max="6145" width="1.7109375" style="262" customWidth="1"/>
    <col min="6146" max="6146" width="6" style="262" customWidth="1"/>
    <col min="6147" max="6147" width="11.28515625" style="262" customWidth="1"/>
    <col min="6148" max="6148" width="2.28515625" style="262" customWidth="1"/>
    <col min="6149" max="6149" width="8.42578125" style="262" customWidth="1"/>
    <col min="6150" max="6150" width="2.42578125" style="262" customWidth="1"/>
    <col min="6151" max="6151" width="0" style="262" hidden="1" customWidth="1"/>
    <col min="6152" max="6152" width="11.5703125" style="262" customWidth="1"/>
    <col min="6153" max="6153" width="2.28515625" style="262" customWidth="1"/>
    <col min="6154" max="6154" width="7" style="262" customWidth="1"/>
    <col min="6155" max="6389" width="9.140625" style="262"/>
    <col min="6390" max="6390" width="2" style="262" customWidth="1"/>
    <col min="6391" max="6391" width="5.7109375" style="262" customWidth="1"/>
    <col min="6392" max="6392" width="8.28515625" style="262" customWidth="1"/>
    <col min="6393" max="6394" width="16.5703125" style="262" customWidth="1"/>
    <col min="6395" max="6395" width="3.85546875" style="262" customWidth="1"/>
    <col min="6396" max="6396" width="5.140625" style="262" customWidth="1"/>
    <col min="6397" max="6397" width="7.140625" style="262" customWidth="1"/>
    <col min="6398" max="6398" width="10.85546875" style="262" customWidth="1"/>
    <col min="6399" max="6401" width="1.7109375" style="262" customWidth="1"/>
    <col min="6402" max="6402" width="6" style="262" customWidth="1"/>
    <col min="6403" max="6403" width="11.28515625" style="262" customWidth="1"/>
    <col min="6404" max="6404" width="2.28515625" style="262" customWidth="1"/>
    <col min="6405" max="6405" width="8.42578125" style="262" customWidth="1"/>
    <col min="6406" max="6406" width="2.42578125" style="262" customWidth="1"/>
    <col min="6407" max="6407" width="0" style="262" hidden="1" customWidth="1"/>
    <col min="6408" max="6408" width="11.5703125" style="262" customWidth="1"/>
    <col min="6409" max="6409" width="2.28515625" style="262" customWidth="1"/>
    <col min="6410" max="6410" width="7" style="262" customWidth="1"/>
    <col min="6411" max="6645" width="9.140625" style="262"/>
    <col min="6646" max="6646" width="2" style="262" customWidth="1"/>
    <col min="6647" max="6647" width="5.7109375" style="262" customWidth="1"/>
    <col min="6648" max="6648" width="8.28515625" style="262" customWidth="1"/>
    <col min="6649" max="6650" width="16.5703125" style="262" customWidth="1"/>
    <col min="6651" max="6651" width="3.85546875" style="262" customWidth="1"/>
    <col min="6652" max="6652" width="5.140625" style="262" customWidth="1"/>
    <col min="6653" max="6653" width="7.140625" style="262" customWidth="1"/>
    <col min="6654" max="6654" width="10.85546875" style="262" customWidth="1"/>
    <col min="6655" max="6657" width="1.7109375" style="262" customWidth="1"/>
    <col min="6658" max="6658" width="6" style="262" customWidth="1"/>
    <col min="6659" max="6659" width="11.28515625" style="262" customWidth="1"/>
    <col min="6660" max="6660" width="2.28515625" style="262" customWidth="1"/>
    <col min="6661" max="6661" width="8.42578125" style="262" customWidth="1"/>
    <col min="6662" max="6662" width="2.42578125" style="262" customWidth="1"/>
    <col min="6663" max="6663" width="0" style="262" hidden="1" customWidth="1"/>
    <col min="6664" max="6664" width="11.5703125" style="262" customWidth="1"/>
    <col min="6665" max="6665" width="2.28515625" style="262" customWidth="1"/>
    <col min="6666" max="6666" width="7" style="262" customWidth="1"/>
    <col min="6667" max="6901" width="9.140625" style="262"/>
    <col min="6902" max="6902" width="2" style="262" customWidth="1"/>
    <col min="6903" max="6903" width="5.7109375" style="262" customWidth="1"/>
    <col min="6904" max="6904" width="8.28515625" style="262" customWidth="1"/>
    <col min="6905" max="6906" width="16.5703125" style="262" customWidth="1"/>
    <col min="6907" max="6907" width="3.85546875" style="262" customWidth="1"/>
    <col min="6908" max="6908" width="5.140625" style="262" customWidth="1"/>
    <col min="6909" max="6909" width="7.140625" style="262" customWidth="1"/>
    <col min="6910" max="6910" width="10.85546875" style="262" customWidth="1"/>
    <col min="6911" max="6913" width="1.7109375" style="262" customWidth="1"/>
    <col min="6914" max="6914" width="6" style="262" customWidth="1"/>
    <col min="6915" max="6915" width="11.28515625" style="262" customWidth="1"/>
    <col min="6916" max="6916" width="2.28515625" style="262" customWidth="1"/>
    <col min="6917" max="6917" width="8.42578125" style="262" customWidth="1"/>
    <col min="6918" max="6918" width="2.42578125" style="262" customWidth="1"/>
    <col min="6919" max="6919" width="0" style="262" hidden="1" customWidth="1"/>
    <col min="6920" max="6920" width="11.5703125" style="262" customWidth="1"/>
    <col min="6921" max="6921" width="2.28515625" style="262" customWidth="1"/>
    <col min="6922" max="6922" width="7" style="262" customWidth="1"/>
    <col min="6923" max="7157" width="9.140625" style="262"/>
    <col min="7158" max="7158" width="2" style="262" customWidth="1"/>
    <col min="7159" max="7159" width="5.7109375" style="262" customWidth="1"/>
    <col min="7160" max="7160" width="8.28515625" style="262" customWidth="1"/>
    <col min="7161" max="7162" width="16.5703125" style="262" customWidth="1"/>
    <col min="7163" max="7163" width="3.85546875" style="262" customWidth="1"/>
    <col min="7164" max="7164" width="5.140625" style="262" customWidth="1"/>
    <col min="7165" max="7165" width="7.140625" style="262" customWidth="1"/>
    <col min="7166" max="7166" width="10.85546875" style="262" customWidth="1"/>
    <col min="7167" max="7169" width="1.7109375" style="262" customWidth="1"/>
    <col min="7170" max="7170" width="6" style="262" customWidth="1"/>
    <col min="7171" max="7171" width="11.28515625" style="262" customWidth="1"/>
    <col min="7172" max="7172" width="2.28515625" style="262" customWidth="1"/>
    <col min="7173" max="7173" width="8.42578125" style="262" customWidth="1"/>
    <col min="7174" max="7174" width="2.42578125" style="262" customWidth="1"/>
    <col min="7175" max="7175" width="0" style="262" hidden="1" customWidth="1"/>
    <col min="7176" max="7176" width="11.5703125" style="262" customWidth="1"/>
    <col min="7177" max="7177" width="2.28515625" style="262" customWidth="1"/>
    <col min="7178" max="7178" width="7" style="262" customWidth="1"/>
    <col min="7179" max="7413" width="9.140625" style="262"/>
    <col min="7414" max="7414" width="2" style="262" customWidth="1"/>
    <col min="7415" max="7415" width="5.7109375" style="262" customWidth="1"/>
    <col min="7416" max="7416" width="8.28515625" style="262" customWidth="1"/>
    <col min="7417" max="7418" width="16.5703125" style="262" customWidth="1"/>
    <col min="7419" max="7419" width="3.85546875" style="262" customWidth="1"/>
    <col min="7420" max="7420" width="5.140625" style="262" customWidth="1"/>
    <col min="7421" max="7421" width="7.140625" style="262" customWidth="1"/>
    <col min="7422" max="7422" width="10.85546875" style="262" customWidth="1"/>
    <col min="7423" max="7425" width="1.7109375" style="262" customWidth="1"/>
    <col min="7426" max="7426" width="6" style="262" customWidth="1"/>
    <col min="7427" max="7427" width="11.28515625" style="262" customWidth="1"/>
    <col min="7428" max="7428" width="2.28515625" style="262" customWidth="1"/>
    <col min="7429" max="7429" width="8.42578125" style="262" customWidth="1"/>
    <col min="7430" max="7430" width="2.42578125" style="262" customWidth="1"/>
    <col min="7431" max="7431" width="0" style="262" hidden="1" customWidth="1"/>
    <col min="7432" max="7432" width="11.5703125" style="262" customWidth="1"/>
    <col min="7433" max="7433" width="2.28515625" style="262" customWidth="1"/>
    <col min="7434" max="7434" width="7" style="262" customWidth="1"/>
    <col min="7435" max="7669" width="9.140625" style="262"/>
    <col min="7670" max="7670" width="2" style="262" customWidth="1"/>
    <col min="7671" max="7671" width="5.7109375" style="262" customWidth="1"/>
    <col min="7672" max="7672" width="8.28515625" style="262" customWidth="1"/>
    <col min="7673" max="7674" width="16.5703125" style="262" customWidth="1"/>
    <col min="7675" max="7675" width="3.85546875" style="262" customWidth="1"/>
    <col min="7676" max="7676" width="5.140625" style="262" customWidth="1"/>
    <col min="7677" max="7677" width="7.140625" style="262" customWidth="1"/>
    <col min="7678" max="7678" width="10.85546875" style="262" customWidth="1"/>
    <col min="7679" max="7681" width="1.7109375" style="262" customWidth="1"/>
    <col min="7682" max="7682" width="6" style="262" customWidth="1"/>
    <col min="7683" max="7683" width="11.28515625" style="262" customWidth="1"/>
    <col min="7684" max="7684" width="2.28515625" style="262" customWidth="1"/>
    <col min="7685" max="7685" width="8.42578125" style="262" customWidth="1"/>
    <col min="7686" max="7686" width="2.42578125" style="262" customWidth="1"/>
    <col min="7687" max="7687" width="0" style="262" hidden="1" customWidth="1"/>
    <col min="7688" max="7688" width="11.5703125" style="262" customWidth="1"/>
    <col min="7689" max="7689" width="2.28515625" style="262" customWidth="1"/>
    <col min="7690" max="7690" width="7" style="262" customWidth="1"/>
    <col min="7691" max="7925" width="9.140625" style="262"/>
    <col min="7926" max="7926" width="2" style="262" customWidth="1"/>
    <col min="7927" max="7927" width="5.7109375" style="262" customWidth="1"/>
    <col min="7928" max="7928" width="8.28515625" style="262" customWidth="1"/>
    <col min="7929" max="7930" width="16.5703125" style="262" customWidth="1"/>
    <col min="7931" max="7931" width="3.85546875" style="262" customWidth="1"/>
    <col min="7932" max="7932" width="5.140625" style="262" customWidth="1"/>
    <col min="7933" max="7933" width="7.140625" style="262" customWidth="1"/>
    <col min="7934" max="7934" width="10.85546875" style="262" customWidth="1"/>
    <col min="7935" max="7937" width="1.7109375" style="262" customWidth="1"/>
    <col min="7938" max="7938" width="6" style="262" customWidth="1"/>
    <col min="7939" max="7939" width="11.28515625" style="262" customWidth="1"/>
    <col min="7940" max="7940" width="2.28515625" style="262" customWidth="1"/>
    <col min="7941" max="7941" width="8.42578125" style="262" customWidth="1"/>
    <col min="7942" max="7942" width="2.42578125" style="262" customWidth="1"/>
    <col min="7943" max="7943" width="0" style="262" hidden="1" customWidth="1"/>
    <col min="7944" max="7944" width="11.5703125" style="262" customWidth="1"/>
    <col min="7945" max="7945" width="2.28515625" style="262" customWidth="1"/>
    <col min="7946" max="7946" width="7" style="262" customWidth="1"/>
    <col min="7947" max="8181" width="9.140625" style="262"/>
    <col min="8182" max="8182" width="2" style="262" customWidth="1"/>
    <col min="8183" max="8183" width="5.7109375" style="262" customWidth="1"/>
    <col min="8184" max="8184" width="8.28515625" style="262" customWidth="1"/>
    <col min="8185" max="8186" width="16.5703125" style="262" customWidth="1"/>
    <col min="8187" max="8187" width="3.85546875" style="262" customWidth="1"/>
    <col min="8188" max="8188" width="5.140625" style="262" customWidth="1"/>
    <col min="8189" max="8189" width="7.140625" style="262" customWidth="1"/>
    <col min="8190" max="8190" width="10.85546875" style="262" customWidth="1"/>
    <col min="8191" max="8193" width="1.7109375" style="262" customWidth="1"/>
    <col min="8194" max="8194" width="6" style="262" customWidth="1"/>
    <col min="8195" max="8195" width="11.28515625" style="262" customWidth="1"/>
    <col min="8196" max="8196" width="2.28515625" style="262" customWidth="1"/>
    <col min="8197" max="8197" width="8.42578125" style="262" customWidth="1"/>
    <col min="8198" max="8198" width="2.42578125" style="262" customWidth="1"/>
    <col min="8199" max="8199" width="0" style="262" hidden="1" customWidth="1"/>
    <col min="8200" max="8200" width="11.5703125" style="262" customWidth="1"/>
    <col min="8201" max="8201" width="2.28515625" style="262" customWidth="1"/>
    <col min="8202" max="8202" width="7" style="262" customWidth="1"/>
    <col min="8203" max="8437" width="9.140625" style="262"/>
    <col min="8438" max="8438" width="2" style="262" customWidth="1"/>
    <col min="8439" max="8439" width="5.7109375" style="262" customWidth="1"/>
    <col min="8440" max="8440" width="8.28515625" style="262" customWidth="1"/>
    <col min="8441" max="8442" width="16.5703125" style="262" customWidth="1"/>
    <col min="8443" max="8443" width="3.85546875" style="262" customWidth="1"/>
    <col min="8444" max="8444" width="5.140625" style="262" customWidth="1"/>
    <col min="8445" max="8445" width="7.140625" style="262" customWidth="1"/>
    <col min="8446" max="8446" width="10.85546875" style="262" customWidth="1"/>
    <col min="8447" max="8449" width="1.7109375" style="262" customWidth="1"/>
    <col min="8450" max="8450" width="6" style="262" customWidth="1"/>
    <col min="8451" max="8451" width="11.28515625" style="262" customWidth="1"/>
    <col min="8452" max="8452" width="2.28515625" style="262" customWidth="1"/>
    <col min="8453" max="8453" width="8.42578125" style="262" customWidth="1"/>
    <col min="8454" max="8454" width="2.42578125" style="262" customWidth="1"/>
    <col min="8455" max="8455" width="0" style="262" hidden="1" customWidth="1"/>
    <col min="8456" max="8456" width="11.5703125" style="262" customWidth="1"/>
    <col min="8457" max="8457" width="2.28515625" style="262" customWidth="1"/>
    <col min="8458" max="8458" width="7" style="262" customWidth="1"/>
    <col min="8459" max="8693" width="9.140625" style="262"/>
    <col min="8694" max="8694" width="2" style="262" customWidth="1"/>
    <col min="8695" max="8695" width="5.7109375" style="262" customWidth="1"/>
    <col min="8696" max="8696" width="8.28515625" style="262" customWidth="1"/>
    <col min="8697" max="8698" width="16.5703125" style="262" customWidth="1"/>
    <col min="8699" max="8699" width="3.85546875" style="262" customWidth="1"/>
    <col min="8700" max="8700" width="5.140625" style="262" customWidth="1"/>
    <col min="8701" max="8701" width="7.140625" style="262" customWidth="1"/>
    <col min="8702" max="8702" width="10.85546875" style="262" customWidth="1"/>
    <col min="8703" max="8705" width="1.7109375" style="262" customWidth="1"/>
    <col min="8706" max="8706" width="6" style="262" customWidth="1"/>
    <col min="8707" max="8707" width="11.28515625" style="262" customWidth="1"/>
    <col min="8708" max="8708" width="2.28515625" style="262" customWidth="1"/>
    <col min="8709" max="8709" width="8.42578125" style="262" customWidth="1"/>
    <col min="8710" max="8710" width="2.42578125" style="262" customWidth="1"/>
    <col min="8711" max="8711" width="0" style="262" hidden="1" customWidth="1"/>
    <col min="8712" max="8712" width="11.5703125" style="262" customWidth="1"/>
    <col min="8713" max="8713" width="2.28515625" style="262" customWidth="1"/>
    <col min="8714" max="8714" width="7" style="262" customWidth="1"/>
    <col min="8715" max="8949" width="9.140625" style="262"/>
    <col min="8950" max="8950" width="2" style="262" customWidth="1"/>
    <col min="8951" max="8951" width="5.7109375" style="262" customWidth="1"/>
    <col min="8952" max="8952" width="8.28515625" style="262" customWidth="1"/>
    <col min="8953" max="8954" width="16.5703125" style="262" customWidth="1"/>
    <col min="8955" max="8955" width="3.85546875" style="262" customWidth="1"/>
    <col min="8956" max="8956" width="5.140625" style="262" customWidth="1"/>
    <col min="8957" max="8957" width="7.140625" style="262" customWidth="1"/>
    <col min="8958" max="8958" width="10.85546875" style="262" customWidth="1"/>
    <col min="8959" max="8961" width="1.7109375" style="262" customWidth="1"/>
    <col min="8962" max="8962" width="6" style="262" customWidth="1"/>
    <col min="8963" max="8963" width="11.28515625" style="262" customWidth="1"/>
    <col min="8964" max="8964" width="2.28515625" style="262" customWidth="1"/>
    <col min="8965" max="8965" width="8.42578125" style="262" customWidth="1"/>
    <col min="8966" max="8966" width="2.42578125" style="262" customWidth="1"/>
    <col min="8967" max="8967" width="0" style="262" hidden="1" customWidth="1"/>
    <col min="8968" max="8968" width="11.5703125" style="262" customWidth="1"/>
    <col min="8969" max="8969" width="2.28515625" style="262" customWidth="1"/>
    <col min="8970" max="8970" width="7" style="262" customWidth="1"/>
    <col min="8971" max="9205" width="9.140625" style="262"/>
    <col min="9206" max="9206" width="2" style="262" customWidth="1"/>
    <col min="9207" max="9207" width="5.7109375" style="262" customWidth="1"/>
    <col min="9208" max="9208" width="8.28515625" style="262" customWidth="1"/>
    <col min="9209" max="9210" width="16.5703125" style="262" customWidth="1"/>
    <col min="9211" max="9211" width="3.85546875" style="262" customWidth="1"/>
    <col min="9212" max="9212" width="5.140625" style="262" customWidth="1"/>
    <col min="9213" max="9213" width="7.140625" style="262" customWidth="1"/>
    <col min="9214" max="9214" width="10.85546875" style="262" customWidth="1"/>
    <col min="9215" max="9217" width="1.7109375" style="262" customWidth="1"/>
    <col min="9218" max="9218" width="6" style="262" customWidth="1"/>
    <col min="9219" max="9219" width="11.28515625" style="262" customWidth="1"/>
    <col min="9220" max="9220" width="2.28515625" style="262" customWidth="1"/>
    <col min="9221" max="9221" width="8.42578125" style="262" customWidth="1"/>
    <col min="9222" max="9222" width="2.42578125" style="262" customWidth="1"/>
    <col min="9223" max="9223" width="0" style="262" hidden="1" customWidth="1"/>
    <col min="9224" max="9224" width="11.5703125" style="262" customWidth="1"/>
    <col min="9225" max="9225" width="2.28515625" style="262" customWidth="1"/>
    <col min="9226" max="9226" width="7" style="262" customWidth="1"/>
    <col min="9227" max="9461" width="9.140625" style="262"/>
    <col min="9462" max="9462" width="2" style="262" customWidth="1"/>
    <col min="9463" max="9463" width="5.7109375" style="262" customWidth="1"/>
    <col min="9464" max="9464" width="8.28515625" style="262" customWidth="1"/>
    <col min="9465" max="9466" width="16.5703125" style="262" customWidth="1"/>
    <col min="9467" max="9467" width="3.85546875" style="262" customWidth="1"/>
    <col min="9468" max="9468" width="5.140625" style="262" customWidth="1"/>
    <col min="9469" max="9469" width="7.140625" style="262" customWidth="1"/>
    <col min="9470" max="9470" width="10.85546875" style="262" customWidth="1"/>
    <col min="9471" max="9473" width="1.7109375" style="262" customWidth="1"/>
    <col min="9474" max="9474" width="6" style="262" customWidth="1"/>
    <col min="9475" max="9475" width="11.28515625" style="262" customWidth="1"/>
    <col min="9476" max="9476" width="2.28515625" style="262" customWidth="1"/>
    <col min="9477" max="9477" width="8.42578125" style="262" customWidth="1"/>
    <col min="9478" max="9478" width="2.42578125" style="262" customWidth="1"/>
    <col min="9479" max="9479" width="0" style="262" hidden="1" customWidth="1"/>
    <col min="9480" max="9480" width="11.5703125" style="262" customWidth="1"/>
    <col min="9481" max="9481" width="2.28515625" style="262" customWidth="1"/>
    <col min="9482" max="9482" width="7" style="262" customWidth="1"/>
    <col min="9483" max="9717" width="9.140625" style="262"/>
    <col min="9718" max="9718" width="2" style="262" customWidth="1"/>
    <col min="9719" max="9719" width="5.7109375" style="262" customWidth="1"/>
    <col min="9720" max="9720" width="8.28515625" style="262" customWidth="1"/>
    <col min="9721" max="9722" width="16.5703125" style="262" customWidth="1"/>
    <col min="9723" max="9723" width="3.85546875" style="262" customWidth="1"/>
    <col min="9724" max="9724" width="5.140625" style="262" customWidth="1"/>
    <col min="9725" max="9725" width="7.140625" style="262" customWidth="1"/>
    <col min="9726" max="9726" width="10.85546875" style="262" customWidth="1"/>
    <col min="9727" max="9729" width="1.7109375" style="262" customWidth="1"/>
    <col min="9730" max="9730" width="6" style="262" customWidth="1"/>
    <col min="9731" max="9731" width="11.28515625" style="262" customWidth="1"/>
    <col min="9732" max="9732" width="2.28515625" style="262" customWidth="1"/>
    <col min="9733" max="9733" width="8.42578125" style="262" customWidth="1"/>
    <col min="9734" max="9734" width="2.42578125" style="262" customWidth="1"/>
    <col min="9735" max="9735" width="0" style="262" hidden="1" customWidth="1"/>
    <col min="9736" max="9736" width="11.5703125" style="262" customWidth="1"/>
    <col min="9737" max="9737" width="2.28515625" style="262" customWidth="1"/>
    <col min="9738" max="9738" width="7" style="262" customWidth="1"/>
    <col min="9739" max="9973" width="9.140625" style="262"/>
    <col min="9974" max="9974" width="2" style="262" customWidth="1"/>
    <col min="9975" max="9975" width="5.7109375" style="262" customWidth="1"/>
    <col min="9976" max="9976" width="8.28515625" style="262" customWidth="1"/>
    <col min="9977" max="9978" width="16.5703125" style="262" customWidth="1"/>
    <col min="9979" max="9979" width="3.85546875" style="262" customWidth="1"/>
    <col min="9980" max="9980" width="5.140625" style="262" customWidth="1"/>
    <col min="9981" max="9981" width="7.140625" style="262" customWidth="1"/>
    <col min="9982" max="9982" width="10.85546875" style="262" customWidth="1"/>
    <col min="9983" max="9985" width="1.7109375" style="262" customWidth="1"/>
    <col min="9986" max="9986" width="6" style="262" customWidth="1"/>
    <col min="9987" max="9987" width="11.28515625" style="262" customWidth="1"/>
    <col min="9988" max="9988" width="2.28515625" style="262" customWidth="1"/>
    <col min="9989" max="9989" width="8.42578125" style="262" customWidth="1"/>
    <col min="9990" max="9990" width="2.42578125" style="262" customWidth="1"/>
    <col min="9991" max="9991" width="0" style="262" hidden="1" customWidth="1"/>
    <col min="9992" max="9992" width="11.5703125" style="262" customWidth="1"/>
    <col min="9993" max="9993" width="2.28515625" style="262" customWidth="1"/>
    <col min="9994" max="9994" width="7" style="262" customWidth="1"/>
    <col min="9995" max="10229" width="9.140625" style="262"/>
    <col min="10230" max="10230" width="2" style="262" customWidth="1"/>
    <col min="10231" max="10231" width="5.7109375" style="262" customWidth="1"/>
    <col min="10232" max="10232" width="8.28515625" style="262" customWidth="1"/>
    <col min="10233" max="10234" width="16.5703125" style="262" customWidth="1"/>
    <col min="10235" max="10235" width="3.85546875" style="262" customWidth="1"/>
    <col min="10236" max="10236" width="5.140625" style="262" customWidth="1"/>
    <col min="10237" max="10237" width="7.140625" style="262" customWidth="1"/>
    <col min="10238" max="10238" width="10.85546875" style="262" customWidth="1"/>
    <col min="10239" max="10241" width="1.7109375" style="262" customWidth="1"/>
    <col min="10242" max="10242" width="6" style="262" customWidth="1"/>
    <col min="10243" max="10243" width="11.28515625" style="262" customWidth="1"/>
    <col min="10244" max="10244" width="2.28515625" style="262" customWidth="1"/>
    <col min="10245" max="10245" width="8.42578125" style="262" customWidth="1"/>
    <col min="10246" max="10246" width="2.42578125" style="262" customWidth="1"/>
    <col min="10247" max="10247" width="0" style="262" hidden="1" customWidth="1"/>
    <col min="10248" max="10248" width="11.5703125" style="262" customWidth="1"/>
    <col min="10249" max="10249" width="2.28515625" style="262" customWidth="1"/>
    <col min="10250" max="10250" width="7" style="262" customWidth="1"/>
    <col min="10251" max="10485" width="9.140625" style="262"/>
    <col min="10486" max="10486" width="2" style="262" customWidth="1"/>
    <col min="10487" max="10487" width="5.7109375" style="262" customWidth="1"/>
    <col min="10488" max="10488" width="8.28515625" style="262" customWidth="1"/>
    <col min="10489" max="10490" width="16.5703125" style="262" customWidth="1"/>
    <col min="10491" max="10491" width="3.85546875" style="262" customWidth="1"/>
    <col min="10492" max="10492" width="5.140625" style="262" customWidth="1"/>
    <col min="10493" max="10493" width="7.140625" style="262" customWidth="1"/>
    <col min="10494" max="10494" width="10.85546875" style="262" customWidth="1"/>
    <col min="10495" max="10497" width="1.7109375" style="262" customWidth="1"/>
    <col min="10498" max="10498" width="6" style="262" customWidth="1"/>
    <col min="10499" max="10499" width="11.28515625" style="262" customWidth="1"/>
    <col min="10500" max="10500" width="2.28515625" style="262" customWidth="1"/>
    <col min="10501" max="10501" width="8.42578125" style="262" customWidth="1"/>
    <col min="10502" max="10502" width="2.42578125" style="262" customWidth="1"/>
    <col min="10503" max="10503" width="0" style="262" hidden="1" customWidth="1"/>
    <col min="10504" max="10504" width="11.5703125" style="262" customWidth="1"/>
    <col min="10505" max="10505" width="2.28515625" style="262" customWidth="1"/>
    <col min="10506" max="10506" width="7" style="262" customWidth="1"/>
    <col min="10507" max="10741" width="9.140625" style="262"/>
    <col min="10742" max="10742" width="2" style="262" customWidth="1"/>
    <col min="10743" max="10743" width="5.7109375" style="262" customWidth="1"/>
    <col min="10744" max="10744" width="8.28515625" style="262" customWidth="1"/>
    <col min="10745" max="10746" width="16.5703125" style="262" customWidth="1"/>
    <col min="10747" max="10747" width="3.85546875" style="262" customWidth="1"/>
    <col min="10748" max="10748" width="5.140625" style="262" customWidth="1"/>
    <col min="10749" max="10749" width="7.140625" style="262" customWidth="1"/>
    <col min="10750" max="10750" width="10.85546875" style="262" customWidth="1"/>
    <col min="10751" max="10753" width="1.7109375" style="262" customWidth="1"/>
    <col min="10754" max="10754" width="6" style="262" customWidth="1"/>
    <col min="10755" max="10755" width="11.28515625" style="262" customWidth="1"/>
    <col min="10756" max="10756" width="2.28515625" style="262" customWidth="1"/>
    <col min="10757" max="10757" width="8.42578125" style="262" customWidth="1"/>
    <col min="10758" max="10758" width="2.42578125" style="262" customWidth="1"/>
    <col min="10759" max="10759" width="0" style="262" hidden="1" customWidth="1"/>
    <col min="10760" max="10760" width="11.5703125" style="262" customWidth="1"/>
    <col min="10761" max="10761" width="2.28515625" style="262" customWidth="1"/>
    <col min="10762" max="10762" width="7" style="262" customWidth="1"/>
    <col min="10763" max="10997" width="9.140625" style="262"/>
    <col min="10998" max="10998" width="2" style="262" customWidth="1"/>
    <col min="10999" max="10999" width="5.7109375" style="262" customWidth="1"/>
    <col min="11000" max="11000" width="8.28515625" style="262" customWidth="1"/>
    <col min="11001" max="11002" width="16.5703125" style="262" customWidth="1"/>
    <col min="11003" max="11003" width="3.85546875" style="262" customWidth="1"/>
    <col min="11004" max="11004" width="5.140625" style="262" customWidth="1"/>
    <col min="11005" max="11005" width="7.140625" style="262" customWidth="1"/>
    <col min="11006" max="11006" width="10.85546875" style="262" customWidth="1"/>
    <col min="11007" max="11009" width="1.7109375" style="262" customWidth="1"/>
    <col min="11010" max="11010" width="6" style="262" customWidth="1"/>
    <col min="11011" max="11011" width="11.28515625" style="262" customWidth="1"/>
    <col min="11012" max="11012" width="2.28515625" style="262" customWidth="1"/>
    <col min="11013" max="11013" width="8.42578125" style="262" customWidth="1"/>
    <col min="11014" max="11014" width="2.42578125" style="262" customWidth="1"/>
    <col min="11015" max="11015" width="0" style="262" hidden="1" customWidth="1"/>
    <col min="11016" max="11016" width="11.5703125" style="262" customWidth="1"/>
    <col min="11017" max="11017" width="2.28515625" style="262" customWidth="1"/>
    <col min="11018" max="11018" width="7" style="262" customWidth="1"/>
    <col min="11019" max="11253" width="9.140625" style="262"/>
    <col min="11254" max="11254" width="2" style="262" customWidth="1"/>
    <col min="11255" max="11255" width="5.7109375" style="262" customWidth="1"/>
    <col min="11256" max="11256" width="8.28515625" style="262" customWidth="1"/>
    <col min="11257" max="11258" width="16.5703125" style="262" customWidth="1"/>
    <col min="11259" max="11259" width="3.85546875" style="262" customWidth="1"/>
    <col min="11260" max="11260" width="5.140625" style="262" customWidth="1"/>
    <col min="11261" max="11261" width="7.140625" style="262" customWidth="1"/>
    <col min="11262" max="11262" width="10.85546875" style="262" customWidth="1"/>
    <col min="11263" max="11265" width="1.7109375" style="262" customWidth="1"/>
    <col min="11266" max="11266" width="6" style="262" customWidth="1"/>
    <col min="11267" max="11267" width="11.28515625" style="262" customWidth="1"/>
    <col min="11268" max="11268" width="2.28515625" style="262" customWidth="1"/>
    <col min="11269" max="11269" width="8.42578125" style="262" customWidth="1"/>
    <col min="11270" max="11270" width="2.42578125" style="262" customWidth="1"/>
    <col min="11271" max="11271" width="0" style="262" hidden="1" customWidth="1"/>
    <col min="11272" max="11272" width="11.5703125" style="262" customWidth="1"/>
    <col min="11273" max="11273" width="2.28515625" style="262" customWidth="1"/>
    <col min="11274" max="11274" width="7" style="262" customWidth="1"/>
    <col min="11275" max="11509" width="9.140625" style="262"/>
    <col min="11510" max="11510" width="2" style="262" customWidth="1"/>
    <col min="11511" max="11511" width="5.7109375" style="262" customWidth="1"/>
    <col min="11512" max="11512" width="8.28515625" style="262" customWidth="1"/>
    <col min="11513" max="11514" width="16.5703125" style="262" customWidth="1"/>
    <col min="11515" max="11515" width="3.85546875" style="262" customWidth="1"/>
    <col min="11516" max="11516" width="5.140625" style="262" customWidth="1"/>
    <col min="11517" max="11517" width="7.140625" style="262" customWidth="1"/>
    <col min="11518" max="11518" width="10.85546875" style="262" customWidth="1"/>
    <col min="11519" max="11521" width="1.7109375" style="262" customWidth="1"/>
    <col min="11522" max="11522" width="6" style="262" customWidth="1"/>
    <col min="11523" max="11523" width="11.28515625" style="262" customWidth="1"/>
    <col min="11524" max="11524" width="2.28515625" style="262" customWidth="1"/>
    <col min="11525" max="11525" width="8.42578125" style="262" customWidth="1"/>
    <col min="11526" max="11526" width="2.42578125" style="262" customWidth="1"/>
    <col min="11527" max="11527" width="0" style="262" hidden="1" customWidth="1"/>
    <col min="11528" max="11528" width="11.5703125" style="262" customWidth="1"/>
    <col min="11529" max="11529" width="2.28515625" style="262" customWidth="1"/>
    <col min="11530" max="11530" width="7" style="262" customWidth="1"/>
    <col min="11531" max="11765" width="9.140625" style="262"/>
    <col min="11766" max="11766" width="2" style="262" customWidth="1"/>
    <col min="11767" max="11767" width="5.7109375" style="262" customWidth="1"/>
    <col min="11768" max="11768" width="8.28515625" style="262" customWidth="1"/>
    <col min="11769" max="11770" width="16.5703125" style="262" customWidth="1"/>
    <col min="11771" max="11771" width="3.85546875" style="262" customWidth="1"/>
    <col min="11772" max="11772" width="5.140625" style="262" customWidth="1"/>
    <col min="11773" max="11773" width="7.140625" style="262" customWidth="1"/>
    <col min="11774" max="11774" width="10.85546875" style="262" customWidth="1"/>
    <col min="11775" max="11777" width="1.7109375" style="262" customWidth="1"/>
    <col min="11778" max="11778" width="6" style="262" customWidth="1"/>
    <col min="11779" max="11779" width="11.28515625" style="262" customWidth="1"/>
    <col min="11780" max="11780" width="2.28515625" style="262" customWidth="1"/>
    <col min="11781" max="11781" width="8.42578125" style="262" customWidth="1"/>
    <col min="11782" max="11782" width="2.42578125" style="262" customWidth="1"/>
    <col min="11783" max="11783" width="0" style="262" hidden="1" customWidth="1"/>
    <col min="11784" max="11784" width="11.5703125" style="262" customWidth="1"/>
    <col min="11785" max="11785" width="2.28515625" style="262" customWidth="1"/>
    <col min="11786" max="11786" width="7" style="262" customWidth="1"/>
    <col min="11787" max="12021" width="9.140625" style="262"/>
    <col min="12022" max="12022" width="2" style="262" customWidth="1"/>
    <col min="12023" max="12023" width="5.7109375" style="262" customWidth="1"/>
    <col min="12024" max="12024" width="8.28515625" style="262" customWidth="1"/>
    <col min="12025" max="12026" width="16.5703125" style="262" customWidth="1"/>
    <col min="12027" max="12027" width="3.85546875" style="262" customWidth="1"/>
    <col min="12028" max="12028" width="5.140625" style="262" customWidth="1"/>
    <col min="12029" max="12029" width="7.140625" style="262" customWidth="1"/>
    <col min="12030" max="12030" width="10.85546875" style="262" customWidth="1"/>
    <col min="12031" max="12033" width="1.7109375" style="262" customWidth="1"/>
    <col min="12034" max="12034" width="6" style="262" customWidth="1"/>
    <col min="12035" max="12035" width="11.28515625" style="262" customWidth="1"/>
    <col min="12036" max="12036" width="2.28515625" style="262" customWidth="1"/>
    <col min="12037" max="12037" width="8.42578125" style="262" customWidth="1"/>
    <col min="12038" max="12038" width="2.42578125" style="262" customWidth="1"/>
    <col min="12039" max="12039" width="0" style="262" hidden="1" customWidth="1"/>
    <col min="12040" max="12040" width="11.5703125" style="262" customWidth="1"/>
    <col min="12041" max="12041" width="2.28515625" style="262" customWidth="1"/>
    <col min="12042" max="12042" width="7" style="262" customWidth="1"/>
    <col min="12043" max="12277" width="9.140625" style="262"/>
    <col min="12278" max="12278" width="2" style="262" customWidth="1"/>
    <col min="12279" max="12279" width="5.7109375" style="262" customWidth="1"/>
    <col min="12280" max="12280" width="8.28515625" style="262" customWidth="1"/>
    <col min="12281" max="12282" width="16.5703125" style="262" customWidth="1"/>
    <col min="12283" max="12283" width="3.85546875" style="262" customWidth="1"/>
    <col min="12284" max="12284" width="5.140625" style="262" customWidth="1"/>
    <col min="12285" max="12285" width="7.140625" style="262" customWidth="1"/>
    <col min="12286" max="12286" width="10.85546875" style="262" customWidth="1"/>
    <col min="12287" max="12289" width="1.7109375" style="262" customWidth="1"/>
    <col min="12290" max="12290" width="6" style="262" customWidth="1"/>
    <col min="12291" max="12291" width="11.28515625" style="262" customWidth="1"/>
    <col min="12292" max="12292" width="2.28515625" style="262" customWidth="1"/>
    <col min="12293" max="12293" width="8.42578125" style="262" customWidth="1"/>
    <col min="12294" max="12294" width="2.42578125" style="262" customWidth="1"/>
    <col min="12295" max="12295" width="0" style="262" hidden="1" customWidth="1"/>
    <col min="12296" max="12296" width="11.5703125" style="262" customWidth="1"/>
    <col min="12297" max="12297" width="2.28515625" style="262" customWidth="1"/>
    <col min="12298" max="12298" width="7" style="262" customWidth="1"/>
    <col min="12299" max="12533" width="9.140625" style="262"/>
    <col min="12534" max="12534" width="2" style="262" customWidth="1"/>
    <col min="12535" max="12535" width="5.7109375" style="262" customWidth="1"/>
    <col min="12536" max="12536" width="8.28515625" style="262" customWidth="1"/>
    <col min="12537" max="12538" width="16.5703125" style="262" customWidth="1"/>
    <col min="12539" max="12539" width="3.85546875" style="262" customWidth="1"/>
    <col min="12540" max="12540" width="5.140625" style="262" customWidth="1"/>
    <col min="12541" max="12541" width="7.140625" style="262" customWidth="1"/>
    <col min="12542" max="12542" width="10.85546875" style="262" customWidth="1"/>
    <col min="12543" max="12545" width="1.7109375" style="262" customWidth="1"/>
    <col min="12546" max="12546" width="6" style="262" customWidth="1"/>
    <col min="12547" max="12547" width="11.28515625" style="262" customWidth="1"/>
    <col min="12548" max="12548" width="2.28515625" style="262" customWidth="1"/>
    <col min="12549" max="12549" width="8.42578125" style="262" customWidth="1"/>
    <col min="12550" max="12550" width="2.42578125" style="262" customWidth="1"/>
    <col min="12551" max="12551" width="0" style="262" hidden="1" customWidth="1"/>
    <col min="12552" max="12552" width="11.5703125" style="262" customWidth="1"/>
    <col min="12553" max="12553" width="2.28515625" style="262" customWidth="1"/>
    <col min="12554" max="12554" width="7" style="262" customWidth="1"/>
    <col min="12555" max="12789" width="9.140625" style="262"/>
    <col min="12790" max="12790" width="2" style="262" customWidth="1"/>
    <col min="12791" max="12791" width="5.7109375" style="262" customWidth="1"/>
    <col min="12792" max="12792" width="8.28515625" style="262" customWidth="1"/>
    <col min="12793" max="12794" width="16.5703125" style="262" customWidth="1"/>
    <col min="12795" max="12795" width="3.85546875" style="262" customWidth="1"/>
    <col min="12796" max="12796" width="5.140625" style="262" customWidth="1"/>
    <col min="12797" max="12797" width="7.140625" style="262" customWidth="1"/>
    <col min="12798" max="12798" width="10.85546875" style="262" customWidth="1"/>
    <col min="12799" max="12801" width="1.7109375" style="262" customWidth="1"/>
    <col min="12802" max="12802" width="6" style="262" customWidth="1"/>
    <col min="12803" max="12803" width="11.28515625" style="262" customWidth="1"/>
    <col min="12804" max="12804" width="2.28515625" style="262" customWidth="1"/>
    <col min="12805" max="12805" width="8.42578125" style="262" customWidth="1"/>
    <col min="12806" max="12806" width="2.42578125" style="262" customWidth="1"/>
    <col min="12807" max="12807" width="0" style="262" hidden="1" customWidth="1"/>
    <col min="12808" max="12808" width="11.5703125" style="262" customWidth="1"/>
    <col min="12809" max="12809" width="2.28515625" style="262" customWidth="1"/>
    <col min="12810" max="12810" width="7" style="262" customWidth="1"/>
    <col min="12811" max="13045" width="9.140625" style="262"/>
    <col min="13046" max="13046" width="2" style="262" customWidth="1"/>
    <col min="13047" max="13047" width="5.7109375" style="262" customWidth="1"/>
    <col min="13048" max="13048" width="8.28515625" style="262" customWidth="1"/>
    <col min="13049" max="13050" width="16.5703125" style="262" customWidth="1"/>
    <col min="13051" max="13051" width="3.85546875" style="262" customWidth="1"/>
    <col min="13052" max="13052" width="5.140625" style="262" customWidth="1"/>
    <col min="13053" max="13053" width="7.140625" style="262" customWidth="1"/>
    <col min="13054" max="13054" width="10.85546875" style="262" customWidth="1"/>
    <col min="13055" max="13057" width="1.7109375" style="262" customWidth="1"/>
    <col min="13058" max="13058" width="6" style="262" customWidth="1"/>
    <col min="13059" max="13059" width="11.28515625" style="262" customWidth="1"/>
    <col min="13060" max="13060" width="2.28515625" style="262" customWidth="1"/>
    <col min="13061" max="13061" width="8.42578125" style="262" customWidth="1"/>
    <col min="13062" max="13062" width="2.42578125" style="262" customWidth="1"/>
    <col min="13063" max="13063" width="0" style="262" hidden="1" customWidth="1"/>
    <col min="13064" max="13064" width="11.5703125" style="262" customWidth="1"/>
    <col min="13065" max="13065" width="2.28515625" style="262" customWidth="1"/>
    <col min="13066" max="13066" width="7" style="262" customWidth="1"/>
    <col min="13067" max="13301" width="9.140625" style="262"/>
    <col min="13302" max="13302" width="2" style="262" customWidth="1"/>
    <col min="13303" max="13303" width="5.7109375" style="262" customWidth="1"/>
    <col min="13304" max="13304" width="8.28515625" style="262" customWidth="1"/>
    <col min="13305" max="13306" width="16.5703125" style="262" customWidth="1"/>
    <col min="13307" max="13307" width="3.85546875" style="262" customWidth="1"/>
    <col min="13308" max="13308" width="5.140625" style="262" customWidth="1"/>
    <col min="13309" max="13309" width="7.140625" style="262" customWidth="1"/>
    <col min="13310" max="13310" width="10.85546875" style="262" customWidth="1"/>
    <col min="13311" max="13313" width="1.7109375" style="262" customWidth="1"/>
    <col min="13314" max="13314" width="6" style="262" customWidth="1"/>
    <col min="13315" max="13315" width="11.28515625" style="262" customWidth="1"/>
    <col min="13316" max="13316" width="2.28515625" style="262" customWidth="1"/>
    <col min="13317" max="13317" width="8.42578125" style="262" customWidth="1"/>
    <col min="13318" max="13318" width="2.42578125" style="262" customWidth="1"/>
    <col min="13319" max="13319" width="0" style="262" hidden="1" customWidth="1"/>
    <col min="13320" max="13320" width="11.5703125" style="262" customWidth="1"/>
    <col min="13321" max="13321" width="2.28515625" style="262" customWidth="1"/>
    <col min="13322" max="13322" width="7" style="262" customWidth="1"/>
    <col min="13323" max="13557" width="9.140625" style="262"/>
    <col min="13558" max="13558" width="2" style="262" customWidth="1"/>
    <col min="13559" max="13559" width="5.7109375" style="262" customWidth="1"/>
    <col min="13560" max="13560" width="8.28515625" style="262" customWidth="1"/>
    <col min="13561" max="13562" width="16.5703125" style="262" customWidth="1"/>
    <col min="13563" max="13563" width="3.85546875" style="262" customWidth="1"/>
    <col min="13564" max="13564" width="5.140625" style="262" customWidth="1"/>
    <col min="13565" max="13565" width="7.140625" style="262" customWidth="1"/>
    <col min="13566" max="13566" width="10.85546875" style="262" customWidth="1"/>
    <col min="13567" max="13569" width="1.7109375" style="262" customWidth="1"/>
    <col min="13570" max="13570" width="6" style="262" customWidth="1"/>
    <col min="13571" max="13571" width="11.28515625" style="262" customWidth="1"/>
    <col min="13572" max="13572" width="2.28515625" style="262" customWidth="1"/>
    <col min="13573" max="13573" width="8.42578125" style="262" customWidth="1"/>
    <col min="13574" max="13574" width="2.42578125" style="262" customWidth="1"/>
    <col min="13575" max="13575" width="0" style="262" hidden="1" customWidth="1"/>
    <col min="13576" max="13576" width="11.5703125" style="262" customWidth="1"/>
    <col min="13577" max="13577" width="2.28515625" style="262" customWidth="1"/>
    <col min="13578" max="13578" width="7" style="262" customWidth="1"/>
    <col min="13579" max="13813" width="9.140625" style="262"/>
    <col min="13814" max="13814" width="2" style="262" customWidth="1"/>
    <col min="13815" max="13815" width="5.7109375" style="262" customWidth="1"/>
    <col min="13816" max="13816" width="8.28515625" style="262" customWidth="1"/>
    <col min="13817" max="13818" width="16.5703125" style="262" customWidth="1"/>
    <col min="13819" max="13819" width="3.85546875" style="262" customWidth="1"/>
    <col min="13820" max="13820" width="5.140625" style="262" customWidth="1"/>
    <col min="13821" max="13821" width="7.140625" style="262" customWidth="1"/>
    <col min="13822" max="13822" width="10.85546875" style="262" customWidth="1"/>
    <col min="13823" max="13825" width="1.7109375" style="262" customWidth="1"/>
    <col min="13826" max="13826" width="6" style="262" customWidth="1"/>
    <col min="13827" max="13827" width="11.28515625" style="262" customWidth="1"/>
    <col min="13828" max="13828" width="2.28515625" style="262" customWidth="1"/>
    <col min="13829" max="13829" width="8.42578125" style="262" customWidth="1"/>
    <col min="13830" max="13830" width="2.42578125" style="262" customWidth="1"/>
    <col min="13831" max="13831" width="0" style="262" hidden="1" customWidth="1"/>
    <col min="13832" max="13832" width="11.5703125" style="262" customWidth="1"/>
    <col min="13833" max="13833" width="2.28515625" style="262" customWidth="1"/>
    <col min="13834" max="13834" width="7" style="262" customWidth="1"/>
    <col min="13835" max="14069" width="9.140625" style="262"/>
    <col min="14070" max="14070" width="2" style="262" customWidth="1"/>
    <col min="14071" max="14071" width="5.7109375" style="262" customWidth="1"/>
    <col min="14072" max="14072" width="8.28515625" style="262" customWidth="1"/>
    <col min="14073" max="14074" width="16.5703125" style="262" customWidth="1"/>
    <col min="14075" max="14075" width="3.85546875" style="262" customWidth="1"/>
    <col min="14076" max="14076" width="5.140625" style="262" customWidth="1"/>
    <col min="14077" max="14077" width="7.140625" style="262" customWidth="1"/>
    <col min="14078" max="14078" width="10.85546875" style="262" customWidth="1"/>
    <col min="14079" max="14081" width="1.7109375" style="262" customWidth="1"/>
    <col min="14082" max="14082" width="6" style="262" customWidth="1"/>
    <col min="14083" max="14083" width="11.28515625" style="262" customWidth="1"/>
    <col min="14084" max="14084" width="2.28515625" style="262" customWidth="1"/>
    <col min="14085" max="14085" width="8.42578125" style="262" customWidth="1"/>
    <col min="14086" max="14086" width="2.42578125" style="262" customWidth="1"/>
    <col min="14087" max="14087" width="0" style="262" hidden="1" customWidth="1"/>
    <col min="14088" max="14088" width="11.5703125" style="262" customWidth="1"/>
    <col min="14089" max="14089" width="2.28515625" style="262" customWidth="1"/>
    <col min="14090" max="14090" width="7" style="262" customWidth="1"/>
    <col min="14091" max="14325" width="9.140625" style="262"/>
    <col min="14326" max="14326" width="2" style="262" customWidth="1"/>
    <col min="14327" max="14327" width="5.7109375" style="262" customWidth="1"/>
    <col min="14328" max="14328" width="8.28515625" style="262" customWidth="1"/>
    <col min="14329" max="14330" width="16.5703125" style="262" customWidth="1"/>
    <col min="14331" max="14331" width="3.85546875" style="262" customWidth="1"/>
    <col min="14332" max="14332" width="5.140625" style="262" customWidth="1"/>
    <col min="14333" max="14333" width="7.140625" style="262" customWidth="1"/>
    <col min="14334" max="14334" width="10.85546875" style="262" customWidth="1"/>
    <col min="14335" max="14337" width="1.7109375" style="262" customWidth="1"/>
    <col min="14338" max="14338" width="6" style="262" customWidth="1"/>
    <col min="14339" max="14339" width="11.28515625" style="262" customWidth="1"/>
    <col min="14340" max="14340" width="2.28515625" style="262" customWidth="1"/>
    <col min="14341" max="14341" width="8.42578125" style="262" customWidth="1"/>
    <col min="14342" max="14342" width="2.42578125" style="262" customWidth="1"/>
    <col min="14343" max="14343" width="0" style="262" hidden="1" customWidth="1"/>
    <col min="14344" max="14344" width="11.5703125" style="262" customWidth="1"/>
    <col min="14345" max="14345" width="2.28515625" style="262" customWidth="1"/>
    <col min="14346" max="14346" width="7" style="262" customWidth="1"/>
    <col min="14347" max="14581" width="9.140625" style="262"/>
    <col min="14582" max="14582" width="2" style="262" customWidth="1"/>
    <col min="14583" max="14583" width="5.7109375" style="262" customWidth="1"/>
    <col min="14584" max="14584" width="8.28515625" style="262" customWidth="1"/>
    <col min="14585" max="14586" width="16.5703125" style="262" customWidth="1"/>
    <col min="14587" max="14587" width="3.85546875" style="262" customWidth="1"/>
    <col min="14588" max="14588" width="5.140625" style="262" customWidth="1"/>
    <col min="14589" max="14589" width="7.140625" style="262" customWidth="1"/>
    <col min="14590" max="14590" width="10.85546875" style="262" customWidth="1"/>
    <col min="14591" max="14593" width="1.7109375" style="262" customWidth="1"/>
    <col min="14594" max="14594" width="6" style="262" customWidth="1"/>
    <col min="14595" max="14595" width="11.28515625" style="262" customWidth="1"/>
    <col min="14596" max="14596" width="2.28515625" style="262" customWidth="1"/>
    <col min="14597" max="14597" width="8.42578125" style="262" customWidth="1"/>
    <col min="14598" max="14598" width="2.42578125" style="262" customWidth="1"/>
    <col min="14599" max="14599" width="0" style="262" hidden="1" customWidth="1"/>
    <col min="14600" max="14600" width="11.5703125" style="262" customWidth="1"/>
    <col min="14601" max="14601" width="2.28515625" style="262" customWidth="1"/>
    <col min="14602" max="14602" width="7" style="262" customWidth="1"/>
    <col min="14603" max="14837" width="9.140625" style="262"/>
    <col min="14838" max="14838" width="2" style="262" customWidth="1"/>
    <col min="14839" max="14839" width="5.7109375" style="262" customWidth="1"/>
    <col min="14840" max="14840" width="8.28515625" style="262" customWidth="1"/>
    <col min="14841" max="14842" width="16.5703125" style="262" customWidth="1"/>
    <col min="14843" max="14843" width="3.85546875" style="262" customWidth="1"/>
    <col min="14844" max="14844" width="5.140625" style="262" customWidth="1"/>
    <col min="14845" max="14845" width="7.140625" style="262" customWidth="1"/>
    <col min="14846" max="14846" width="10.85546875" style="262" customWidth="1"/>
    <col min="14847" max="14849" width="1.7109375" style="262" customWidth="1"/>
    <col min="14850" max="14850" width="6" style="262" customWidth="1"/>
    <col min="14851" max="14851" width="11.28515625" style="262" customWidth="1"/>
    <col min="14852" max="14852" width="2.28515625" style="262" customWidth="1"/>
    <col min="14853" max="14853" width="8.42578125" style="262" customWidth="1"/>
    <col min="14854" max="14854" width="2.42578125" style="262" customWidth="1"/>
    <col min="14855" max="14855" width="0" style="262" hidden="1" customWidth="1"/>
    <col min="14856" max="14856" width="11.5703125" style="262" customWidth="1"/>
    <col min="14857" max="14857" width="2.28515625" style="262" customWidth="1"/>
    <col min="14858" max="14858" width="7" style="262" customWidth="1"/>
    <col min="14859" max="15093" width="9.140625" style="262"/>
    <col min="15094" max="15094" width="2" style="262" customWidth="1"/>
    <col min="15095" max="15095" width="5.7109375" style="262" customWidth="1"/>
    <col min="15096" max="15096" width="8.28515625" style="262" customWidth="1"/>
    <col min="15097" max="15098" width="16.5703125" style="262" customWidth="1"/>
    <col min="15099" max="15099" width="3.85546875" style="262" customWidth="1"/>
    <col min="15100" max="15100" width="5.140625" style="262" customWidth="1"/>
    <col min="15101" max="15101" width="7.140625" style="262" customWidth="1"/>
    <col min="15102" max="15102" width="10.85546875" style="262" customWidth="1"/>
    <col min="15103" max="15105" width="1.7109375" style="262" customWidth="1"/>
    <col min="15106" max="15106" width="6" style="262" customWidth="1"/>
    <col min="15107" max="15107" width="11.28515625" style="262" customWidth="1"/>
    <col min="15108" max="15108" width="2.28515625" style="262" customWidth="1"/>
    <col min="15109" max="15109" width="8.42578125" style="262" customWidth="1"/>
    <col min="15110" max="15110" width="2.42578125" style="262" customWidth="1"/>
    <col min="15111" max="15111" width="0" style="262" hidden="1" customWidth="1"/>
    <col min="15112" max="15112" width="11.5703125" style="262" customWidth="1"/>
    <col min="15113" max="15113" width="2.28515625" style="262" customWidth="1"/>
    <col min="15114" max="15114" width="7" style="262" customWidth="1"/>
    <col min="15115" max="15349" width="9.140625" style="262"/>
    <col min="15350" max="15350" width="2" style="262" customWidth="1"/>
    <col min="15351" max="15351" width="5.7109375" style="262" customWidth="1"/>
    <col min="15352" max="15352" width="8.28515625" style="262" customWidth="1"/>
    <col min="15353" max="15354" width="16.5703125" style="262" customWidth="1"/>
    <col min="15355" max="15355" width="3.85546875" style="262" customWidth="1"/>
    <col min="15356" max="15356" width="5.140625" style="262" customWidth="1"/>
    <col min="15357" max="15357" width="7.140625" style="262" customWidth="1"/>
    <col min="15358" max="15358" width="10.85546875" style="262" customWidth="1"/>
    <col min="15359" max="15361" width="1.7109375" style="262" customWidth="1"/>
    <col min="15362" max="15362" width="6" style="262" customWidth="1"/>
    <col min="15363" max="15363" width="11.28515625" style="262" customWidth="1"/>
    <col min="15364" max="15364" width="2.28515625" style="262" customWidth="1"/>
    <col min="15365" max="15365" width="8.42578125" style="262" customWidth="1"/>
    <col min="15366" max="15366" width="2.42578125" style="262" customWidth="1"/>
    <col min="15367" max="15367" width="0" style="262" hidden="1" customWidth="1"/>
    <col min="15368" max="15368" width="11.5703125" style="262" customWidth="1"/>
    <col min="15369" max="15369" width="2.28515625" style="262" customWidth="1"/>
    <col min="15370" max="15370" width="7" style="262" customWidth="1"/>
    <col min="15371" max="15605" width="9.140625" style="262"/>
    <col min="15606" max="15606" width="2" style="262" customWidth="1"/>
    <col min="15607" max="15607" width="5.7109375" style="262" customWidth="1"/>
    <col min="15608" max="15608" width="8.28515625" style="262" customWidth="1"/>
    <col min="15609" max="15610" width="16.5703125" style="262" customWidth="1"/>
    <col min="15611" max="15611" width="3.85546875" style="262" customWidth="1"/>
    <col min="15612" max="15612" width="5.140625" style="262" customWidth="1"/>
    <col min="15613" max="15613" width="7.140625" style="262" customWidth="1"/>
    <col min="15614" max="15614" width="10.85546875" style="262" customWidth="1"/>
    <col min="15615" max="15617" width="1.7109375" style="262" customWidth="1"/>
    <col min="15618" max="15618" width="6" style="262" customWidth="1"/>
    <col min="15619" max="15619" width="11.28515625" style="262" customWidth="1"/>
    <col min="15620" max="15620" width="2.28515625" style="262" customWidth="1"/>
    <col min="15621" max="15621" width="8.42578125" style="262" customWidth="1"/>
    <col min="15622" max="15622" width="2.42578125" style="262" customWidth="1"/>
    <col min="15623" max="15623" width="0" style="262" hidden="1" customWidth="1"/>
    <col min="15624" max="15624" width="11.5703125" style="262" customWidth="1"/>
    <col min="15625" max="15625" width="2.28515625" style="262" customWidth="1"/>
    <col min="15626" max="15626" width="7" style="262" customWidth="1"/>
    <col min="15627" max="15861" width="9.140625" style="262"/>
    <col min="15862" max="15862" width="2" style="262" customWidth="1"/>
    <col min="15863" max="15863" width="5.7109375" style="262" customWidth="1"/>
    <col min="15864" max="15864" width="8.28515625" style="262" customWidth="1"/>
    <col min="15865" max="15866" width="16.5703125" style="262" customWidth="1"/>
    <col min="15867" max="15867" width="3.85546875" style="262" customWidth="1"/>
    <col min="15868" max="15868" width="5.140625" style="262" customWidth="1"/>
    <col min="15869" max="15869" width="7.140625" style="262" customWidth="1"/>
    <col min="15870" max="15870" width="10.85546875" style="262" customWidth="1"/>
    <col min="15871" max="15873" width="1.7109375" style="262" customWidth="1"/>
    <col min="15874" max="15874" width="6" style="262" customWidth="1"/>
    <col min="15875" max="15875" width="11.28515625" style="262" customWidth="1"/>
    <col min="15876" max="15876" width="2.28515625" style="262" customWidth="1"/>
    <col min="15877" max="15877" width="8.42578125" style="262" customWidth="1"/>
    <col min="15878" max="15878" width="2.42578125" style="262" customWidth="1"/>
    <col min="15879" max="15879" width="0" style="262" hidden="1" customWidth="1"/>
    <col min="15880" max="15880" width="11.5703125" style="262" customWidth="1"/>
    <col min="15881" max="15881" width="2.28515625" style="262" customWidth="1"/>
    <col min="15882" max="15882" width="7" style="262" customWidth="1"/>
    <col min="15883" max="16117" width="9.140625" style="262"/>
    <col min="16118" max="16118" width="2" style="262" customWidth="1"/>
    <col min="16119" max="16119" width="5.7109375" style="262" customWidth="1"/>
    <col min="16120" max="16120" width="8.28515625" style="262" customWidth="1"/>
    <col min="16121" max="16122" width="16.5703125" style="262" customWidth="1"/>
    <col min="16123" max="16123" width="3.85546875" style="262" customWidth="1"/>
    <col min="16124" max="16124" width="5.140625" style="262" customWidth="1"/>
    <col min="16125" max="16125" width="7.140625" style="262" customWidth="1"/>
    <col min="16126" max="16126" width="10.85546875" style="262" customWidth="1"/>
    <col min="16127" max="16129" width="1.7109375" style="262" customWidth="1"/>
    <col min="16130" max="16130" width="6" style="262" customWidth="1"/>
    <col min="16131" max="16131" width="11.28515625" style="262" customWidth="1"/>
    <col min="16132" max="16132" width="2.28515625" style="262" customWidth="1"/>
    <col min="16133" max="16133" width="8.42578125" style="262" customWidth="1"/>
    <col min="16134" max="16134" width="2.42578125" style="262" customWidth="1"/>
    <col min="16135" max="16135" width="0" style="262" hidden="1" customWidth="1"/>
    <col min="16136" max="16136" width="11.5703125" style="262" customWidth="1"/>
    <col min="16137" max="16137" width="2.28515625" style="262" customWidth="1"/>
    <col min="16138" max="16138" width="7" style="262" customWidth="1"/>
    <col min="16139" max="16384" width="9.140625" style="262"/>
  </cols>
  <sheetData>
    <row r="1" spans="1:29" ht="26.25" thickBot="1" x14ac:dyDescent="0.4">
      <c r="A1" s="260" t="s">
        <v>1094</v>
      </c>
      <c r="B1" s="261"/>
      <c r="C1" s="261"/>
      <c r="D1" s="261"/>
      <c r="E1" s="261"/>
      <c r="F1" s="261"/>
      <c r="G1" s="261"/>
      <c r="H1" s="261"/>
      <c r="I1" s="261"/>
      <c r="J1" s="261"/>
      <c r="K1" s="261"/>
      <c r="L1" s="261"/>
      <c r="M1" s="261"/>
      <c r="N1" s="261"/>
      <c r="O1" s="261"/>
      <c r="P1" s="261"/>
      <c r="Q1" s="261"/>
      <c r="R1" s="261"/>
      <c r="S1" s="261"/>
      <c r="T1" s="261"/>
    </row>
    <row r="2" spans="1:29" ht="6" customHeight="1" thickTop="1" x14ac:dyDescent="0.2">
      <c r="A2" s="263"/>
      <c r="B2" s="264"/>
      <c r="C2" s="264"/>
      <c r="D2" s="264"/>
      <c r="E2" s="264"/>
      <c r="F2" s="264"/>
      <c r="G2" s="264"/>
      <c r="H2" s="264"/>
      <c r="I2" s="264"/>
      <c r="J2" s="264"/>
      <c r="K2" s="264"/>
      <c r="L2" s="264"/>
      <c r="M2" s="264"/>
      <c r="N2" s="264"/>
      <c r="O2" s="264"/>
      <c r="P2" s="264"/>
      <c r="Q2" s="264"/>
      <c r="R2" s="264"/>
      <c r="S2" s="264"/>
      <c r="T2" s="265"/>
    </row>
    <row r="3" spans="1:29" ht="18.75" customHeight="1" x14ac:dyDescent="0.3">
      <c r="A3" s="266" t="s">
        <v>1095</v>
      </c>
      <c r="B3" s="261"/>
      <c r="C3" s="261"/>
      <c r="D3" s="261"/>
      <c r="E3" s="261"/>
      <c r="F3" s="261"/>
      <c r="G3" s="261"/>
      <c r="H3" s="261"/>
      <c r="I3" s="261"/>
      <c r="J3" s="261"/>
      <c r="K3" s="261"/>
      <c r="L3" s="261"/>
      <c r="M3" s="261"/>
      <c r="N3" s="261"/>
      <c r="O3" s="261"/>
      <c r="P3" s="261"/>
      <c r="Q3" s="261"/>
      <c r="R3" s="261"/>
      <c r="S3" s="261"/>
      <c r="T3" s="267"/>
    </row>
    <row r="4" spans="1:29" ht="14.25" x14ac:dyDescent="0.2">
      <c r="A4" s="1160" t="s">
        <v>1096</v>
      </c>
      <c r="B4" s="1161"/>
      <c r="C4" s="1161"/>
      <c r="D4" s="1161"/>
      <c r="E4" s="1161"/>
      <c r="F4" s="1161"/>
      <c r="G4" s="1161"/>
      <c r="H4" s="1161"/>
      <c r="I4" s="1161"/>
      <c r="J4" s="1161"/>
      <c r="K4" s="1161"/>
      <c r="L4" s="1161"/>
      <c r="M4" s="1161"/>
      <c r="N4" s="1161"/>
      <c r="O4" s="1161"/>
      <c r="P4" s="1161"/>
      <c r="Q4" s="1161"/>
      <c r="R4" s="1161"/>
      <c r="S4" s="1161"/>
      <c r="T4" s="1162"/>
    </row>
    <row r="5" spans="1:29" ht="14.25" x14ac:dyDescent="0.2">
      <c r="A5" s="1160" t="s">
        <v>1097</v>
      </c>
      <c r="B5" s="1161"/>
      <c r="C5" s="1161"/>
      <c r="D5" s="1161"/>
      <c r="E5" s="1161"/>
      <c r="F5" s="1161"/>
      <c r="G5" s="1161"/>
      <c r="H5" s="1161"/>
      <c r="I5" s="1161"/>
      <c r="J5" s="1161"/>
      <c r="K5" s="1161"/>
      <c r="L5" s="1161"/>
      <c r="M5" s="1161"/>
      <c r="N5" s="1161"/>
      <c r="O5" s="1161"/>
      <c r="P5" s="1161"/>
      <c r="Q5" s="1161"/>
      <c r="R5" s="1161"/>
      <c r="S5" s="1161"/>
      <c r="T5" s="1162"/>
    </row>
    <row r="6" spans="1:29" ht="15" x14ac:dyDescent="0.25">
      <c r="A6" s="1163" t="s">
        <v>1098</v>
      </c>
      <c r="B6" s="1164"/>
      <c r="C6" s="1164"/>
      <c r="D6" s="1164"/>
      <c r="E6" s="1164"/>
      <c r="F6" s="1164"/>
      <c r="G6" s="1164"/>
      <c r="H6" s="1164"/>
      <c r="I6" s="1164"/>
      <c r="J6" s="1164"/>
      <c r="K6" s="1164"/>
      <c r="L6" s="1164"/>
      <c r="M6" s="1164"/>
      <c r="N6" s="1164"/>
      <c r="O6" s="1164"/>
      <c r="P6" s="1164"/>
      <c r="Q6" s="1164"/>
      <c r="R6" s="1164"/>
      <c r="S6" s="1164"/>
      <c r="T6" s="1165"/>
    </row>
    <row r="7" spans="1:29" ht="16.5" customHeight="1" x14ac:dyDescent="0.25">
      <c r="A7" s="1166" t="s">
        <v>1099</v>
      </c>
      <c r="B7" s="1167"/>
      <c r="C7" s="1168"/>
      <c r="D7" s="1168"/>
      <c r="E7" s="1168"/>
      <c r="F7" s="268"/>
      <c r="G7" s="268"/>
      <c r="H7" s="268"/>
      <c r="I7" s="268"/>
      <c r="J7" s="268"/>
      <c r="K7" s="268"/>
      <c r="L7" s="268"/>
      <c r="M7" s="268"/>
      <c r="N7" s="268"/>
      <c r="O7" s="268"/>
      <c r="P7" s="749" t="s">
        <v>1748</v>
      </c>
      <c r="Q7" s="268"/>
      <c r="R7" s="268"/>
      <c r="S7" s="748" t="str">
        <f>Info_Est_No</f>
        <v>25-800</v>
      </c>
      <c r="T7" s="269"/>
      <c r="W7" s="1212" t="s">
        <v>1764</v>
      </c>
      <c r="X7" s="1212"/>
      <c r="Y7" s="1212"/>
      <c r="Z7" s="1212"/>
      <c r="AA7" s="1212"/>
    </row>
    <row r="8" spans="1:29" ht="10.5" customHeight="1" x14ac:dyDescent="0.2">
      <c r="A8" s="1169" t="s">
        <v>1100</v>
      </c>
      <c r="B8" s="1170"/>
      <c r="C8" s="1170"/>
      <c r="D8" s="1170"/>
      <c r="E8" s="1171"/>
      <c r="F8" s="1172" t="s">
        <v>1101</v>
      </c>
      <c r="G8" s="1170"/>
      <c r="H8" s="1170"/>
      <c r="I8" s="1170"/>
      <c r="J8" s="1171"/>
      <c r="K8" s="270"/>
      <c r="L8" s="1172" t="s">
        <v>1102</v>
      </c>
      <c r="M8" s="1170"/>
      <c r="N8" s="1170"/>
      <c r="O8" s="1170"/>
      <c r="P8" s="1170"/>
      <c r="Q8" s="1170"/>
      <c r="R8" s="1170"/>
      <c r="S8" s="1170"/>
      <c r="T8" s="1173"/>
      <c r="W8" s="1212"/>
      <c r="X8" s="1212"/>
      <c r="Y8" s="1212"/>
      <c r="Z8" s="1212"/>
      <c r="AA8" s="1212"/>
    </row>
    <row r="9" spans="1:29" ht="14.25" customHeight="1" x14ac:dyDescent="0.25">
      <c r="A9" s="1174"/>
      <c r="B9" s="1155"/>
      <c r="C9" s="1155"/>
      <c r="D9" s="1155"/>
      <c r="E9" s="1156"/>
      <c r="F9" s="1175"/>
      <c r="G9" s="1176"/>
      <c r="H9" s="1176"/>
      <c r="I9" s="1176"/>
      <c r="J9" s="1177"/>
      <c r="K9" s="271"/>
      <c r="L9" s="1178"/>
      <c r="M9" s="1179"/>
      <c r="N9" s="1179"/>
      <c r="O9" s="1179"/>
      <c r="P9" s="1179"/>
      <c r="Q9" s="1179"/>
      <c r="R9" s="1179"/>
      <c r="S9" s="1179"/>
      <c r="T9" s="1180"/>
      <c r="W9" s="1212"/>
      <c r="X9" s="1212"/>
      <c r="Y9" s="1212"/>
      <c r="Z9" s="1212"/>
      <c r="AA9" s="1212"/>
    </row>
    <row r="10" spans="1:29" ht="11.25" customHeight="1" x14ac:dyDescent="0.2">
      <c r="A10" s="1169" t="s">
        <v>1103</v>
      </c>
      <c r="B10" s="1170"/>
      <c r="C10" s="1170"/>
      <c r="D10" s="1170"/>
      <c r="E10" s="1171"/>
      <c r="F10" s="1172" t="s">
        <v>1104</v>
      </c>
      <c r="G10" s="1170"/>
      <c r="H10" s="1170"/>
      <c r="I10" s="1170"/>
      <c r="J10" s="1170"/>
      <c r="K10" s="1170"/>
      <c r="L10" s="1170"/>
      <c r="M10" s="1170"/>
      <c r="N10" s="1170"/>
      <c r="O10" s="1170"/>
      <c r="P10" s="1170"/>
      <c r="Q10" s="1170"/>
      <c r="R10" s="1170"/>
      <c r="S10" s="1170"/>
      <c r="T10" s="1173"/>
      <c r="W10" s="1212"/>
      <c r="X10" s="1212"/>
      <c r="Y10" s="1212"/>
      <c r="Z10" s="1212"/>
      <c r="AA10" s="1212"/>
    </row>
    <row r="11" spans="1:29" ht="14.25" customHeight="1" x14ac:dyDescent="0.25">
      <c r="A11" s="1154"/>
      <c r="B11" s="1155"/>
      <c r="C11" s="1155"/>
      <c r="D11" s="1155"/>
      <c r="E11" s="1156"/>
      <c r="F11" s="1157" t="str">
        <f>Info_Job_Name</f>
        <v>ENFRA - Columbia Gorge</v>
      </c>
      <c r="G11" s="1158"/>
      <c r="H11" s="1158"/>
      <c r="I11" s="1158"/>
      <c r="J11" s="1158"/>
      <c r="K11" s="1158"/>
      <c r="L11" s="1158"/>
      <c r="M11" s="1158"/>
      <c r="N11" s="1158"/>
      <c r="O11" s="1158"/>
      <c r="P11" s="1158"/>
      <c r="Q11" s="1158"/>
      <c r="R11" s="1158"/>
      <c r="S11" s="1158"/>
      <c r="T11" s="1159"/>
      <c r="W11" s="1212"/>
      <c r="X11" s="1212"/>
      <c r="Y11" s="1212"/>
      <c r="Z11" s="1212"/>
      <c r="AA11" s="1212"/>
    </row>
    <row r="12" spans="1:29" ht="11.25" customHeight="1" x14ac:dyDescent="0.2">
      <c r="A12" s="1169" t="s">
        <v>1105</v>
      </c>
      <c r="B12" s="1170"/>
      <c r="C12" s="1170"/>
      <c r="D12" s="1170"/>
      <c r="E12" s="1171"/>
      <c r="F12" s="1172" t="s">
        <v>1106</v>
      </c>
      <c r="G12" s="1170"/>
      <c r="H12" s="1170"/>
      <c r="I12" s="1170"/>
      <c r="J12" s="1170"/>
      <c r="K12" s="1170"/>
      <c r="L12" s="1170"/>
      <c r="M12" s="1170"/>
      <c r="N12" s="1170"/>
      <c r="O12" s="1170"/>
      <c r="P12" s="1170"/>
      <c r="Q12" s="1170"/>
      <c r="R12" s="1170"/>
      <c r="S12" s="1170"/>
      <c r="T12" s="1173"/>
      <c r="W12" s="1212"/>
      <c r="X12" s="1212"/>
      <c r="Y12" s="1212"/>
      <c r="Z12" s="1212"/>
      <c r="AA12" s="1212"/>
    </row>
    <row r="13" spans="1:29" ht="14.25" customHeight="1" x14ac:dyDescent="0.25">
      <c r="A13" s="1174"/>
      <c r="B13" s="1155"/>
      <c r="C13" s="1155"/>
      <c r="D13" s="1155"/>
      <c r="E13" s="1156"/>
      <c r="F13" s="1190">
        <f>Info_Location</f>
        <v>0</v>
      </c>
      <c r="G13" s="1191"/>
      <c r="H13" s="1191"/>
      <c r="I13" s="1191"/>
      <c r="J13" s="1191"/>
      <c r="K13" s="1191"/>
      <c r="L13" s="1191"/>
      <c r="M13" s="1191"/>
      <c r="N13" s="1191"/>
      <c r="O13" s="1191"/>
      <c r="P13" s="1191"/>
      <c r="Q13" s="1191"/>
      <c r="R13" s="1191"/>
      <c r="S13" s="1191"/>
      <c r="T13" s="1192"/>
      <c r="W13" s="1212"/>
      <c r="X13" s="1212"/>
      <c r="Y13" s="1212"/>
      <c r="Z13" s="1212"/>
      <c r="AA13" s="1212"/>
      <c r="AC13" s="741" t="s">
        <v>1657</v>
      </c>
    </row>
    <row r="14" spans="1:29" ht="11.25" customHeight="1" x14ac:dyDescent="0.2">
      <c r="A14" s="1169" t="s">
        <v>1107</v>
      </c>
      <c r="B14" s="1170"/>
      <c r="C14" s="1170"/>
      <c r="D14" s="1171"/>
      <c r="E14" s="272" t="s">
        <v>1108</v>
      </c>
      <c r="F14" s="1193"/>
      <c r="G14" s="1194"/>
      <c r="H14" s="1194"/>
      <c r="I14" s="1194"/>
      <c r="J14" s="1194"/>
      <c r="K14" s="1194"/>
      <c r="L14" s="1194"/>
      <c r="M14" s="1195"/>
      <c r="N14" s="1172" t="s">
        <v>1109</v>
      </c>
      <c r="O14" s="1170"/>
      <c r="P14" s="1170"/>
      <c r="Q14" s="1170"/>
      <c r="R14" s="1170"/>
      <c r="S14" s="1170"/>
      <c r="T14" s="1173"/>
      <c r="W14" s="1212"/>
      <c r="X14" s="1212"/>
      <c r="Y14" s="1212"/>
      <c r="Z14" s="1212"/>
      <c r="AA14" s="1212"/>
      <c r="AC14" s="664" t="s">
        <v>1658</v>
      </c>
    </row>
    <row r="15" spans="1:29" ht="14.25" customHeight="1" thickBot="1" x14ac:dyDescent="0.3">
      <c r="A15" s="1181"/>
      <c r="B15" s="1182"/>
      <c r="C15" s="1182"/>
      <c r="D15" s="1183"/>
      <c r="E15" s="273"/>
      <c r="F15" s="1184"/>
      <c r="G15" s="1185"/>
      <c r="H15" s="1185"/>
      <c r="I15" s="1185"/>
      <c r="J15" s="1185"/>
      <c r="K15" s="1185"/>
      <c r="L15" s="1185"/>
      <c r="M15" s="1186"/>
      <c r="N15" s="1187"/>
      <c r="O15" s="1188"/>
      <c r="P15" s="1188"/>
      <c r="Q15" s="1188"/>
      <c r="R15" s="1188"/>
      <c r="S15" s="1188"/>
      <c r="T15" s="1189"/>
      <c r="W15" s="1213"/>
      <c r="X15" s="1213"/>
      <c r="Y15" s="1213"/>
      <c r="Z15" s="1213"/>
      <c r="AA15" s="1213"/>
      <c r="AC15" s="123" t="s">
        <v>1659</v>
      </c>
    </row>
    <row r="16" spans="1:29" ht="6" customHeight="1" thickTop="1" thickBot="1" x14ac:dyDescent="0.25">
      <c r="A16" s="268"/>
      <c r="B16" s="268"/>
      <c r="C16" s="268"/>
      <c r="D16" s="268"/>
      <c r="E16" s="268"/>
      <c r="F16" s="268"/>
      <c r="G16" s="268"/>
      <c r="H16" s="268"/>
      <c r="I16" s="268"/>
      <c r="J16" s="274"/>
      <c r="K16" s="274"/>
      <c r="L16" s="268"/>
      <c r="M16" s="268"/>
      <c r="N16" s="268"/>
      <c r="O16" s="268"/>
      <c r="P16" s="268"/>
      <c r="Q16" s="268"/>
      <c r="R16" s="275"/>
      <c r="S16" s="275"/>
      <c r="T16" s="268"/>
      <c r="AC16" s="123"/>
    </row>
    <row r="17" spans="1:29" ht="14.25" customHeight="1" thickTop="1" x14ac:dyDescent="0.2">
      <c r="A17" s="733"/>
      <c r="B17" s="1225" t="s">
        <v>1819</v>
      </c>
      <c r="C17" s="1225"/>
      <c r="D17" s="1225"/>
      <c r="E17" s="1225"/>
      <c r="F17" s="1225"/>
      <c r="G17" s="1225"/>
      <c r="H17" s="1225"/>
      <c r="I17" s="1225"/>
      <c r="J17" s="1225"/>
      <c r="K17" s="1225"/>
      <c r="L17" s="1225"/>
      <c r="M17" s="1225"/>
      <c r="N17" s="1225"/>
      <c r="O17" s="1225"/>
      <c r="P17" s="1225"/>
      <c r="Q17" s="1225"/>
      <c r="R17" s="1225"/>
      <c r="S17" s="1225"/>
      <c r="T17" s="734"/>
      <c r="W17" s="742"/>
      <c r="X17" s="743" t="s">
        <v>1660</v>
      </c>
      <c r="Z17" s="742"/>
      <c r="AA17" s="743" t="s">
        <v>1661</v>
      </c>
      <c r="AC17" s="123" t="s">
        <v>1662</v>
      </c>
    </row>
    <row r="18" spans="1:29" ht="14.25" customHeight="1" x14ac:dyDescent="0.2">
      <c r="A18" s="386"/>
      <c r="B18" s="1226"/>
      <c r="C18" s="1226"/>
      <c r="D18" s="1226"/>
      <c r="E18" s="1226"/>
      <c r="F18" s="1226"/>
      <c r="G18" s="1226"/>
      <c r="H18" s="1226"/>
      <c r="I18" s="1226"/>
      <c r="J18" s="1226"/>
      <c r="K18" s="1226"/>
      <c r="L18" s="1226"/>
      <c r="M18" s="1226"/>
      <c r="N18" s="1226"/>
      <c r="O18" s="1226"/>
      <c r="P18" s="1226"/>
      <c r="Q18" s="1226"/>
      <c r="R18" s="1226"/>
      <c r="S18" s="1226"/>
      <c r="T18" s="383"/>
      <c r="W18" s="742"/>
      <c r="X18" s="743" t="s">
        <v>1663</v>
      </c>
      <c r="Z18" s="742"/>
      <c r="AA18" s="743" t="s">
        <v>1664</v>
      </c>
      <c r="AC18" s="123" t="s">
        <v>1665</v>
      </c>
    </row>
    <row r="19" spans="1:29" ht="14.25" customHeight="1" x14ac:dyDescent="0.2">
      <c r="A19" s="386"/>
      <c r="B19" s="1196"/>
      <c r="C19" s="1196"/>
      <c r="D19" s="1196"/>
      <c r="E19" s="1196"/>
      <c r="F19" s="1196"/>
      <c r="G19" s="1196"/>
      <c r="H19" s="1196"/>
      <c r="I19" s="1196"/>
      <c r="J19" s="1196"/>
      <c r="K19" s="1196"/>
      <c r="L19" s="1196"/>
      <c r="M19" s="1196"/>
      <c r="N19" s="1196"/>
      <c r="O19" s="1196"/>
      <c r="P19" s="1196"/>
      <c r="Q19" s="1196"/>
      <c r="R19" s="1196"/>
      <c r="S19" s="1196"/>
      <c r="T19" s="383"/>
      <c r="W19" s="742"/>
      <c r="X19" s="743" t="s">
        <v>1666</v>
      </c>
      <c r="Z19" s="742"/>
      <c r="AA19" s="743" t="s">
        <v>1667</v>
      </c>
      <c r="AC19" s="123" t="s">
        <v>1668</v>
      </c>
    </row>
    <row r="20" spans="1:29" ht="14.25" customHeight="1" x14ac:dyDescent="0.2">
      <c r="A20" s="386"/>
      <c r="B20" s="1196"/>
      <c r="C20" s="1196"/>
      <c r="D20" s="1196"/>
      <c r="E20" s="1196"/>
      <c r="F20" s="1196"/>
      <c r="G20" s="1196"/>
      <c r="H20" s="1196"/>
      <c r="I20" s="1196"/>
      <c r="J20" s="1196"/>
      <c r="K20" s="1196"/>
      <c r="L20" s="1196"/>
      <c r="M20" s="1196"/>
      <c r="N20" s="1196"/>
      <c r="O20" s="1196"/>
      <c r="P20" s="1196"/>
      <c r="Q20" s="1196"/>
      <c r="R20" s="1196"/>
      <c r="S20" s="1196"/>
      <c r="T20" s="383"/>
      <c r="W20" s="742"/>
      <c r="X20" s="743" t="s">
        <v>16</v>
      </c>
      <c r="Z20" s="742"/>
      <c r="AA20" s="743" t="s">
        <v>1669</v>
      </c>
      <c r="AC20" s="123" t="s">
        <v>1670</v>
      </c>
    </row>
    <row r="21" spans="1:29" ht="14.25" customHeight="1" x14ac:dyDescent="0.2">
      <c r="A21" s="386"/>
      <c r="B21" s="1196"/>
      <c r="C21" s="1196"/>
      <c r="D21" s="1196"/>
      <c r="E21" s="1196"/>
      <c r="F21" s="1196"/>
      <c r="G21" s="1196"/>
      <c r="H21" s="1196"/>
      <c r="I21" s="1196"/>
      <c r="J21" s="1196"/>
      <c r="K21" s="1196"/>
      <c r="L21" s="1196"/>
      <c r="M21" s="1196"/>
      <c r="N21" s="1196"/>
      <c r="O21" s="1196"/>
      <c r="P21" s="1196"/>
      <c r="Q21" s="1196"/>
      <c r="R21" s="1196"/>
      <c r="S21" s="1196"/>
      <c r="T21" s="383"/>
      <c r="W21" s="742"/>
      <c r="X21" s="743" t="s">
        <v>1052</v>
      </c>
      <c r="Z21" s="742"/>
      <c r="AA21" s="743" t="s">
        <v>1671</v>
      </c>
      <c r="AC21" s="123" t="s">
        <v>1672</v>
      </c>
    </row>
    <row r="22" spans="1:29" ht="14.25" customHeight="1" x14ac:dyDescent="0.2">
      <c r="A22" s="386"/>
      <c r="B22" s="1196"/>
      <c r="C22" s="1196"/>
      <c r="D22" s="1196"/>
      <c r="E22" s="1196"/>
      <c r="F22" s="1196"/>
      <c r="G22" s="1196"/>
      <c r="H22" s="1196"/>
      <c r="I22" s="1196"/>
      <c r="J22" s="1196"/>
      <c r="K22" s="1196"/>
      <c r="L22" s="1196"/>
      <c r="M22" s="1196"/>
      <c r="N22" s="1196"/>
      <c r="O22" s="1196"/>
      <c r="P22" s="1196"/>
      <c r="Q22" s="1196"/>
      <c r="R22" s="1196"/>
      <c r="S22" s="1196"/>
      <c r="T22" s="383"/>
      <c r="W22" s="742"/>
      <c r="X22" s="743" t="s">
        <v>1673</v>
      </c>
      <c r="Z22" s="742"/>
      <c r="AA22" s="743" t="s">
        <v>1674</v>
      </c>
      <c r="AC22" s="123" t="s">
        <v>1675</v>
      </c>
    </row>
    <row r="23" spans="1:29" ht="14.25" customHeight="1" x14ac:dyDescent="0.2">
      <c r="A23" s="386"/>
      <c r="B23" s="1196"/>
      <c r="C23" s="1196"/>
      <c r="D23" s="1196"/>
      <c r="E23" s="1196"/>
      <c r="F23" s="1196"/>
      <c r="G23" s="1196"/>
      <c r="H23" s="1196"/>
      <c r="I23" s="1196"/>
      <c r="J23" s="1196"/>
      <c r="K23" s="1196"/>
      <c r="L23" s="1196"/>
      <c r="M23" s="1196"/>
      <c r="N23" s="1196"/>
      <c r="O23" s="1196"/>
      <c r="P23" s="1196"/>
      <c r="Q23" s="1196"/>
      <c r="R23" s="1196"/>
      <c r="S23" s="1196"/>
      <c r="T23" s="383"/>
      <c r="W23" s="742"/>
      <c r="X23" s="743" t="s">
        <v>1676</v>
      </c>
      <c r="Z23" s="742"/>
      <c r="AA23" s="743" t="s">
        <v>1677</v>
      </c>
      <c r="AC23" s="123" t="s">
        <v>1678</v>
      </c>
    </row>
    <row r="24" spans="1:29" ht="14.25" customHeight="1" x14ac:dyDescent="0.2">
      <c r="A24" s="386"/>
      <c r="B24" s="1196"/>
      <c r="C24" s="1196"/>
      <c r="D24" s="1196"/>
      <c r="E24" s="1196"/>
      <c r="F24" s="1196"/>
      <c r="G24" s="1196"/>
      <c r="H24" s="1196"/>
      <c r="I24" s="1196"/>
      <c r="J24" s="1196"/>
      <c r="K24" s="1196"/>
      <c r="L24" s="1196"/>
      <c r="M24" s="1196"/>
      <c r="N24" s="1196"/>
      <c r="O24" s="1196"/>
      <c r="P24" s="1196"/>
      <c r="Q24" s="1196"/>
      <c r="R24" s="1196"/>
      <c r="S24" s="1196"/>
      <c r="T24" s="383"/>
      <c r="W24" s="742"/>
      <c r="X24" s="743" t="s">
        <v>1394</v>
      </c>
      <c r="Z24" s="742"/>
      <c r="AA24" s="743" t="s">
        <v>54</v>
      </c>
      <c r="AC24" s="123" t="s">
        <v>1679</v>
      </c>
    </row>
    <row r="25" spans="1:29" ht="14.25" customHeight="1" x14ac:dyDescent="0.2">
      <c r="A25" s="386"/>
      <c r="B25" s="1196"/>
      <c r="C25" s="1196"/>
      <c r="D25" s="1196"/>
      <c r="E25" s="1196"/>
      <c r="F25" s="1196"/>
      <c r="G25" s="1196"/>
      <c r="H25" s="1196"/>
      <c r="I25" s="1196"/>
      <c r="J25" s="1196"/>
      <c r="K25" s="1196"/>
      <c r="L25" s="1196"/>
      <c r="M25" s="1196"/>
      <c r="N25" s="1196"/>
      <c r="O25" s="1196"/>
      <c r="P25" s="1196"/>
      <c r="Q25" s="1196"/>
      <c r="R25" s="1196"/>
      <c r="S25" s="1196"/>
      <c r="T25" s="383"/>
      <c r="W25" s="742"/>
      <c r="X25" s="743" t="s">
        <v>1680</v>
      </c>
      <c r="Z25" s="742"/>
      <c r="AA25" s="743" t="s">
        <v>1681</v>
      </c>
      <c r="AC25" s="123" t="s">
        <v>167</v>
      </c>
    </row>
    <row r="26" spans="1:29" ht="14.25" customHeight="1" x14ac:dyDescent="0.2">
      <c r="A26" s="386"/>
      <c r="B26" s="1196"/>
      <c r="C26" s="1196"/>
      <c r="D26" s="1196"/>
      <c r="E26" s="1196"/>
      <c r="F26" s="1196"/>
      <c r="G26" s="1196"/>
      <c r="H26" s="1196"/>
      <c r="I26" s="1196"/>
      <c r="J26" s="1196"/>
      <c r="K26" s="1196"/>
      <c r="L26" s="1196"/>
      <c r="M26" s="1196"/>
      <c r="N26" s="1196"/>
      <c r="O26" s="1196"/>
      <c r="P26" s="1196"/>
      <c r="Q26" s="1196"/>
      <c r="R26" s="1196"/>
      <c r="S26" s="1196"/>
      <c r="T26" s="383"/>
      <c r="W26" s="742"/>
      <c r="X26" s="743" t="s">
        <v>1682</v>
      </c>
      <c r="Z26" s="742"/>
      <c r="AA26" s="743" t="s">
        <v>1683</v>
      </c>
      <c r="AC26" s="123" t="s">
        <v>1684</v>
      </c>
    </row>
    <row r="27" spans="1:29" ht="14.25" customHeight="1" x14ac:dyDescent="0.2">
      <c r="A27" s="386"/>
      <c r="B27" s="1196"/>
      <c r="C27" s="1196"/>
      <c r="D27" s="1196"/>
      <c r="E27" s="1196"/>
      <c r="F27" s="1196"/>
      <c r="G27" s="1196"/>
      <c r="H27" s="1196"/>
      <c r="I27" s="1196"/>
      <c r="J27" s="1196"/>
      <c r="K27" s="1196"/>
      <c r="L27" s="1196"/>
      <c r="M27" s="1196"/>
      <c r="N27" s="1196"/>
      <c r="O27" s="1196"/>
      <c r="P27" s="1196"/>
      <c r="Q27" s="1196"/>
      <c r="R27" s="1196"/>
      <c r="S27" s="1196"/>
      <c r="T27" s="383"/>
      <c r="W27" s="742"/>
      <c r="X27" s="743" t="s">
        <v>186</v>
      </c>
      <c r="Z27" s="742"/>
      <c r="AA27" s="743" t="s">
        <v>1685</v>
      </c>
      <c r="AC27" s="123" t="s">
        <v>1686</v>
      </c>
    </row>
    <row r="28" spans="1:29" ht="14.25" customHeight="1" x14ac:dyDescent="0.2">
      <c r="A28" s="386"/>
      <c r="B28" s="1196"/>
      <c r="C28" s="1196"/>
      <c r="D28" s="1196"/>
      <c r="E28" s="1196"/>
      <c r="F28" s="1196"/>
      <c r="G28" s="1196"/>
      <c r="H28" s="1196"/>
      <c r="I28" s="1196"/>
      <c r="J28" s="1196"/>
      <c r="K28" s="1196"/>
      <c r="L28" s="1196"/>
      <c r="M28" s="1196"/>
      <c r="N28" s="1196"/>
      <c r="O28" s="1196"/>
      <c r="P28" s="1196"/>
      <c r="Q28" s="1196"/>
      <c r="R28" s="1196"/>
      <c r="S28" s="1196"/>
      <c r="T28" s="383"/>
      <c r="W28" s="742"/>
      <c r="X28" s="743" t="s">
        <v>1687</v>
      </c>
      <c r="Z28" s="742"/>
      <c r="AA28" s="743" t="s">
        <v>171</v>
      </c>
      <c r="AC28" s="123" t="s">
        <v>1688</v>
      </c>
    </row>
    <row r="29" spans="1:29" ht="14.25" customHeight="1" x14ac:dyDescent="0.2">
      <c r="A29" s="386"/>
      <c r="B29" s="1196"/>
      <c r="C29" s="1196"/>
      <c r="D29" s="1196"/>
      <c r="E29" s="1196"/>
      <c r="F29" s="1196"/>
      <c r="G29" s="1196"/>
      <c r="H29" s="1196"/>
      <c r="I29" s="1196"/>
      <c r="J29" s="1196"/>
      <c r="K29" s="1196"/>
      <c r="L29" s="1196"/>
      <c r="M29" s="1196"/>
      <c r="N29" s="1196"/>
      <c r="O29" s="1196"/>
      <c r="P29" s="1196"/>
      <c r="Q29" s="1196"/>
      <c r="R29" s="1196"/>
      <c r="S29" s="1196"/>
      <c r="T29" s="383"/>
      <c r="W29" s="742"/>
      <c r="X29" s="743" t="s">
        <v>1689</v>
      </c>
      <c r="Z29" s="742"/>
      <c r="AA29" s="743" t="s">
        <v>1690</v>
      </c>
      <c r="AC29" s="123" t="s">
        <v>1691</v>
      </c>
    </row>
    <row r="30" spans="1:29" ht="14.25" customHeight="1" x14ac:dyDescent="0.2">
      <c r="A30" s="386"/>
      <c r="B30" s="1196"/>
      <c r="C30" s="1196"/>
      <c r="D30" s="1196"/>
      <c r="E30" s="1196"/>
      <c r="F30" s="1196"/>
      <c r="G30" s="1196"/>
      <c r="H30" s="1196"/>
      <c r="I30" s="1196"/>
      <c r="J30" s="1196"/>
      <c r="K30" s="1196"/>
      <c r="L30" s="1196"/>
      <c r="M30" s="1196"/>
      <c r="N30" s="1196"/>
      <c r="O30" s="1196"/>
      <c r="P30" s="1196"/>
      <c r="Q30" s="1196"/>
      <c r="R30" s="1196"/>
      <c r="S30" s="1196"/>
      <c r="T30" s="383"/>
      <c r="W30" s="742"/>
      <c r="X30" s="743" t="s">
        <v>1692</v>
      </c>
      <c r="Z30" s="742"/>
      <c r="AA30" s="743" t="s">
        <v>1693</v>
      </c>
      <c r="AC30" s="123" t="s">
        <v>1694</v>
      </c>
    </row>
    <row r="31" spans="1:29" ht="14.25" customHeight="1" x14ac:dyDescent="0.2">
      <c r="A31" s="386"/>
      <c r="B31" s="1196"/>
      <c r="C31" s="1196"/>
      <c r="D31" s="1196"/>
      <c r="E31" s="1196"/>
      <c r="F31" s="1196"/>
      <c r="G31" s="1196"/>
      <c r="H31" s="1196"/>
      <c r="I31" s="1196"/>
      <c r="J31" s="1196"/>
      <c r="K31" s="1196"/>
      <c r="L31" s="1196"/>
      <c r="M31" s="1196"/>
      <c r="N31" s="1196"/>
      <c r="O31" s="1196"/>
      <c r="P31" s="1196"/>
      <c r="Q31" s="1196"/>
      <c r="R31" s="1196"/>
      <c r="S31" s="1196"/>
      <c r="T31" s="383"/>
      <c r="W31" s="742"/>
      <c r="X31" s="743" t="s">
        <v>1695</v>
      </c>
      <c r="Z31" s="742"/>
      <c r="AA31" s="743" t="s">
        <v>1696</v>
      </c>
      <c r="AC31" s="123" t="s">
        <v>1697</v>
      </c>
    </row>
    <row r="32" spans="1:29" ht="14.25" customHeight="1" x14ac:dyDescent="0.2">
      <c r="A32" s="386"/>
      <c r="B32" s="1196"/>
      <c r="C32" s="1196"/>
      <c r="D32" s="1196"/>
      <c r="E32" s="1196"/>
      <c r="F32" s="1196"/>
      <c r="G32" s="1196"/>
      <c r="H32" s="1196"/>
      <c r="I32" s="1196"/>
      <c r="J32" s="1196"/>
      <c r="K32" s="1196"/>
      <c r="L32" s="1196"/>
      <c r="M32" s="1196"/>
      <c r="N32" s="1196"/>
      <c r="O32" s="1196"/>
      <c r="P32" s="1196"/>
      <c r="Q32" s="1196"/>
      <c r="R32" s="1196"/>
      <c r="S32" s="1196"/>
      <c r="T32" s="383"/>
      <c r="W32" s="742"/>
      <c r="X32" s="743" t="s">
        <v>1698</v>
      </c>
      <c r="Z32" s="742"/>
      <c r="AA32" s="743" t="s">
        <v>1699</v>
      </c>
      <c r="AC32" s="664" t="s">
        <v>1700</v>
      </c>
    </row>
    <row r="33" spans="1:29" ht="14.25" customHeight="1" x14ac:dyDescent="0.2">
      <c r="A33" s="386"/>
      <c r="B33" s="1196"/>
      <c r="C33" s="1196"/>
      <c r="D33" s="1196"/>
      <c r="E33" s="1196"/>
      <c r="F33" s="1196"/>
      <c r="G33" s="1196"/>
      <c r="H33" s="1196"/>
      <c r="I33" s="1196"/>
      <c r="J33" s="1196"/>
      <c r="K33" s="1196"/>
      <c r="L33" s="1196"/>
      <c r="M33" s="1196"/>
      <c r="N33" s="1196"/>
      <c r="O33" s="1196"/>
      <c r="P33" s="1196"/>
      <c r="Q33" s="1196"/>
      <c r="R33" s="1196"/>
      <c r="S33" s="1196"/>
      <c r="T33" s="383"/>
      <c r="W33" s="742"/>
      <c r="X33" s="743" t="s">
        <v>1701</v>
      </c>
      <c r="Z33" s="742"/>
      <c r="AA33" s="743" t="s">
        <v>1702</v>
      </c>
      <c r="AC33" s="664" t="s">
        <v>1703</v>
      </c>
    </row>
    <row r="34" spans="1:29" ht="14.25" customHeight="1" x14ac:dyDescent="0.2">
      <c r="A34" s="386"/>
      <c r="B34" s="1196"/>
      <c r="C34" s="1196"/>
      <c r="D34" s="1196"/>
      <c r="E34" s="1196"/>
      <c r="F34" s="1196"/>
      <c r="G34" s="1196"/>
      <c r="H34" s="1196"/>
      <c r="I34" s="1196"/>
      <c r="J34" s="1196"/>
      <c r="K34" s="1196"/>
      <c r="L34" s="1196"/>
      <c r="M34" s="1196"/>
      <c r="N34" s="1196"/>
      <c r="O34" s="1196"/>
      <c r="P34" s="1196"/>
      <c r="Q34" s="1196"/>
      <c r="R34" s="1196"/>
      <c r="S34" s="1196"/>
      <c r="T34" s="383"/>
      <c r="W34" s="742"/>
      <c r="X34" s="743" t="s">
        <v>1704</v>
      </c>
      <c r="Z34" s="742"/>
      <c r="AA34" s="743" t="s">
        <v>122</v>
      </c>
      <c r="AC34" s="123" t="s">
        <v>1705</v>
      </c>
    </row>
    <row r="35" spans="1:29" ht="14.25" customHeight="1" x14ac:dyDescent="0.2">
      <c r="A35" s="386"/>
      <c r="B35" s="1196"/>
      <c r="C35" s="1196"/>
      <c r="D35" s="1196"/>
      <c r="E35" s="1196"/>
      <c r="F35" s="1196"/>
      <c r="G35" s="1196"/>
      <c r="H35" s="1196"/>
      <c r="I35" s="1196"/>
      <c r="J35" s="1196"/>
      <c r="K35" s="1196"/>
      <c r="L35" s="1196"/>
      <c r="M35" s="1196"/>
      <c r="N35" s="1196"/>
      <c r="O35" s="1196"/>
      <c r="P35" s="1196"/>
      <c r="Q35" s="1196"/>
      <c r="R35" s="1196"/>
      <c r="S35" s="1196"/>
      <c r="T35" s="383"/>
      <c r="AC35" s="123" t="s">
        <v>1706</v>
      </c>
    </row>
    <row r="36" spans="1:29" ht="14.25" customHeight="1" x14ac:dyDescent="0.2">
      <c r="A36" s="386"/>
      <c r="B36" s="1196"/>
      <c r="C36" s="1196"/>
      <c r="D36" s="1196"/>
      <c r="E36" s="1196"/>
      <c r="F36" s="1196"/>
      <c r="G36" s="1196"/>
      <c r="H36" s="1196"/>
      <c r="I36" s="1196"/>
      <c r="J36" s="1196"/>
      <c r="K36" s="1196"/>
      <c r="L36" s="1196"/>
      <c r="M36" s="1196"/>
      <c r="N36" s="1196"/>
      <c r="O36" s="1196"/>
      <c r="P36" s="1196"/>
      <c r="Q36" s="1196"/>
      <c r="R36" s="1196"/>
      <c r="S36" s="1196"/>
      <c r="T36" s="383"/>
      <c r="AC36" s="664" t="s">
        <v>1707</v>
      </c>
    </row>
    <row r="37" spans="1:29" ht="14.25" customHeight="1" x14ac:dyDescent="0.2">
      <c r="A37" s="386"/>
      <c r="B37" s="1196"/>
      <c r="C37" s="1196"/>
      <c r="D37" s="1196"/>
      <c r="E37" s="1196"/>
      <c r="F37" s="1196"/>
      <c r="G37" s="1196"/>
      <c r="H37" s="1196"/>
      <c r="I37" s="1196"/>
      <c r="J37" s="1196"/>
      <c r="K37" s="1196"/>
      <c r="L37" s="1196"/>
      <c r="M37" s="1196"/>
      <c r="N37" s="1196"/>
      <c r="O37" s="1196"/>
      <c r="P37" s="1196"/>
      <c r="Q37" s="1196"/>
      <c r="R37" s="1196"/>
      <c r="S37" s="1196"/>
      <c r="T37" s="383"/>
      <c r="AC37" s="123" t="s">
        <v>1708</v>
      </c>
    </row>
    <row r="38" spans="1:29" ht="14.25" customHeight="1" x14ac:dyDescent="0.2">
      <c r="A38" s="386"/>
      <c r="B38" s="1196"/>
      <c r="C38" s="1196"/>
      <c r="D38" s="1196"/>
      <c r="E38" s="1196"/>
      <c r="F38" s="1196"/>
      <c r="G38" s="1196"/>
      <c r="H38" s="1196"/>
      <c r="I38" s="1196"/>
      <c r="J38" s="1196"/>
      <c r="K38" s="1196"/>
      <c r="L38" s="1196"/>
      <c r="M38" s="1196"/>
      <c r="N38" s="1196"/>
      <c r="O38" s="1196"/>
      <c r="P38" s="1196"/>
      <c r="Q38" s="1196"/>
      <c r="R38" s="1196"/>
      <c r="S38" s="1196"/>
      <c r="T38" s="383"/>
      <c r="AC38" s="123" t="s">
        <v>1709</v>
      </c>
    </row>
    <row r="39" spans="1:29" ht="14.25" customHeight="1" x14ac:dyDescent="0.2">
      <c r="A39" s="386"/>
      <c r="B39" s="745" t="s">
        <v>1745</v>
      </c>
      <c r="D39" s="1214" t="str">
        <f>IF(W17="","",X17)&amp;IF(W18="","",", "&amp;X18)&amp;IF(W19="","",", "&amp;X19)&amp;IF(W20="","",", "&amp;X20)&amp;IF(W21="","",", "&amp;X21)&amp;IF(W22="","",", "&amp;X22)&amp;IF(W23="","",", "&amp;X23)&amp;IF(W24="","",", "&amp;X24)&amp;IF(W25="","",", "&amp;X25)&amp;IF(W26="","",", "&amp;X26)&amp;IF(W27="","",", "&amp;X27)&amp;IF(W28="","",", "&amp;X28)&amp;IF(W29="","",", "&amp;X29)&amp;IF(W30="","",", "&amp;X30)&amp;IF(W31="","",", "&amp;X31)&amp;IF(W32="","",", "&amp;X32)&amp;IF(W33="","",", "&amp;X33)&amp;IF(W34="","",", "&amp;X34)&amp;IF(Z18="","",", "&amp;AA18)&amp;IF(Z19="","",", "&amp;AA19)&amp;IF(Z20="","",", "&amp;AA20)&amp;IF(Z21="","",", "&amp;AA21)&amp;IF(Z22="","",", "&amp;AA22)&amp;IF(Z23="","",", "&amp;AA23)&amp;IF(Z24="","",", "&amp;AA24)&amp;IF(Z25="","",", "&amp;AA25)&amp;IF(Z26="","",", "&amp;AA26)&amp;IF(Z27="","",", "&amp;AA27)&amp;IF(Z28="","",", "&amp;AA28)&amp;IF(Z29="","",", "&amp;AA29)&amp;IF(Z30="","",", "&amp;AA30)&amp;IF(Z31="","",", "&amp;AA31)&amp;IF(Z32="","",", "&amp;AA32)&amp;IF(Z33="","",", "&amp;AA33)&amp;IF(Z34="","",", "&amp;AA34)</f>
        <v/>
      </c>
      <c r="E39" s="1214"/>
      <c r="F39" s="1214"/>
      <c r="G39" s="1214"/>
      <c r="H39" s="1214"/>
      <c r="I39" s="1214"/>
      <c r="J39" s="1214"/>
      <c r="K39" s="1214"/>
      <c r="L39" s="1214"/>
      <c r="M39" s="1214"/>
      <c r="N39" s="1214"/>
      <c r="O39" s="1214"/>
      <c r="P39" s="1214"/>
      <c r="Q39" s="1214"/>
      <c r="R39" s="1214"/>
      <c r="S39" s="1214"/>
      <c r="T39" s="383"/>
      <c r="AC39" s="123" t="s">
        <v>1710</v>
      </c>
    </row>
    <row r="40" spans="1:29" ht="14.25" customHeight="1" x14ac:dyDescent="0.2">
      <c r="A40" s="386"/>
      <c r="B40" s="732"/>
      <c r="C40" s="277"/>
      <c r="D40" s="1214"/>
      <c r="E40" s="1214"/>
      <c r="F40" s="1214"/>
      <c r="G40" s="1214"/>
      <c r="H40" s="1214"/>
      <c r="I40" s="1214"/>
      <c r="J40" s="1214"/>
      <c r="K40" s="1214"/>
      <c r="L40" s="1214"/>
      <c r="M40" s="1214"/>
      <c r="N40" s="1214"/>
      <c r="O40" s="1214"/>
      <c r="P40" s="1214"/>
      <c r="Q40" s="1214"/>
      <c r="R40" s="1214"/>
      <c r="S40" s="1214"/>
      <c r="T40" s="383"/>
      <c r="AC40" s="123" t="s">
        <v>1711</v>
      </c>
    </row>
    <row r="41" spans="1:29" ht="14.25" customHeight="1" x14ac:dyDescent="0.25">
      <c r="A41" s="384"/>
      <c r="B41" s="735"/>
      <c r="C41" s="735"/>
      <c r="D41" s="1214"/>
      <c r="E41" s="1214"/>
      <c r="F41" s="1214"/>
      <c r="G41" s="1214"/>
      <c r="H41" s="1214"/>
      <c r="I41" s="1214"/>
      <c r="J41" s="1214"/>
      <c r="K41" s="1214"/>
      <c r="L41" s="1214"/>
      <c r="M41" s="1214"/>
      <c r="N41" s="1214"/>
      <c r="O41" s="1214"/>
      <c r="P41" s="1214"/>
      <c r="Q41" s="1214"/>
      <c r="R41" s="1214"/>
      <c r="S41" s="1214"/>
      <c r="T41" s="385"/>
      <c r="AC41" s="123" t="s">
        <v>1712</v>
      </c>
    </row>
    <row r="42" spans="1:29" ht="17.100000000000001" customHeight="1" thickBot="1" x14ac:dyDescent="0.3">
      <c r="A42" s="384"/>
      <c r="B42" s="737"/>
      <c r="C42" s="736"/>
      <c r="D42" s="1215"/>
      <c r="E42" s="1215"/>
      <c r="F42" s="1215"/>
      <c r="G42" s="1215"/>
      <c r="H42" s="1215"/>
      <c r="I42" s="1215"/>
      <c r="J42" s="1215"/>
      <c r="K42" s="1215"/>
      <c r="L42" s="1215"/>
      <c r="M42" s="1215"/>
      <c r="N42" s="1215"/>
      <c r="O42" s="1215"/>
      <c r="P42" s="1215"/>
      <c r="Q42" s="1215"/>
      <c r="R42" s="1215"/>
      <c r="S42" s="1215"/>
      <c r="T42" s="385"/>
      <c r="AC42" s="664" t="s">
        <v>1746</v>
      </c>
    </row>
    <row r="43" spans="1:29" ht="5.25" customHeight="1" thickTop="1" thickBot="1" x14ac:dyDescent="0.25">
      <c r="A43" s="1199"/>
      <c r="B43" s="1199"/>
      <c r="C43" s="1199"/>
      <c r="D43" s="1199"/>
      <c r="E43" s="1199"/>
      <c r="F43" s="1199"/>
      <c r="G43" s="1199"/>
      <c r="H43" s="1199"/>
      <c r="I43" s="1199"/>
      <c r="J43" s="1199"/>
      <c r="K43" s="1199"/>
      <c r="L43" s="1199"/>
      <c r="M43" s="1199"/>
      <c r="N43" s="1199"/>
      <c r="O43" s="1199"/>
      <c r="P43" s="1199"/>
      <c r="Q43" s="1199"/>
      <c r="R43" s="1199"/>
      <c r="S43" s="1199"/>
      <c r="T43" s="1199"/>
      <c r="AC43" s="664"/>
    </row>
    <row r="44" spans="1:29" ht="15" thickTop="1" x14ac:dyDescent="0.2">
      <c r="A44" s="1200" t="s">
        <v>1110</v>
      </c>
      <c r="B44" s="1201"/>
      <c r="C44" s="1201"/>
      <c r="D44" s="1201"/>
      <c r="E44" s="1201"/>
      <c r="F44" s="1201"/>
      <c r="G44" s="1201"/>
      <c r="H44" s="1201"/>
      <c r="I44" s="1201"/>
      <c r="J44" s="1201"/>
      <c r="K44" s="1201"/>
      <c r="L44" s="1201"/>
      <c r="M44" s="1201"/>
      <c r="N44" s="1201"/>
      <c r="O44" s="1201"/>
      <c r="P44" s="1201"/>
      <c r="Q44" s="1201"/>
      <c r="R44" s="1201"/>
      <c r="S44" s="1201"/>
      <c r="T44" s="1202"/>
      <c r="V44" s="919" t="s">
        <v>1637</v>
      </c>
      <c r="W44" s="919"/>
      <c r="X44" s="919"/>
      <c r="Y44" s="919"/>
      <c r="AC44" s="123" t="s">
        <v>1713</v>
      </c>
    </row>
    <row r="45" spans="1:29" ht="13.5" customHeight="1" x14ac:dyDescent="0.25">
      <c r="A45" s="1204" t="str">
        <f>SpellNumber(P45)</f>
        <v>Two Million Fifty Five Thousand One Hundred Eighty Five Dollars and No Cents</v>
      </c>
      <c r="B45" s="1205"/>
      <c r="C45" s="1205"/>
      <c r="D45" s="1205"/>
      <c r="E45" s="1205"/>
      <c r="F45" s="1205"/>
      <c r="G45" s="1205"/>
      <c r="H45" s="1205"/>
      <c r="I45" s="1205"/>
      <c r="J45" s="1205"/>
      <c r="K45" s="1205"/>
      <c r="L45" s="1205"/>
      <c r="M45" s="1205"/>
      <c r="N45" s="274"/>
      <c r="O45" s="296" t="s">
        <v>1111</v>
      </c>
      <c r="P45" s="1203">
        <f>ROUND('MCAA RECAP'!H70,2)</f>
        <v>2055185</v>
      </c>
      <c r="Q45" s="1203"/>
      <c r="R45" s="1203"/>
      <c r="S45" s="1203"/>
      <c r="T45" s="279" t="s">
        <v>1112</v>
      </c>
      <c r="V45" s="1153">
        <f>ROUND('MCAA RECAP'!H70,2)</f>
        <v>2055185</v>
      </c>
      <c r="W45" s="1153"/>
      <c r="X45" s="1153"/>
      <c r="Y45" s="1153"/>
      <c r="AC45" s="123" t="s">
        <v>1714</v>
      </c>
    </row>
    <row r="46" spans="1:29" ht="11.25" customHeight="1" x14ac:dyDescent="0.2">
      <c r="A46" s="1206" t="s">
        <v>1113</v>
      </c>
      <c r="B46" s="1207"/>
      <c r="C46" s="1207"/>
      <c r="D46" s="1207"/>
      <c r="E46" s="1207"/>
      <c r="F46" s="1207"/>
      <c r="G46" s="1207"/>
      <c r="H46" s="1207"/>
      <c r="I46" s="1207"/>
      <c r="J46" s="1207"/>
      <c r="K46" s="1207"/>
      <c r="L46" s="1207"/>
      <c r="M46" s="1207"/>
      <c r="N46" s="1207"/>
      <c r="O46" s="1207"/>
      <c r="P46" s="1207"/>
      <c r="Q46" s="1207"/>
      <c r="R46" s="1207"/>
      <c r="S46" s="1207"/>
      <c r="T46" s="1208"/>
      <c r="AC46" s="123" t="s">
        <v>1715</v>
      </c>
    </row>
    <row r="47" spans="1:29" ht="14.25" customHeight="1" x14ac:dyDescent="0.2">
      <c r="A47" s="1216"/>
      <c r="B47" s="1217"/>
      <c r="C47" s="1217"/>
      <c r="D47" s="1217"/>
      <c r="E47" s="1217"/>
      <c r="F47" s="1217"/>
      <c r="G47" s="1217"/>
      <c r="H47" s="1217"/>
      <c r="I47" s="1217"/>
      <c r="J47" s="1217"/>
      <c r="K47" s="1217"/>
      <c r="L47" s="1217"/>
      <c r="M47" s="1217"/>
      <c r="N47" s="1217"/>
      <c r="O47" s="1217"/>
      <c r="P47" s="1217"/>
      <c r="Q47" s="1217"/>
      <c r="R47" s="1217"/>
      <c r="S47" s="1217"/>
      <c r="T47" s="1218"/>
      <c r="AC47" s="123" t="s">
        <v>1716</v>
      </c>
    </row>
    <row r="48" spans="1:29" ht="11.45" customHeight="1" x14ac:dyDescent="0.2">
      <c r="A48" s="1219" t="s">
        <v>1818</v>
      </c>
      <c r="B48" s="1220"/>
      <c r="C48" s="1220"/>
      <c r="D48" s="1220"/>
      <c r="E48" s="1220"/>
      <c r="F48" s="1220"/>
      <c r="G48" s="1220"/>
      <c r="H48" s="280"/>
      <c r="I48" s="280"/>
      <c r="J48" s="280"/>
      <c r="K48" s="280"/>
      <c r="L48" s="280"/>
      <c r="M48" s="280"/>
      <c r="N48" s="280"/>
      <c r="O48" s="280"/>
      <c r="P48" s="280"/>
      <c r="Q48" s="280"/>
      <c r="R48" s="280"/>
      <c r="S48" s="280"/>
      <c r="T48" s="276"/>
      <c r="V48" s="268"/>
      <c r="AC48" s="123" t="s">
        <v>186</v>
      </c>
    </row>
    <row r="49" spans="1:29" ht="11.45" customHeight="1" x14ac:dyDescent="0.2">
      <c r="A49" s="1221"/>
      <c r="B49" s="1222"/>
      <c r="C49" s="1222"/>
      <c r="D49" s="1222"/>
      <c r="E49" s="1222"/>
      <c r="F49" s="1222"/>
      <c r="G49" s="1222"/>
      <c r="H49" s="280"/>
      <c r="I49" s="1207"/>
      <c r="J49" s="1209"/>
      <c r="K49" s="1209"/>
      <c r="L49" s="1209"/>
      <c r="M49" s="1209"/>
      <c r="N49" s="1209"/>
      <c r="O49" s="1209"/>
      <c r="P49" s="1209"/>
      <c r="Q49" s="1209"/>
      <c r="R49" s="1209"/>
      <c r="S49" s="1209"/>
      <c r="T49" s="276"/>
      <c r="AC49" s="123" t="s">
        <v>1717</v>
      </c>
    </row>
    <row r="50" spans="1:29" ht="11.45" customHeight="1" x14ac:dyDescent="0.2">
      <c r="A50" s="1221"/>
      <c r="B50" s="1222"/>
      <c r="C50" s="1222"/>
      <c r="D50" s="1222"/>
      <c r="E50" s="1222"/>
      <c r="F50" s="1222"/>
      <c r="G50" s="1222"/>
      <c r="H50" s="280" t="s">
        <v>1114</v>
      </c>
      <c r="I50" s="1209"/>
      <c r="J50" s="1209"/>
      <c r="K50" s="1209"/>
      <c r="L50" s="1209"/>
      <c r="M50" s="1209"/>
      <c r="N50" s="1209"/>
      <c r="O50" s="1209"/>
      <c r="P50" s="1209"/>
      <c r="Q50" s="1209"/>
      <c r="R50" s="1209"/>
      <c r="S50" s="1209"/>
      <c r="T50" s="276"/>
      <c r="AC50" s="123" t="s">
        <v>1718</v>
      </c>
    </row>
    <row r="51" spans="1:29" ht="11.45" customHeight="1" x14ac:dyDescent="0.2">
      <c r="A51" s="1221"/>
      <c r="B51" s="1222"/>
      <c r="C51" s="1222"/>
      <c r="D51" s="1222"/>
      <c r="E51" s="1222"/>
      <c r="F51" s="1222"/>
      <c r="G51" s="1222"/>
      <c r="H51" s="280" t="s">
        <v>1115</v>
      </c>
      <c r="I51" s="1210"/>
      <c r="J51" s="1210"/>
      <c r="K51" s="1210"/>
      <c r="L51" s="1210"/>
      <c r="M51" s="1210"/>
      <c r="N51" s="1210"/>
      <c r="O51" s="1210"/>
      <c r="P51" s="1210"/>
      <c r="Q51" s="1210"/>
      <c r="R51" s="1210"/>
      <c r="S51" s="1210"/>
      <c r="T51" s="276"/>
      <c r="AC51" s="123" t="s">
        <v>1147</v>
      </c>
    </row>
    <row r="52" spans="1:29" ht="11.45" customHeight="1" x14ac:dyDescent="0.2">
      <c r="A52" s="1221"/>
      <c r="B52" s="1222"/>
      <c r="C52" s="1222"/>
      <c r="D52" s="1222"/>
      <c r="E52" s="1222"/>
      <c r="F52" s="1222"/>
      <c r="G52" s="1222"/>
      <c r="H52" s="280"/>
      <c r="I52" s="1211"/>
      <c r="J52" s="1211"/>
      <c r="K52" s="1211"/>
      <c r="L52" s="1211"/>
      <c r="M52" s="1211"/>
      <c r="N52" s="1211"/>
      <c r="O52" s="1211"/>
      <c r="P52" s="1211"/>
      <c r="Q52" s="1211"/>
      <c r="R52" s="1211"/>
      <c r="S52" s="1211"/>
      <c r="T52" s="281"/>
      <c r="W52" s="744"/>
      <c r="Z52" s="744"/>
      <c r="AC52" s="123" t="s">
        <v>1719</v>
      </c>
    </row>
    <row r="53" spans="1:29" ht="11.45" customHeight="1" x14ac:dyDescent="0.2">
      <c r="A53" s="1221"/>
      <c r="B53" s="1222"/>
      <c r="C53" s="1222"/>
      <c r="D53" s="1222"/>
      <c r="E53" s="1222"/>
      <c r="F53" s="1222"/>
      <c r="G53" s="1222"/>
      <c r="I53" s="1197" t="s">
        <v>1116</v>
      </c>
      <c r="J53" s="1197"/>
      <c r="K53" s="1197"/>
      <c r="L53" s="1197"/>
      <c r="M53" s="1197"/>
      <c r="N53" s="1197"/>
      <c r="O53" s="1197"/>
      <c r="P53" s="1197"/>
      <c r="Q53" s="1197"/>
      <c r="R53" s="1197"/>
      <c r="S53" s="1197"/>
      <c r="T53" s="1198"/>
      <c r="AC53" s="123" t="s">
        <v>1720</v>
      </c>
    </row>
    <row r="54" spans="1:29" ht="11.45" customHeight="1" x14ac:dyDescent="0.2">
      <c r="A54" s="1221"/>
      <c r="B54" s="1222"/>
      <c r="C54" s="1222"/>
      <c r="D54" s="1222"/>
      <c r="E54" s="1222"/>
      <c r="F54" s="1222"/>
      <c r="G54" s="1222"/>
      <c r="I54" s="1197" t="s">
        <v>1117</v>
      </c>
      <c r="J54" s="1197"/>
      <c r="K54" s="1197"/>
      <c r="L54" s="1197"/>
      <c r="M54" s="1197"/>
      <c r="N54" s="1197"/>
      <c r="O54" s="1197"/>
      <c r="P54" s="1197"/>
      <c r="Q54" s="1197"/>
      <c r="R54" s="1197"/>
      <c r="S54" s="1197"/>
      <c r="T54" s="1198"/>
      <c r="AC54" s="123" t="s">
        <v>1721</v>
      </c>
    </row>
    <row r="55" spans="1:29" ht="11.45" customHeight="1" x14ac:dyDescent="0.2">
      <c r="A55" s="1221"/>
      <c r="B55" s="1222"/>
      <c r="C55" s="1222"/>
      <c r="D55" s="1222"/>
      <c r="E55" s="1222"/>
      <c r="F55" s="1222"/>
      <c r="G55" s="1222"/>
      <c r="H55" s="280"/>
      <c r="T55" s="282"/>
      <c r="AC55" s="123" t="s">
        <v>1722</v>
      </c>
    </row>
    <row r="56" spans="1:29" ht="11.45" customHeight="1" x14ac:dyDescent="0.2">
      <c r="A56" s="1221"/>
      <c r="B56" s="1222"/>
      <c r="C56" s="1222"/>
      <c r="D56" s="1222"/>
      <c r="E56" s="1222"/>
      <c r="F56" s="1222"/>
      <c r="G56" s="1222"/>
      <c r="H56" s="280"/>
      <c r="J56" s="280"/>
      <c r="K56" s="280"/>
      <c r="L56" s="280"/>
      <c r="M56" s="280"/>
      <c r="N56" s="280"/>
      <c r="O56" s="280"/>
      <c r="P56" s="280"/>
      <c r="Q56" s="280"/>
      <c r="R56" s="280"/>
      <c r="S56" s="280"/>
      <c r="T56" s="283"/>
      <c r="AC56" s="123" t="s">
        <v>1723</v>
      </c>
    </row>
    <row r="57" spans="1:29" ht="4.5" customHeight="1" thickBot="1" x14ac:dyDescent="0.25">
      <c r="A57" s="1223"/>
      <c r="B57" s="1224"/>
      <c r="C57" s="1224"/>
      <c r="D57" s="1224"/>
      <c r="E57" s="1224"/>
      <c r="F57" s="1224"/>
      <c r="G57" s="1224"/>
      <c r="H57" s="285"/>
      <c r="I57" s="286"/>
      <c r="J57" s="285"/>
      <c r="K57" s="285"/>
      <c r="L57" s="285"/>
      <c r="M57" s="287"/>
      <c r="N57" s="285"/>
      <c r="O57" s="285"/>
      <c r="P57" s="285"/>
      <c r="Q57" s="286"/>
      <c r="R57" s="285"/>
      <c r="S57" s="285"/>
      <c r="T57" s="288"/>
    </row>
    <row r="58" spans="1:29" ht="4.5" customHeight="1" thickTop="1" thickBot="1" x14ac:dyDescent="0.25">
      <c r="A58" s="268"/>
      <c r="B58" s="268"/>
      <c r="C58" s="268"/>
      <c r="D58" s="268"/>
      <c r="E58" s="268"/>
      <c r="F58" s="268"/>
      <c r="G58" s="268"/>
      <c r="H58" s="268"/>
      <c r="I58" s="268"/>
      <c r="J58" s="268"/>
      <c r="K58" s="268"/>
      <c r="L58" s="268"/>
      <c r="M58" s="268"/>
      <c r="N58" s="268"/>
      <c r="O58" s="268"/>
      <c r="P58" s="268"/>
      <c r="Q58" s="268"/>
      <c r="R58" s="268"/>
      <c r="S58" s="268"/>
      <c r="T58" s="268"/>
    </row>
    <row r="59" spans="1:29" ht="15.75" thickTop="1" x14ac:dyDescent="0.2">
      <c r="A59" s="289" t="s">
        <v>1118</v>
      </c>
      <c r="B59" s="290"/>
      <c r="C59" s="290"/>
      <c r="D59" s="290"/>
      <c r="E59" s="290"/>
      <c r="F59" s="290"/>
      <c r="G59" s="290"/>
      <c r="H59" s="290"/>
      <c r="I59" s="290"/>
      <c r="J59" s="290"/>
      <c r="K59" s="290"/>
      <c r="L59" s="290"/>
      <c r="M59" s="290"/>
      <c r="N59" s="290"/>
      <c r="O59" s="290"/>
      <c r="P59" s="290"/>
      <c r="Q59" s="290"/>
      <c r="R59" s="290"/>
      <c r="S59" s="290"/>
      <c r="T59" s="291"/>
      <c r="AC59" s="123" t="s">
        <v>1724</v>
      </c>
    </row>
    <row r="60" spans="1:29" ht="10.5" customHeight="1" x14ac:dyDescent="0.2">
      <c r="A60" s="292" t="s">
        <v>1119</v>
      </c>
      <c r="B60" s="268"/>
      <c r="C60" s="268"/>
      <c r="D60" s="268"/>
      <c r="E60" s="268"/>
      <c r="F60" s="268"/>
      <c r="G60" s="268"/>
      <c r="H60" s="268"/>
      <c r="I60" s="268"/>
      <c r="J60" s="268"/>
      <c r="K60" s="268"/>
      <c r="L60" s="268"/>
      <c r="M60" s="268"/>
      <c r="N60" s="268"/>
      <c r="O60" s="268"/>
      <c r="P60" s="268"/>
      <c r="Q60" s="268"/>
      <c r="R60" s="268"/>
      <c r="S60" s="268"/>
      <c r="T60" s="269"/>
      <c r="AC60" s="123" t="s">
        <v>1725</v>
      </c>
    </row>
    <row r="61" spans="1:29" ht="12" customHeight="1" x14ac:dyDescent="0.2">
      <c r="A61" s="292" t="s">
        <v>1120</v>
      </c>
      <c r="B61" s="268"/>
      <c r="C61" s="268"/>
      <c r="D61" s="268"/>
      <c r="E61" s="268"/>
      <c r="F61" s="268"/>
      <c r="G61" s="274" t="s">
        <v>1115</v>
      </c>
      <c r="H61" s="274"/>
      <c r="I61" s="278"/>
      <c r="J61" s="278"/>
      <c r="K61" s="278"/>
      <c r="L61" s="278"/>
      <c r="M61" s="278"/>
      <c r="N61" s="278"/>
      <c r="O61" s="278"/>
      <c r="P61" s="278"/>
      <c r="Q61" s="278"/>
      <c r="R61" s="278"/>
      <c r="S61" s="278"/>
      <c r="T61" s="293"/>
      <c r="AC61" s="123" t="s">
        <v>1726</v>
      </c>
    </row>
    <row r="62" spans="1:29" x14ac:dyDescent="0.2">
      <c r="A62" s="294"/>
      <c r="B62" s="268"/>
      <c r="C62" s="268"/>
      <c r="D62" s="268"/>
      <c r="E62" s="268"/>
      <c r="F62" s="268"/>
      <c r="G62" s="268"/>
      <c r="H62" s="268"/>
      <c r="I62" s="268"/>
      <c r="J62" s="268"/>
      <c r="K62" s="268"/>
      <c r="L62" s="268"/>
      <c r="M62" s="268"/>
      <c r="N62" s="268"/>
      <c r="O62" s="268"/>
      <c r="P62" s="268"/>
      <c r="Q62" s="268"/>
      <c r="R62" s="268"/>
      <c r="S62" s="268"/>
      <c r="T62" s="269"/>
      <c r="AC62" s="123" t="s">
        <v>1727</v>
      </c>
    </row>
    <row r="63" spans="1:29" x14ac:dyDescent="0.2">
      <c r="A63" s="295" t="s">
        <v>1121</v>
      </c>
      <c r="B63" s="268"/>
      <c r="C63" s="268"/>
      <c r="D63" s="278"/>
      <c r="E63" s="278"/>
      <c r="F63" s="268"/>
      <c r="G63" s="274" t="s">
        <v>1115</v>
      </c>
      <c r="H63" s="274"/>
      <c r="I63" s="278"/>
      <c r="J63" s="278"/>
      <c r="K63" s="278"/>
      <c r="L63" s="278"/>
      <c r="M63" s="278"/>
      <c r="N63" s="278"/>
      <c r="O63" s="278"/>
      <c r="P63" s="278"/>
      <c r="Q63" s="278"/>
      <c r="R63" s="278"/>
      <c r="S63" s="278"/>
      <c r="T63" s="293"/>
      <c r="AC63" s="123" t="s">
        <v>1728</v>
      </c>
    </row>
    <row r="64" spans="1:29" ht="5.25" customHeight="1" thickBot="1" x14ac:dyDescent="0.25">
      <c r="A64" s="284"/>
      <c r="B64" s="285"/>
      <c r="C64" s="285"/>
      <c r="D64" s="285"/>
      <c r="E64" s="285"/>
      <c r="F64" s="285"/>
      <c r="G64" s="285"/>
      <c r="H64" s="285"/>
      <c r="I64" s="285"/>
      <c r="J64" s="285"/>
      <c r="K64" s="285"/>
      <c r="L64" s="285"/>
      <c r="M64" s="285"/>
      <c r="N64" s="285"/>
      <c r="O64" s="285"/>
      <c r="P64" s="285"/>
      <c r="Q64" s="285"/>
      <c r="R64" s="285"/>
      <c r="S64" s="285"/>
      <c r="T64" s="288"/>
    </row>
    <row r="65" spans="29:29" ht="13.5" thickTop="1" x14ac:dyDescent="0.2">
      <c r="AC65" s="123" t="s">
        <v>1729</v>
      </c>
    </row>
    <row r="66" spans="29:29" x14ac:dyDescent="0.2">
      <c r="AC66" s="123" t="s">
        <v>1730</v>
      </c>
    </row>
    <row r="67" spans="29:29" x14ac:dyDescent="0.2">
      <c r="AC67" s="123" t="s">
        <v>1731</v>
      </c>
    </row>
    <row r="68" spans="29:29" x14ac:dyDescent="0.2">
      <c r="AC68" s="123" t="s">
        <v>1732</v>
      </c>
    </row>
    <row r="69" spans="29:29" x14ac:dyDescent="0.2">
      <c r="AC69" s="123" t="s">
        <v>1733</v>
      </c>
    </row>
    <row r="70" spans="29:29" x14ac:dyDescent="0.2">
      <c r="AC70" s="123" t="s">
        <v>1734</v>
      </c>
    </row>
    <row r="71" spans="29:29" x14ac:dyDescent="0.2">
      <c r="AC71" s="123" t="s">
        <v>1735</v>
      </c>
    </row>
    <row r="72" spans="29:29" x14ac:dyDescent="0.2">
      <c r="AC72" s="123" t="s">
        <v>1736</v>
      </c>
    </row>
    <row r="73" spans="29:29" x14ac:dyDescent="0.2">
      <c r="AC73" s="123" t="s">
        <v>1737</v>
      </c>
    </row>
    <row r="74" spans="29:29" x14ac:dyDescent="0.2">
      <c r="AC74" s="123" t="s">
        <v>1738</v>
      </c>
    </row>
    <row r="75" spans="29:29" x14ac:dyDescent="0.2">
      <c r="AC75" s="123" t="s">
        <v>1739</v>
      </c>
    </row>
    <row r="76" spans="29:29" x14ac:dyDescent="0.2">
      <c r="AC76" s="123" t="s">
        <v>1740</v>
      </c>
    </row>
    <row r="78" spans="29:29" ht="15" x14ac:dyDescent="0.25">
      <c r="AC78" s="741" t="s">
        <v>1741</v>
      </c>
    </row>
    <row r="79" spans="29:29" x14ac:dyDescent="0.2">
      <c r="AC79" s="123" t="s">
        <v>1742</v>
      </c>
    </row>
    <row r="80" spans="29:29" x14ac:dyDescent="0.2">
      <c r="AC80" s="123" t="s">
        <v>1743</v>
      </c>
    </row>
    <row r="81" spans="29:29" x14ac:dyDescent="0.2">
      <c r="AC81" s="123" t="s">
        <v>1744</v>
      </c>
    </row>
    <row r="82" spans="29:29" x14ac:dyDescent="0.2">
      <c r="AC82" s="123" t="s">
        <v>1709</v>
      </c>
    </row>
  </sheetData>
  <sheetProtection sort="0" autoFilter="0" pivotTables="0"/>
  <mergeCells count="61">
    <mergeCell ref="W7:AA15"/>
    <mergeCell ref="D39:S42"/>
    <mergeCell ref="A47:T47"/>
    <mergeCell ref="A48:G57"/>
    <mergeCell ref="B17:S18"/>
    <mergeCell ref="B19:S19"/>
    <mergeCell ref="B20:S20"/>
    <mergeCell ref="B21:S21"/>
    <mergeCell ref="B22:S22"/>
    <mergeCell ref="B38:S38"/>
    <mergeCell ref="B32:S32"/>
    <mergeCell ref="B33:S33"/>
    <mergeCell ref="B34:S34"/>
    <mergeCell ref="B35:S35"/>
    <mergeCell ref="B23:S23"/>
    <mergeCell ref="B24:S24"/>
    <mergeCell ref="B25:S25"/>
    <mergeCell ref="B26:S26"/>
    <mergeCell ref="B27:S27"/>
    <mergeCell ref="B28:S28"/>
    <mergeCell ref="B29:S29"/>
    <mergeCell ref="B30:S30"/>
    <mergeCell ref="B31:S31"/>
    <mergeCell ref="I54:T54"/>
    <mergeCell ref="A43:T43"/>
    <mergeCell ref="A44:T44"/>
    <mergeCell ref="P45:S45"/>
    <mergeCell ref="A45:M45"/>
    <mergeCell ref="A46:T46"/>
    <mergeCell ref="I49:S51"/>
    <mergeCell ref="I52:S52"/>
    <mergeCell ref="I53:T53"/>
    <mergeCell ref="B36:S36"/>
    <mergeCell ref="B37:S37"/>
    <mergeCell ref="F10:T10"/>
    <mergeCell ref="A15:D15"/>
    <mergeCell ref="F15:M15"/>
    <mergeCell ref="N15:T15"/>
    <mergeCell ref="A12:E12"/>
    <mergeCell ref="F12:T12"/>
    <mergeCell ref="A13:E13"/>
    <mergeCell ref="F13:T13"/>
    <mergeCell ref="A14:D14"/>
    <mergeCell ref="F14:M14"/>
    <mergeCell ref="N14:T14"/>
    <mergeCell ref="V44:Y44"/>
    <mergeCell ref="V45:Y45"/>
    <mergeCell ref="A11:E11"/>
    <mergeCell ref="F11:T11"/>
    <mergeCell ref="A4:T4"/>
    <mergeCell ref="A5:T5"/>
    <mergeCell ref="A6:T6"/>
    <mergeCell ref="A7:B7"/>
    <mergeCell ref="C7:E7"/>
    <mergeCell ref="A8:E8"/>
    <mergeCell ref="F8:J8"/>
    <mergeCell ref="L8:T8"/>
    <mergeCell ref="A9:E9"/>
    <mergeCell ref="F9:J9"/>
    <mergeCell ref="L9:T9"/>
    <mergeCell ref="A10:E10"/>
  </mergeCells>
  <conditionalFormatting sqref="V44:V45">
    <cfRule type="expression" dxfId="0" priority="1">
      <formula>$V$45&lt;&gt;$P$45</formula>
    </cfRule>
  </conditionalFormatting>
  <printOptions horizontalCentered="1"/>
  <pageMargins left="0" right="0" top="0" bottom="0" header="0.5" footer="0.5"/>
  <pageSetup scale="84" orientation="portrait" horizontalDpi="2400" verticalDpi="2400" r:id="rId1"/>
  <headerFooter scaleWithDoc="0" alignWithMargins="0">
    <oddFooter>1</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
    <pageSetUpPr fitToPage="1"/>
  </sheetPr>
  <dimension ref="A2:M203"/>
  <sheetViews>
    <sheetView workbookViewId="0">
      <selection activeCell="E4" sqref="E4"/>
    </sheetView>
  </sheetViews>
  <sheetFormatPr defaultColWidth="9.140625" defaultRowHeight="15" x14ac:dyDescent="0.25"/>
  <cols>
    <col min="1" max="2" width="9.140625" style="638"/>
    <col min="3" max="3" width="56" style="638" customWidth="1"/>
    <col min="4" max="12" width="15" style="638" customWidth="1"/>
    <col min="13" max="13" width="12.5703125" style="638" customWidth="1"/>
    <col min="14" max="16384" width="9.140625" style="638"/>
  </cols>
  <sheetData>
    <row r="2" spans="1:13" ht="24" thickBot="1" x14ac:dyDescent="0.4">
      <c r="C2" s="694" t="s">
        <v>1626</v>
      </c>
    </row>
    <row r="3" spans="1:13" ht="15" customHeight="1" thickBot="1" x14ac:dyDescent="0.3">
      <c r="E3" s="693" t="s">
        <v>1587</v>
      </c>
      <c r="G3" s="690" t="s">
        <v>1633</v>
      </c>
      <c r="H3" s="647"/>
      <c r="I3" s="691">
        <f>I9</f>
        <v>1279263.3400000001</v>
      </c>
    </row>
    <row r="4" spans="1:13" ht="15" customHeight="1" thickBot="1" x14ac:dyDescent="0.3">
      <c r="B4" s="633"/>
      <c r="C4" s="83"/>
      <c r="E4" s="687">
        <f>SUM('MCAA RECAP'!$E$12:$G$17)/$D$9</f>
        <v>0.29000132292631298</v>
      </c>
      <c r="G4" s="690" t="s">
        <v>1634</v>
      </c>
      <c r="H4" s="647"/>
      <c r="I4" s="691">
        <f>I7-I3-I5</f>
        <v>274576.06656880002</v>
      </c>
    </row>
    <row r="5" spans="1:13" ht="15" customHeight="1" thickBot="1" x14ac:dyDescent="0.3">
      <c r="C5" s="695" t="str">
        <f>'MCAA RECAP'!H6</f>
        <v>ENFRA - Columbia Gorge</v>
      </c>
      <c r="G5" s="690" t="s">
        <v>1577</v>
      </c>
      <c r="H5" s="647"/>
      <c r="I5" s="691">
        <f>SUM('MCAA RECAP'!$H$60:$H$62)+'MCAA RECAP'!$H$69</f>
        <v>501345.5934311999</v>
      </c>
      <c r="J5" s="689"/>
      <c r="K5" s="639"/>
    </row>
    <row r="6" spans="1:13" ht="15" customHeight="1" thickBot="1" x14ac:dyDescent="0.3">
      <c r="C6" s="696"/>
      <c r="E6" s="641"/>
      <c r="G6" s="644"/>
      <c r="H6" s="644"/>
      <c r="I6" s="692"/>
      <c r="J6" s="688"/>
    </row>
    <row r="7" spans="1:13" ht="15" customHeight="1" thickBot="1" x14ac:dyDescent="0.3">
      <c r="B7" s="633"/>
      <c r="E7" s="641"/>
      <c r="G7" s="690" t="s">
        <v>1581</v>
      </c>
      <c r="H7" s="647"/>
      <c r="I7" s="691">
        <f>Info_Total_Bid</f>
        <v>2055185</v>
      </c>
      <c r="J7" s="688"/>
    </row>
    <row r="8" spans="1:13" ht="15.75" thickBot="1" x14ac:dyDescent="0.3">
      <c r="B8" s="633"/>
      <c r="C8" s="83"/>
      <c r="E8" s="641"/>
    </row>
    <row r="9" spans="1:13" ht="15.75" thickBot="1" x14ac:dyDescent="0.3">
      <c r="A9" s="640"/>
      <c r="B9" s="646"/>
      <c r="C9" s="648" t="s">
        <v>1582</v>
      </c>
      <c r="D9" s="714">
        <f>SUM(D12:D203)</f>
        <v>3779.5</v>
      </c>
      <c r="E9" s="715">
        <f t="shared" ref="E9:I9" si="0">SUM(E12:E203)</f>
        <v>367820.94000000006</v>
      </c>
      <c r="F9" s="714">
        <f t="shared" si="0"/>
        <v>529.59999999999991</v>
      </c>
      <c r="G9" s="715">
        <f t="shared" si="0"/>
        <v>56402.400000000001</v>
      </c>
      <c r="H9" s="715">
        <f t="shared" si="0"/>
        <v>855040</v>
      </c>
      <c r="I9" s="715">
        <f t="shared" si="0"/>
        <v>1279263.3400000001</v>
      </c>
      <c r="J9" s="715">
        <f>I9/$I$9*$I$4</f>
        <v>274576.06656880002</v>
      </c>
      <c r="K9" s="715">
        <f>I9/$I$9*$I$5</f>
        <v>501345.5934311999</v>
      </c>
      <c r="L9" s="716">
        <f>SUM(I9:K9)</f>
        <v>2055185</v>
      </c>
      <c r="M9" s="645"/>
    </row>
    <row r="11" spans="1:13" s="699" customFormat="1" ht="15.75" thickBot="1" x14ac:dyDescent="0.3">
      <c r="A11" s="717" t="s">
        <v>1583</v>
      </c>
      <c r="B11" s="1230" t="s">
        <v>0</v>
      </c>
      <c r="C11" s="1230"/>
      <c r="D11" s="717" t="s">
        <v>1578</v>
      </c>
      <c r="E11" s="717" t="s">
        <v>1586</v>
      </c>
      <c r="F11" s="717" t="s">
        <v>1579</v>
      </c>
      <c r="G11" s="717" t="s">
        <v>1585</v>
      </c>
      <c r="H11" s="717" t="s">
        <v>1580</v>
      </c>
      <c r="I11" s="717" t="s">
        <v>1588</v>
      </c>
      <c r="J11" s="717" t="s">
        <v>1576</v>
      </c>
      <c r="K11" s="717" t="s">
        <v>1577</v>
      </c>
      <c r="L11" s="717" t="s">
        <v>1584</v>
      </c>
    </row>
    <row r="12" spans="1:13" x14ac:dyDescent="0.25">
      <c r="A12" s="642">
        <v>0</v>
      </c>
      <c r="B12" s="1232" t="s">
        <v>1625</v>
      </c>
      <c r="C12" s="1232"/>
      <c r="D12" s="699">
        <f>Breakdown_SM_Field_CAE</f>
        <v>0</v>
      </c>
      <c r="E12" s="703">
        <f>SUM(Breakdown_FieldLaborCost_CAE)</f>
        <v>0</v>
      </c>
      <c r="F12" s="699">
        <f>Breakdown_SM_Shop_CAE</f>
        <v>0</v>
      </c>
      <c r="G12" s="706">
        <f>SUM(Breakdown_ShopLaborCost_CAE)</f>
        <v>0</v>
      </c>
      <c r="H12" s="693">
        <f>Breakdown_SM_Material_CAE</f>
        <v>0</v>
      </c>
      <c r="I12" s="710">
        <f>SUM(H12,G12,E12)</f>
        <v>0</v>
      </c>
      <c r="J12" s="710">
        <f>I12/$I$9*$I$4</f>
        <v>0</v>
      </c>
      <c r="K12" s="710">
        <f>I12/$I$9*$I$5</f>
        <v>0</v>
      </c>
      <c r="L12" s="711">
        <f>SUM(I12:K12)</f>
        <v>0</v>
      </c>
    </row>
    <row r="13" spans="1:13" x14ac:dyDescent="0.25">
      <c r="A13" s="642"/>
      <c r="B13" s="1231"/>
      <c r="C13" s="1228"/>
      <c r="D13" s="699"/>
      <c r="E13" s="703"/>
      <c r="F13" s="699"/>
      <c r="G13" s="706"/>
      <c r="H13" s="693"/>
      <c r="I13" s="710"/>
      <c r="J13" s="710"/>
      <c r="K13" s="710"/>
      <c r="L13" s="711"/>
    </row>
    <row r="14" spans="1:13" x14ac:dyDescent="0.25">
      <c r="A14" s="642"/>
      <c r="B14" s="1228"/>
      <c r="C14" s="1228"/>
      <c r="D14" s="699"/>
      <c r="E14" s="703"/>
      <c r="F14" s="699"/>
      <c r="G14" s="706"/>
      <c r="H14" s="693"/>
      <c r="I14" s="710"/>
      <c r="J14" s="710"/>
      <c r="K14" s="710"/>
      <c r="L14" s="711"/>
    </row>
    <row r="15" spans="1:13" x14ac:dyDescent="0.25">
      <c r="A15" s="642"/>
      <c r="B15" s="1228"/>
      <c r="C15" s="1228"/>
      <c r="D15" s="699"/>
      <c r="E15" s="703"/>
      <c r="F15" s="699"/>
      <c r="G15" s="706"/>
      <c r="H15" s="693"/>
      <c r="I15" s="710"/>
      <c r="J15" s="710"/>
      <c r="K15" s="710"/>
      <c r="L15" s="711"/>
    </row>
    <row r="16" spans="1:13" x14ac:dyDescent="0.25">
      <c r="A16" s="642"/>
      <c r="B16" s="1228"/>
      <c r="C16" s="1228"/>
      <c r="D16" s="699"/>
      <c r="E16" s="703"/>
      <c r="F16" s="699"/>
      <c r="G16" s="706"/>
      <c r="H16" s="693"/>
      <c r="I16" s="710"/>
      <c r="J16" s="710"/>
      <c r="K16" s="710"/>
      <c r="L16" s="711"/>
    </row>
    <row r="17" spans="1:13" ht="15.75" thickBot="1" x14ac:dyDescent="0.3">
      <c r="A17" s="643"/>
      <c r="B17" s="1229"/>
      <c r="C17" s="1229"/>
      <c r="D17" s="700"/>
      <c r="E17" s="704"/>
      <c r="F17" s="700"/>
      <c r="G17" s="707"/>
      <c r="H17" s="701"/>
      <c r="I17" s="712"/>
      <c r="J17" s="712"/>
      <c r="K17" s="712"/>
      <c r="L17" s="713"/>
    </row>
    <row r="18" spans="1:13" x14ac:dyDescent="0.25">
      <c r="A18" s="649">
        <v>1</v>
      </c>
      <c r="B18" s="1227" t="str">
        <f>Breakdown_SM1</f>
        <v>Package 1 Fan deck room</v>
      </c>
      <c r="C18" s="1227"/>
      <c r="D18" s="697">
        <f>Breakdown_SM_Field_1</f>
        <v>915</v>
      </c>
      <c r="E18" s="702">
        <f>SUM(Breakdown_FieldLaborCost_1)</f>
        <v>89047.8</v>
      </c>
      <c r="F18" s="697">
        <f>Breakdown_SM_Shop_1</f>
        <v>60</v>
      </c>
      <c r="G18" s="705">
        <f>SUM(Breakdown_ShopLaborCost_1)</f>
        <v>6390</v>
      </c>
      <c r="H18" s="698">
        <f>Breakdown_SM_Material_1</f>
        <v>699689</v>
      </c>
      <c r="I18" s="708">
        <f>SUM(H18,G18,E18)</f>
        <v>795126.8</v>
      </c>
      <c r="J18" s="708">
        <f>I18/$I$9*$I$4</f>
        <v>170662.8982015829</v>
      </c>
      <c r="K18" s="708">
        <f>I18/$I$9*$I$5</f>
        <v>311611.61657227745</v>
      </c>
      <c r="L18" s="709">
        <f>SUM(I18:K18)</f>
        <v>1277401.3147738604</v>
      </c>
      <c r="M18" s="639"/>
    </row>
    <row r="19" spans="1:13" x14ac:dyDescent="0.25">
      <c r="A19" s="642"/>
      <c r="B19" s="1231" t="s">
        <v>1627</v>
      </c>
      <c r="C19" s="1228"/>
      <c r="D19" s="699"/>
      <c r="E19" s="703"/>
      <c r="F19" s="699"/>
      <c r="G19" s="706"/>
      <c r="H19" s="693"/>
      <c r="I19" s="710"/>
      <c r="J19" s="710"/>
      <c r="K19" s="710"/>
      <c r="L19" s="711"/>
      <c r="M19" s="639"/>
    </row>
    <row r="20" spans="1:13" x14ac:dyDescent="0.25">
      <c r="A20" s="642"/>
      <c r="B20" s="1228"/>
      <c r="C20" s="1228"/>
      <c r="D20" s="699"/>
      <c r="E20" s="703"/>
      <c r="F20" s="699"/>
      <c r="G20" s="706"/>
      <c r="H20" s="693"/>
      <c r="I20" s="710"/>
      <c r="J20" s="710"/>
      <c r="K20" s="710"/>
      <c r="L20" s="711"/>
      <c r="M20" s="639"/>
    </row>
    <row r="21" spans="1:13" x14ac:dyDescent="0.25">
      <c r="A21" s="642"/>
      <c r="B21" s="1228"/>
      <c r="C21" s="1228"/>
      <c r="D21" s="699"/>
      <c r="E21" s="703"/>
      <c r="F21" s="699"/>
      <c r="G21" s="706"/>
      <c r="H21" s="693"/>
      <c r="I21" s="710"/>
      <c r="J21" s="710"/>
      <c r="K21" s="710"/>
      <c r="L21" s="711"/>
      <c r="M21" s="639"/>
    </row>
    <row r="22" spans="1:13" x14ac:dyDescent="0.25">
      <c r="A22" s="642"/>
      <c r="B22" s="1228"/>
      <c r="C22" s="1228"/>
      <c r="D22" s="699"/>
      <c r="E22" s="703"/>
      <c r="F22" s="699"/>
      <c r="G22" s="706"/>
      <c r="H22" s="693"/>
      <c r="I22" s="710"/>
      <c r="J22" s="710"/>
      <c r="K22" s="710"/>
      <c r="L22" s="711"/>
      <c r="M22" s="639"/>
    </row>
    <row r="23" spans="1:13" ht="15.75" thickBot="1" x14ac:dyDescent="0.3">
      <c r="A23" s="643"/>
      <c r="B23" s="1229"/>
      <c r="C23" s="1229"/>
      <c r="D23" s="700"/>
      <c r="E23" s="704"/>
      <c r="F23" s="700"/>
      <c r="G23" s="707"/>
      <c r="H23" s="701"/>
      <c r="I23" s="712"/>
      <c r="J23" s="712"/>
      <c r="K23" s="712"/>
      <c r="L23" s="713"/>
      <c r="M23" s="639"/>
    </row>
    <row r="24" spans="1:13" x14ac:dyDescent="0.25">
      <c r="A24" s="649">
        <v>2</v>
      </c>
      <c r="B24" s="1227" t="str">
        <f>Breakdown_SM2</f>
        <v>Package 1 Boiler room</v>
      </c>
      <c r="C24" s="1227"/>
      <c r="D24" s="697">
        <f>Breakdown_SM_Field_2</f>
        <v>54</v>
      </c>
      <c r="E24" s="702">
        <f>SUM(Breakdown_FieldLaborCost_2)</f>
        <v>5255.2799999999988</v>
      </c>
      <c r="F24" s="697">
        <f>Breakdown_SM_Shop_2</f>
        <v>8</v>
      </c>
      <c r="G24" s="705">
        <f>SUM(Breakdown_ShopLaborCost_2)</f>
        <v>852</v>
      </c>
      <c r="H24" s="698">
        <f>Breakdown_SM_Material_2</f>
        <v>15400</v>
      </c>
      <c r="I24" s="708">
        <f>SUM(H24,G24,E24)</f>
        <v>21507.279999999999</v>
      </c>
      <c r="J24" s="708">
        <f>I24/$I$9*$I$4</f>
        <v>4616.2382367603996</v>
      </c>
      <c r="K24" s="708">
        <f>I24/$I$9*$I$5</f>
        <v>8428.7415401827857</v>
      </c>
      <c r="L24" s="709">
        <f>SUM(I24:K24)</f>
        <v>34552.259776943189</v>
      </c>
      <c r="M24" s="639"/>
    </row>
    <row r="25" spans="1:13" x14ac:dyDescent="0.25">
      <c r="A25" s="642"/>
      <c r="B25" s="1228"/>
      <c r="C25" s="1228"/>
      <c r="D25" s="699"/>
      <c r="E25" s="703"/>
      <c r="F25" s="699"/>
      <c r="G25" s="706"/>
      <c r="H25" s="693"/>
      <c r="I25" s="710"/>
      <c r="J25" s="710"/>
      <c r="K25" s="710"/>
      <c r="L25" s="711"/>
      <c r="M25" s="639"/>
    </row>
    <row r="26" spans="1:13" x14ac:dyDescent="0.25">
      <c r="A26" s="642"/>
      <c r="B26" s="1228"/>
      <c r="C26" s="1228"/>
      <c r="D26" s="699"/>
      <c r="E26" s="703"/>
      <c r="F26" s="699"/>
      <c r="G26" s="706"/>
      <c r="H26" s="693"/>
      <c r="I26" s="710"/>
      <c r="J26" s="710"/>
      <c r="K26" s="710"/>
      <c r="L26" s="711"/>
      <c r="M26" s="639"/>
    </row>
    <row r="27" spans="1:13" x14ac:dyDescent="0.25">
      <c r="A27" s="642"/>
      <c r="B27" s="1228"/>
      <c r="C27" s="1228"/>
      <c r="D27" s="699"/>
      <c r="E27" s="703"/>
      <c r="F27" s="699"/>
      <c r="G27" s="706"/>
      <c r="H27" s="693"/>
      <c r="I27" s="710"/>
      <c r="J27" s="710"/>
      <c r="K27" s="710"/>
      <c r="L27" s="711"/>
      <c r="M27" s="639"/>
    </row>
    <row r="28" spans="1:13" x14ac:dyDescent="0.25">
      <c r="A28" s="642"/>
      <c r="B28" s="1228"/>
      <c r="C28" s="1228"/>
      <c r="D28" s="699"/>
      <c r="E28" s="703"/>
      <c r="F28" s="699"/>
      <c r="G28" s="706"/>
      <c r="H28" s="693"/>
      <c r="I28" s="710"/>
      <c r="J28" s="710"/>
      <c r="K28" s="710"/>
      <c r="L28" s="711"/>
      <c r="M28" s="639"/>
    </row>
    <row r="29" spans="1:13" ht="15.75" thickBot="1" x14ac:dyDescent="0.3">
      <c r="A29" s="643"/>
      <c r="B29" s="1229"/>
      <c r="C29" s="1229"/>
      <c r="D29" s="700"/>
      <c r="E29" s="704"/>
      <c r="F29" s="700"/>
      <c r="G29" s="707"/>
      <c r="H29" s="701"/>
      <c r="I29" s="712"/>
      <c r="J29" s="712"/>
      <c r="K29" s="712"/>
      <c r="L29" s="713"/>
      <c r="M29" s="639"/>
    </row>
    <row r="30" spans="1:13" x14ac:dyDescent="0.25">
      <c r="A30" s="649">
        <v>3</v>
      </c>
      <c r="B30" s="1227" t="str">
        <f>Breakdown_SM3</f>
        <v xml:space="preserve">Package 1 ED Penthouse </v>
      </c>
      <c r="C30" s="1227"/>
      <c r="D30" s="697">
        <f>Breakdown_SM_Field_3</f>
        <v>1964.5</v>
      </c>
      <c r="E30" s="702">
        <f>SUM(Breakdown_FieldLaborCost_3)</f>
        <v>191185.14</v>
      </c>
      <c r="F30" s="697">
        <f>Breakdown_SM_Shop_3</f>
        <v>429.59999999999997</v>
      </c>
      <c r="G30" s="705">
        <f>SUM(Breakdown_ShopLaborCost_3)</f>
        <v>45752.4</v>
      </c>
      <c r="H30" s="698">
        <f>Breakdown_SM_Material_3</f>
        <v>35000</v>
      </c>
      <c r="I30" s="708">
        <f>SUM(H30,G30,E30)</f>
        <v>271937.54000000004</v>
      </c>
      <c r="J30" s="708">
        <f>I30/$I$9*$I$4</f>
        <v>58367.607161787128</v>
      </c>
      <c r="K30" s="708">
        <f>I30/$I$9*$I$5</f>
        <v>106572.80882255304</v>
      </c>
      <c r="L30" s="709">
        <f>SUM(I30:K30)</f>
        <v>436877.95598434017</v>
      </c>
      <c r="M30" s="639"/>
    </row>
    <row r="31" spans="1:13" x14ac:dyDescent="0.25">
      <c r="A31" s="642"/>
      <c r="B31" s="1228"/>
      <c r="C31" s="1228"/>
      <c r="D31" s="699"/>
      <c r="E31" s="703"/>
      <c r="F31" s="699"/>
      <c r="G31" s="706"/>
      <c r="H31" s="693"/>
      <c r="I31" s="710"/>
      <c r="J31" s="710"/>
      <c r="K31" s="710"/>
      <c r="L31" s="711"/>
      <c r="M31" s="639"/>
    </row>
    <row r="32" spans="1:13" x14ac:dyDescent="0.25">
      <c r="A32" s="642"/>
      <c r="B32" s="1228"/>
      <c r="C32" s="1228"/>
      <c r="D32" s="699"/>
      <c r="E32" s="703"/>
      <c r="F32" s="699"/>
      <c r="G32" s="706"/>
      <c r="H32" s="693"/>
      <c r="I32" s="710"/>
      <c r="J32" s="710"/>
      <c r="K32" s="710"/>
      <c r="L32" s="711"/>
      <c r="M32" s="639"/>
    </row>
    <row r="33" spans="1:13" x14ac:dyDescent="0.25">
      <c r="A33" s="642"/>
      <c r="B33" s="1228"/>
      <c r="C33" s="1228"/>
      <c r="D33" s="699"/>
      <c r="E33" s="703"/>
      <c r="F33" s="699"/>
      <c r="G33" s="706"/>
      <c r="H33" s="693"/>
      <c r="I33" s="710"/>
      <c r="J33" s="710"/>
      <c r="K33" s="710"/>
      <c r="L33" s="711"/>
      <c r="M33" s="639"/>
    </row>
    <row r="34" spans="1:13" x14ac:dyDescent="0.25">
      <c r="A34" s="642"/>
      <c r="B34" s="1228"/>
      <c r="C34" s="1228"/>
      <c r="D34" s="699"/>
      <c r="E34" s="703"/>
      <c r="F34" s="699"/>
      <c r="G34" s="706"/>
      <c r="H34" s="693"/>
      <c r="I34" s="710"/>
      <c r="J34" s="710"/>
      <c r="K34" s="710"/>
      <c r="L34" s="711"/>
      <c r="M34" s="639"/>
    </row>
    <row r="35" spans="1:13" ht="15.75" thickBot="1" x14ac:dyDescent="0.3">
      <c r="A35" s="643"/>
      <c r="B35" s="1229"/>
      <c r="C35" s="1229"/>
      <c r="D35" s="700"/>
      <c r="E35" s="704"/>
      <c r="F35" s="700"/>
      <c r="G35" s="707"/>
      <c r="H35" s="701"/>
      <c r="I35" s="712"/>
      <c r="J35" s="712"/>
      <c r="K35" s="712"/>
      <c r="L35" s="713"/>
      <c r="M35" s="639"/>
    </row>
    <row r="36" spans="1:13" x14ac:dyDescent="0.25">
      <c r="A36" s="649">
        <v>4</v>
      </c>
      <c r="B36" s="1227" t="str">
        <f>Breakdown_SM4</f>
        <v>Pakcage 1 Small mech room penthouse</v>
      </c>
      <c r="C36" s="1227"/>
      <c r="D36" s="697">
        <f>Breakdown_SM_Field_4</f>
        <v>646</v>
      </c>
      <c r="E36" s="702">
        <f>SUM(Breakdown_FieldLaborCost_4)</f>
        <v>62868.720000000008</v>
      </c>
      <c r="F36" s="697">
        <f>Breakdown_SM_Shop_4</f>
        <v>27</v>
      </c>
      <c r="G36" s="705">
        <f>SUM(Breakdown_ShopLaborCost_4)</f>
        <v>2875.5</v>
      </c>
      <c r="H36" s="698">
        <f>Breakdown_SM_Material_4</f>
        <v>22490</v>
      </c>
      <c r="I36" s="708">
        <f>SUM(H36,G36,E36)</f>
        <v>88234.22</v>
      </c>
      <c r="J36" s="708">
        <f>I36/$I$9*$I$4</f>
        <v>18938.246963573696</v>
      </c>
      <c r="K36" s="708">
        <f>I36/$I$9*$I$5</f>
        <v>34579.148798900969</v>
      </c>
      <c r="L36" s="709">
        <f>SUM(I36:K36)</f>
        <v>141751.61576247466</v>
      </c>
      <c r="M36" s="639"/>
    </row>
    <row r="37" spans="1:13" x14ac:dyDescent="0.25">
      <c r="A37" s="642"/>
      <c r="B37" s="1228"/>
      <c r="C37" s="1228"/>
      <c r="D37" s="699"/>
      <c r="E37" s="703"/>
      <c r="F37" s="699"/>
      <c r="G37" s="706"/>
      <c r="H37" s="693"/>
      <c r="I37" s="710"/>
      <c r="J37" s="710"/>
      <c r="K37" s="710"/>
      <c r="L37" s="711"/>
      <c r="M37" s="639"/>
    </row>
    <row r="38" spans="1:13" x14ac:dyDescent="0.25">
      <c r="A38" s="642"/>
      <c r="B38" s="1228"/>
      <c r="C38" s="1228"/>
      <c r="D38" s="699"/>
      <c r="E38" s="703"/>
      <c r="F38" s="699"/>
      <c r="G38" s="706"/>
      <c r="H38" s="693"/>
      <c r="I38" s="710"/>
      <c r="J38" s="710"/>
      <c r="K38" s="710"/>
      <c r="L38" s="711"/>
      <c r="M38" s="639"/>
    </row>
    <row r="39" spans="1:13" x14ac:dyDescent="0.25">
      <c r="A39" s="642"/>
      <c r="B39" s="1228"/>
      <c r="C39" s="1228"/>
      <c r="D39" s="699"/>
      <c r="E39" s="703"/>
      <c r="F39" s="699"/>
      <c r="G39" s="706"/>
      <c r="H39" s="693"/>
      <c r="I39" s="710"/>
      <c r="J39" s="710"/>
      <c r="K39" s="710"/>
      <c r="L39" s="711"/>
      <c r="M39" s="639"/>
    </row>
    <row r="40" spans="1:13" x14ac:dyDescent="0.25">
      <c r="A40" s="642"/>
      <c r="B40" s="1228"/>
      <c r="C40" s="1228"/>
      <c r="D40" s="699"/>
      <c r="E40" s="703"/>
      <c r="F40" s="699"/>
      <c r="G40" s="706"/>
      <c r="H40" s="693"/>
      <c r="I40" s="710"/>
      <c r="J40" s="710"/>
      <c r="K40" s="710"/>
      <c r="L40" s="711"/>
      <c r="M40" s="639"/>
    </row>
    <row r="41" spans="1:13" ht="15.75" thickBot="1" x14ac:dyDescent="0.3">
      <c r="A41" s="643"/>
      <c r="B41" s="1229"/>
      <c r="C41" s="1229"/>
      <c r="D41" s="700"/>
      <c r="E41" s="704"/>
      <c r="F41" s="700"/>
      <c r="G41" s="707"/>
      <c r="H41" s="701"/>
      <c r="I41" s="712"/>
      <c r="J41" s="712"/>
      <c r="K41" s="712"/>
      <c r="L41" s="713"/>
      <c r="M41" s="639"/>
    </row>
    <row r="42" spans="1:13" x14ac:dyDescent="0.25">
      <c r="A42" s="649">
        <v>5</v>
      </c>
      <c r="B42" s="1227" t="str">
        <f>Breakdown_SM5</f>
        <v xml:space="preserve">Package 1 DOAS and temp ducting </v>
      </c>
      <c r="C42" s="1227"/>
      <c r="D42" s="697">
        <f>Breakdown_SM_Field_5</f>
        <v>200</v>
      </c>
      <c r="E42" s="702">
        <f>SUM(Breakdown_FieldLaborCost_5)</f>
        <v>19464</v>
      </c>
      <c r="F42" s="697">
        <f>Breakdown_SM_Shop_5</f>
        <v>5</v>
      </c>
      <c r="G42" s="705">
        <f>SUM(Breakdown_ShopLaborCost_5)</f>
        <v>532.5</v>
      </c>
      <c r="H42" s="698">
        <f>Breakdown_SM_Material_5</f>
        <v>5500</v>
      </c>
      <c r="I42" s="708">
        <f>SUM(H42,G42,E42)</f>
        <v>25496.5</v>
      </c>
      <c r="J42" s="708">
        <f>I42/$I$9*$I$4</f>
        <v>5472.4687735297794</v>
      </c>
      <c r="K42" s="708">
        <f>I42/$I$9*$I$5</f>
        <v>9992.1240007695269</v>
      </c>
      <c r="L42" s="709">
        <f>SUM(I42:K42)</f>
        <v>40961.092774299308</v>
      </c>
      <c r="M42" s="639"/>
    </row>
    <row r="43" spans="1:13" x14ac:dyDescent="0.25">
      <c r="A43" s="642"/>
      <c r="B43" s="1228"/>
      <c r="C43" s="1228"/>
      <c r="D43" s="699"/>
      <c r="E43" s="703"/>
      <c r="F43" s="699"/>
      <c r="G43" s="706"/>
      <c r="H43" s="693"/>
      <c r="I43" s="710"/>
      <c r="J43" s="710"/>
      <c r="K43" s="710"/>
      <c r="L43" s="711"/>
      <c r="M43" s="639"/>
    </row>
    <row r="44" spans="1:13" x14ac:dyDescent="0.25">
      <c r="A44" s="642"/>
      <c r="B44" s="1228"/>
      <c r="C44" s="1228"/>
      <c r="D44" s="699"/>
      <c r="E44" s="703"/>
      <c r="F44" s="699"/>
      <c r="G44" s="706"/>
      <c r="H44" s="693"/>
      <c r="I44" s="710"/>
      <c r="J44" s="710"/>
      <c r="K44" s="710"/>
      <c r="L44" s="711"/>
      <c r="M44" s="639"/>
    </row>
    <row r="45" spans="1:13" x14ac:dyDescent="0.25">
      <c r="A45" s="642"/>
      <c r="B45" s="1228"/>
      <c r="C45" s="1228"/>
      <c r="D45" s="699"/>
      <c r="E45" s="703"/>
      <c r="F45" s="699"/>
      <c r="G45" s="706"/>
      <c r="H45" s="693"/>
      <c r="I45" s="710"/>
      <c r="J45" s="710"/>
      <c r="K45" s="710"/>
      <c r="L45" s="711"/>
      <c r="M45" s="639"/>
    </row>
    <row r="46" spans="1:13" x14ac:dyDescent="0.25">
      <c r="A46" s="642"/>
      <c r="B46" s="1228"/>
      <c r="C46" s="1228"/>
      <c r="D46" s="699"/>
      <c r="E46" s="703"/>
      <c r="F46" s="699"/>
      <c r="G46" s="706"/>
      <c r="H46" s="693"/>
      <c r="I46" s="710"/>
      <c r="J46" s="710"/>
      <c r="K46" s="710"/>
      <c r="L46" s="711"/>
      <c r="M46" s="639"/>
    </row>
    <row r="47" spans="1:13" ht="15.75" thickBot="1" x14ac:dyDescent="0.3">
      <c r="A47" s="643"/>
      <c r="B47" s="1229"/>
      <c r="C47" s="1229"/>
      <c r="D47" s="700"/>
      <c r="E47" s="704"/>
      <c r="F47" s="700"/>
      <c r="G47" s="707"/>
      <c r="H47" s="701"/>
      <c r="I47" s="712"/>
      <c r="J47" s="712"/>
      <c r="K47" s="712"/>
      <c r="L47" s="713"/>
      <c r="M47" s="639"/>
    </row>
    <row r="48" spans="1:13" x14ac:dyDescent="0.25">
      <c r="A48" s="649">
        <v>6</v>
      </c>
      <c r="B48" s="1227" t="str">
        <f>Breakdown_SM6</f>
        <v>Package 1 piping   HI Steve!!!</v>
      </c>
      <c r="C48" s="1227"/>
      <c r="D48" s="697">
        <f>Breakdown_SM_Field_6</f>
        <v>0</v>
      </c>
      <c r="E48" s="702">
        <f>SUM(Breakdown_FieldLaborCost_6)</f>
        <v>0</v>
      </c>
      <c r="F48" s="697">
        <f>Breakdown_SM_Shop_6</f>
        <v>0</v>
      </c>
      <c r="G48" s="705">
        <f>SUM(Breakdown_ShopLaborCost_6)</f>
        <v>0</v>
      </c>
      <c r="H48" s="698">
        <f>Breakdown_SM_Material_6</f>
        <v>0</v>
      </c>
      <c r="I48" s="708">
        <f>SUM(H48,G48,E48)</f>
        <v>0</v>
      </c>
      <c r="J48" s="708">
        <f>I48/$I$9*$I$4</f>
        <v>0</v>
      </c>
      <c r="K48" s="708">
        <f>I48/$I$9*$I$5</f>
        <v>0</v>
      </c>
      <c r="L48" s="709">
        <f>SUM(I48:K48)</f>
        <v>0</v>
      </c>
      <c r="M48" s="639"/>
    </row>
    <row r="49" spans="1:13" x14ac:dyDescent="0.25">
      <c r="A49" s="642"/>
      <c r="B49" s="1228"/>
      <c r="C49" s="1228"/>
      <c r="D49" s="699"/>
      <c r="E49" s="703"/>
      <c r="F49" s="699"/>
      <c r="G49" s="706"/>
      <c r="H49" s="693"/>
      <c r="I49" s="710"/>
      <c r="J49" s="710"/>
      <c r="K49" s="710"/>
      <c r="L49" s="711"/>
    </row>
    <row r="50" spans="1:13" x14ac:dyDescent="0.25">
      <c r="A50" s="642"/>
      <c r="B50" s="1228"/>
      <c r="C50" s="1228"/>
      <c r="D50" s="699"/>
      <c r="E50" s="703"/>
      <c r="F50" s="699"/>
      <c r="G50" s="706"/>
      <c r="H50" s="693"/>
      <c r="I50" s="710"/>
      <c r="J50" s="710"/>
      <c r="K50" s="710"/>
      <c r="L50" s="711"/>
    </row>
    <row r="51" spans="1:13" x14ac:dyDescent="0.25">
      <c r="A51" s="642"/>
      <c r="B51" s="1228"/>
      <c r="C51" s="1228"/>
      <c r="D51" s="699"/>
      <c r="E51" s="703"/>
      <c r="F51" s="699"/>
      <c r="G51" s="706"/>
      <c r="H51" s="693"/>
      <c r="I51" s="710"/>
      <c r="J51" s="710"/>
      <c r="K51" s="710"/>
      <c r="L51" s="711"/>
    </row>
    <row r="52" spans="1:13" x14ac:dyDescent="0.25">
      <c r="A52" s="642"/>
      <c r="B52" s="1228"/>
      <c r="C52" s="1228"/>
      <c r="D52" s="699"/>
      <c r="E52" s="703"/>
      <c r="F52" s="699"/>
      <c r="G52" s="706"/>
      <c r="H52" s="693"/>
      <c r="I52" s="710"/>
      <c r="J52" s="710"/>
      <c r="K52" s="710"/>
      <c r="L52" s="711"/>
    </row>
    <row r="53" spans="1:13" ht="15.75" thickBot="1" x14ac:dyDescent="0.3">
      <c r="A53" s="643"/>
      <c r="B53" s="1229"/>
      <c r="C53" s="1229"/>
      <c r="D53" s="700"/>
      <c r="E53" s="704"/>
      <c r="F53" s="700"/>
      <c r="G53" s="707"/>
      <c r="H53" s="701"/>
      <c r="I53" s="712"/>
      <c r="J53" s="712"/>
      <c r="K53" s="712"/>
      <c r="L53" s="713"/>
    </row>
    <row r="54" spans="1:13" x14ac:dyDescent="0.25">
      <c r="A54" s="649">
        <v>7</v>
      </c>
      <c r="B54" s="1227" t="str">
        <f>Breakdown_SM7</f>
        <v>Package 2 Piping</v>
      </c>
      <c r="C54" s="1227"/>
      <c r="D54" s="697">
        <f>Breakdown_SM_Field_7</f>
        <v>0</v>
      </c>
      <c r="E54" s="702">
        <f>SUM(Breakdown_FieldLaborCost_7)</f>
        <v>0</v>
      </c>
      <c r="F54" s="697">
        <f>Breakdown_SM_Shop_7</f>
        <v>0</v>
      </c>
      <c r="G54" s="705">
        <f>SUM(Breakdown_ShopLaborCost_7)</f>
        <v>0</v>
      </c>
      <c r="H54" s="698">
        <f>Breakdown_SM_Material_7</f>
        <v>76961</v>
      </c>
      <c r="I54" s="708">
        <f t="shared" ref="I54:I108" si="1">SUM(H54,G54,E54)</f>
        <v>76961</v>
      </c>
      <c r="J54" s="708">
        <f>I54/$I$9*$I$4</f>
        <v>16518.607231566111</v>
      </c>
      <c r="K54" s="708">
        <f>I54/$I$9*$I$5</f>
        <v>30161.153696516132</v>
      </c>
      <c r="L54" s="709">
        <f>SUM(I54:K54)</f>
        <v>123640.76092808225</v>
      </c>
      <c r="M54" s="639"/>
    </row>
    <row r="55" spans="1:13" x14ac:dyDescent="0.25">
      <c r="A55" s="642"/>
      <c r="B55" s="1228"/>
      <c r="C55" s="1228"/>
      <c r="D55" s="699"/>
      <c r="E55" s="703"/>
      <c r="F55" s="699"/>
      <c r="G55" s="706"/>
      <c r="H55" s="693"/>
      <c r="I55" s="710"/>
      <c r="J55" s="710"/>
      <c r="K55" s="710"/>
      <c r="L55" s="711"/>
    </row>
    <row r="56" spans="1:13" x14ac:dyDescent="0.25">
      <c r="A56" s="642"/>
      <c r="B56" s="1228"/>
      <c r="C56" s="1228"/>
      <c r="D56" s="699"/>
      <c r="E56" s="703"/>
      <c r="F56" s="699"/>
      <c r="G56" s="706"/>
      <c r="H56" s="693"/>
      <c r="I56" s="710"/>
      <c r="J56" s="710"/>
      <c r="K56" s="710"/>
      <c r="L56" s="711"/>
    </row>
    <row r="57" spans="1:13" x14ac:dyDescent="0.25">
      <c r="A57" s="642"/>
      <c r="B57" s="1228"/>
      <c r="C57" s="1228"/>
      <c r="D57" s="699"/>
      <c r="E57" s="703"/>
      <c r="F57" s="699"/>
      <c r="G57" s="706"/>
      <c r="H57" s="693"/>
      <c r="I57" s="710"/>
      <c r="J57" s="710"/>
      <c r="K57" s="710"/>
      <c r="L57" s="711"/>
    </row>
    <row r="58" spans="1:13" x14ac:dyDescent="0.25">
      <c r="A58" s="642"/>
      <c r="B58" s="1228"/>
      <c r="C58" s="1228"/>
      <c r="D58" s="699"/>
      <c r="E58" s="703"/>
      <c r="F58" s="699"/>
      <c r="G58" s="706"/>
      <c r="H58" s="693"/>
      <c r="I58" s="710"/>
      <c r="J58" s="710"/>
      <c r="K58" s="710"/>
      <c r="L58" s="711"/>
    </row>
    <row r="59" spans="1:13" ht="15.75" thickBot="1" x14ac:dyDescent="0.3">
      <c r="A59" s="643"/>
      <c r="B59" s="1229"/>
      <c r="C59" s="1229"/>
      <c r="D59" s="700"/>
      <c r="E59" s="704"/>
      <c r="F59" s="700"/>
      <c r="G59" s="707"/>
      <c r="H59" s="701"/>
      <c r="I59" s="712"/>
      <c r="J59" s="712"/>
      <c r="K59" s="712"/>
      <c r="L59" s="713"/>
    </row>
    <row r="60" spans="1:13" x14ac:dyDescent="0.25">
      <c r="A60" s="649">
        <v>8</v>
      </c>
      <c r="B60" s="1227">
        <f>Breakdown_SM8</f>
        <v>0</v>
      </c>
      <c r="C60" s="1227"/>
      <c r="D60" s="697">
        <f>Breakdown_SM_Field_8</f>
        <v>0</v>
      </c>
      <c r="E60" s="702">
        <f>SUM(Breakdown_FieldLaborCost_8)</f>
        <v>0</v>
      </c>
      <c r="F60" s="697">
        <f>Breakdown_SM_Shop_8</f>
        <v>0</v>
      </c>
      <c r="G60" s="705">
        <f>SUM(Breakdown_ShopLaborCost_8)</f>
        <v>0</v>
      </c>
      <c r="H60" s="698">
        <f>Breakdown_SM_Material_8</f>
        <v>0</v>
      </c>
      <c r="I60" s="708">
        <f t="shared" si="1"/>
        <v>0</v>
      </c>
      <c r="J60" s="708">
        <f>I60/$I$9*$I$4</f>
        <v>0</v>
      </c>
      <c r="K60" s="708">
        <f>I60/$I$9*$I$5</f>
        <v>0</v>
      </c>
      <c r="L60" s="709">
        <f>SUM(I60:K60)</f>
        <v>0</v>
      </c>
      <c r="M60" s="639"/>
    </row>
    <row r="61" spans="1:13" x14ac:dyDescent="0.25">
      <c r="A61" s="642"/>
      <c r="B61" s="1228"/>
      <c r="C61" s="1228"/>
      <c r="D61" s="699"/>
      <c r="E61" s="703"/>
      <c r="F61" s="699"/>
      <c r="G61" s="706"/>
      <c r="H61" s="693"/>
      <c r="I61" s="710"/>
      <c r="J61" s="710"/>
      <c r="K61" s="710"/>
      <c r="L61" s="711"/>
    </row>
    <row r="62" spans="1:13" x14ac:dyDescent="0.25">
      <c r="A62" s="642"/>
      <c r="B62" s="1228"/>
      <c r="C62" s="1228"/>
      <c r="D62" s="699"/>
      <c r="E62" s="703"/>
      <c r="F62" s="699"/>
      <c r="G62" s="706"/>
      <c r="H62" s="693"/>
      <c r="I62" s="710"/>
      <c r="J62" s="710"/>
      <c r="K62" s="710"/>
      <c r="L62" s="711"/>
    </row>
    <row r="63" spans="1:13" x14ac:dyDescent="0.25">
      <c r="A63" s="642"/>
      <c r="B63" s="1228"/>
      <c r="C63" s="1228"/>
      <c r="D63" s="699"/>
      <c r="E63" s="703"/>
      <c r="F63" s="699"/>
      <c r="G63" s="706"/>
      <c r="H63" s="693"/>
      <c r="I63" s="710"/>
      <c r="J63" s="710"/>
      <c r="K63" s="710"/>
      <c r="L63" s="711"/>
    </row>
    <row r="64" spans="1:13" x14ac:dyDescent="0.25">
      <c r="A64" s="642"/>
      <c r="B64" s="1228"/>
      <c r="C64" s="1228"/>
      <c r="D64" s="699"/>
      <c r="E64" s="703"/>
      <c r="F64" s="699"/>
      <c r="G64" s="706"/>
      <c r="H64" s="693"/>
      <c r="I64" s="710"/>
      <c r="J64" s="710"/>
      <c r="K64" s="710"/>
      <c r="L64" s="711"/>
    </row>
    <row r="65" spans="1:13" ht="15.75" thickBot="1" x14ac:dyDescent="0.3">
      <c r="A65" s="643"/>
      <c r="B65" s="1229"/>
      <c r="C65" s="1229"/>
      <c r="D65" s="700"/>
      <c r="E65" s="704"/>
      <c r="F65" s="700"/>
      <c r="G65" s="707"/>
      <c r="H65" s="701"/>
      <c r="I65" s="712"/>
      <c r="J65" s="712"/>
      <c r="K65" s="712"/>
      <c r="L65" s="713"/>
    </row>
    <row r="66" spans="1:13" x14ac:dyDescent="0.25">
      <c r="A66" s="649">
        <v>9</v>
      </c>
      <c r="B66" s="1227">
        <f>Breakdown_SM9</f>
        <v>0</v>
      </c>
      <c r="C66" s="1227"/>
      <c r="D66" s="697">
        <f>Breakdown_SM_Field_9</f>
        <v>0</v>
      </c>
      <c r="E66" s="702">
        <f>SUM(Breakdown_FieldLaborCost_9)</f>
        <v>0</v>
      </c>
      <c r="F66" s="697">
        <f>Breakdown_SM_Shop_9</f>
        <v>0</v>
      </c>
      <c r="G66" s="705">
        <f>SUM(Breakdown_ShopLaborCost_9)</f>
        <v>0</v>
      </c>
      <c r="H66" s="698">
        <f>Breakdown_SM_Material_9</f>
        <v>0</v>
      </c>
      <c r="I66" s="708">
        <f t="shared" si="1"/>
        <v>0</v>
      </c>
      <c r="J66" s="708">
        <f>I66/$I$9*$I$4</f>
        <v>0</v>
      </c>
      <c r="K66" s="708">
        <f>I66/$I$9*$I$5</f>
        <v>0</v>
      </c>
      <c r="L66" s="709">
        <f>SUM(I66:K66)</f>
        <v>0</v>
      </c>
      <c r="M66" s="639"/>
    </row>
    <row r="67" spans="1:13" x14ac:dyDescent="0.25">
      <c r="A67" s="642"/>
      <c r="B67" s="1228"/>
      <c r="C67" s="1228"/>
      <c r="D67" s="699"/>
      <c r="E67" s="703"/>
      <c r="F67" s="699"/>
      <c r="G67" s="706"/>
      <c r="H67" s="693"/>
      <c r="I67" s="710"/>
      <c r="J67" s="710"/>
      <c r="K67" s="710"/>
      <c r="L67" s="711"/>
    </row>
    <row r="68" spans="1:13" x14ac:dyDescent="0.25">
      <c r="A68" s="642"/>
      <c r="B68" s="1228"/>
      <c r="C68" s="1228"/>
      <c r="D68" s="699"/>
      <c r="E68" s="703"/>
      <c r="F68" s="699"/>
      <c r="G68" s="706"/>
      <c r="H68" s="693"/>
      <c r="I68" s="710"/>
      <c r="J68" s="710"/>
      <c r="K68" s="710"/>
      <c r="L68" s="711"/>
    </row>
    <row r="69" spans="1:13" x14ac:dyDescent="0.25">
      <c r="A69" s="642"/>
      <c r="B69" s="1228"/>
      <c r="C69" s="1228"/>
      <c r="D69" s="699"/>
      <c r="E69" s="703"/>
      <c r="F69" s="699"/>
      <c r="G69" s="706"/>
      <c r="H69" s="693"/>
      <c r="I69" s="710"/>
      <c r="J69" s="710"/>
      <c r="K69" s="710"/>
      <c r="L69" s="711"/>
    </row>
    <row r="70" spans="1:13" x14ac:dyDescent="0.25">
      <c r="A70" s="642"/>
      <c r="B70" s="1228"/>
      <c r="C70" s="1228"/>
      <c r="D70" s="699"/>
      <c r="E70" s="703"/>
      <c r="F70" s="699"/>
      <c r="G70" s="706"/>
      <c r="H70" s="693"/>
      <c r="I70" s="710"/>
      <c r="J70" s="710"/>
      <c r="K70" s="710"/>
      <c r="L70" s="711"/>
    </row>
    <row r="71" spans="1:13" ht="15.75" thickBot="1" x14ac:dyDescent="0.3">
      <c r="A71" s="643"/>
      <c r="B71" s="1229"/>
      <c r="C71" s="1229"/>
      <c r="D71" s="700"/>
      <c r="E71" s="704"/>
      <c r="F71" s="700"/>
      <c r="G71" s="707"/>
      <c r="H71" s="701"/>
      <c r="I71" s="712"/>
      <c r="J71" s="712"/>
      <c r="K71" s="712"/>
      <c r="L71" s="713"/>
    </row>
    <row r="72" spans="1:13" x14ac:dyDescent="0.25">
      <c r="A72" s="649">
        <v>10</v>
      </c>
      <c r="B72" s="1227">
        <f>Breakdown_SM10</f>
        <v>0</v>
      </c>
      <c r="C72" s="1227"/>
      <c r="D72" s="697">
        <f>Breakdown_SM_Field_10</f>
        <v>0</v>
      </c>
      <c r="E72" s="702">
        <f>SUM(Breakdown_FieldLaborCost_10)</f>
        <v>0</v>
      </c>
      <c r="F72" s="697">
        <f>Breakdown_SM_Shop_10</f>
        <v>0</v>
      </c>
      <c r="G72" s="705">
        <f>SUM(Breakdown_ShopLaborCost_10)</f>
        <v>0</v>
      </c>
      <c r="H72" s="698">
        <f>Breakdown_SM_Material_10</f>
        <v>0</v>
      </c>
      <c r="I72" s="708">
        <f t="shared" si="1"/>
        <v>0</v>
      </c>
      <c r="J72" s="708">
        <f>I72/$I$9*$I$4</f>
        <v>0</v>
      </c>
      <c r="K72" s="708">
        <f>I72/$I$9*$I$5</f>
        <v>0</v>
      </c>
      <c r="L72" s="709">
        <f>SUM(I72:K72)</f>
        <v>0</v>
      </c>
      <c r="M72" s="639"/>
    </row>
    <row r="73" spans="1:13" x14ac:dyDescent="0.25">
      <c r="A73" s="642"/>
      <c r="B73" s="1228"/>
      <c r="C73" s="1228"/>
      <c r="D73" s="699"/>
      <c r="E73" s="703"/>
      <c r="F73" s="699"/>
      <c r="G73" s="706"/>
      <c r="H73" s="693"/>
      <c r="I73" s="710"/>
      <c r="J73" s="710"/>
      <c r="K73" s="710"/>
      <c r="L73" s="711"/>
    </row>
    <row r="74" spans="1:13" x14ac:dyDescent="0.25">
      <c r="A74" s="642"/>
      <c r="B74" s="1228"/>
      <c r="C74" s="1228"/>
      <c r="D74" s="699"/>
      <c r="E74" s="703"/>
      <c r="F74" s="699"/>
      <c r="G74" s="706"/>
      <c r="H74" s="693"/>
      <c r="I74" s="710"/>
      <c r="J74" s="710"/>
      <c r="K74" s="710"/>
      <c r="L74" s="711"/>
    </row>
    <row r="75" spans="1:13" x14ac:dyDescent="0.25">
      <c r="A75" s="642"/>
      <c r="B75" s="1228"/>
      <c r="C75" s="1228"/>
      <c r="D75" s="699"/>
      <c r="E75" s="703"/>
      <c r="F75" s="699"/>
      <c r="G75" s="706"/>
      <c r="H75" s="693"/>
      <c r="I75" s="710"/>
      <c r="J75" s="710"/>
      <c r="K75" s="710"/>
      <c r="L75" s="711"/>
    </row>
    <row r="76" spans="1:13" x14ac:dyDescent="0.25">
      <c r="A76" s="642"/>
      <c r="B76" s="1228"/>
      <c r="C76" s="1228"/>
      <c r="D76" s="699"/>
      <c r="E76" s="703"/>
      <c r="F76" s="699"/>
      <c r="G76" s="706"/>
      <c r="H76" s="693"/>
      <c r="I76" s="710"/>
      <c r="J76" s="710"/>
      <c r="K76" s="710"/>
      <c r="L76" s="711"/>
    </row>
    <row r="77" spans="1:13" ht="15.75" thickBot="1" x14ac:dyDescent="0.3">
      <c r="A77" s="643"/>
      <c r="B77" s="1229"/>
      <c r="C77" s="1229"/>
      <c r="D77" s="700"/>
      <c r="E77" s="704"/>
      <c r="F77" s="700"/>
      <c r="G77" s="707"/>
      <c r="H77" s="701"/>
      <c r="I77" s="712"/>
      <c r="J77" s="712"/>
      <c r="K77" s="712"/>
      <c r="L77" s="713"/>
    </row>
    <row r="78" spans="1:13" x14ac:dyDescent="0.25">
      <c r="A78" s="649">
        <v>11</v>
      </c>
      <c r="B78" s="1227">
        <f>Breakdown_SM11</f>
        <v>0</v>
      </c>
      <c r="C78" s="1227"/>
      <c r="D78" s="697">
        <f>Breakdown_SM_Field_11</f>
        <v>0</v>
      </c>
      <c r="E78" s="702">
        <f>SUM(Breakdown_FieldLaborCost_11)</f>
        <v>0</v>
      </c>
      <c r="F78" s="697">
        <f>Breakdown_SM_Shop_11</f>
        <v>0</v>
      </c>
      <c r="G78" s="705">
        <f>SUM(Breakdown_ShopLaborCost_11)</f>
        <v>0</v>
      </c>
      <c r="H78" s="698">
        <f>Breakdown_SM_Material_11</f>
        <v>0</v>
      </c>
      <c r="I78" s="708">
        <f t="shared" si="1"/>
        <v>0</v>
      </c>
      <c r="J78" s="708">
        <f>I78/$I$9*$I$4</f>
        <v>0</v>
      </c>
      <c r="K78" s="708">
        <f>I78/$I$9*$I$5</f>
        <v>0</v>
      </c>
      <c r="L78" s="709">
        <f>SUM(I78:K78)</f>
        <v>0</v>
      </c>
      <c r="M78" s="639"/>
    </row>
    <row r="79" spans="1:13" x14ac:dyDescent="0.25">
      <c r="A79" s="642"/>
      <c r="B79" s="1228"/>
      <c r="C79" s="1228"/>
      <c r="D79" s="699"/>
      <c r="E79" s="703"/>
      <c r="F79" s="699"/>
      <c r="G79" s="706"/>
      <c r="H79" s="693"/>
      <c r="I79" s="710"/>
      <c r="J79" s="710"/>
      <c r="K79" s="710"/>
      <c r="L79" s="711"/>
    </row>
    <row r="80" spans="1:13" x14ac:dyDescent="0.25">
      <c r="A80" s="642"/>
      <c r="B80" s="1228"/>
      <c r="C80" s="1228"/>
      <c r="D80" s="699"/>
      <c r="E80" s="703"/>
      <c r="F80" s="699"/>
      <c r="G80" s="706"/>
      <c r="H80" s="693"/>
      <c r="I80" s="710"/>
      <c r="J80" s="710"/>
      <c r="K80" s="710"/>
      <c r="L80" s="711"/>
    </row>
    <row r="81" spans="1:13" x14ac:dyDescent="0.25">
      <c r="A81" s="642"/>
      <c r="B81" s="1228"/>
      <c r="C81" s="1228"/>
      <c r="D81" s="699"/>
      <c r="E81" s="703"/>
      <c r="F81" s="699"/>
      <c r="G81" s="706"/>
      <c r="H81" s="693"/>
      <c r="I81" s="710"/>
      <c r="J81" s="710"/>
      <c r="K81" s="710"/>
      <c r="L81" s="711"/>
    </row>
    <row r="82" spans="1:13" x14ac:dyDescent="0.25">
      <c r="A82" s="642"/>
      <c r="B82" s="1228"/>
      <c r="C82" s="1228"/>
      <c r="D82" s="699"/>
      <c r="E82" s="703"/>
      <c r="F82" s="699"/>
      <c r="G82" s="706"/>
      <c r="H82" s="693"/>
      <c r="I82" s="710"/>
      <c r="J82" s="710"/>
      <c r="K82" s="710"/>
      <c r="L82" s="711"/>
    </row>
    <row r="83" spans="1:13" ht="15.75" thickBot="1" x14ac:dyDescent="0.3">
      <c r="A83" s="643"/>
      <c r="B83" s="1229"/>
      <c r="C83" s="1229"/>
      <c r="D83" s="700"/>
      <c r="E83" s="704"/>
      <c r="F83" s="700"/>
      <c r="G83" s="707"/>
      <c r="H83" s="701"/>
      <c r="I83" s="712"/>
      <c r="J83" s="712"/>
      <c r="K83" s="712"/>
      <c r="L83" s="713"/>
    </row>
    <row r="84" spans="1:13" x14ac:dyDescent="0.25">
      <c r="A84" s="649">
        <v>12</v>
      </c>
      <c r="B84" s="1227">
        <f>Breakdown_SM12</f>
        <v>0</v>
      </c>
      <c r="C84" s="1227"/>
      <c r="D84" s="697">
        <f>Breakdown_SM_Field_12</f>
        <v>0</v>
      </c>
      <c r="E84" s="702">
        <f>SUM(Breakdown_FieldLaborCost_12)</f>
        <v>0</v>
      </c>
      <c r="F84" s="697">
        <f>Breakdown_SM_Shop_12</f>
        <v>0</v>
      </c>
      <c r="G84" s="705">
        <f>SUM(Breakdown_ShopLaborCost_12)</f>
        <v>0</v>
      </c>
      <c r="H84" s="698">
        <f>Breakdown_SM_Material_12</f>
        <v>0</v>
      </c>
      <c r="I84" s="708">
        <f t="shared" si="1"/>
        <v>0</v>
      </c>
      <c r="J84" s="708">
        <f>I84/$I$9*$I$4</f>
        <v>0</v>
      </c>
      <c r="K84" s="708">
        <f>I84/$I$9*$I$5</f>
        <v>0</v>
      </c>
      <c r="L84" s="709">
        <f>SUM(I84:K84)</f>
        <v>0</v>
      </c>
      <c r="M84" s="639"/>
    </row>
    <row r="85" spans="1:13" x14ac:dyDescent="0.25">
      <c r="A85" s="642"/>
      <c r="B85" s="1228"/>
      <c r="C85" s="1228"/>
      <c r="D85" s="699"/>
      <c r="E85" s="703"/>
      <c r="F85" s="699"/>
      <c r="G85" s="706"/>
      <c r="H85" s="693"/>
      <c r="I85" s="710"/>
      <c r="J85" s="710"/>
      <c r="K85" s="710"/>
      <c r="L85" s="711"/>
    </row>
    <row r="86" spans="1:13" x14ac:dyDescent="0.25">
      <c r="A86" s="642"/>
      <c r="B86" s="1228"/>
      <c r="C86" s="1228"/>
      <c r="D86" s="699"/>
      <c r="E86" s="703"/>
      <c r="F86" s="699"/>
      <c r="G86" s="706"/>
      <c r="H86" s="693"/>
      <c r="I86" s="710"/>
      <c r="J86" s="710"/>
      <c r="K86" s="710"/>
      <c r="L86" s="711"/>
    </row>
    <row r="87" spans="1:13" x14ac:dyDescent="0.25">
      <c r="A87" s="642"/>
      <c r="B87" s="1228"/>
      <c r="C87" s="1228"/>
      <c r="D87" s="699"/>
      <c r="E87" s="703"/>
      <c r="F87" s="699"/>
      <c r="G87" s="706"/>
      <c r="H87" s="693"/>
      <c r="I87" s="710"/>
      <c r="J87" s="710"/>
      <c r="K87" s="710"/>
      <c r="L87" s="711"/>
    </row>
    <row r="88" spans="1:13" x14ac:dyDescent="0.25">
      <c r="A88" s="642"/>
      <c r="B88" s="1228"/>
      <c r="C88" s="1228"/>
      <c r="D88" s="699"/>
      <c r="E88" s="703"/>
      <c r="F88" s="699"/>
      <c r="G88" s="706"/>
      <c r="H88" s="693"/>
      <c r="I88" s="710"/>
      <c r="J88" s="710"/>
      <c r="K88" s="710"/>
      <c r="L88" s="711"/>
    </row>
    <row r="89" spans="1:13" ht="15.75" thickBot="1" x14ac:dyDescent="0.3">
      <c r="A89" s="643"/>
      <c r="B89" s="1229"/>
      <c r="C89" s="1229"/>
      <c r="D89" s="700"/>
      <c r="E89" s="704"/>
      <c r="F89" s="700"/>
      <c r="G89" s="707"/>
      <c r="H89" s="701"/>
      <c r="I89" s="712"/>
      <c r="J89" s="712"/>
      <c r="K89" s="712"/>
      <c r="L89" s="713"/>
    </row>
    <row r="90" spans="1:13" x14ac:dyDescent="0.25">
      <c r="A90" s="649">
        <v>13</v>
      </c>
      <c r="B90" s="1227">
        <f>Breakdown_SM13</f>
        <v>0</v>
      </c>
      <c r="C90" s="1227"/>
      <c r="D90" s="697">
        <f>Breakdown_SM_Field_13</f>
        <v>0</v>
      </c>
      <c r="E90" s="702">
        <f>SUM(Breakdown_FieldLaborCost_13)</f>
        <v>0</v>
      </c>
      <c r="F90" s="697">
        <f>Breakdown_SM_Shop_13</f>
        <v>0</v>
      </c>
      <c r="G90" s="705">
        <f>SUM(Breakdown_ShopLaborCost_13)</f>
        <v>0</v>
      </c>
      <c r="H90" s="698">
        <f>Breakdown_SM_Material_13</f>
        <v>0</v>
      </c>
      <c r="I90" s="708">
        <f t="shared" si="1"/>
        <v>0</v>
      </c>
      <c r="J90" s="708">
        <f>I90/$I$9*$I$4</f>
        <v>0</v>
      </c>
      <c r="K90" s="708">
        <f>I90/$I$9*$I$5</f>
        <v>0</v>
      </c>
      <c r="L90" s="709">
        <f>SUM(I90:K90)</f>
        <v>0</v>
      </c>
      <c r="M90" s="639"/>
    </row>
    <row r="91" spans="1:13" x14ac:dyDescent="0.25">
      <c r="A91" s="642"/>
      <c r="B91" s="1228"/>
      <c r="C91" s="1228"/>
      <c r="D91" s="699"/>
      <c r="E91" s="703"/>
      <c r="F91" s="699"/>
      <c r="G91" s="706"/>
      <c r="H91" s="693"/>
      <c r="I91" s="710"/>
      <c r="J91" s="710"/>
      <c r="K91" s="710"/>
      <c r="L91" s="711"/>
    </row>
    <row r="92" spans="1:13" x14ac:dyDescent="0.25">
      <c r="A92" s="642"/>
      <c r="B92" s="1228"/>
      <c r="C92" s="1228"/>
      <c r="D92" s="699"/>
      <c r="E92" s="703"/>
      <c r="F92" s="699"/>
      <c r="G92" s="706"/>
      <c r="H92" s="693"/>
      <c r="I92" s="710"/>
      <c r="J92" s="710"/>
      <c r="K92" s="710"/>
      <c r="L92" s="711"/>
    </row>
    <row r="93" spans="1:13" x14ac:dyDescent="0.25">
      <c r="A93" s="642"/>
      <c r="B93" s="1228"/>
      <c r="C93" s="1228"/>
      <c r="D93" s="699"/>
      <c r="E93" s="703"/>
      <c r="F93" s="699"/>
      <c r="G93" s="706"/>
      <c r="H93" s="693"/>
      <c r="I93" s="710"/>
      <c r="J93" s="710"/>
      <c r="K93" s="710"/>
      <c r="L93" s="711"/>
    </row>
    <row r="94" spans="1:13" x14ac:dyDescent="0.25">
      <c r="A94" s="642"/>
      <c r="B94" s="1228"/>
      <c r="C94" s="1228"/>
      <c r="D94" s="699"/>
      <c r="E94" s="703"/>
      <c r="F94" s="699"/>
      <c r="G94" s="706"/>
      <c r="H94" s="693"/>
      <c r="I94" s="710"/>
      <c r="J94" s="710"/>
      <c r="K94" s="710"/>
      <c r="L94" s="711"/>
    </row>
    <row r="95" spans="1:13" ht="15.75" thickBot="1" x14ac:dyDescent="0.3">
      <c r="A95" s="643"/>
      <c r="B95" s="1229"/>
      <c r="C95" s="1229"/>
      <c r="D95" s="700"/>
      <c r="E95" s="704"/>
      <c r="F95" s="700"/>
      <c r="G95" s="707"/>
      <c r="H95" s="701"/>
      <c r="I95" s="712"/>
      <c r="J95" s="712"/>
      <c r="K95" s="712"/>
      <c r="L95" s="713"/>
    </row>
    <row r="96" spans="1:13" x14ac:dyDescent="0.25">
      <c r="A96" s="649">
        <v>14</v>
      </c>
      <c r="B96" s="1227">
        <f>Breakdown_SM14</f>
        <v>0</v>
      </c>
      <c r="C96" s="1227"/>
      <c r="D96" s="697">
        <f>Breakdown_SM_Field_14</f>
        <v>0</v>
      </c>
      <c r="E96" s="702">
        <f>SUM(Breakdown_FieldLaborCost_14)</f>
        <v>0</v>
      </c>
      <c r="F96" s="697">
        <f>Breakdown_SM_Shop_14</f>
        <v>0</v>
      </c>
      <c r="G96" s="705">
        <f>SUM(Breakdown_ShopLaborCost_14)</f>
        <v>0</v>
      </c>
      <c r="H96" s="698">
        <f>Breakdown_SM_Material_14</f>
        <v>0</v>
      </c>
      <c r="I96" s="708">
        <f t="shared" si="1"/>
        <v>0</v>
      </c>
      <c r="J96" s="708">
        <f>I96/$I$9*$I$4</f>
        <v>0</v>
      </c>
      <c r="K96" s="708">
        <f>I96/$I$9*$I$5</f>
        <v>0</v>
      </c>
      <c r="L96" s="709">
        <f>SUM(I96:K96)</f>
        <v>0</v>
      </c>
      <c r="M96" s="639"/>
    </row>
    <row r="97" spans="1:13" x14ac:dyDescent="0.25">
      <c r="A97" s="642"/>
      <c r="B97" s="1228"/>
      <c r="C97" s="1228"/>
      <c r="D97" s="699"/>
      <c r="E97" s="703"/>
      <c r="F97" s="699"/>
      <c r="G97" s="706"/>
      <c r="H97" s="693"/>
      <c r="I97" s="710"/>
      <c r="J97" s="710"/>
      <c r="K97" s="710"/>
      <c r="L97" s="711"/>
    </row>
    <row r="98" spans="1:13" x14ac:dyDescent="0.25">
      <c r="A98" s="642"/>
      <c r="B98" s="1228"/>
      <c r="C98" s="1228"/>
      <c r="D98" s="699"/>
      <c r="E98" s="703"/>
      <c r="F98" s="699"/>
      <c r="G98" s="706"/>
      <c r="H98" s="693"/>
      <c r="I98" s="710"/>
      <c r="J98" s="710"/>
      <c r="K98" s="710"/>
      <c r="L98" s="711"/>
    </row>
    <row r="99" spans="1:13" x14ac:dyDescent="0.25">
      <c r="A99" s="642"/>
      <c r="B99" s="1228"/>
      <c r="C99" s="1228"/>
      <c r="D99" s="699"/>
      <c r="E99" s="703"/>
      <c r="F99" s="699"/>
      <c r="G99" s="706"/>
      <c r="H99" s="693"/>
      <c r="I99" s="710"/>
      <c r="J99" s="710"/>
      <c r="K99" s="710"/>
      <c r="L99" s="711"/>
    </row>
    <row r="100" spans="1:13" x14ac:dyDescent="0.25">
      <c r="A100" s="642"/>
      <c r="B100" s="1228"/>
      <c r="C100" s="1228"/>
      <c r="D100" s="699"/>
      <c r="E100" s="703"/>
      <c r="F100" s="699"/>
      <c r="G100" s="706"/>
      <c r="H100" s="693"/>
      <c r="I100" s="710"/>
      <c r="J100" s="710"/>
      <c r="K100" s="710"/>
      <c r="L100" s="711"/>
    </row>
    <row r="101" spans="1:13" ht="15.75" thickBot="1" x14ac:dyDescent="0.3">
      <c r="A101" s="643"/>
      <c r="B101" s="1229"/>
      <c r="C101" s="1229"/>
      <c r="D101" s="700"/>
      <c r="E101" s="704"/>
      <c r="F101" s="700"/>
      <c r="G101" s="707"/>
      <c r="H101" s="701"/>
      <c r="I101" s="712"/>
      <c r="J101" s="712"/>
      <c r="K101" s="712"/>
      <c r="L101" s="713"/>
    </row>
    <row r="102" spans="1:13" x14ac:dyDescent="0.25">
      <c r="A102" s="649">
        <v>15</v>
      </c>
      <c r="B102" s="1227">
        <f>Breakdown_SM15</f>
        <v>0</v>
      </c>
      <c r="C102" s="1227"/>
      <c r="D102" s="697">
        <f>Breakdown_SM_Field_15</f>
        <v>0</v>
      </c>
      <c r="E102" s="702">
        <f>SUM(Breakdown_FieldLaborCost_15)</f>
        <v>0</v>
      </c>
      <c r="F102" s="697">
        <f>Breakdown_SM_Shop_15</f>
        <v>0</v>
      </c>
      <c r="G102" s="705">
        <f>SUM(Breakdown_ShopLaborCost_15)</f>
        <v>0</v>
      </c>
      <c r="H102" s="698">
        <f>Breakdown_SM_Material_15</f>
        <v>0</v>
      </c>
      <c r="I102" s="708">
        <f t="shared" si="1"/>
        <v>0</v>
      </c>
      <c r="J102" s="708">
        <f>I102/$I$9*$I$4</f>
        <v>0</v>
      </c>
      <c r="K102" s="708">
        <f>I102/$I$9*$I$5</f>
        <v>0</v>
      </c>
      <c r="L102" s="709">
        <f>SUM(I102:K102)</f>
        <v>0</v>
      </c>
      <c r="M102" s="639"/>
    </row>
    <row r="103" spans="1:13" x14ac:dyDescent="0.25">
      <c r="A103" s="642"/>
      <c r="B103" s="1228"/>
      <c r="C103" s="1228"/>
      <c r="D103" s="699"/>
      <c r="E103" s="703"/>
      <c r="F103" s="699"/>
      <c r="G103" s="706"/>
      <c r="H103" s="693"/>
      <c r="I103" s="710"/>
      <c r="J103" s="710"/>
      <c r="K103" s="710"/>
      <c r="L103" s="711"/>
    </row>
    <row r="104" spans="1:13" x14ac:dyDescent="0.25">
      <c r="A104" s="642"/>
      <c r="B104" s="1228"/>
      <c r="C104" s="1228"/>
      <c r="D104" s="699"/>
      <c r="E104" s="703"/>
      <c r="F104" s="699"/>
      <c r="G104" s="706"/>
      <c r="H104" s="693"/>
      <c r="I104" s="710"/>
      <c r="J104" s="710"/>
      <c r="K104" s="710"/>
      <c r="L104" s="711"/>
    </row>
    <row r="105" spans="1:13" x14ac:dyDescent="0.25">
      <c r="A105" s="642"/>
      <c r="B105" s="1228"/>
      <c r="C105" s="1228"/>
      <c r="D105" s="699"/>
      <c r="E105" s="703"/>
      <c r="F105" s="699"/>
      <c r="G105" s="706"/>
      <c r="H105" s="693"/>
      <c r="I105" s="710"/>
      <c r="J105" s="710"/>
      <c r="K105" s="710"/>
      <c r="L105" s="711"/>
    </row>
    <row r="106" spans="1:13" x14ac:dyDescent="0.25">
      <c r="A106" s="642"/>
      <c r="B106" s="1228"/>
      <c r="C106" s="1228"/>
      <c r="D106" s="699"/>
      <c r="E106" s="703"/>
      <c r="F106" s="699"/>
      <c r="G106" s="706"/>
      <c r="H106" s="693"/>
      <c r="I106" s="710"/>
      <c r="J106" s="710"/>
      <c r="K106" s="710"/>
      <c r="L106" s="711"/>
    </row>
    <row r="107" spans="1:13" ht="15.75" thickBot="1" x14ac:dyDescent="0.3">
      <c r="A107" s="643"/>
      <c r="B107" s="1229"/>
      <c r="C107" s="1229"/>
      <c r="D107" s="700"/>
      <c r="E107" s="704"/>
      <c r="F107" s="700"/>
      <c r="G107" s="707"/>
      <c r="H107" s="701"/>
      <c r="I107" s="712"/>
      <c r="J107" s="712"/>
      <c r="K107" s="712"/>
      <c r="L107" s="713"/>
    </row>
    <row r="108" spans="1:13" x14ac:dyDescent="0.25">
      <c r="A108" s="649">
        <v>16</v>
      </c>
      <c r="B108" s="1227">
        <f>Breakdown_SM16</f>
        <v>0</v>
      </c>
      <c r="C108" s="1227"/>
      <c r="D108" s="697">
        <f>Breakdown_SM_Field_16</f>
        <v>0</v>
      </c>
      <c r="E108" s="702">
        <f>SUM(Breakdown_FieldLaborCost_16)</f>
        <v>0</v>
      </c>
      <c r="F108" s="697">
        <f>Breakdown_SM_Shop_16</f>
        <v>0</v>
      </c>
      <c r="G108" s="705">
        <f>SUM(Breakdown_ShopLaborCost_16)</f>
        <v>0</v>
      </c>
      <c r="H108" s="698">
        <f>Breakdown_SM_Material_16</f>
        <v>0</v>
      </c>
      <c r="I108" s="708">
        <f t="shared" si="1"/>
        <v>0</v>
      </c>
      <c r="J108" s="708">
        <f>I108/$I$9*$I$4</f>
        <v>0</v>
      </c>
      <c r="K108" s="708">
        <f>I108/$I$9*$I$5</f>
        <v>0</v>
      </c>
      <c r="L108" s="709">
        <f>SUM(I108:K108)</f>
        <v>0</v>
      </c>
      <c r="M108" s="639"/>
    </row>
    <row r="109" spans="1:13" x14ac:dyDescent="0.25">
      <c r="A109" s="642"/>
      <c r="B109" s="1228"/>
      <c r="C109" s="1228"/>
      <c r="D109" s="699"/>
      <c r="E109" s="703"/>
      <c r="F109" s="699"/>
      <c r="G109" s="706"/>
      <c r="H109" s="693"/>
      <c r="I109" s="710"/>
      <c r="J109" s="710"/>
      <c r="K109" s="710"/>
      <c r="L109" s="711"/>
    </row>
    <row r="110" spans="1:13" x14ac:dyDescent="0.25">
      <c r="A110" s="642"/>
      <c r="B110" s="1228"/>
      <c r="C110" s="1228"/>
      <c r="D110" s="699"/>
      <c r="E110" s="703"/>
      <c r="F110" s="699"/>
      <c r="G110" s="706"/>
      <c r="H110" s="693"/>
      <c r="I110" s="710"/>
      <c r="J110" s="710"/>
      <c r="K110" s="710"/>
      <c r="L110" s="711"/>
    </row>
    <row r="111" spans="1:13" x14ac:dyDescent="0.25">
      <c r="A111" s="642"/>
      <c r="B111" s="1228"/>
      <c r="C111" s="1228"/>
      <c r="D111" s="699"/>
      <c r="E111" s="703"/>
      <c r="F111" s="699"/>
      <c r="G111" s="706"/>
      <c r="H111" s="693"/>
      <c r="I111" s="710"/>
      <c r="J111" s="710"/>
      <c r="K111" s="710"/>
      <c r="L111" s="711"/>
    </row>
    <row r="112" spans="1:13" x14ac:dyDescent="0.25">
      <c r="A112" s="642"/>
      <c r="B112" s="1228"/>
      <c r="C112" s="1228"/>
      <c r="D112" s="699"/>
      <c r="E112" s="703"/>
      <c r="F112" s="699"/>
      <c r="G112" s="706"/>
      <c r="H112" s="693"/>
      <c r="I112" s="710"/>
      <c r="J112" s="710"/>
      <c r="K112" s="710"/>
      <c r="L112" s="711"/>
    </row>
    <row r="113" spans="1:13" ht="15.75" thickBot="1" x14ac:dyDescent="0.3">
      <c r="A113" s="643"/>
      <c r="B113" s="1229"/>
      <c r="C113" s="1229"/>
      <c r="D113" s="700"/>
      <c r="E113" s="704"/>
      <c r="F113" s="700"/>
      <c r="G113" s="707"/>
      <c r="H113" s="701"/>
      <c r="I113" s="712"/>
      <c r="J113" s="712"/>
      <c r="K113" s="712"/>
      <c r="L113" s="713"/>
    </row>
    <row r="114" spans="1:13" x14ac:dyDescent="0.25">
      <c r="A114" s="649">
        <v>17</v>
      </c>
      <c r="B114" s="1227">
        <f>Breakdown_SM17</f>
        <v>0</v>
      </c>
      <c r="C114" s="1227"/>
      <c r="D114" s="697">
        <f>Breakdown_SM_Field_17</f>
        <v>0</v>
      </c>
      <c r="E114" s="702">
        <f>SUM(Breakdown_FieldLaborCost_17)</f>
        <v>0</v>
      </c>
      <c r="F114" s="697">
        <f>Breakdown_SM_Shop_17</f>
        <v>0</v>
      </c>
      <c r="G114" s="705">
        <f>SUM(Breakdown_ShopLaborCost_17)</f>
        <v>0</v>
      </c>
      <c r="H114" s="698">
        <f>Breakdown_SM_Material_17</f>
        <v>0</v>
      </c>
      <c r="I114" s="708">
        <f t="shared" ref="I114:I174" si="2">SUM(H114,G114,E114)</f>
        <v>0</v>
      </c>
      <c r="J114" s="708">
        <f>I114/$I$9*$I$4</f>
        <v>0</v>
      </c>
      <c r="K114" s="708">
        <f>I114/$I$9*$I$5</f>
        <v>0</v>
      </c>
      <c r="L114" s="709">
        <f>SUM(I114:K114)</f>
        <v>0</v>
      </c>
      <c r="M114" s="639"/>
    </row>
    <row r="115" spans="1:13" x14ac:dyDescent="0.25">
      <c r="A115" s="642"/>
      <c r="B115" s="1228"/>
      <c r="C115" s="1228"/>
      <c r="D115" s="699"/>
      <c r="E115" s="703"/>
      <c r="F115" s="699"/>
      <c r="G115" s="706"/>
      <c r="H115" s="693"/>
      <c r="I115" s="710"/>
      <c r="J115" s="710"/>
      <c r="K115" s="710"/>
      <c r="L115" s="711"/>
    </row>
    <row r="116" spans="1:13" x14ac:dyDescent="0.25">
      <c r="A116" s="642"/>
      <c r="B116" s="1228"/>
      <c r="C116" s="1228"/>
      <c r="D116" s="699"/>
      <c r="E116" s="703"/>
      <c r="F116" s="699"/>
      <c r="G116" s="706"/>
      <c r="H116" s="693"/>
      <c r="I116" s="710"/>
      <c r="J116" s="710"/>
      <c r="K116" s="710"/>
      <c r="L116" s="711"/>
    </row>
    <row r="117" spans="1:13" x14ac:dyDescent="0.25">
      <c r="A117" s="642"/>
      <c r="B117" s="1228"/>
      <c r="C117" s="1228"/>
      <c r="D117" s="699"/>
      <c r="E117" s="703"/>
      <c r="F117" s="699"/>
      <c r="G117" s="706"/>
      <c r="H117" s="693"/>
      <c r="I117" s="710"/>
      <c r="J117" s="710"/>
      <c r="K117" s="710"/>
      <c r="L117" s="711"/>
    </row>
    <row r="118" spans="1:13" x14ac:dyDescent="0.25">
      <c r="A118" s="642"/>
      <c r="B118" s="1228"/>
      <c r="C118" s="1228"/>
      <c r="D118" s="699"/>
      <c r="E118" s="703"/>
      <c r="F118" s="699"/>
      <c r="G118" s="706"/>
      <c r="H118" s="693"/>
      <c r="I118" s="710"/>
      <c r="J118" s="710"/>
      <c r="K118" s="710"/>
      <c r="L118" s="711"/>
    </row>
    <row r="119" spans="1:13" ht="15.75" thickBot="1" x14ac:dyDescent="0.3">
      <c r="A119" s="643"/>
      <c r="B119" s="1229"/>
      <c r="C119" s="1229"/>
      <c r="D119" s="700"/>
      <c r="E119" s="704"/>
      <c r="F119" s="700"/>
      <c r="G119" s="707"/>
      <c r="H119" s="701"/>
      <c r="I119" s="712"/>
      <c r="J119" s="712"/>
      <c r="K119" s="712"/>
      <c r="L119" s="713"/>
    </row>
    <row r="120" spans="1:13" x14ac:dyDescent="0.25">
      <c r="A120" s="649">
        <v>18</v>
      </c>
      <c r="B120" s="1227">
        <f>Breakdown_SM18</f>
        <v>0</v>
      </c>
      <c r="C120" s="1227"/>
      <c r="D120" s="697">
        <f>Breakdown_SM_Field_18</f>
        <v>0</v>
      </c>
      <c r="E120" s="702">
        <f>SUM(Breakdown_FieldLaborCost_18)</f>
        <v>0</v>
      </c>
      <c r="F120" s="697">
        <f>Breakdown_SM_Shop_18</f>
        <v>0</v>
      </c>
      <c r="G120" s="705">
        <f>SUM(Breakdown_ShopLaborCost_18)</f>
        <v>0</v>
      </c>
      <c r="H120" s="698">
        <f>Breakdown_SM_Material_18</f>
        <v>0</v>
      </c>
      <c r="I120" s="708">
        <f t="shared" si="2"/>
        <v>0</v>
      </c>
      <c r="J120" s="708">
        <f>I120/$I$9*$I$4</f>
        <v>0</v>
      </c>
      <c r="K120" s="708">
        <f>I120/$I$9*$I$5</f>
        <v>0</v>
      </c>
      <c r="L120" s="709">
        <f>SUM(I120:K120)</f>
        <v>0</v>
      </c>
      <c r="M120" s="639"/>
    </row>
    <row r="121" spans="1:13" x14ac:dyDescent="0.25">
      <c r="A121" s="642"/>
      <c r="B121" s="1228"/>
      <c r="C121" s="1228"/>
      <c r="D121" s="699"/>
      <c r="E121" s="703"/>
      <c r="F121" s="699"/>
      <c r="G121" s="706"/>
      <c r="H121" s="693"/>
      <c r="I121" s="710"/>
      <c r="J121" s="710"/>
      <c r="K121" s="710"/>
      <c r="L121" s="711"/>
    </row>
    <row r="122" spans="1:13" x14ac:dyDescent="0.25">
      <c r="A122" s="642"/>
      <c r="B122" s="1228"/>
      <c r="C122" s="1228"/>
      <c r="D122" s="699"/>
      <c r="E122" s="703"/>
      <c r="F122" s="699"/>
      <c r="G122" s="706"/>
      <c r="H122" s="693"/>
      <c r="I122" s="710"/>
      <c r="J122" s="710"/>
      <c r="K122" s="710"/>
      <c r="L122" s="711"/>
    </row>
    <row r="123" spans="1:13" x14ac:dyDescent="0.25">
      <c r="A123" s="642"/>
      <c r="B123" s="1228"/>
      <c r="C123" s="1228"/>
      <c r="D123" s="699"/>
      <c r="E123" s="703"/>
      <c r="F123" s="699"/>
      <c r="G123" s="706"/>
      <c r="H123" s="693"/>
      <c r="I123" s="710"/>
      <c r="J123" s="710"/>
      <c r="K123" s="710"/>
      <c r="L123" s="711"/>
    </row>
    <row r="124" spans="1:13" x14ac:dyDescent="0.25">
      <c r="A124" s="642"/>
      <c r="B124" s="1228"/>
      <c r="C124" s="1228"/>
      <c r="D124" s="699"/>
      <c r="E124" s="703"/>
      <c r="F124" s="699"/>
      <c r="G124" s="706"/>
      <c r="H124" s="693"/>
      <c r="I124" s="710"/>
      <c r="J124" s="710"/>
      <c r="K124" s="710"/>
      <c r="L124" s="711"/>
    </row>
    <row r="125" spans="1:13" ht="15.75" thickBot="1" x14ac:dyDescent="0.3">
      <c r="A125" s="643"/>
      <c r="B125" s="1229"/>
      <c r="C125" s="1229"/>
      <c r="D125" s="700"/>
      <c r="E125" s="704"/>
      <c r="F125" s="700"/>
      <c r="G125" s="707"/>
      <c r="H125" s="701"/>
      <c r="I125" s="712"/>
      <c r="J125" s="712"/>
      <c r="K125" s="712"/>
      <c r="L125" s="713"/>
    </row>
    <row r="126" spans="1:13" x14ac:dyDescent="0.25">
      <c r="A126" s="649">
        <v>19</v>
      </c>
      <c r="B126" s="1227">
        <f>Breakdown_SM19</f>
        <v>0</v>
      </c>
      <c r="C126" s="1227"/>
      <c r="D126" s="697">
        <f>Breakdown_SM_Field_19</f>
        <v>0</v>
      </c>
      <c r="E126" s="702">
        <f>SUM(Breakdown_FieldLaborCost_19)</f>
        <v>0</v>
      </c>
      <c r="F126" s="697">
        <f>Breakdown_SM_Shop_19</f>
        <v>0</v>
      </c>
      <c r="G126" s="705">
        <f>SUM(Breakdown_ShopLaborCost_19)</f>
        <v>0</v>
      </c>
      <c r="H126" s="698">
        <f>Breakdown_SM_Material_19</f>
        <v>0</v>
      </c>
      <c r="I126" s="708">
        <f t="shared" si="2"/>
        <v>0</v>
      </c>
      <c r="J126" s="708">
        <f>I126/$I$9*$I$4</f>
        <v>0</v>
      </c>
      <c r="K126" s="708">
        <f>I126/$I$9*$I$5</f>
        <v>0</v>
      </c>
      <c r="L126" s="709">
        <f>SUM(I126:K126)</f>
        <v>0</v>
      </c>
      <c r="M126" s="639"/>
    </row>
    <row r="127" spans="1:13" x14ac:dyDescent="0.25">
      <c r="A127" s="642"/>
      <c r="B127" s="1228"/>
      <c r="C127" s="1228"/>
      <c r="D127" s="699"/>
      <c r="E127" s="703"/>
      <c r="F127" s="699"/>
      <c r="G127" s="706"/>
      <c r="H127" s="693"/>
      <c r="I127" s="710"/>
      <c r="J127" s="710"/>
      <c r="K127" s="710"/>
      <c r="L127" s="711"/>
    </row>
    <row r="128" spans="1:13" x14ac:dyDescent="0.25">
      <c r="A128" s="642"/>
      <c r="B128" s="1228"/>
      <c r="C128" s="1228"/>
      <c r="D128" s="699"/>
      <c r="E128" s="703"/>
      <c r="F128" s="699"/>
      <c r="G128" s="706"/>
      <c r="H128" s="693"/>
      <c r="I128" s="710"/>
      <c r="J128" s="710"/>
      <c r="K128" s="710"/>
      <c r="L128" s="711"/>
    </row>
    <row r="129" spans="1:13" x14ac:dyDescent="0.25">
      <c r="A129" s="642"/>
      <c r="B129" s="1228"/>
      <c r="C129" s="1228"/>
      <c r="D129" s="699"/>
      <c r="E129" s="703"/>
      <c r="F129" s="699"/>
      <c r="G129" s="706"/>
      <c r="H129" s="693"/>
      <c r="I129" s="710"/>
      <c r="J129" s="710"/>
      <c r="K129" s="710"/>
      <c r="L129" s="711"/>
    </row>
    <row r="130" spans="1:13" x14ac:dyDescent="0.25">
      <c r="A130" s="642"/>
      <c r="B130" s="1228"/>
      <c r="C130" s="1228"/>
      <c r="D130" s="699"/>
      <c r="E130" s="703"/>
      <c r="F130" s="699"/>
      <c r="G130" s="706"/>
      <c r="H130" s="693"/>
      <c r="I130" s="710"/>
      <c r="J130" s="710"/>
      <c r="K130" s="710"/>
      <c r="L130" s="711"/>
    </row>
    <row r="131" spans="1:13" ht="15.75" thickBot="1" x14ac:dyDescent="0.3">
      <c r="A131" s="643"/>
      <c r="B131" s="1229"/>
      <c r="C131" s="1229"/>
      <c r="D131" s="700"/>
      <c r="E131" s="704"/>
      <c r="F131" s="700"/>
      <c r="G131" s="707"/>
      <c r="H131" s="701"/>
      <c r="I131" s="712"/>
      <c r="J131" s="712"/>
      <c r="K131" s="712"/>
      <c r="L131" s="713"/>
    </row>
    <row r="132" spans="1:13" x14ac:dyDescent="0.25">
      <c r="A132" s="649">
        <v>20</v>
      </c>
      <c r="B132" s="1227">
        <f>Breakdown_SM20</f>
        <v>0</v>
      </c>
      <c r="C132" s="1227"/>
      <c r="D132" s="697">
        <f>Breakdown_SM_Field_20</f>
        <v>0</v>
      </c>
      <c r="E132" s="702">
        <f>SUM(Breakdown_FieldLaborCost_20)</f>
        <v>0</v>
      </c>
      <c r="F132" s="697">
        <f>Breakdown_SM_Shop_20</f>
        <v>0</v>
      </c>
      <c r="G132" s="705">
        <f>SUM(Breakdown_ShopLaborCost_20)</f>
        <v>0</v>
      </c>
      <c r="H132" s="698">
        <f>Breakdown_SM_Material_20</f>
        <v>0</v>
      </c>
      <c r="I132" s="708">
        <f t="shared" si="2"/>
        <v>0</v>
      </c>
      <c r="J132" s="708">
        <f>I132/$I$9*$I$4</f>
        <v>0</v>
      </c>
      <c r="K132" s="708">
        <f>I132/$I$9*$I$5</f>
        <v>0</v>
      </c>
      <c r="L132" s="709">
        <f>SUM(I132:K132)</f>
        <v>0</v>
      </c>
      <c r="M132" s="639"/>
    </row>
    <row r="133" spans="1:13" x14ac:dyDescent="0.25">
      <c r="A133" s="642"/>
      <c r="B133" s="1228"/>
      <c r="C133" s="1228"/>
      <c r="D133" s="699"/>
      <c r="E133" s="703"/>
      <c r="F133" s="699"/>
      <c r="G133" s="706"/>
      <c r="H133" s="693"/>
      <c r="I133" s="710"/>
      <c r="J133" s="710"/>
      <c r="K133" s="710"/>
      <c r="L133" s="711"/>
    </row>
    <row r="134" spans="1:13" x14ac:dyDescent="0.25">
      <c r="A134" s="642"/>
      <c r="B134" s="1228"/>
      <c r="C134" s="1228"/>
      <c r="D134" s="699"/>
      <c r="E134" s="703"/>
      <c r="F134" s="699"/>
      <c r="G134" s="706"/>
      <c r="H134" s="693"/>
      <c r="I134" s="710"/>
      <c r="J134" s="710"/>
      <c r="K134" s="710"/>
      <c r="L134" s="711"/>
    </row>
    <row r="135" spans="1:13" x14ac:dyDescent="0.25">
      <c r="A135" s="642"/>
      <c r="B135" s="1228"/>
      <c r="C135" s="1228"/>
      <c r="D135" s="699"/>
      <c r="E135" s="703"/>
      <c r="F135" s="699"/>
      <c r="G135" s="706"/>
      <c r="H135" s="693"/>
      <c r="I135" s="710"/>
      <c r="J135" s="710"/>
      <c r="K135" s="710"/>
      <c r="L135" s="711"/>
    </row>
    <row r="136" spans="1:13" x14ac:dyDescent="0.25">
      <c r="A136" s="642"/>
      <c r="B136" s="1228"/>
      <c r="C136" s="1228"/>
      <c r="D136" s="699"/>
      <c r="E136" s="703"/>
      <c r="F136" s="699"/>
      <c r="G136" s="706"/>
      <c r="H136" s="693"/>
      <c r="I136" s="710"/>
      <c r="J136" s="710"/>
      <c r="K136" s="710"/>
      <c r="L136" s="711"/>
    </row>
    <row r="137" spans="1:13" ht="15.75" thickBot="1" x14ac:dyDescent="0.3">
      <c r="A137" s="643"/>
      <c r="B137" s="1229"/>
      <c r="C137" s="1229"/>
      <c r="D137" s="700"/>
      <c r="E137" s="704"/>
      <c r="F137" s="700"/>
      <c r="G137" s="707"/>
      <c r="H137" s="701"/>
      <c r="I137" s="712"/>
      <c r="J137" s="712"/>
      <c r="K137" s="712"/>
      <c r="L137" s="713"/>
    </row>
    <row r="138" spans="1:13" x14ac:dyDescent="0.25">
      <c r="A138" s="649">
        <v>21</v>
      </c>
      <c r="B138" s="1227">
        <f>Breakdown_SM21</f>
        <v>0</v>
      </c>
      <c r="C138" s="1227"/>
      <c r="D138" s="697">
        <f>Breakdown_SM_Field_21</f>
        <v>0</v>
      </c>
      <c r="E138" s="702">
        <f>SUM(Breakdown_FieldLaborCost_21)</f>
        <v>0</v>
      </c>
      <c r="F138" s="697">
        <f>Breakdown_SM_Shop_21</f>
        <v>0</v>
      </c>
      <c r="G138" s="705">
        <f>SUM(Breakdown_ShopLaborCost_21)</f>
        <v>0</v>
      </c>
      <c r="H138" s="698">
        <f>Breakdown_SM_Material_21</f>
        <v>0</v>
      </c>
      <c r="I138" s="708">
        <f t="shared" si="2"/>
        <v>0</v>
      </c>
      <c r="J138" s="708">
        <f>I138/$I$9*$I$4</f>
        <v>0</v>
      </c>
      <c r="K138" s="708">
        <f>I138/$I$9*$I$5</f>
        <v>0</v>
      </c>
      <c r="L138" s="709">
        <f>SUM(I138:K138)</f>
        <v>0</v>
      </c>
      <c r="M138" s="639"/>
    </row>
    <row r="139" spans="1:13" x14ac:dyDescent="0.25">
      <c r="A139" s="642"/>
      <c r="B139" s="1228"/>
      <c r="C139" s="1228"/>
      <c r="D139" s="699"/>
      <c r="E139" s="703"/>
      <c r="F139" s="699"/>
      <c r="G139" s="706"/>
      <c r="H139" s="693"/>
      <c r="I139" s="710"/>
      <c r="J139" s="710"/>
      <c r="K139" s="710"/>
      <c r="L139" s="711"/>
    </row>
    <row r="140" spans="1:13" x14ac:dyDescent="0.25">
      <c r="A140" s="642"/>
      <c r="B140" s="1228"/>
      <c r="C140" s="1228"/>
      <c r="D140" s="699"/>
      <c r="E140" s="703"/>
      <c r="F140" s="699"/>
      <c r="G140" s="706"/>
      <c r="H140" s="693"/>
      <c r="I140" s="710"/>
      <c r="J140" s="710"/>
      <c r="K140" s="710"/>
      <c r="L140" s="711"/>
    </row>
    <row r="141" spans="1:13" x14ac:dyDescent="0.25">
      <c r="A141" s="642"/>
      <c r="B141" s="1228"/>
      <c r="C141" s="1228"/>
      <c r="D141" s="699"/>
      <c r="E141" s="703"/>
      <c r="F141" s="699"/>
      <c r="G141" s="706"/>
      <c r="H141" s="693"/>
      <c r="I141" s="710"/>
      <c r="J141" s="710"/>
      <c r="K141" s="710"/>
      <c r="L141" s="711"/>
    </row>
    <row r="142" spans="1:13" x14ac:dyDescent="0.25">
      <c r="A142" s="642"/>
      <c r="B142" s="1228"/>
      <c r="C142" s="1228"/>
      <c r="D142" s="699"/>
      <c r="E142" s="703"/>
      <c r="F142" s="699"/>
      <c r="G142" s="706"/>
      <c r="H142" s="693"/>
      <c r="I142" s="710"/>
      <c r="J142" s="710"/>
      <c r="K142" s="710"/>
      <c r="L142" s="711"/>
    </row>
    <row r="143" spans="1:13" ht="15.75" thickBot="1" x14ac:dyDescent="0.3">
      <c r="A143" s="643"/>
      <c r="B143" s="1229"/>
      <c r="C143" s="1229"/>
      <c r="D143" s="700"/>
      <c r="E143" s="704"/>
      <c r="F143" s="700"/>
      <c r="G143" s="707"/>
      <c r="H143" s="701"/>
      <c r="I143" s="712"/>
      <c r="J143" s="712"/>
      <c r="K143" s="712"/>
      <c r="L143" s="713"/>
    </row>
    <row r="144" spans="1:13" x14ac:dyDescent="0.25">
      <c r="A144" s="649">
        <v>22</v>
      </c>
      <c r="B144" s="1227">
        <f>Breakdown_SM22</f>
        <v>0</v>
      </c>
      <c r="C144" s="1227"/>
      <c r="D144" s="697">
        <f>Breakdown_SM_Field_22</f>
        <v>0</v>
      </c>
      <c r="E144" s="702">
        <f>SUM(Breakdown_FieldLaborCost_22)</f>
        <v>0</v>
      </c>
      <c r="F144" s="697">
        <f>Breakdown_SM_Shop_22</f>
        <v>0</v>
      </c>
      <c r="G144" s="705">
        <f>SUM(Breakdown_ShopLaborCost_22)</f>
        <v>0</v>
      </c>
      <c r="H144" s="698">
        <f>Breakdown_SM_Material_22</f>
        <v>0</v>
      </c>
      <c r="I144" s="708">
        <f t="shared" ref="I144" si="3">SUM(H144,G144,E144)</f>
        <v>0</v>
      </c>
      <c r="J144" s="708">
        <f>I144/$I$9*$I$4</f>
        <v>0</v>
      </c>
      <c r="K144" s="708">
        <f>I144/$I$9*$I$5</f>
        <v>0</v>
      </c>
      <c r="L144" s="709">
        <f>SUM(I144:K144)</f>
        <v>0</v>
      </c>
      <c r="M144" s="639"/>
    </row>
    <row r="145" spans="1:13" x14ac:dyDescent="0.25">
      <c r="A145" s="642"/>
      <c r="B145" s="1228"/>
      <c r="C145" s="1228"/>
      <c r="D145" s="699"/>
      <c r="E145" s="703"/>
      <c r="F145" s="699"/>
      <c r="G145" s="706"/>
      <c r="H145" s="693"/>
      <c r="I145" s="710"/>
      <c r="J145" s="710"/>
      <c r="K145" s="710"/>
      <c r="L145" s="711"/>
    </row>
    <row r="146" spans="1:13" x14ac:dyDescent="0.25">
      <c r="A146" s="642"/>
      <c r="B146" s="1228"/>
      <c r="C146" s="1228"/>
      <c r="D146" s="699"/>
      <c r="E146" s="703"/>
      <c r="F146" s="699"/>
      <c r="G146" s="706"/>
      <c r="H146" s="693"/>
      <c r="I146" s="710"/>
      <c r="J146" s="710"/>
      <c r="K146" s="710"/>
      <c r="L146" s="711"/>
    </row>
    <row r="147" spans="1:13" x14ac:dyDescent="0.25">
      <c r="A147" s="642"/>
      <c r="B147" s="1228"/>
      <c r="C147" s="1228"/>
      <c r="D147" s="699"/>
      <c r="E147" s="703"/>
      <c r="F147" s="699"/>
      <c r="G147" s="706"/>
      <c r="H147" s="693"/>
      <c r="I147" s="710"/>
      <c r="J147" s="710"/>
      <c r="K147" s="710"/>
      <c r="L147" s="711"/>
    </row>
    <row r="148" spans="1:13" x14ac:dyDescent="0.25">
      <c r="A148" s="642"/>
      <c r="B148" s="1228"/>
      <c r="C148" s="1228"/>
      <c r="D148" s="699"/>
      <c r="E148" s="703"/>
      <c r="F148" s="699"/>
      <c r="G148" s="706"/>
      <c r="H148" s="693"/>
      <c r="I148" s="710"/>
      <c r="J148" s="710"/>
      <c r="K148" s="710"/>
      <c r="L148" s="711"/>
    </row>
    <row r="149" spans="1:13" ht="15.75" thickBot="1" x14ac:dyDescent="0.3">
      <c r="A149" s="643"/>
      <c r="B149" s="1229"/>
      <c r="C149" s="1229"/>
      <c r="D149" s="700"/>
      <c r="E149" s="704"/>
      <c r="F149" s="700"/>
      <c r="G149" s="707"/>
      <c r="H149" s="701"/>
      <c r="I149" s="712"/>
      <c r="J149" s="712"/>
      <c r="K149" s="712"/>
      <c r="L149" s="713"/>
    </row>
    <row r="150" spans="1:13" x14ac:dyDescent="0.25">
      <c r="A150" s="649">
        <v>23</v>
      </c>
      <c r="B150" s="1227">
        <f>Breakdown_SM23</f>
        <v>0</v>
      </c>
      <c r="C150" s="1227"/>
      <c r="D150" s="697">
        <f>Breakdown_SM_Field_23</f>
        <v>0</v>
      </c>
      <c r="E150" s="702">
        <f>SUM(Breakdown_FieldLaborCost_23)</f>
        <v>0</v>
      </c>
      <c r="F150" s="697">
        <f>Breakdown_SM_Shop_23</f>
        <v>0</v>
      </c>
      <c r="G150" s="705">
        <f>SUM(Breakdown_ShopLaborCost_23)</f>
        <v>0</v>
      </c>
      <c r="H150" s="698">
        <f>Breakdown_SM_Material_23</f>
        <v>0</v>
      </c>
      <c r="I150" s="708">
        <f t="shared" si="2"/>
        <v>0</v>
      </c>
      <c r="J150" s="708">
        <f>I150/$I$9*$I$4</f>
        <v>0</v>
      </c>
      <c r="K150" s="708">
        <f>I150/$I$9*$I$5</f>
        <v>0</v>
      </c>
      <c r="L150" s="709">
        <f>SUM(I150:K150)</f>
        <v>0</v>
      </c>
      <c r="M150" s="639"/>
    </row>
    <row r="151" spans="1:13" x14ac:dyDescent="0.25">
      <c r="A151" s="642"/>
      <c r="B151" s="1228"/>
      <c r="C151" s="1228"/>
      <c r="D151" s="699"/>
      <c r="E151" s="703"/>
      <c r="F151" s="699"/>
      <c r="G151" s="706"/>
      <c r="H151" s="693"/>
      <c r="I151" s="710"/>
      <c r="J151" s="710"/>
      <c r="K151" s="710"/>
      <c r="L151" s="711"/>
    </row>
    <row r="152" spans="1:13" x14ac:dyDescent="0.25">
      <c r="A152" s="642"/>
      <c r="B152" s="1228"/>
      <c r="C152" s="1228"/>
      <c r="D152" s="699"/>
      <c r="E152" s="703"/>
      <c r="F152" s="699"/>
      <c r="G152" s="706"/>
      <c r="H152" s="693"/>
      <c r="I152" s="710"/>
      <c r="J152" s="710"/>
      <c r="K152" s="710"/>
      <c r="L152" s="711"/>
    </row>
    <row r="153" spans="1:13" x14ac:dyDescent="0.25">
      <c r="A153" s="642"/>
      <c r="B153" s="1228"/>
      <c r="C153" s="1228"/>
      <c r="D153" s="699"/>
      <c r="E153" s="703"/>
      <c r="F153" s="699"/>
      <c r="G153" s="706"/>
      <c r="H153" s="693"/>
      <c r="I153" s="710"/>
      <c r="J153" s="710"/>
      <c r="K153" s="710"/>
      <c r="L153" s="711"/>
    </row>
    <row r="154" spans="1:13" x14ac:dyDescent="0.25">
      <c r="A154" s="642"/>
      <c r="B154" s="1228"/>
      <c r="C154" s="1228"/>
      <c r="D154" s="699"/>
      <c r="E154" s="703"/>
      <c r="F154" s="699"/>
      <c r="G154" s="706"/>
      <c r="H154" s="693"/>
      <c r="I154" s="710"/>
      <c r="J154" s="710"/>
      <c r="K154" s="710"/>
      <c r="L154" s="711"/>
    </row>
    <row r="155" spans="1:13" ht="15.75" thickBot="1" x14ac:dyDescent="0.3">
      <c r="A155" s="643"/>
      <c r="B155" s="1229"/>
      <c r="C155" s="1229"/>
      <c r="D155" s="700"/>
      <c r="E155" s="704"/>
      <c r="F155" s="700"/>
      <c r="G155" s="707"/>
      <c r="H155" s="701"/>
      <c r="I155" s="712"/>
      <c r="J155" s="712"/>
      <c r="K155" s="712"/>
      <c r="L155" s="713"/>
    </row>
    <row r="156" spans="1:13" x14ac:dyDescent="0.25">
      <c r="A156" s="649">
        <v>24</v>
      </c>
      <c r="B156" s="1227">
        <f>Breakdown_SM24</f>
        <v>0</v>
      </c>
      <c r="C156" s="1227"/>
      <c r="D156" s="697">
        <f>Breakdown_SM_Field_24</f>
        <v>0</v>
      </c>
      <c r="E156" s="702">
        <f>SUM(Breakdown_FieldLaborCost_24)</f>
        <v>0</v>
      </c>
      <c r="F156" s="697">
        <f>Breakdown_SM_Shop_24</f>
        <v>0</v>
      </c>
      <c r="G156" s="705">
        <f>SUM(Breakdown_ShopLaborCost_24)</f>
        <v>0</v>
      </c>
      <c r="H156" s="698">
        <f>Breakdown_SM_Material_24</f>
        <v>0</v>
      </c>
      <c r="I156" s="708">
        <f t="shared" si="2"/>
        <v>0</v>
      </c>
      <c r="J156" s="708">
        <f>I156/$I$9*$I$4</f>
        <v>0</v>
      </c>
      <c r="K156" s="708">
        <f>I156/$I$9*$I$5</f>
        <v>0</v>
      </c>
      <c r="L156" s="709">
        <f>SUM(I156:K156)</f>
        <v>0</v>
      </c>
      <c r="M156" s="639"/>
    </row>
    <row r="157" spans="1:13" x14ac:dyDescent="0.25">
      <c r="A157" s="642"/>
      <c r="B157" s="1228"/>
      <c r="C157" s="1228"/>
      <c r="D157" s="699"/>
      <c r="E157" s="703"/>
      <c r="F157" s="699"/>
      <c r="G157" s="706"/>
      <c r="H157" s="693"/>
      <c r="I157" s="710"/>
      <c r="J157" s="710"/>
      <c r="K157" s="710"/>
      <c r="L157" s="711"/>
    </row>
    <row r="158" spans="1:13" x14ac:dyDescent="0.25">
      <c r="A158" s="642"/>
      <c r="B158" s="1228"/>
      <c r="C158" s="1228"/>
      <c r="D158" s="699"/>
      <c r="E158" s="703"/>
      <c r="F158" s="699"/>
      <c r="G158" s="706"/>
      <c r="H158" s="693"/>
      <c r="I158" s="710"/>
      <c r="J158" s="710"/>
      <c r="K158" s="710"/>
      <c r="L158" s="711"/>
    </row>
    <row r="159" spans="1:13" x14ac:dyDescent="0.25">
      <c r="A159" s="642"/>
      <c r="B159" s="1228"/>
      <c r="C159" s="1228"/>
      <c r="D159" s="699"/>
      <c r="E159" s="703"/>
      <c r="F159" s="699"/>
      <c r="G159" s="706"/>
      <c r="H159" s="693"/>
      <c r="I159" s="710"/>
      <c r="J159" s="710"/>
      <c r="K159" s="710"/>
      <c r="L159" s="711"/>
    </row>
    <row r="160" spans="1:13" x14ac:dyDescent="0.25">
      <c r="A160" s="642"/>
      <c r="B160" s="1228"/>
      <c r="C160" s="1228"/>
      <c r="D160" s="699"/>
      <c r="E160" s="703"/>
      <c r="F160" s="699"/>
      <c r="G160" s="706"/>
      <c r="H160" s="693"/>
      <c r="I160" s="710"/>
      <c r="J160" s="710"/>
      <c r="K160" s="710"/>
      <c r="L160" s="711"/>
    </row>
    <row r="161" spans="1:13" ht="15.75" thickBot="1" x14ac:dyDescent="0.3">
      <c r="A161" s="643"/>
      <c r="B161" s="1229"/>
      <c r="C161" s="1229"/>
      <c r="D161" s="700"/>
      <c r="E161" s="704"/>
      <c r="F161" s="700"/>
      <c r="G161" s="707"/>
      <c r="H161" s="701"/>
      <c r="I161" s="712"/>
      <c r="J161" s="712"/>
      <c r="K161" s="712"/>
      <c r="L161" s="713"/>
    </row>
    <row r="162" spans="1:13" x14ac:dyDescent="0.25">
      <c r="A162" s="649">
        <v>25</v>
      </c>
      <c r="B162" s="1227">
        <f>Breakdown_SM25</f>
        <v>0</v>
      </c>
      <c r="C162" s="1227"/>
      <c r="D162" s="697">
        <f>Breakdown_SM_Field_25</f>
        <v>0</v>
      </c>
      <c r="E162" s="702">
        <f>SUM(Breakdown_FieldLaborCost_25)</f>
        <v>0</v>
      </c>
      <c r="F162" s="697">
        <f>Breakdown_SM_Shop_25</f>
        <v>0</v>
      </c>
      <c r="G162" s="705">
        <f>SUM(Breakdown_ShopLaborCost_25)</f>
        <v>0</v>
      </c>
      <c r="H162" s="698">
        <f>Breakdown_SM_Material_25</f>
        <v>0</v>
      </c>
      <c r="I162" s="708">
        <f t="shared" si="2"/>
        <v>0</v>
      </c>
      <c r="J162" s="708">
        <f>I162/$I$9*$I$4</f>
        <v>0</v>
      </c>
      <c r="K162" s="708">
        <f>I162/$I$9*$I$5</f>
        <v>0</v>
      </c>
      <c r="L162" s="709">
        <f>SUM(I162:K162)</f>
        <v>0</v>
      </c>
      <c r="M162" s="639"/>
    </row>
    <row r="163" spans="1:13" x14ac:dyDescent="0.25">
      <c r="A163" s="642"/>
      <c r="B163" s="1228"/>
      <c r="C163" s="1228"/>
      <c r="D163" s="699"/>
      <c r="E163" s="703"/>
      <c r="F163" s="699"/>
      <c r="G163" s="706"/>
      <c r="H163" s="693"/>
      <c r="I163" s="710"/>
      <c r="J163" s="710"/>
      <c r="K163" s="710"/>
      <c r="L163" s="711"/>
    </row>
    <row r="164" spans="1:13" x14ac:dyDescent="0.25">
      <c r="A164" s="642"/>
      <c r="B164" s="1228"/>
      <c r="C164" s="1228"/>
      <c r="D164" s="699"/>
      <c r="E164" s="703"/>
      <c r="F164" s="699"/>
      <c r="G164" s="706"/>
      <c r="H164" s="693"/>
      <c r="I164" s="710"/>
      <c r="J164" s="710"/>
      <c r="K164" s="710"/>
      <c r="L164" s="711"/>
    </row>
    <row r="165" spans="1:13" x14ac:dyDescent="0.25">
      <c r="A165" s="642"/>
      <c r="B165" s="1228"/>
      <c r="C165" s="1228"/>
      <c r="D165" s="699"/>
      <c r="E165" s="703"/>
      <c r="F165" s="699"/>
      <c r="G165" s="706"/>
      <c r="H165" s="693"/>
      <c r="I165" s="710"/>
      <c r="J165" s="710"/>
      <c r="K165" s="710"/>
      <c r="L165" s="711"/>
    </row>
    <row r="166" spans="1:13" x14ac:dyDescent="0.25">
      <c r="A166" s="642"/>
      <c r="B166" s="1228"/>
      <c r="C166" s="1228"/>
      <c r="D166" s="699"/>
      <c r="E166" s="703"/>
      <c r="F166" s="699"/>
      <c r="G166" s="706"/>
      <c r="H166" s="693"/>
      <c r="I166" s="710"/>
      <c r="J166" s="710"/>
      <c r="K166" s="710"/>
      <c r="L166" s="711"/>
    </row>
    <row r="167" spans="1:13" ht="15.75" thickBot="1" x14ac:dyDescent="0.3">
      <c r="A167" s="643"/>
      <c r="B167" s="1229"/>
      <c r="C167" s="1229"/>
      <c r="D167" s="700"/>
      <c r="E167" s="704"/>
      <c r="F167" s="700"/>
      <c r="G167" s="707"/>
      <c r="H167" s="701"/>
      <c r="I167" s="712"/>
      <c r="J167" s="712"/>
      <c r="K167" s="712"/>
      <c r="L167" s="713"/>
    </row>
    <row r="168" spans="1:13" x14ac:dyDescent="0.25">
      <c r="A168" s="649">
        <v>26</v>
      </c>
      <c r="B168" s="1227">
        <f>Breakdown_SM26</f>
        <v>0</v>
      </c>
      <c r="C168" s="1227"/>
      <c r="D168" s="697">
        <f>Breakdown_SM_Field_26</f>
        <v>0</v>
      </c>
      <c r="E168" s="702">
        <f>SUM(Breakdown_FieldLaborCost_26)</f>
        <v>0</v>
      </c>
      <c r="F168" s="697">
        <f>Breakdown_SM_Shop_26</f>
        <v>0</v>
      </c>
      <c r="G168" s="705">
        <f>SUM(Breakdown_ShopLaborCost_26)</f>
        <v>0</v>
      </c>
      <c r="H168" s="698">
        <f>Breakdown_SM_Material_26</f>
        <v>0</v>
      </c>
      <c r="I168" s="708">
        <f t="shared" si="2"/>
        <v>0</v>
      </c>
      <c r="J168" s="708">
        <f>I168/$I$9*$I$4</f>
        <v>0</v>
      </c>
      <c r="K168" s="708">
        <f>I168/$I$9*$I$5</f>
        <v>0</v>
      </c>
      <c r="L168" s="709">
        <f>SUM(I168:K168)</f>
        <v>0</v>
      </c>
      <c r="M168" s="639"/>
    </row>
    <row r="169" spans="1:13" x14ac:dyDescent="0.25">
      <c r="A169" s="642"/>
      <c r="B169" s="1228"/>
      <c r="C169" s="1228"/>
      <c r="D169" s="699"/>
      <c r="E169" s="703"/>
      <c r="F169" s="699"/>
      <c r="G169" s="706"/>
      <c r="H169" s="693"/>
      <c r="I169" s="710"/>
      <c r="J169" s="710"/>
      <c r="K169" s="710"/>
      <c r="L169" s="711"/>
    </row>
    <row r="170" spans="1:13" x14ac:dyDescent="0.25">
      <c r="A170" s="642"/>
      <c r="B170" s="1228"/>
      <c r="C170" s="1228"/>
      <c r="D170" s="699"/>
      <c r="E170" s="703"/>
      <c r="F170" s="699"/>
      <c r="G170" s="706"/>
      <c r="H170" s="693"/>
      <c r="I170" s="710"/>
      <c r="J170" s="710"/>
      <c r="K170" s="710"/>
      <c r="L170" s="711"/>
    </row>
    <row r="171" spans="1:13" x14ac:dyDescent="0.25">
      <c r="A171" s="642"/>
      <c r="B171" s="1228"/>
      <c r="C171" s="1228"/>
      <c r="D171" s="699"/>
      <c r="E171" s="703"/>
      <c r="F171" s="699"/>
      <c r="G171" s="706"/>
      <c r="H171" s="693"/>
      <c r="I171" s="710"/>
      <c r="J171" s="710"/>
      <c r="K171" s="710"/>
      <c r="L171" s="711"/>
    </row>
    <row r="172" spans="1:13" x14ac:dyDescent="0.25">
      <c r="A172" s="642"/>
      <c r="B172" s="1228"/>
      <c r="C172" s="1228"/>
      <c r="D172" s="699"/>
      <c r="E172" s="703"/>
      <c r="F172" s="699"/>
      <c r="G172" s="706"/>
      <c r="H172" s="693"/>
      <c r="I172" s="710"/>
      <c r="J172" s="710"/>
      <c r="K172" s="710"/>
      <c r="L172" s="711"/>
    </row>
    <row r="173" spans="1:13" ht="15.75" thickBot="1" x14ac:dyDescent="0.3">
      <c r="A173" s="643"/>
      <c r="B173" s="1229"/>
      <c r="C173" s="1229"/>
      <c r="D173" s="700"/>
      <c r="E173" s="704"/>
      <c r="F173" s="700"/>
      <c r="G173" s="707"/>
      <c r="H173" s="701"/>
      <c r="I173" s="712"/>
      <c r="J173" s="712"/>
      <c r="K173" s="712"/>
      <c r="L173" s="713"/>
    </row>
    <row r="174" spans="1:13" x14ac:dyDescent="0.25">
      <c r="A174" s="649">
        <v>27</v>
      </c>
      <c r="B174" s="1227">
        <f>Breakdown_SM27</f>
        <v>0</v>
      </c>
      <c r="C174" s="1227"/>
      <c r="D174" s="697">
        <f>Breakdown_SM_Field_27</f>
        <v>0</v>
      </c>
      <c r="E174" s="702">
        <f>SUM(Breakdown_FieldLaborCost_27)</f>
        <v>0</v>
      </c>
      <c r="F174" s="697">
        <f>Breakdown_SM_Shop_27</f>
        <v>0</v>
      </c>
      <c r="G174" s="705">
        <f>SUM(Breakdown_ShopLaborCost_27)</f>
        <v>0</v>
      </c>
      <c r="H174" s="698">
        <f>Breakdown_SM_Material_27</f>
        <v>0</v>
      </c>
      <c r="I174" s="708">
        <f t="shared" si="2"/>
        <v>0</v>
      </c>
      <c r="J174" s="708">
        <f>I174/$I$9*$I$4</f>
        <v>0</v>
      </c>
      <c r="K174" s="708">
        <f>I174/$I$9*$I$5</f>
        <v>0</v>
      </c>
      <c r="L174" s="709">
        <f>SUM(I174:K174)</f>
        <v>0</v>
      </c>
      <c r="M174" s="639"/>
    </row>
    <row r="175" spans="1:13" x14ac:dyDescent="0.25">
      <c r="A175" s="642"/>
      <c r="B175" s="1228"/>
      <c r="C175" s="1228"/>
      <c r="D175" s="699"/>
      <c r="E175" s="703"/>
      <c r="F175" s="699"/>
      <c r="G175" s="706"/>
      <c r="H175" s="693"/>
      <c r="I175" s="710"/>
      <c r="J175" s="710"/>
      <c r="K175" s="710"/>
      <c r="L175" s="711"/>
    </row>
    <row r="176" spans="1:13" x14ac:dyDescent="0.25">
      <c r="A176" s="642"/>
      <c r="B176" s="1228"/>
      <c r="C176" s="1228"/>
      <c r="D176" s="699"/>
      <c r="E176" s="703"/>
      <c r="F176" s="699"/>
      <c r="G176" s="706"/>
      <c r="H176" s="693"/>
      <c r="I176" s="710"/>
      <c r="J176" s="710"/>
      <c r="K176" s="710"/>
      <c r="L176" s="711"/>
    </row>
    <row r="177" spans="1:13" x14ac:dyDescent="0.25">
      <c r="A177" s="642"/>
      <c r="B177" s="1228"/>
      <c r="C177" s="1228"/>
      <c r="D177" s="699"/>
      <c r="E177" s="703"/>
      <c r="F177" s="699"/>
      <c r="G177" s="706"/>
      <c r="H177" s="693"/>
      <c r="I177" s="710"/>
      <c r="J177" s="710"/>
      <c r="K177" s="710"/>
      <c r="L177" s="711"/>
    </row>
    <row r="178" spans="1:13" x14ac:dyDescent="0.25">
      <c r="A178" s="642"/>
      <c r="B178" s="1228"/>
      <c r="C178" s="1228"/>
      <c r="D178" s="699"/>
      <c r="E178" s="703"/>
      <c r="F178" s="699"/>
      <c r="G178" s="706"/>
      <c r="H178" s="693"/>
      <c r="I178" s="710"/>
      <c r="J178" s="710"/>
      <c r="K178" s="710"/>
      <c r="L178" s="711"/>
    </row>
    <row r="179" spans="1:13" ht="15.75" thickBot="1" x14ac:dyDescent="0.3">
      <c r="A179" s="643"/>
      <c r="B179" s="1229"/>
      <c r="C179" s="1229"/>
      <c r="D179" s="700"/>
      <c r="E179" s="704"/>
      <c r="F179" s="700"/>
      <c r="G179" s="707"/>
      <c r="H179" s="701"/>
      <c r="I179" s="712"/>
      <c r="J179" s="712"/>
      <c r="K179" s="712"/>
      <c r="L179" s="713"/>
    </row>
    <row r="180" spans="1:13" x14ac:dyDescent="0.25">
      <c r="A180" s="649">
        <v>28</v>
      </c>
      <c r="B180" s="1227">
        <f>Breakdown_SM28</f>
        <v>0</v>
      </c>
      <c r="C180" s="1227"/>
      <c r="D180" s="697">
        <f>Breakdown_SM_Field_28</f>
        <v>0</v>
      </c>
      <c r="E180" s="702">
        <f>SUM(Breakdown_FieldLaborCost_28)</f>
        <v>0</v>
      </c>
      <c r="F180" s="697">
        <f>Breakdown_SM_Shop_28</f>
        <v>0</v>
      </c>
      <c r="G180" s="705">
        <f>SUM(Breakdown_ShopLaborCost_28)</f>
        <v>0</v>
      </c>
      <c r="H180" s="698">
        <f>Breakdown_SM_Material_28</f>
        <v>0</v>
      </c>
      <c r="I180" s="708">
        <f t="shared" ref="I180:I192" si="4">SUM(H180,G180,E180)</f>
        <v>0</v>
      </c>
      <c r="J180" s="708">
        <f>I180/$I$9*$I$4</f>
        <v>0</v>
      </c>
      <c r="K180" s="708">
        <f>I180/$I$9*$I$5</f>
        <v>0</v>
      </c>
      <c r="L180" s="709">
        <f>SUM(I180:K180)</f>
        <v>0</v>
      </c>
      <c r="M180" s="639"/>
    </row>
    <row r="181" spans="1:13" x14ac:dyDescent="0.25">
      <c r="A181" s="642"/>
      <c r="B181" s="1228"/>
      <c r="C181" s="1228"/>
      <c r="D181" s="699"/>
      <c r="E181" s="703"/>
      <c r="F181" s="699"/>
      <c r="G181" s="706"/>
      <c r="H181" s="693"/>
      <c r="I181" s="710"/>
      <c r="J181" s="710"/>
      <c r="K181" s="710"/>
      <c r="L181" s="711"/>
    </row>
    <row r="182" spans="1:13" x14ac:dyDescent="0.25">
      <c r="A182" s="642"/>
      <c r="B182" s="1228"/>
      <c r="C182" s="1228"/>
      <c r="D182" s="699"/>
      <c r="E182" s="703"/>
      <c r="F182" s="699"/>
      <c r="G182" s="706"/>
      <c r="H182" s="693"/>
      <c r="I182" s="710"/>
      <c r="J182" s="710"/>
      <c r="K182" s="710"/>
      <c r="L182" s="711"/>
    </row>
    <row r="183" spans="1:13" x14ac:dyDescent="0.25">
      <c r="A183" s="642"/>
      <c r="B183" s="1228"/>
      <c r="C183" s="1228"/>
      <c r="D183" s="699"/>
      <c r="E183" s="703"/>
      <c r="F183" s="699"/>
      <c r="G183" s="706"/>
      <c r="H183" s="693"/>
      <c r="I183" s="710"/>
      <c r="J183" s="710"/>
      <c r="K183" s="710"/>
      <c r="L183" s="711"/>
    </row>
    <row r="184" spans="1:13" x14ac:dyDescent="0.25">
      <c r="A184" s="642"/>
      <c r="B184" s="1228"/>
      <c r="C184" s="1228"/>
      <c r="D184" s="699"/>
      <c r="E184" s="703"/>
      <c r="F184" s="699"/>
      <c r="G184" s="706"/>
      <c r="H184" s="693"/>
      <c r="I184" s="710"/>
      <c r="J184" s="710"/>
      <c r="K184" s="710"/>
      <c r="L184" s="711"/>
    </row>
    <row r="185" spans="1:13" ht="15.75" thickBot="1" x14ac:dyDescent="0.3">
      <c r="A185" s="643"/>
      <c r="B185" s="1229"/>
      <c r="C185" s="1229"/>
      <c r="D185" s="700"/>
      <c r="E185" s="704"/>
      <c r="F185" s="700"/>
      <c r="G185" s="707"/>
      <c r="H185" s="701"/>
      <c r="I185" s="712"/>
      <c r="J185" s="712"/>
      <c r="K185" s="712"/>
      <c r="L185" s="713"/>
    </row>
    <row r="186" spans="1:13" x14ac:dyDescent="0.25">
      <c r="A186" s="649">
        <v>29</v>
      </c>
      <c r="B186" s="1227">
        <f>Breakdown_SM29</f>
        <v>0</v>
      </c>
      <c r="C186" s="1227"/>
      <c r="D186" s="697">
        <f>Breakdown_SM_Field_29</f>
        <v>0</v>
      </c>
      <c r="E186" s="702">
        <f>SUM(Breakdown_FieldLaborCost_29)</f>
        <v>0</v>
      </c>
      <c r="F186" s="697">
        <f>Breakdown_SM_Shop_29</f>
        <v>0</v>
      </c>
      <c r="G186" s="705">
        <f>SUM(Breakdown_ShopLaborCost_29)</f>
        <v>0</v>
      </c>
      <c r="H186" s="698">
        <f>Breakdown_SM_Material_29</f>
        <v>0</v>
      </c>
      <c r="I186" s="708">
        <f t="shared" si="4"/>
        <v>0</v>
      </c>
      <c r="J186" s="708">
        <f>I186/$I$9*$I$4</f>
        <v>0</v>
      </c>
      <c r="K186" s="708">
        <f>I186/$I$9*$I$5</f>
        <v>0</v>
      </c>
      <c r="L186" s="709">
        <f>SUM(I186:K186)</f>
        <v>0</v>
      </c>
      <c r="M186" s="639"/>
    </row>
    <row r="187" spans="1:13" x14ac:dyDescent="0.25">
      <c r="A187" s="642"/>
      <c r="B187" s="1228"/>
      <c r="C187" s="1228"/>
      <c r="D187" s="699"/>
      <c r="E187" s="703"/>
      <c r="F187" s="699"/>
      <c r="G187" s="706"/>
      <c r="H187" s="693"/>
      <c r="I187" s="710"/>
      <c r="J187" s="710"/>
      <c r="K187" s="710"/>
      <c r="L187" s="711"/>
    </row>
    <row r="188" spans="1:13" x14ac:dyDescent="0.25">
      <c r="A188" s="642"/>
      <c r="B188" s="1228"/>
      <c r="C188" s="1228"/>
      <c r="D188" s="699"/>
      <c r="E188" s="703"/>
      <c r="F188" s="699"/>
      <c r="G188" s="706"/>
      <c r="H188" s="693"/>
      <c r="I188" s="710"/>
      <c r="J188" s="710"/>
      <c r="K188" s="710"/>
      <c r="L188" s="711"/>
    </row>
    <row r="189" spans="1:13" x14ac:dyDescent="0.25">
      <c r="A189" s="642"/>
      <c r="B189" s="1228"/>
      <c r="C189" s="1228"/>
      <c r="D189" s="699"/>
      <c r="E189" s="703"/>
      <c r="F189" s="699"/>
      <c r="G189" s="706"/>
      <c r="H189" s="693"/>
      <c r="I189" s="710"/>
      <c r="J189" s="710"/>
      <c r="K189" s="710"/>
      <c r="L189" s="711"/>
    </row>
    <row r="190" spans="1:13" x14ac:dyDescent="0.25">
      <c r="A190" s="642"/>
      <c r="B190" s="1228"/>
      <c r="C190" s="1228"/>
      <c r="D190" s="699"/>
      <c r="E190" s="703"/>
      <c r="F190" s="699"/>
      <c r="G190" s="706"/>
      <c r="H190" s="693"/>
      <c r="I190" s="710"/>
      <c r="J190" s="710"/>
      <c r="K190" s="710"/>
      <c r="L190" s="711"/>
    </row>
    <row r="191" spans="1:13" ht="15.75" thickBot="1" x14ac:dyDescent="0.3">
      <c r="A191" s="643"/>
      <c r="B191" s="1229"/>
      <c r="C191" s="1229"/>
      <c r="D191" s="700"/>
      <c r="E191" s="704"/>
      <c r="F191" s="700"/>
      <c r="G191" s="707"/>
      <c r="H191" s="701"/>
      <c r="I191" s="712"/>
      <c r="J191" s="712"/>
      <c r="K191" s="712"/>
      <c r="L191" s="713"/>
    </row>
    <row r="192" spans="1:13" x14ac:dyDescent="0.25">
      <c r="A192" s="649">
        <v>30</v>
      </c>
      <c r="B192" s="1227">
        <f>Breakdown_SM30</f>
        <v>0</v>
      </c>
      <c r="C192" s="1227"/>
      <c r="D192" s="697">
        <f>Breakdown_SM_Field_30</f>
        <v>0</v>
      </c>
      <c r="E192" s="702">
        <f>SUM(Breakdown_FieldLaborCost_30)</f>
        <v>0</v>
      </c>
      <c r="F192" s="697">
        <f>Breakdown_SM_Shop_30</f>
        <v>0</v>
      </c>
      <c r="G192" s="705">
        <f>SUM(Breakdown_ShopLaborCost_30)</f>
        <v>0</v>
      </c>
      <c r="H192" s="698">
        <f>Breakdown_SM_Material_30</f>
        <v>0</v>
      </c>
      <c r="I192" s="708">
        <f t="shared" si="4"/>
        <v>0</v>
      </c>
      <c r="J192" s="708">
        <f>I192/$I$9*$I$4</f>
        <v>0</v>
      </c>
      <c r="K192" s="708">
        <f>I192/$I$9*$I$5</f>
        <v>0</v>
      </c>
      <c r="L192" s="709">
        <f>SUM(I192:K192)</f>
        <v>0</v>
      </c>
      <c r="M192" s="639"/>
    </row>
    <row r="193" spans="1:12" x14ac:dyDescent="0.25">
      <c r="A193" s="642"/>
      <c r="B193" s="1228"/>
      <c r="C193" s="1228"/>
      <c r="D193" s="699"/>
      <c r="E193" s="703"/>
      <c r="F193" s="699"/>
      <c r="G193" s="706"/>
      <c r="H193" s="693"/>
      <c r="I193" s="710"/>
      <c r="J193" s="710"/>
      <c r="K193" s="710"/>
      <c r="L193" s="711"/>
    </row>
    <row r="194" spans="1:12" x14ac:dyDescent="0.25">
      <c r="A194" s="642"/>
      <c r="B194" s="1228"/>
      <c r="C194" s="1228"/>
      <c r="D194" s="699"/>
      <c r="E194" s="703"/>
      <c r="F194" s="699"/>
      <c r="G194" s="706"/>
      <c r="H194" s="693"/>
      <c r="I194" s="710"/>
      <c r="J194" s="710"/>
      <c r="K194" s="710"/>
      <c r="L194" s="711"/>
    </row>
    <row r="195" spans="1:12" x14ac:dyDescent="0.25">
      <c r="A195" s="642"/>
      <c r="B195" s="1228"/>
      <c r="C195" s="1228"/>
      <c r="D195" s="699"/>
      <c r="E195" s="703"/>
      <c r="F195" s="699"/>
      <c r="G195" s="706"/>
      <c r="H195" s="693"/>
      <c r="I195" s="710"/>
      <c r="J195" s="710"/>
      <c r="K195" s="710"/>
      <c r="L195" s="711"/>
    </row>
    <row r="196" spans="1:12" x14ac:dyDescent="0.25">
      <c r="A196" s="642"/>
      <c r="B196" s="1228"/>
      <c r="C196" s="1228"/>
      <c r="D196" s="699"/>
      <c r="E196" s="703"/>
      <c r="F196" s="699"/>
      <c r="G196" s="706"/>
      <c r="H196" s="693"/>
      <c r="I196" s="710"/>
      <c r="J196" s="710"/>
      <c r="K196" s="710"/>
      <c r="L196" s="711"/>
    </row>
    <row r="197" spans="1:12" ht="15.75" thickBot="1" x14ac:dyDescent="0.3">
      <c r="A197" s="643"/>
      <c r="B197" s="1229"/>
      <c r="C197" s="1229"/>
      <c r="D197" s="700"/>
      <c r="E197" s="704"/>
      <c r="F197" s="700"/>
      <c r="G197" s="707"/>
      <c r="H197" s="701"/>
      <c r="I197" s="712"/>
      <c r="J197" s="712"/>
      <c r="K197" s="712"/>
      <c r="L197" s="713"/>
    </row>
    <row r="198" spans="1:12" x14ac:dyDescent="0.25">
      <c r="A198" s="649">
        <v>31</v>
      </c>
      <c r="B198" s="1227">
        <f>Breakdown_SM31</f>
        <v>0</v>
      </c>
      <c r="C198" s="1227"/>
      <c r="D198" s="697">
        <f>Breakdown_SM_Field_31</f>
        <v>0</v>
      </c>
      <c r="E198" s="702">
        <f>SUM(Breakdown_FieldLaborCost_31)</f>
        <v>0</v>
      </c>
      <c r="F198" s="697">
        <f>Breakdown_SM_Shop_30</f>
        <v>0</v>
      </c>
      <c r="G198" s="705">
        <f>SUM(Breakdown_ShopLaborCost_31)</f>
        <v>0</v>
      </c>
      <c r="H198" s="698">
        <f>Breakdown_SM_Material_31</f>
        <v>0</v>
      </c>
      <c r="I198" s="708">
        <f t="shared" ref="I198" si="5">SUM(H198,G198,E198)</f>
        <v>0</v>
      </c>
      <c r="J198" s="708">
        <f>I198/$I$9*$I$4</f>
        <v>0</v>
      </c>
      <c r="K198" s="708">
        <f>I198/$I$9*$I$5</f>
        <v>0</v>
      </c>
      <c r="L198" s="709">
        <f>SUM(I198:K198)</f>
        <v>0</v>
      </c>
    </row>
    <row r="199" spans="1:12" x14ac:dyDescent="0.25">
      <c r="A199" s="642"/>
      <c r="B199" s="1228"/>
      <c r="C199" s="1228"/>
      <c r="D199" s="699"/>
      <c r="E199" s="703"/>
      <c r="F199" s="699"/>
      <c r="G199" s="706"/>
      <c r="H199" s="693"/>
      <c r="I199" s="710"/>
      <c r="J199" s="710"/>
      <c r="K199" s="710"/>
      <c r="L199" s="711"/>
    </row>
    <row r="200" spans="1:12" x14ac:dyDescent="0.25">
      <c r="A200" s="642"/>
      <c r="B200" s="1228"/>
      <c r="C200" s="1228"/>
      <c r="D200" s="699"/>
      <c r="E200" s="703"/>
      <c r="F200" s="699"/>
      <c r="G200" s="706"/>
      <c r="H200" s="693"/>
      <c r="I200" s="710"/>
      <c r="J200" s="710"/>
      <c r="K200" s="710"/>
      <c r="L200" s="711"/>
    </row>
    <row r="201" spans="1:12" x14ac:dyDescent="0.25">
      <c r="A201" s="642"/>
      <c r="B201" s="1228"/>
      <c r="C201" s="1228"/>
      <c r="D201" s="699"/>
      <c r="E201" s="703"/>
      <c r="F201" s="699"/>
      <c r="G201" s="706"/>
      <c r="H201" s="693"/>
      <c r="I201" s="710"/>
      <c r="J201" s="710"/>
      <c r="K201" s="710"/>
      <c r="L201" s="711"/>
    </row>
    <row r="202" spans="1:12" x14ac:dyDescent="0.25">
      <c r="A202" s="642"/>
      <c r="B202" s="1228"/>
      <c r="C202" s="1228"/>
      <c r="D202" s="699"/>
      <c r="E202" s="703"/>
      <c r="F202" s="699"/>
      <c r="G202" s="706"/>
      <c r="H202" s="693"/>
      <c r="I202" s="710"/>
      <c r="J202" s="710"/>
      <c r="K202" s="710"/>
      <c r="L202" s="711"/>
    </row>
    <row r="203" spans="1:12" ht="15.75" thickBot="1" x14ac:dyDescent="0.3">
      <c r="A203" s="643"/>
      <c r="B203" s="1229"/>
      <c r="C203" s="1229"/>
      <c r="D203" s="700"/>
      <c r="E203" s="704"/>
      <c r="F203" s="700"/>
      <c r="G203" s="707"/>
      <c r="H203" s="701"/>
      <c r="I203" s="712"/>
      <c r="J203" s="712"/>
      <c r="K203" s="712"/>
      <c r="L203" s="713"/>
    </row>
  </sheetData>
  <sheetProtection algorithmName="SHA-512" hashValue="RVA2ewmEoHLX1RaZO/xEi79jjpnUb6gG1uzJzCHCDUZdkPYqOIeCdmLthscW+hmI9dCKNlk1pTzgTX46BVfgCQ==" saltValue="JALFfL6PSMB5eooyG3oTpg==" spinCount="100000" sheet="1" objects="1" scenarios="1" sort="0" autoFilter="0" pivotTables="0"/>
  <mergeCells count="65">
    <mergeCell ref="B90:C90"/>
    <mergeCell ref="B150:C150"/>
    <mergeCell ref="B144:C144"/>
    <mergeCell ref="B11:C11"/>
    <mergeCell ref="B37:C41"/>
    <mergeCell ref="B18:C18"/>
    <mergeCell ref="B24:C24"/>
    <mergeCell ref="B30:C30"/>
    <mergeCell ref="B36:C36"/>
    <mergeCell ref="B31:C35"/>
    <mergeCell ref="B19:C23"/>
    <mergeCell ref="B25:C29"/>
    <mergeCell ref="B12:C12"/>
    <mergeCell ref="B13:C17"/>
    <mergeCell ref="B115:C119"/>
    <mergeCell ref="B109:C113"/>
    <mergeCell ref="B103:C107"/>
    <mergeCell ref="B198:C198"/>
    <mergeCell ref="B199:C203"/>
    <mergeCell ref="B97:C101"/>
    <mergeCell ref="B91:C95"/>
    <mergeCell ref="B114:C114"/>
    <mergeCell ref="B108:C108"/>
    <mergeCell ref="B102:C102"/>
    <mergeCell ref="B96:C96"/>
    <mergeCell ref="B151:C155"/>
    <mergeCell ref="B126:C126"/>
    <mergeCell ref="B120:C120"/>
    <mergeCell ref="B127:C131"/>
    <mergeCell ref="B121:C125"/>
    <mergeCell ref="B145:C149"/>
    <mergeCell ref="B139:C143"/>
    <mergeCell ref="B85:C89"/>
    <mergeCell ref="B79:C83"/>
    <mergeCell ref="B73:C77"/>
    <mergeCell ref="B67:C71"/>
    <mergeCell ref="B72:C72"/>
    <mergeCell ref="B78:C78"/>
    <mergeCell ref="B84:C84"/>
    <mergeCell ref="B133:C137"/>
    <mergeCell ref="B138:C138"/>
    <mergeCell ref="B132:C132"/>
    <mergeCell ref="B162:C162"/>
    <mergeCell ref="B156:C156"/>
    <mergeCell ref="B163:C167"/>
    <mergeCell ref="B157:C161"/>
    <mergeCell ref="B193:C197"/>
    <mergeCell ref="B187:C191"/>
    <mergeCell ref="B181:C185"/>
    <mergeCell ref="B175:C179"/>
    <mergeCell ref="B169:C173"/>
    <mergeCell ref="B192:C192"/>
    <mergeCell ref="B186:C186"/>
    <mergeCell ref="B180:C180"/>
    <mergeCell ref="B174:C174"/>
    <mergeCell ref="B168:C168"/>
    <mergeCell ref="B42:C42"/>
    <mergeCell ref="B60:C60"/>
    <mergeCell ref="B54:C54"/>
    <mergeCell ref="B48:C48"/>
    <mergeCell ref="B66:C66"/>
    <mergeCell ref="B61:C65"/>
    <mergeCell ref="B55:C59"/>
    <mergeCell ref="B49:C53"/>
    <mergeCell ref="B43:C47"/>
  </mergeCells>
  <printOptions horizontalCentered="1"/>
  <pageMargins left="0.7" right="0.7" top="0.25" bottom="0.75" header="0.3" footer="0.3"/>
  <pageSetup scale="59" fitToHeight="0" orientation="landscape" r:id="rId1"/>
  <headerFooter scaleWithDoc="0">
    <oddFooter>Page &amp;P of &amp;N</oddFooter>
  </headerFooter>
  <rowBreaks count="3" manualBreakCount="3">
    <brk id="59" max="16383" man="1"/>
    <brk id="107" max="16383" man="1"/>
    <brk id="155" max="16383" man="1"/>
  </rowBreaks>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
    <pageSetUpPr fitToPage="1"/>
  </sheetPr>
  <dimension ref="A1:Y865"/>
  <sheetViews>
    <sheetView workbookViewId="0">
      <selection activeCell="K778" sqref="K778"/>
    </sheetView>
  </sheetViews>
  <sheetFormatPr defaultRowHeight="12.75" x14ac:dyDescent="0.2"/>
  <cols>
    <col min="1" max="2" width="12.7109375" customWidth="1"/>
    <col min="3" max="3" width="23.7109375" customWidth="1"/>
    <col min="5" max="5" width="14.7109375" customWidth="1"/>
    <col min="6" max="6" width="14.5703125" customWidth="1"/>
    <col min="7" max="7" width="10.7109375" customWidth="1"/>
    <col min="8" max="8" width="14.7109375" customWidth="1"/>
    <col min="9" max="9" width="14.5703125" customWidth="1"/>
    <col min="10" max="10" width="9.140625" customWidth="1"/>
    <col min="11" max="11" width="11.42578125" customWidth="1"/>
    <col min="12" max="12" width="9.140625" customWidth="1"/>
    <col min="13" max="13" width="13.140625" style="494" bestFit="1" customWidth="1"/>
    <col min="14" max="14" width="9.140625" customWidth="1"/>
    <col min="15" max="18" width="9.140625" hidden="1" customWidth="1"/>
    <col min="19" max="21" width="0" hidden="1" customWidth="1"/>
    <col min="24" max="24" width="12.85546875" bestFit="1" customWidth="1"/>
    <col min="25" max="25" width="21.28515625" customWidth="1"/>
  </cols>
  <sheetData>
    <row r="1" spans="1:25" ht="28.5" customHeight="1" x14ac:dyDescent="0.2">
      <c r="A1" s="1242" t="s">
        <v>310</v>
      </c>
      <c r="B1" s="1242"/>
      <c r="C1" s="1242"/>
      <c r="R1" t="s">
        <v>1598</v>
      </c>
    </row>
    <row r="2" spans="1:25" ht="19.5" customHeight="1" x14ac:dyDescent="0.25">
      <c r="A2" s="1243" t="s">
        <v>311</v>
      </c>
      <c r="B2" s="1243"/>
      <c r="C2" s="1254" t="str">
        <f>'MCAA RECAP'!H6</f>
        <v>ENFRA - Columbia Gorge</v>
      </c>
      <c r="D2" s="1254"/>
      <c r="E2" s="388" t="s">
        <v>1301</v>
      </c>
      <c r="F2" s="547"/>
      <c r="H2" s="170"/>
      <c r="I2" s="170"/>
      <c r="K2" t="s">
        <v>461</v>
      </c>
      <c r="R2" t="s">
        <v>1599</v>
      </c>
    </row>
    <row r="3" spans="1:25" ht="15.75" x14ac:dyDescent="0.25">
      <c r="A3" s="1243" t="s">
        <v>312</v>
      </c>
      <c r="B3" s="1243"/>
      <c r="C3" s="1255"/>
      <c r="D3" s="1255"/>
      <c r="E3" s="388" t="s">
        <v>1303</v>
      </c>
      <c r="F3" s="556" t="str">
        <f>Info_Est_No</f>
        <v>25-800</v>
      </c>
      <c r="K3" t="s">
        <v>462</v>
      </c>
      <c r="R3" t="s">
        <v>1600</v>
      </c>
    </row>
    <row r="4" spans="1:25" ht="15.75" x14ac:dyDescent="0.25">
      <c r="A4" s="1243" t="s">
        <v>313</v>
      </c>
      <c r="B4" s="1243"/>
      <c r="C4" s="1241"/>
      <c r="D4" s="1241"/>
      <c r="K4" t="s">
        <v>463</v>
      </c>
      <c r="R4" t="s">
        <v>1601</v>
      </c>
    </row>
    <row r="5" spans="1:25" ht="15.75" x14ac:dyDescent="0.25">
      <c r="B5" s="388" t="s">
        <v>1166</v>
      </c>
      <c r="C5" s="1241"/>
      <c r="D5" s="1241"/>
      <c r="K5" t="s">
        <v>464</v>
      </c>
      <c r="R5" t="s">
        <v>1602</v>
      </c>
    </row>
    <row r="6" spans="1:25" ht="15.75" x14ac:dyDescent="0.25">
      <c r="B6" s="388" t="s">
        <v>1332</v>
      </c>
      <c r="C6" s="417"/>
      <c r="D6" s="417"/>
      <c r="E6" s="417"/>
      <c r="R6" t="s">
        <v>1603</v>
      </c>
    </row>
    <row r="7" spans="1:25" ht="16.5" thickBot="1" x14ac:dyDescent="0.3">
      <c r="A7" s="1243" t="s">
        <v>314</v>
      </c>
      <c r="B7" s="1243"/>
      <c r="C7" s="1255"/>
      <c r="D7" s="1255"/>
      <c r="R7" t="s">
        <v>1604</v>
      </c>
    </row>
    <row r="8" spans="1:25" ht="15.75" thickBot="1" x14ac:dyDescent="0.3">
      <c r="A8" s="169" t="s">
        <v>315</v>
      </c>
      <c r="B8" s="655"/>
      <c r="C8" s="158"/>
      <c r="D8" s="157"/>
      <c r="F8" s="169" t="s">
        <v>316</v>
      </c>
      <c r="G8" s="1246"/>
      <c r="H8" s="1244"/>
      <c r="I8" s="1247"/>
      <c r="K8" s="830" t="str">
        <f>IF(SUBTOTAL(109,E22:F120,E128:F226,E234:F332,E340:F438,E446:F544,E552:F650,E658:F756,E764:F862)-Y14=0,"","Clean Up Booking Required, Missing Booked Lines")</f>
        <v>Clean Up Booking Required, Missing Booked Lines</v>
      </c>
      <c r="R8" t="s">
        <v>1605</v>
      </c>
    </row>
    <row r="9" spans="1:25" ht="15.75" thickBot="1" x14ac:dyDescent="0.3">
      <c r="A9" s="169" t="s">
        <v>317</v>
      </c>
      <c r="B9" s="655"/>
      <c r="C9" s="158"/>
      <c r="E9" s="158"/>
      <c r="F9" s="159"/>
      <c r="G9" s="159"/>
      <c r="H9" s="159"/>
      <c r="I9" s="159"/>
      <c r="K9" s="494"/>
      <c r="R9" t="s">
        <v>1606</v>
      </c>
    </row>
    <row r="10" spans="1:25" ht="22.5" customHeight="1" thickBot="1" x14ac:dyDescent="0.3">
      <c r="A10" s="388" t="s">
        <v>318</v>
      </c>
      <c r="B10" s="167"/>
      <c r="C10" s="168">
        <v>1</v>
      </c>
      <c r="E10" s="1248" t="s">
        <v>319</v>
      </c>
      <c r="F10" s="1249"/>
      <c r="G10" s="1250">
        <f>Info_Total_Bid</f>
        <v>2055185</v>
      </c>
      <c r="H10" s="1251"/>
      <c r="I10" s="1252"/>
      <c r="K10" s="494"/>
      <c r="M10" t="str">
        <f>IF(AND(Y16&gt;-2,Y16&lt;2),"Booking Complete","Review Booking Codes There is $" &amp; ROUND(Y16,2) &amp; " Un-Assigned")</f>
        <v>Review Booking Codes There is $1279263.34 Un-Assigned</v>
      </c>
      <c r="R10" t="s">
        <v>124</v>
      </c>
    </row>
    <row r="11" spans="1:25" ht="22.5" customHeight="1" thickBot="1" x14ac:dyDescent="0.3">
      <c r="A11" s="388" t="s">
        <v>1643</v>
      </c>
      <c r="B11" s="724" t="str">
        <f>OCIP_GL_Toggle</f>
        <v>No OCIP</v>
      </c>
      <c r="C11" s="168"/>
      <c r="E11" s="1248" t="s">
        <v>1320</v>
      </c>
      <c r="F11" s="1249"/>
      <c r="G11" s="1256">
        <f>Y13-Y15</f>
        <v>1542597.7216</v>
      </c>
      <c r="H11" s="1257"/>
      <c r="I11" s="1258"/>
      <c r="K11" s="494"/>
      <c r="M11" s="1233" t="str">
        <f>IF(M10="Booking Complete","☺","☹")</f>
        <v>☹</v>
      </c>
      <c r="R11" t="s">
        <v>1607</v>
      </c>
    </row>
    <row r="12" spans="1:25" ht="22.5" customHeight="1" thickBot="1" x14ac:dyDescent="0.3">
      <c r="A12" s="1259" t="s">
        <v>1596</v>
      </c>
      <c r="B12" s="1259"/>
      <c r="C12" s="654">
        <f>'MCAA RECAP'!N6</f>
        <v>0</v>
      </c>
      <c r="K12" s="494"/>
      <c r="M12" s="1233"/>
      <c r="R12" t="s">
        <v>1608</v>
      </c>
    </row>
    <row r="13" spans="1:25" ht="20.25" customHeight="1" thickBot="1" x14ac:dyDescent="0.3">
      <c r="A13" s="1164" t="s">
        <v>1597</v>
      </c>
      <c r="B13" s="1164"/>
      <c r="C13" s="654" t="str">
        <f>'MCAA RECAP'!N5</f>
        <v>Commercial</v>
      </c>
      <c r="E13" s="158" t="s">
        <v>457</v>
      </c>
      <c r="F13" s="158"/>
      <c r="G13" s="1250">
        <f>Info_Market_Recovery</f>
        <v>0</v>
      </c>
      <c r="H13" s="1251"/>
      <c r="I13" s="1252"/>
      <c r="K13" s="494"/>
      <c r="M13" t="str">
        <f>"Includes " &amp; ROUND(M18-M15,2) &amp; " Hours In Missing Labor"</f>
        <v>Includes 4309.1 Hours In Missing Labor</v>
      </c>
      <c r="N13" s="616"/>
      <c r="O13" s="616"/>
      <c r="P13" s="616"/>
      <c r="R13" t="s">
        <v>1609</v>
      </c>
      <c r="X13" s="548" t="s">
        <v>1812</v>
      </c>
      <c r="Y13" s="807">
        <f>$G$10</f>
        <v>2055185</v>
      </c>
    </row>
    <row r="14" spans="1:25" ht="20.25" customHeight="1" thickBot="1" x14ac:dyDescent="0.3">
      <c r="A14" s="156"/>
      <c r="B14" s="158"/>
      <c r="C14" s="158"/>
      <c r="E14" s="158" t="s">
        <v>320</v>
      </c>
      <c r="F14" s="158"/>
      <c r="G14" s="1253"/>
      <c r="H14" s="1253"/>
      <c r="I14" s="1253"/>
      <c r="K14" s="494"/>
      <c r="M14" s="121" t="s">
        <v>1545</v>
      </c>
      <c r="O14" s="494"/>
      <c r="P14" s="494"/>
      <c r="R14" t="s">
        <v>1610</v>
      </c>
      <c r="X14" s="548" t="s">
        <v>1811</v>
      </c>
      <c r="Y14" s="807">
        <f>SUM($E$865:$F$865)</f>
        <v>263334.38160000002</v>
      </c>
    </row>
    <row r="15" spans="1:25" ht="15.75" thickBot="1" x14ac:dyDescent="0.3">
      <c r="A15" s="156" t="s">
        <v>1300</v>
      </c>
      <c r="B15" s="919"/>
      <c r="C15" s="919"/>
      <c r="E15" s="156" t="s">
        <v>321</v>
      </c>
      <c r="F15" s="156"/>
      <c r="G15" s="1244"/>
      <c r="H15" s="1244"/>
      <c r="I15" s="1244"/>
      <c r="K15" s="494"/>
      <c r="M15" s="120">
        <f>ROUND(D865,2)</f>
        <v>2367.91</v>
      </c>
      <c r="O15" s="494"/>
      <c r="P15" s="494"/>
      <c r="R15" t="s">
        <v>1611</v>
      </c>
      <c r="X15" s="548" t="s">
        <v>1813</v>
      </c>
      <c r="Y15" s="808">
        <f>SUM('MCAA RECAP'!H60:H62,CAT_TAX,'MCAA RECAP'!H69)</f>
        <v>512587.27839999989</v>
      </c>
    </row>
    <row r="16" spans="1:25" ht="22.5" customHeight="1" thickBot="1" x14ac:dyDescent="0.3">
      <c r="A16" s="158" t="s">
        <v>1298</v>
      </c>
      <c r="B16" s="487">
        <v>1</v>
      </c>
      <c r="C16" s="158"/>
      <c r="D16" s="389"/>
      <c r="E16" s="1245" t="s">
        <v>322</v>
      </c>
      <c r="F16" s="1245"/>
      <c r="G16" s="1244"/>
      <c r="H16" s="1244"/>
      <c r="I16" s="1244"/>
      <c r="K16" s="494"/>
      <c r="M16" s="121"/>
      <c r="O16" s="494"/>
      <c r="P16" s="494"/>
      <c r="X16" s="548"/>
      <c r="Y16">
        <f>Y13-Y14-Y15</f>
        <v>1279263.3400000001</v>
      </c>
    </row>
    <row r="17" spans="1:16" ht="22.5" customHeight="1" thickBot="1" x14ac:dyDescent="0.3">
      <c r="A17" s="158" t="s">
        <v>1299</v>
      </c>
      <c r="B17" s="158"/>
      <c r="C17" s="158"/>
      <c r="D17" s="389"/>
      <c r="E17" s="158" t="s">
        <v>323</v>
      </c>
      <c r="F17" s="158"/>
      <c r="G17" s="1244"/>
      <c r="H17" s="1244"/>
      <c r="I17" s="1244"/>
      <c r="K17" s="494"/>
      <c r="M17" s="121" t="s">
        <v>1546</v>
      </c>
      <c r="O17" s="494"/>
      <c r="P17" s="494"/>
    </row>
    <row r="18" spans="1:16" ht="15.75" thickBot="1" x14ac:dyDescent="0.3">
      <c r="A18" s="160"/>
      <c r="B18" s="160"/>
      <c r="C18" s="160"/>
      <c r="E18" s="158"/>
      <c r="F18" s="158"/>
      <c r="G18" s="161"/>
      <c r="H18" s="161"/>
      <c r="I18" s="161"/>
      <c r="K18" s="494"/>
      <c r="M18" s="120">
        <f>ROUND(SUM('MCAA RECAP'!E18:H18,'MCAA RECAP'!F48:F52,Trucking_Hrs*Trucking_Loads,'MCAA RECAP'!F97,'MCAA RECAP'!F98),2)+'MCAA RECAP'!F102</f>
        <v>6677.01</v>
      </c>
      <c r="O18" s="494"/>
      <c r="P18" s="494"/>
    </row>
    <row r="19" spans="1:16" ht="16.5" thickBot="1" x14ac:dyDescent="0.3">
      <c r="A19" s="83"/>
      <c r="B19" s="1237" t="s">
        <v>324</v>
      </c>
      <c r="C19" s="1238"/>
      <c r="K19" s="810">
        <f>K121</f>
        <v>136742.6704</v>
      </c>
      <c r="O19" s="494"/>
      <c r="P19" s="494"/>
    </row>
    <row r="20" spans="1:16" ht="26.25" thickBot="1" x14ac:dyDescent="0.25">
      <c r="A20" s="162" t="s">
        <v>325</v>
      </c>
      <c r="B20" s="1239" t="s">
        <v>0</v>
      </c>
      <c r="C20" s="1240"/>
      <c r="D20" s="163" t="s">
        <v>326</v>
      </c>
      <c r="E20" s="163" t="s">
        <v>327</v>
      </c>
      <c r="F20" s="163" t="s">
        <v>328</v>
      </c>
      <c r="G20" s="163" t="s">
        <v>1323</v>
      </c>
      <c r="H20" s="163" t="s">
        <v>1317</v>
      </c>
      <c r="K20" s="810">
        <f>K121</f>
        <v>136742.6704</v>
      </c>
      <c r="O20" s="494"/>
      <c r="P20" s="494"/>
    </row>
    <row r="21" spans="1:16" ht="17.100000000000001" customHeight="1" thickBot="1" x14ac:dyDescent="0.3">
      <c r="A21" s="164" t="s">
        <v>329</v>
      </c>
      <c r="B21" s="164"/>
      <c r="K21" s="810">
        <f>K121</f>
        <v>136742.6704</v>
      </c>
      <c r="O21" s="494"/>
      <c r="P21" s="494"/>
    </row>
    <row r="22" spans="1:16" ht="18" customHeight="1" thickBot="1" x14ac:dyDescent="0.25">
      <c r="A22" s="190" t="s">
        <v>231</v>
      </c>
      <c r="B22" s="1234" t="str">
        <f>IF('Phase Codes'!B4="","",'Phase Codes'!B4)</f>
        <v>Project Management Time</v>
      </c>
      <c r="C22" s="1234"/>
      <c r="D22" s="404">
        <f>SUMIFS(SM_FieldLaborColumn,PC_SM_Field,$A22)+'MCAA RECAP'!F48+'MCAA RECAP'!F98</f>
        <v>540.52</v>
      </c>
      <c r="E22" s="405">
        <f>SUMIFS(Takeoff_Total_Field_Labor_Cost,PC_SM_Field,$A22)+'MCAA RECAP'!H48+'MCAA RECAP'!H98</f>
        <v>60819.32</v>
      </c>
      <c r="F22" s="405">
        <f>SUMIFS(SM_MaterialColumn,PC_SM_Material,$A22)+SUMIF('MCAA RECAP'!$A$101:$A$105,A22,'MCAA RECAP'!$H$101:$H$105)</f>
        <v>0</v>
      </c>
      <c r="G22" t="s">
        <v>1319</v>
      </c>
      <c r="H22" s="121">
        <f>IF($G22="E",6,IF($G22="M",3,IF($G22="OH","?",IF($G22="OT",7,IF($G22="S",4,"")))))</f>
        <v>3</v>
      </c>
      <c r="K22" s="810">
        <f>SUM(D22:F22)</f>
        <v>61359.839999999997</v>
      </c>
    </row>
    <row r="23" spans="1:16" ht="18" customHeight="1" thickBot="1" x14ac:dyDescent="0.25">
      <c r="A23" s="190" t="s">
        <v>431</v>
      </c>
      <c r="B23" s="1234" t="str">
        <f>IF('Phase Codes'!B5="","",'Phase Codes'!B5)</f>
        <v>Site Administration</v>
      </c>
      <c r="C23" s="1234"/>
      <c r="D23" s="404">
        <f>SUMIFS(SM_FieldLaborColumn,PC_SM_Field,$A23)</f>
        <v>0</v>
      </c>
      <c r="E23" s="406">
        <f>SUMIFS(Takeoff_Total_Field_Labor_Cost,PC_SM_Field,$A23)+SUMIF('MCAA RECAP'!$A$103:$A$105,$A23,'MCAA RECAP'!$H$103:$H$105)+'MCAA RECAP'!H96</f>
        <v>0</v>
      </c>
      <c r="F23" s="405">
        <f>SUMIFS(SM_MaterialColumn,PC_SM_Material,$A23)+SUMIF('MCAA RECAP'!$A$101:$A$105,A23,'MCAA RECAP'!$H$101:$H$105)</f>
        <v>0</v>
      </c>
      <c r="G23" t="s">
        <v>1319</v>
      </c>
      <c r="H23" s="121">
        <f t="shared" ref="H23:H27" si="0">IF($G23="E",6,IF($G23="M",3,IF($G23="OH","?",IF($G23="OT",7,IF($G23="S",4,"")))))</f>
        <v>3</v>
      </c>
      <c r="K23" s="810">
        <f t="shared" ref="K23:K86" si="1">SUM(D23:F23)</f>
        <v>0</v>
      </c>
    </row>
    <row r="24" spans="1:16" ht="18" customHeight="1" thickBot="1" x14ac:dyDescent="0.25">
      <c r="A24" s="190" t="s">
        <v>432</v>
      </c>
      <c r="B24" s="1234" t="str">
        <f>IF('Phase Codes'!B6="","",'Phase Codes'!B6)</f>
        <v>CAD Operator</v>
      </c>
      <c r="C24" s="1234"/>
      <c r="D24" s="404">
        <f>SUMIFS(SM_FieldLaborColumn,PC_SM_Field,$A24)+SUM('MCAA RECAP'!E12:G12)+'MCAA RECAP'!F102</f>
        <v>604.72</v>
      </c>
      <c r="E24" s="405">
        <f>SUMIFS(Takeoff_Total_Field_Labor_Cost,PC_SM_Field,$A24)+('MCAA RECAP'!E12*CrewRate_Plumb)+('MCAA RECAP'!F12*CrewRate_Pipe)+('MCAA RECAP'!G12*CrewRate_SMField)+'MCAA RECAP'!H102</f>
        <v>58851.350399999996</v>
      </c>
      <c r="F24" s="406">
        <f>SUMIFS(SM_MaterialColumn,PC_SM_Material,$A24)+SUMIF('MCAA RECAP'!$A$101:$A$105,A24,'MCAA RECAP'!$H$101:$H$105)-'MCAA RECAP'!H102</f>
        <v>0</v>
      </c>
      <c r="G24" t="s">
        <v>1319</v>
      </c>
      <c r="H24" s="121">
        <f t="shared" si="0"/>
        <v>3</v>
      </c>
      <c r="K24" s="810">
        <f t="shared" si="1"/>
        <v>59456.070399999997</v>
      </c>
    </row>
    <row r="25" spans="1:16" ht="18" customHeight="1" thickBot="1" x14ac:dyDescent="0.25">
      <c r="A25" s="190" t="s">
        <v>433</v>
      </c>
      <c r="B25" s="1234" t="str">
        <f>IF('Phase Codes'!B7="","",'Phase Codes'!B7)</f>
        <v>Site/Project Safety Staff</v>
      </c>
      <c r="C25" s="1234"/>
      <c r="D25" s="404">
        <f>SUMIFS(SM_FieldLaborColumn,PC_SM_Field,$A25)</f>
        <v>0</v>
      </c>
      <c r="E25" s="405">
        <f>SUMIFS(Takeoff_Total_Field_Labor_Cost,PC_SM_Field,$A25)+SUMIF('MCAA RECAP'!$A$103:$A$105,$A25,'MCAA RECAP'!$H$103:$H$105)</f>
        <v>0</v>
      </c>
      <c r="F25" s="405">
        <f>SUMIFS(SM_MaterialColumn,PC_SM_Material,$A25)+SUMIF('MCAA RECAP'!$A$101:$A$105,A25,'MCAA RECAP'!$H$101:$H$105)</f>
        <v>0</v>
      </c>
      <c r="G25" t="s">
        <v>1319</v>
      </c>
      <c r="H25" s="121">
        <f t="shared" si="0"/>
        <v>3</v>
      </c>
      <c r="K25" s="810">
        <f t="shared" si="1"/>
        <v>0</v>
      </c>
    </row>
    <row r="26" spans="1:16" ht="18" customHeight="1" thickBot="1" x14ac:dyDescent="0.25">
      <c r="A26" s="190" t="s">
        <v>434</v>
      </c>
      <c r="B26" s="1234" t="str">
        <f>IF('Phase Codes'!B8="","",'Phase Codes'!B8)</f>
        <v>General Labor</v>
      </c>
      <c r="C26" s="1234"/>
      <c r="D26" s="404">
        <f>SUMIFS(SM_FieldLaborColumn,PC_SM_Field,$A26)</f>
        <v>0</v>
      </c>
      <c r="E26" s="406">
        <f>SUMIFS(Takeoff_Total_Field_Labor_Cost,PC_SM_Field,$A26)+SUMIF('MCAA RECAP'!$A$103:$A$105,$A26,'MCAA RECAP'!$H$103:$H$105)+'MCAA RECAP'!H100</f>
        <v>0</v>
      </c>
      <c r="F26" s="405">
        <f>SUMIFS(SM_MaterialColumn,PC_SM_Material,$A26)+SUMIF('MCAA RECAP'!$A$101:$A$105,A26,'MCAA RECAP'!$H$101:$H$105)</f>
        <v>0</v>
      </c>
      <c r="G26" t="s">
        <v>1319</v>
      </c>
      <c r="H26" s="121">
        <f t="shared" si="0"/>
        <v>3</v>
      </c>
      <c r="K26" s="810">
        <f t="shared" si="1"/>
        <v>0</v>
      </c>
    </row>
    <row r="27" spans="1:16" ht="18" customHeight="1" thickBot="1" x14ac:dyDescent="0.25">
      <c r="A27" s="190" t="s">
        <v>435</v>
      </c>
      <c r="B27" s="1234" t="str">
        <f>IF('Phase Codes'!B9="","",'Phase Codes'!B9)</f>
        <v>Drivers and Delivery</v>
      </c>
      <c r="C27" s="1234"/>
      <c r="D27" s="404">
        <f>SUMIFS(SM_FieldLaborColumn,PC_SM_Field,$A27)+Trucking_Hrs*Trucking_Loads</f>
        <v>0</v>
      </c>
      <c r="E27" s="405">
        <f>SUMIFS(Takeoff_Total_Field_Labor_Cost,PC_SM_Field,$A27)+Trucking_Total</f>
        <v>0</v>
      </c>
      <c r="F27" s="405">
        <f>SUMIFS(SM_MaterialColumn,PC_SM_Material,$A27)+SUMIF('MCAA RECAP'!$A$101:$A$105,A27,'MCAA RECAP'!$H$101:$H$105)</f>
        <v>0</v>
      </c>
      <c r="G27" t="s">
        <v>1319</v>
      </c>
      <c r="H27" s="121">
        <f t="shared" si="0"/>
        <v>3</v>
      </c>
      <c r="K27" s="810">
        <f t="shared" si="1"/>
        <v>0</v>
      </c>
    </row>
    <row r="28" spans="1:16" ht="18" customHeight="1" thickBot="1" x14ac:dyDescent="0.25">
      <c r="A28" s="190" t="s">
        <v>9</v>
      </c>
      <c r="B28" s="1234" t="str">
        <f>IF('Phase Codes'!B10="","",'Phase Codes'!B10)</f>
        <v>Miscellaneous</v>
      </c>
      <c r="C28" s="1234"/>
      <c r="D28" s="404">
        <f t="shared" ref="D28:D42" si="2">SUMIFS(SM_FieldLaborColumn,PC_SM_Field,$A28)</f>
        <v>0</v>
      </c>
      <c r="E28" s="406">
        <f t="shared" ref="E28:E42" si="3">SUMIFS(Takeoff_Total_Field_Labor_Cost,PC_SM_Field,$A28)</f>
        <v>0</v>
      </c>
      <c r="F28" s="406">
        <f>SUMIFS(SM_MaterialColumn,PC_SM_Material,$A28)+'MCAA RECAP'!H91+SUMIF('MCAA RECAP'!$A$101:$A$105,A28,'MCAA RECAP'!$H$101:$H$105)</f>
        <v>0</v>
      </c>
      <c r="G28" t="s">
        <v>1321</v>
      </c>
      <c r="H28" s="121" t="s">
        <v>1325</v>
      </c>
      <c r="K28" s="810">
        <f t="shared" si="1"/>
        <v>0</v>
      </c>
    </row>
    <row r="29" spans="1:16" ht="18" customHeight="1" thickBot="1" x14ac:dyDescent="0.25">
      <c r="A29" s="190" t="s">
        <v>10</v>
      </c>
      <c r="B29" s="1234" t="str">
        <f>IF('Phase Codes'!B11="","",'Phase Codes'!B11)</f>
        <v>Site Office Supplies</v>
      </c>
      <c r="C29" s="1234"/>
      <c r="D29" s="404">
        <f t="shared" si="2"/>
        <v>0</v>
      </c>
      <c r="E29" s="406">
        <f t="shared" si="3"/>
        <v>0</v>
      </c>
      <c r="F29" s="405">
        <f>SUMIFS(SM_MaterialColumn,PC_SM_Material,$A29)+SUMIF('MCAA RECAP'!$A$101:$A$105,A29,'MCAA RECAP'!$H$101:$H$105)</f>
        <v>0</v>
      </c>
      <c r="G29" t="s">
        <v>1321</v>
      </c>
      <c r="H29" s="121" t="s">
        <v>1326</v>
      </c>
      <c r="K29" s="810">
        <f t="shared" si="1"/>
        <v>0</v>
      </c>
    </row>
    <row r="30" spans="1:16" ht="18" customHeight="1" thickBot="1" x14ac:dyDescent="0.25">
      <c r="A30" s="190" t="s">
        <v>436</v>
      </c>
      <c r="B30" s="1234" t="str">
        <f>IF('Phase Codes'!B12="","",'Phase Codes'!B12)</f>
        <v>Site Office Equipment</v>
      </c>
      <c r="C30" s="1234"/>
      <c r="D30" s="404">
        <f t="shared" si="2"/>
        <v>0</v>
      </c>
      <c r="E30" s="406">
        <f t="shared" si="3"/>
        <v>0</v>
      </c>
      <c r="F30" s="405">
        <f>SUMIFS(SM_MaterialColumn,PC_SM_Material,$A30)+SUMIF('MCAA RECAP'!$A$101:$A$105,A30,'MCAA RECAP'!$H$101:$H$105)</f>
        <v>0</v>
      </c>
      <c r="G30" t="s">
        <v>1321</v>
      </c>
      <c r="H30" s="121" t="s">
        <v>1327</v>
      </c>
      <c r="K30" s="810">
        <f t="shared" si="1"/>
        <v>0</v>
      </c>
    </row>
    <row r="31" spans="1:16" ht="18" customHeight="1" thickBot="1" x14ac:dyDescent="0.25">
      <c r="A31" s="190" t="s">
        <v>437</v>
      </c>
      <c r="B31" s="1234" t="str">
        <f>IF('Phase Codes'!B13="","",'Phase Codes'!B13)</f>
        <v>Safety Supplies</v>
      </c>
      <c r="C31" s="1234"/>
      <c r="D31" s="404">
        <f t="shared" si="2"/>
        <v>0</v>
      </c>
      <c r="E31" s="406">
        <f t="shared" si="3"/>
        <v>0</v>
      </c>
      <c r="F31" s="406">
        <f>SUMIFS(SM_MaterialColumn,PC_SM_Material,$A31)+'MCAA RECAP'!H78+'MCAA RECAP'!H85+SUMIF('MCAA RECAP'!$A$101:$A$105,A31,'MCAA RECAP'!$H$101:$H$105)</f>
        <v>0</v>
      </c>
      <c r="G31" t="s">
        <v>1321</v>
      </c>
      <c r="H31" s="121" t="s">
        <v>1328</v>
      </c>
      <c r="K31" s="810">
        <f t="shared" si="1"/>
        <v>0</v>
      </c>
    </row>
    <row r="32" spans="1:16" ht="18" customHeight="1" thickBot="1" x14ac:dyDescent="0.25">
      <c r="A32" s="190" t="s">
        <v>438</v>
      </c>
      <c r="B32" s="1234" t="str">
        <f>IF('Phase Codes'!B14="","",'Phase Codes'!B14)</f>
        <v>Site Office Rental</v>
      </c>
      <c r="C32" s="1234"/>
      <c r="D32" s="404">
        <f t="shared" si="2"/>
        <v>0</v>
      </c>
      <c r="E32" s="406">
        <f t="shared" si="3"/>
        <v>0</v>
      </c>
      <c r="F32" s="406">
        <f>SUMIFS(SM_MaterialColumn,PC_SM_Material,$A32)+'MCAA RECAP'!H89+SUMIF('MCAA RECAP'!$A$101:$A$105,A32,'MCAA RECAP'!$H$101:$H$105)</f>
        <v>0</v>
      </c>
      <c r="G32" t="s">
        <v>1318</v>
      </c>
      <c r="H32" s="121">
        <f>IF($G32="E",6,IF($G32="M",3,IF($G32="OH","?",IF($G32="OT",7,IF($G32="S",4,"")))))</f>
        <v>6</v>
      </c>
      <c r="K32" s="810">
        <f t="shared" si="1"/>
        <v>0</v>
      </c>
    </row>
    <row r="33" spans="1:11" ht="18" customHeight="1" thickBot="1" x14ac:dyDescent="0.25">
      <c r="A33" s="190" t="s">
        <v>439</v>
      </c>
      <c r="B33" s="1234" t="str">
        <f>IF('Phase Codes'!B15="","",'Phase Codes'!B15)</f>
        <v>On Site Storage</v>
      </c>
      <c r="C33" s="1234"/>
      <c r="D33" s="404">
        <f t="shared" si="2"/>
        <v>0</v>
      </c>
      <c r="E33" s="406">
        <f t="shared" si="3"/>
        <v>0</v>
      </c>
      <c r="F33" s="406">
        <f>SUMIFS(SM_MaterialColumn,PC_SM_Material,$A33)+'MCAA RECAP'!H90+SUMIF('MCAA RECAP'!$A$101:$A$105,A33,'MCAA RECAP'!$H$101:$H$105)</f>
        <v>0</v>
      </c>
      <c r="G33" t="s">
        <v>1318</v>
      </c>
      <c r="H33" s="121">
        <f t="shared" ref="H33:H34" si="4">IF($G33="E",6,IF($G33="M",3,IF($G33="OH","?",IF($G33="OT",7,IF($G33="S",4,"")))))</f>
        <v>6</v>
      </c>
      <c r="K33" s="810">
        <f t="shared" si="1"/>
        <v>0</v>
      </c>
    </row>
    <row r="34" spans="1:11" ht="18" customHeight="1" thickBot="1" x14ac:dyDescent="0.25">
      <c r="A34" s="190" t="s">
        <v>440</v>
      </c>
      <c r="B34" s="1234" t="str">
        <f>IF('Phase Codes'!B16="","",'Phase Codes'!B16)</f>
        <v>Temporary Fencing</v>
      </c>
      <c r="C34" s="1234"/>
      <c r="D34" s="404">
        <f t="shared" si="2"/>
        <v>0</v>
      </c>
      <c r="E34" s="406">
        <f t="shared" si="3"/>
        <v>0</v>
      </c>
      <c r="F34" s="405">
        <f>SUMIFS(SM_MaterialColumn,PC_SM_Material,$A34)+SUMIF('MCAA RECAP'!$A$101:$A$105,A34,'MCAA RECAP'!$H$101:$H$105)</f>
        <v>0</v>
      </c>
      <c r="G34" t="s">
        <v>1318</v>
      </c>
      <c r="H34" s="121">
        <f t="shared" si="4"/>
        <v>6</v>
      </c>
      <c r="K34" s="810">
        <f t="shared" si="1"/>
        <v>0</v>
      </c>
    </row>
    <row r="35" spans="1:11" ht="18" customHeight="1" thickBot="1" x14ac:dyDescent="0.25">
      <c r="A35" s="190" t="s">
        <v>441</v>
      </c>
      <c r="B35" s="1234" t="str">
        <f>IF('Phase Codes'!B17="","",'Phase Codes'!B17)</f>
        <v>Site Office Plumbing and Elect</v>
      </c>
      <c r="C35" s="1234"/>
      <c r="D35" s="404">
        <f t="shared" si="2"/>
        <v>0</v>
      </c>
      <c r="E35" s="406">
        <f t="shared" si="3"/>
        <v>0</v>
      </c>
      <c r="F35" s="406">
        <f>SUMIFS(SM_MaterialColumn,PC_SM_Material,$A35)+SUM('MCAA RECAP'!H82,'MCAA RECAP'!H83)+SUMIF('MCAA RECAP'!$A$101:$A$105,A35,'MCAA RECAP'!$H$101:$H$105)</f>
        <v>0</v>
      </c>
      <c r="G35" t="s">
        <v>1321</v>
      </c>
      <c r="H35" s="121" t="s">
        <v>1329</v>
      </c>
      <c r="K35" s="810">
        <f t="shared" si="1"/>
        <v>0</v>
      </c>
    </row>
    <row r="36" spans="1:11" ht="18" customHeight="1" thickBot="1" x14ac:dyDescent="0.25">
      <c r="A36" s="190" t="s">
        <v>442</v>
      </c>
      <c r="B36" s="1234" t="str">
        <f>IF('Phase Codes'!B18="","",'Phase Codes'!B18)</f>
        <v>Small Tools and Consumeables</v>
      </c>
      <c r="C36" s="1234"/>
      <c r="D36" s="404">
        <f t="shared" si="2"/>
        <v>0</v>
      </c>
      <c r="E36" s="406">
        <f t="shared" si="3"/>
        <v>0</v>
      </c>
      <c r="F36" s="406">
        <f>SUMIFS(SM_MaterialColumn,PC_SM_Material,$A36)+'MCAA RECAP'!H79+SUMIF('MCAA RECAP'!$A$101:$A$105,A36,'MCAA RECAP'!$H$101:$H$105)</f>
        <v>15926.76</v>
      </c>
      <c r="G36" t="s">
        <v>1319</v>
      </c>
      <c r="H36" s="121">
        <f t="shared" ref="H36:H38" si="5">IF($G36="E",6,IF($G36="M",3,IF($G36="OH","?",IF($G36="OT",7,IF($G36="S",4,"")))))</f>
        <v>3</v>
      </c>
      <c r="K36" s="810">
        <f t="shared" si="1"/>
        <v>15926.76</v>
      </c>
    </row>
    <row r="37" spans="1:11" ht="18" customHeight="1" thickBot="1" x14ac:dyDescent="0.25">
      <c r="A37" s="190" t="s">
        <v>443</v>
      </c>
      <c r="B37" s="1234" t="str">
        <f>IF('Phase Codes'!B19="","",'Phase Codes'!B19)</f>
        <v>Third Party Equipment</v>
      </c>
      <c r="C37" s="1234"/>
      <c r="D37" s="404">
        <f t="shared" si="2"/>
        <v>0</v>
      </c>
      <c r="E37" s="406">
        <f t="shared" si="3"/>
        <v>0</v>
      </c>
      <c r="F37" s="405">
        <f>SUMIFS(SM_MaterialColumn,PC_SM_Material,$A37)+SUMIF('MCAA RECAP'!$A$101:$A$105,A37,'MCAA RECAP'!$H$101:$H$105)</f>
        <v>0</v>
      </c>
      <c r="G37" t="s">
        <v>1318</v>
      </c>
      <c r="H37" s="121">
        <f t="shared" si="5"/>
        <v>6</v>
      </c>
      <c r="K37" s="810">
        <f t="shared" si="1"/>
        <v>0</v>
      </c>
    </row>
    <row r="38" spans="1:11" ht="18" customHeight="1" thickBot="1" x14ac:dyDescent="0.25">
      <c r="A38" s="190" t="s">
        <v>236</v>
      </c>
      <c r="B38" s="1234" t="str">
        <f>IF('Phase Codes'!B20="","",'Phase Codes'!B20)</f>
        <v>Permits and Fees</v>
      </c>
      <c r="C38" s="1234"/>
      <c r="D38" s="404">
        <f t="shared" si="2"/>
        <v>0</v>
      </c>
      <c r="E38" s="406">
        <f t="shared" si="3"/>
        <v>0</v>
      </c>
      <c r="F38" s="405">
        <f>SUMIFS(SM_MaterialColumn,PC_SM_Material,$A38)+'MCAA RECAP'!H67+SUMIF('MCAA RECAP'!$A$101:$A$105,A38,'MCAA RECAP'!$H$101:$H$105)</f>
        <v>0</v>
      </c>
      <c r="G38" t="s">
        <v>1322</v>
      </c>
      <c r="H38" s="121">
        <f t="shared" si="5"/>
        <v>7</v>
      </c>
      <c r="K38" s="810">
        <f t="shared" si="1"/>
        <v>0</v>
      </c>
    </row>
    <row r="39" spans="1:11" ht="18" customHeight="1" thickBot="1" x14ac:dyDescent="0.25">
      <c r="A39" s="190" t="s">
        <v>444</v>
      </c>
      <c r="B39" s="1234" t="str">
        <f>IF('Phase Codes'!B21="","",'Phase Codes'!B21)</f>
        <v>Reprographic Costs</v>
      </c>
      <c r="C39" s="1234"/>
      <c r="D39" s="404">
        <f t="shared" si="2"/>
        <v>0</v>
      </c>
      <c r="E39" s="406">
        <f t="shared" si="3"/>
        <v>0</v>
      </c>
      <c r="F39" s="405">
        <f>SUMIFS(SM_MaterialColumn,PC_SM_Material,$A39)+SUMIF('MCAA RECAP'!$A$101:$A$105,A39,'MCAA RECAP'!$H$101:$H$105)</f>
        <v>0</v>
      </c>
      <c r="G39" t="s">
        <v>1321</v>
      </c>
      <c r="H39" s="121" t="s">
        <v>1330</v>
      </c>
      <c r="K39" s="810">
        <f t="shared" si="1"/>
        <v>0</v>
      </c>
    </row>
    <row r="40" spans="1:11" ht="18" customHeight="1" thickBot="1" x14ac:dyDescent="0.25">
      <c r="A40" s="190" t="s">
        <v>445</v>
      </c>
      <c r="B40" s="1234" t="str">
        <f>IF('Phase Codes'!B22="","",'Phase Codes'!B22)</f>
        <v>Equipment Rental</v>
      </c>
      <c r="C40" s="1234"/>
      <c r="D40" s="404">
        <f t="shared" si="2"/>
        <v>0</v>
      </c>
      <c r="E40" s="406">
        <f t="shared" si="3"/>
        <v>0</v>
      </c>
      <c r="F40" s="406">
        <f>SUMIFS(SM_MaterialColumn,PC_SM_Material,$A40)+'MCAA RECAP'!H86+SUMIF('MCAA RECAP'!$A$101:$A$105,A40,'MCAA RECAP'!$H$101:$H$105)+'MCAA RECAP'!J116+'MCAA RECAP'!J117+'MCAA RECAP'!J118+'MCAA RECAP'!J119+'MCAA RECAP'!J120+'MCAA RECAP'!J121+'MCAA RECAP'!J122+'MCAA RECAP'!J123+'MCAA RECAP'!J124+'MCAA RECAP'!J125</f>
        <v>0</v>
      </c>
      <c r="G40" t="s">
        <v>1318</v>
      </c>
      <c r="H40" s="121">
        <f t="shared" ref="H40:H46" si="6">IF($G40="E",6,IF($G40="M",3,IF($G40="OH","?",IF($G40="OT",7,IF($G40="S",4,"")))))</f>
        <v>6</v>
      </c>
      <c r="K40" s="810">
        <f t="shared" si="1"/>
        <v>0</v>
      </c>
    </row>
    <row r="41" spans="1:11" ht="18" customHeight="1" thickBot="1" x14ac:dyDescent="0.25">
      <c r="A41" s="190" t="s">
        <v>446</v>
      </c>
      <c r="B41" s="1234" t="str">
        <f>IF('Phase Codes'!B23="","",'Phase Codes'!B23)</f>
        <v>Third Party Training</v>
      </c>
      <c r="C41" s="1234"/>
      <c r="D41" s="404">
        <f t="shared" si="2"/>
        <v>0</v>
      </c>
      <c r="E41" s="406">
        <f t="shared" si="3"/>
        <v>0</v>
      </c>
      <c r="F41" s="405">
        <f>SUMIFS(SM_MaterialColumn,PC_SM_Material,$A41)+SUMIF('MCAA RECAP'!$A$101:$A$105,A41,'MCAA RECAP'!$H$101:$H$105)</f>
        <v>0</v>
      </c>
      <c r="G41" t="s">
        <v>1322</v>
      </c>
      <c r="H41" s="121">
        <f t="shared" si="6"/>
        <v>7</v>
      </c>
      <c r="K41" s="810">
        <f t="shared" si="1"/>
        <v>0</v>
      </c>
    </row>
    <row r="42" spans="1:11" ht="18" customHeight="1" thickBot="1" x14ac:dyDescent="0.25">
      <c r="A42" s="190" t="s">
        <v>447</v>
      </c>
      <c r="B42" s="1234" t="str">
        <f>IF('Phase Codes'!B24="","",'Phase Codes'!B24)</f>
        <v>Testing and Certification</v>
      </c>
      <c r="C42" s="1234"/>
      <c r="D42" s="404">
        <f t="shared" si="2"/>
        <v>0</v>
      </c>
      <c r="E42" s="406">
        <f t="shared" si="3"/>
        <v>0</v>
      </c>
      <c r="F42" s="406">
        <f>SUMIFS(SM_MaterialColumn,PC_SM_Material,$A42)+'MCAA RECAP'!H99+SUMIF('MCAA RECAP'!$A$101:$A$105,A42,'MCAA RECAP'!$H$101:$H$105)</f>
        <v>0</v>
      </c>
      <c r="G42" t="s">
        <v>1322</v>
      </c>
      <c r="H42" s="121">
        <f t="shared" si="6"/>
        <v>7</v>
      </c>
      <c r="K42" s="810">
        <f t="shared" si="1"/>
        <v>0</v>
      </c>
    </row>
    <row r="43" spans="1:11" ht="18" customHeight="1" thickBot="1" x14ac:dyDescent="0.25">
      <c r="A43" s="190" t="s">
        <v>448</v>
      </c>
      <c r="B43" s="1234" t="str">
        <f>IF('Phase Codes'!B25="","",'Phase Codes'!B25)</f>
        <v>Scope Allowance</v>
      </c>
      <c r="C43" s="1234"/>
      <c r="D43" s="404">
        <f>SUMIFS(SM_FieldLaborColumn,PC_SM_Field,$A43)+SUM('MCAA RECAP'!E17:H17)</f>
        <v>0</v>
      </c>
      <c r="E43" s="405">
        <f>SUMIFS(Takeoff_Total_Field_Labor_Cost,PC_SM_Field,$A43)+('MCAA RECAP'!E17*'MCAA RECAP'!E21)+('MCAA RECAP'!F17*'MCAA RECAP'!F22)+('MCAA RECAP'!G17*'MCAA RECAP'!G23)+('MCAA RECAP'!H17*'MCAA RECAP'!H24)</f>
        <v>0</v>
      </c>
      <c r="F43" s="405">
        <f>SUMIFS(SM_MaterialColumn,PC_SM_Material,$A43)+SUMIF('MCAA RECAP'!$A$101:$A$105,A43,'MCAA RECAP'!$H$101:$H$105)+'MCAA RECAP'!H65+'MCAA RECAP'!H106</f>
        <v>0</v>
      </c>
      <c r="G43" t="s">
        <v>1319</v>
      </c>
      <c r="H43" s="121">
        <f t="shared" si="6"/>
        <v>3</v>
      </c>
      <c r="K43" s="810">
        <f t="shared" si="1"/>
        <v>0</v>
      </c>
    </row>
    <row r="44" spans="1:11" ht="18" customHeight="1" thickBot="1" x14ac:dyDescent="0.25">
      <c r="A44" s="190" t="s">
        <v>449</v>
      </c>
      <c r="B44" s="1234" t="str">
        <f>IF('Phase Codes'!B26="","",'Phase Codes'!B26)</f>
        <v>Purchasing and Warehousing</v>
      </c>
      <c r="C44" s="1234"/>
      <c r="D44" s="404">
        <f t="shared" ref="D44:D75" si="7">SUMIFS(SM_FieldLaborColumn,PC_SM_Field,$A44)</f>
        <v>0</v>
      </c>
      <c r="E44" s="405">
        <f>SUMIFS(Takeoff_Total_Field_Labor_Cost,PC_SM_Field,$A44)+SUMIF('MCAA RECAP'!$A$103:$A$105,A44,'MCAA RECAP'!$H$103:$H$105)</f>
        <v>0</v>
      </c>
      <c r="F44" s="405">
        <f>SUMIFS(SM_MaterialColumn,PC_SM_Material,$A44)+SUMIF('MCAA RECAP'!$A$101:$A$105,A44,'MCAA RECAP'!$H$101:$H$105)</f>
        <v>0</v>
      </c>
      <c r="G44" t="s">
        <v>1319</v>
      </c>
      <c r="H44" s="121">
        <f t="shared" si="6"/>
        <v>3</v>
      </c>
      <c r="K44" s="810">
        <f t="shared" si="1"/>
        <v>0</v>
      </c>
    </row>
    <row r="45" spans="1:11" ht="18" customHeight="1" thickBot="1" x14ac:dyDescent="0.25">
      <c r="A45" s="190" t="s">
        <v>450</v>
      </c>
      <c r="B45" s="1234" t="str">
        <f>IF('Phase Codes'!B27="","",'Phase Codes'!B27)</f>
        <v>Freight - Third Party</v>
      </c>
      <c r="C45" s="1234"/>
      <c r="D45" s="404">
        <f t="shared" si="7"/>
        <v>0</v>
      </c>
      <c r="E45" s="406">
        <f>SUMIFS(Takeoff_Total_Field_Labor_Cost,PC_SM_Field,$A45)</f>
        <v>0</v>
      </c>
      <c r="F45" s="406">
        <f>SUMIFS(SM_MaterialColumn,PC_SM_Material,$A45)+'MCAA RECAP'!H80+SUMIF('MCAA RECAP'!$A$101:$A$105,A45,'MCAA RECAP'!$H$101:$H$105)</f>
        <v>0</v>
      </c>
      <c r="G45" t="s">
        <v>1322</v>
      </c>
      <c r="H45" s="121">
        <f t="shared" si="6"/>
        <v>7</v>
      </c>
      <c r="K45" s="810">
        <f t="shared" si="1"/>
        <v>0</v>
      </c>
    </row>
    <row r="46" spans="1:11" ht="18" customHeight="1" thickBot="1" x14ac:dyDescent="0.25">
      <c r="A46" s="190" t="s">
        <v>451</v>
      </c>
      <c r="B46" s="1234" t="str">
        <f>IF('Phase Codes'!B28="","",'Phase Codes'!B28)</f>
        <v>Subsistence and Travel</v>
      </c>
      <c r="C46" s="1234"/>
      <c r="D46" s="404">
        <f t="shared" si="7"/>
        <v>0</v>
      </c>
      <c r="E46" s="406">
        <f>SUMIFS(Takeoff_Total_Field_Labor_Cost,PC_SM_Field,$A46)+SUM('MCAA RECAP'!H92:H95)+SUMIF('MCAA RECAP'!$A$103:$A$105,A46,'MCAA RECAP'!$H$103:$H$105)</f>
        <v>0</v>
      </c>
      <c r="F46" s="406">
        <f>SUMIFS(SM_MaterialColumn,PC_SM_Material,$A46)+SUMIF('MCAA RECAP'!$A$101:$A$105,A46,'MCAA RECAP'!$H$101:$H$105)+'MCAA RECAP'!H88</f>
        <v>0</v>
      </c>
      <c r="G46" t="s">
        <v>1319</v>
      </c>
      <c r="H46" s="121">
        <f t="shared" si="6"/>
        <v>3</v>
      </c>
      <c r="K46" s="810">
        <f t="shared" si="1"/>
        <v>0</v>
      </c>
    </row>
    <row r="47" spans="1:11" ht="18" customHeight="1" thickBot="1" x14ac:dyDescent="0.25">
      <c r="A47" s="190" t="s">
        <v>452</v>
      </c>
      <c r="B47" s="1234" t="str">
        <f>IF('Phase Codes'!B29="","",'Phase Codes'!B29)</f>
        <v>Phone Expenses</v>
      </c>
      <c r="C47" s="1234"/>
      <c r="D47" s="404">
        <f t="shared" si="7"/>
        <v>0</v>
      </c>
      <c r="E47" s="406">
        <f t="shared" ref="E47:E78" si="8">SUMIFS(Takeoff_Total_Field_Labor_Cost,PC_SM_Field,$A47)</f>
        <v>0</v>
      </c>
      <c r="F47" s="406">
        <f>SUMIFS(SM_MaterialColumn,PC_SM_Material,$A47)+'MCAA RECAP'!H84+SUMIF('MCAA RECAP'!$A$101:$A$105,A47,'MCAA RECAP'!$H$101:$H$105)</f>
        <v>0</v>
      </c>
      <c r="G47" t="s">
        <v>1321</v>
      </c>
      <c r="H47" s="121" t="s">
        <v>1331</v>
      </c>
      <c r="K47" s="810">
        <f t="shared" si="1"/>
        <v>0</v>
      </c>
    </row>
    <row r="48" spans="1:11" ht="18" customHeight="1" thickBot="1" x14ac:dyDescent="0.25">
      <c r="A48" s="190" t="s">
        <v>453</v>
      </c>
      <c r="B48" s="1234" t="str">
        <f>IF('Phase Codes'!B30="","",'Phase Codes'!B30)</f>
        <v>Bond</v>
      </c>
      <c r="C48" s="1234"/>
      <c r="D48" s="404">
        <f t="shared" si="7"/>
        <v>0</v>
      </c>
      <c r="E48" s="406">
        <f t="shared" si="8"/>
        <v>0</v>
      </c>
      <c r="F48" s="405">
        <f>SUMIFS(SM_MaterialColumn,PC_SM_Material,$A48)+'MCAA RECAP'!H66+SUMIF('MCAA RECAP'!$A$101:$A$105,A48,'MCAA RECAP'!$H$101:$H$105)</f>
        <v>0</v>
      </c>
      <c r="G48" t="s">
        <v>1322</v>
      </c>
      <c r="H48" s="121">
        <f t="shared" ref="H48:H111" si="9">IF($G48="E",6,IF($G48="M",3,IF($G48="OH","?",IF($G48="OT",7,IF($G48="S",4,"")))))</f>
        <v>7</v>
      </c>
      <c r="K48" s="810">
        <f t="shared" si="1"/>
        <v>0</v>
      </c>
    </row>
    <row r="49" spans="1:11" ht="18" customHeight="1" thickBot="1" x14ac:dyDescent="0.25">
      <c r="A49" s="190" t="s">
        <v>454</v>
      </c>
      <c r="B49" s="1234" t="str">
        <f>IF('Phase Codes'!B31="","",'Phase Codes'!B31)</f>
        <v>Fuel</v>
      </c>
      <c r="C49" s="1234"/>
      <c r="D49" s="404">
        <f t="shared" si="7"/>
        <v>0</v>
      </c>
      <c r="E49" s="406">
        <f t="shared" si="8"/>
        <v>0</v>
      </c>
      <c r="F49" s="406">
        <f>SUMIFS(SM_MaterialColumn,PC_SM_Material,$A49)+'MCAA RECAP'!H87+SUMIF('MCAA RECAP'!$A$101:$A$105,A49,'MCAA RECAP'!$H$101:$H$105)</f>
        <v>0</v>
      </c>
      <c r="G49" t="s">
        <v>1322</v>
      </c>
      <c r="H49" s="121">
        <f t="shared" si="9"/>
        <v>7</v>
      </c>
      <c r="K49" s="810">
        <f t="shared" si="1"/>
        <v>0</v>
      </c>
    </row>
    <row r="50" spans="1:11" ht="18" customHeight="1" thickBot="1" x14ac:dyDescent="0.25">
      <c r="A50" s="190" t="s">
        <v>455</v>
      </c>
      <c r="B50" s="1234" t="str">
        <f>IF('Phase Codes'!B32="","",'Phase Codes'!B32)</f>
        <v>Default General Conditions</v>
      </c>
      <c r="C50" s="1234"/>
      <c r="D50" s="404">
        <f t="shared" si="7"/>
        <v>0</v>
      </c>
      <c r="E50" s="406">
        <f t="shared" si="8"/>
        <v>0</v>
      </c>
      <c r="F50" s="405">
        <f>SUMIFS(SM_MaterialColumn,PC_SM_Material,$A50)+SUMIF('MCAA RECAP'!$A$101:$A$105,A50,'MCAA RECAP'!$H$101:$H$105)</f>
        <v>0</v>
      </c>
      <c r="G50" t="s">
        <v>1319</v>
      </c>
      <c r="H50" s="121">
        <f t="shared" si="9"/>
        <v>3</v>
      </c>
      <c r="K50" s="810">
        <f t="shared" si="1"/>
        <v>0</v>
      </c>
    </row>
    <row r="51" spans="1:11" ht="18" customHeight="1" thickBot="1" x14ac:dyDescent="0.25">
      <c r="A51" s="190" t="s">
        <v>538</v>
      </c>
      <c r="B51" s="1234" t="str">
        <f>IF('Phase Codes'!B33="","",'Phase Codes'!B33)</f>
        <v/>
      </c>
      <c r="C51" s="1234"/>
      <c r="D51" s="404">
        <f t="shared" si="7"/>
        <v>0</v>
      </c>
      <c r="E51" s="406">
        <f t="shared" si="8"/>
        <v>0</v>
      </c>
      <c r="F51" s="405">
        <f>SUMIFS(SM_MaterialColumn,PC_SM_Material,$A51)+SUMIF('MCAA RECAP'!$A$101:$A$105,A51,'MCAA RECAP'!$H$101:$H$105)</f>
        <v>0</v>
      </c>
      <c r="H51" s="121" t="str">
        <f t="shared" si="9"/>
        <v/>
      </c>
      <c r="K51" s="810">
        <f t="shared" si="1"/>
        <v>0</v>
      </c>
    </row>
    <row r="52" spans="1:11" ht="18" customHeight="1" thickBot="1" x14ac:dyDescent="0.25">
      <c r="A52" s="190" t="s">
        <v>539</v>
      </c>
      <c r="B52" s="1234" t="str">
        <f>IF('Phase Codes'!B34="","",'Phase Codes'!B34)</f>
        <v/>
      </c>
      <c r="C52" s="1234"/>
      <c r="D52" s="404">
        <f t="shared" si="7"/>
        <v>0</v>
      </c>
      <c r="E52" s="406">
        <f t="shared" si="8"/>
        <v>0</v>
      </c>
      <c r="F52" s="405">
        <f>SUMIFS(SM_MaterialColumn,PC_SM_Material,$A52)+SUMIF('MCAA RECAP'!$A$101:$A$105,A52,'MCAA RECAP'!$H$101:$H$105)</f>
        <v>0</v>
      </c>
      <c r="H52" s="121" t="str">
        <f t="shared" si="9"/>
        <v/>
      </c>
      <c r="K52" s="810">
        <f t="shared" si="1"/>
        <v>0</v>
      </c>
    </row>
    <row r="53" spans="1:11" ht="18" customHeight="1" thickBot="1" x14ac:dyDescent="0.25">
      <c r="A53" s="190" t="s">
        <v>540</v>
      </c>
      <c r="B53" s="1234" t="str">
        <f>IF('Phase Codes'!B35="","",'Phase Codes'!B35)</f>
        <v/>
      </c>
      <c r="C53" s="1234"/>
      <c r="D53" s="404">
        <f t="shared" si="7"/>
        <v>0</v>
      </c>
      <c r="E53" s="406">
        <f t="shared" si="8"/>
        <v>0</v>
      </c>
      <c r="F53" s="405">
        <f>SUMIFS(SM_MaterialColumn,PC_SM_Material,$A53)+SUMIF('MCAA RECAP'!$A$101:$A$105,A53,'MCAA RECAP'!$H$101:$H$105)</f>
        <v>0</v>
      </c>
      <c r="H53" s="121" t="str">
        <f t="shared" si="9"/>
        <v/>
      </c>
      <c r="K53" s="810">
        <f t="shared" si="1"/>
        <v>0</v>
      </c>
    </row>
    <row r="54" spans="1:11" ht="18" customHeight="1" thickBot="1" x14ac:dyDescent="0.25">
      <c r="A54" s="190" t="s">
        <v>541</v>
      </c>
      <c r="B54" s="1234" t="str">
        <f>IF('Phase Codes'!B36="","",'Phase Codes'!B36)</f>
        <v/>
      </c>
      <c r="C54" s="1234"/>
      <c r="D54" s="404">
        <f t="shared" si="7"/>
        <v>0</v>
      </c>
      <c r="E54" s="406">
        <f t="shared" si="8"/>
        <v>0</v>
      </c>
      <c r="F54" s="405">
        <f>SUMIFS(SM_MaterialColumn,PC_SM_Material,$A54)+SUMIF('MCAA RECAP'!$A$101:$A$105,A54,'MCAA RECAP'!$H$101:$H$105)</f>
        <v>0</v>
      </c>
      <c r="H54" s="121" t="str">
        <f t="shared" si="9"/>
        <v/>
      </c>
      <c r="K54" s="810">
        <f t="shared" si="1"/>
        <v>0</v>
      </c>
    </row>
    <row r="55" spans="1:11" ht="18" customHeight="1" thickBot="1" x14ac:dyDescent="0.25">
      <c r="A55" s="190" t="s">
        <v>542</v>
      </c>
      <c r="B55" s="1234" t="str">
        <f>IF('Phase Codes'!B37="","",'Phase Codes'!B37)</f>
        <v/>
      </c>
      <c r="C55" s="1234"/>
      <c r="D55" s="404">
        <f t="shared" si="7"/>
        <v>0</v>
      </c>
      <c r="E55" s="406">
        <f t="shared" si="8"/>
        <v>0</v>
      </c>
      <c r="F55" s="405">
        <f>SUMIFS(SM_MaterialColumn,PC_SM_Material,$A55)+SUMIF('MCAA RECAP'!$A$101:$A$105,A55,'MCAA RECAP'!$H$101:$H$105)</f>
        <v>0</v>
      </c>
      <c r="H55" s="121" t="str">
        <f t="shared" si="9"/>
        <v/>
      </c>
      <c r="K55" s="810">
        <f t="shared" si="1"/>
        <v>0</v>
      </c>
    </row>
    <row r="56" spans="1:11" ht="18" customHeight="1" thickBot="1" x14ac:dyDescent="0.25">
      <c r="A56" s="190" t="s">
        <v>543</v>
      </c>
      <c r="B56" s="1234" t="str">
        <f>IF('Phase Codes'!B38="","",'Phase Codes'!B38)</f>
        <v/>
      </c>
      <c r="C56" s="1234"/>
      <c r="D56" s="404">
        <f t="shared" si="7"/>
        <v>0</v>
      </c>
      <c r="E56" s="406">
        <f t="shared" si="8"/>
        <v>0</v>
      </c>
      <c r="F56" s="405">
        <f>SUMIFS(SM_MaterialColumn,PC_SM_Material,$A56)+SUMIF('MCAA RECAP'!$A$101:$A$105,A56,'MCAA RECAP'!$H$101:$H$105)</f>
        <v>0</v>
      </c>
      <c r="H56" s="121" t="str">
        <f t="shared" si="9"/>
        <v/>
      </c>
      <c r="K56" s="810">
        <f t="shared" si="1"/>
        <v>0</v>
      </c>
    </row>
    <row r="57" spans="1:11" ht="18" customHeight="1" thickBot="1" x14ac:dyDescent="0.25">
      <c r="A57" s="190" t="s">
        <v>544</v>
      </c>
      <c r="B57" s="1234" t="str">
        <f>IF('Phase Codes'!B39="","",'Phase Codes'!B39)</f>
        <v/>
      </c>
      <c r="C57" s="1234"/>
      <c r="D57" s="404">
        <f t="shared" si="7"/>
        <v>0</v>
      </c>
      <c r="E57" s="406">
        <f t="shared" si="8"/>
        <v>0</v>
      </c>
      <c r="F57" s="405">
        <f>SUMIFS(SM_MaterialColumn,PC_SM_Material,$A57)+SUMIF('MCAA RECAP'!$A$101:$A$105,A57,'MCAA RECAP'!$H$101:$H$105)</f>
        <v>0</v>
      </c>
      <c r="H57" s="121" t="str">
        <f t="shared" si="9"/>
        <v/>
      </c>
      <c r="K57" s="810">
        <f t="shared" si="1"/>
        <v>0</v>
      </c>
    </row>
    <row r="58" spans="1:11" ht="18" customHeight="1" thickBot="1" x14ac:dyDescent="0.25">
      <c r="A58" s="190" t="s">
        <v>545</v>
      </c>
      <c r="B58" s="1234" t="str">
        <f>IF('Phase Codes'!B40="","",'Phase Codes'!B40)</f>
        <v/>
      </c>
      <c r="C58" s="1234"/>
      <c r="D58" s="404">
        <f t="shared" si="7"/>
        <v>0</v>
      </c>
      <c r="E58" s="406">
        <f t="shared" si="8"/>
        <v>0</v>
      </c>
      <c r="F58" s="405">
        <f>SUMIFS(SM_MaterialColumn,PC_SM_Material,$A58)+SUMIF('MCAA RECAP'!$A$101:$A$105,A58,'MCAA RECAP'!$H$101:$H$105)</f>
        <v>0</v>
      </c>
      <c r="H58" s="121" t="str">
        <f t="shared" si="9"/>
        <v/>
      </c>
      <c r="K58" s="810">
        <f t="shared" si="1"/>
        <v>0</v>
      </c>
    </row>
    <row r="59" spans="1:11" ht="18" customHeight="1" thickBot="1" x14ac:dyDescent="0.25">
      <c r="A59" s="190" t="s">
        <v>546</v>
      </c>
      <c r="B59" s="1234" t="str">
        <f>IF('Phase Codes'!B41="","",'Phase Codes'!B41)</f>
        <v/>
      </c>
      <c r="C59" s="1234"/>
      <c r="D59" s="404">
        <f t="shared" si="7"/>
        <v>0</v>
      </c>
      <c r="E59" s="406">
        <f t="shared" si="8"/>
        <v>0</v>
      </c>
      <c r="F59" s="405">
        <f>SUMIFS(SM_MaterialColumn,PC_SM_Material,$A59)+SUMIF('MCAA RECAP'!$A$101:$A$105,A59,'MCAA RECAP'!$H$101:$H$105)</f>
        <v>0</v>
      </c>
      <c r="H59" s="121" t="str">
        <f t="shared" si="9"/>
        <v/>
      </c>
      <c r="K59" s="810">
        <f t="shared" si="1"/>
        <v>0</v>
      </c>
    </row>
    <row r="60" spans="1:11" ht="18" customHeight="1" thickBot="1" x14ac:dyDescent="0.25">
      <c r="A60" s="190" t="s">
        <v>547</v>
      </c>
      <c r="B60" s="1234" t="str">
        <f>IF('Phase Codes'!B42="","",'Phase Codes'!B42)</f>
        <v/>
      </c>
      <c r="C60" s="1234"/>
      <c r="D60" s="404">
        <f t="shared" si="7"/>
        <v>0</v>
      </c>
      <c r="E60" s="406">
        <f t="shared" si="8"/>
        <v>0</v>
      </c>
      <c r="F60" s="405">
        <f>SUMIFS(SM_MaterialColumn,PC_SM_Material,$A60)+SUMIF('MCAA RECAP'!$A$101:$A$105,A60,'MCAA RECAP'!$H$101:$H$105)</f>
        <v>0</v>
      </c>
      <c r="H60" s="121" t="str">
        <f t="shared" si="9"/>
        <v/>
      </c>
      <c r="K60" s="810">
        <f t="shared" si="1"/>
        <v>0</v>
      </c>
    </row>
    <row r="61" spans="1:11" ht="18" customHeight="1" thickBot="1" x14ac:dyDescent="0.25">
      <c r="A61" s="190" t="s">
        <v>548</v>
      </c>
      <c r="B61" s="1234" t="str">
        <f>IF('Phase Codes'!B43="","",'Phase Codes'!B43)</f>
        <v/>
      </c>
      <c r="C61" s="1234"/>
      <c r="D61" s="404">
        <f t="shared" si="7"/>
        <v>0</v>
      </c>
      <c r="E61" s="406">
        <f t="shared" si="8"/>
        <v>0</v>
      </c>
      <c r="F61" s="405">
        <f>SUMIFS(SM_MaterialColumn,PC_SM_Material,$A61)+SUMIF('MCAA RECAP'!$A$101:$A$105,A61,'MCAA RECAP'!$H$101:$H$105)</f>
        <v>0</v>
      </c>
      <c r="H61" s="121" t="str">
        <f t="shared" si="9"/>
        <v/>
      </c>
      <c r="K61" s="810">
        <f t="shared" si="1"/>
        <v>0</v>
      </c>
    </row>
    <row r="62" spans="1:11" ht="18" customHeight="1" thickBot="1" x14ac:dyDescent="0.25">
      <c r="A62" s="190" t="s">
        <v>549</v>
      </c>
      <c r="B62" s="1234" t="str">
        <f>IF('Phase Codes'!B44="","",'Phase Codes'!B44)</f>
        <v/>
      </c>
      <c r="C62" s="1234"/>
      <c r="D62" s="404">
        <f t="shared" si="7"/>
        <v>0</v>
      </c>
      <c r="E62" s="406">
        <f t="shared" si="8"/>
        <v>0</v>
      </c>
      <c r="F62" s="405">
        <f>SUMIFS(SM_MaterialColumn,PC_SM_Material,$A62)+SUMIF('MCAA RECAP'!$A$101:$A$105,A62,'MCAA RECAP'!$H$101:$H$105)</f>
        <v>0</v>
      </c>
      <c r="H62" s="121" t="str">
        <f t="shared" si="9"/>
        <v/>
      </c>
      <c r="K62" s="810">
        <f t="shared" si="1"/>
        <v>0</v>
      </c>
    </row>
    <row r="63" spans="1:11" ht="18" customHeight="1" thickBot="1" x14ac:dyDescent="0.25">
      <c r="A63" s="190" t="s">
        <v>550</v>
      </c>
      <c r="B63" s="1234" t="str">
        <f>IF('Phase Codes'!B45="","",'Phase Codes'!B45)</f>
        <v/>
      </c>
      <c r="C63" s="1234"/>
      <c r="D63" s="404">
        <f t="shared" si="7"/>
        <v>0</v>
      </c>
      <c r="E63" s="406">
        <f t="shared" si="8"/>
        <v>0</v>
      </c>
      <c r="F63" s="405">
        <f>SUMIFS(SM_MaterialColumn,PC_SM_Material,$A63)+SUMIF('MCAA RECAP'!$A$101:$A$105,A63,'MCAA RECAP'!$H$101:$H$105)</f>
        <v>0</v>
      </c>
      <c r="H63" s="121" t="str">
        <f t="shared" si="9"/>
        <v/>
      </c>
      <c r="K63" s="810">
        <f t="shared" si="1"/>
        <v>0</v>
      </c>
    </row>
    <row r="64" spans="1:11" ht="18" customHeight="1" thickBot="1" x14ac:dyDescent="0.25">
      <c r="A64" s="190" t="s">
        <v>551</v>
      </c>
      <c r="B64" s="1234" t="str">
        <f>IF('Phase Codes'!B46="","",'Phase Codes'!B46)</f>
        <v/>
      </c>
      <c r="C64" s="1234"/>
      <c r="D64" s="404">
        <f t="shared" si="7"/>
        <v>0</v>
      </c>
      <c r="E64" s="406">
        <f t="shared" si="8"/>
        <v>0</v>
      </c>
      <c r="F64" s="405">
        <f>SUMIFS(SM_MaterialColumn,PC_SM_Material,$A64)+SUMIF('MCAA RECAP'!$A$101:$A$105,A64,'MCAA RECAP'!$H$101:$H$105)</f>
        <v>0</v>
      </c>
      <c r="H64" s="121" t="str">
        <f t="shared" si="9"/>
        <v/>
      </c>
      <c r="K64" s="810">
        <f t="shared" si="1"/>
        <v>0</v>
      </c>
    </row>
    <row r="65" spans="1:11" ht="18" customHeight="1" thickBot="1" x14ac:dyDescent="0.25">
      <c r="A65" s="190" t="s">
        <v>552</v>
      </c>
      <c r="B65" s="1234" t="str">
        <f>IF('Phase Codes'!B47="","",'Phase Codes'!B47)</f>
        <v/>
      </c>
      <c r="C65" s="1234"/>
      <c r="D65" s="404">
        <f t="shared" si="7"/>
        <v>0</v>
      </c>
      <c r="E65" s="406">
        <f t="shared" si="8"/>
        <v>0</v>
      </c>
      <c r="F65" s="405">
        <f>SUMIFS(SM_MaterialColumn,PC_SM_Material,$A65)+SUMIF('MCAA RECAP'!$A$101:$A$105,A65,'MCAA RECAP'!$H$101:$H$105)</f>
        <v>0</v>
      </c>
      <c r="H65" s="121" t="str">
        <f t="shared" si="9"/>
        <v/>
      </c>
      <c r="K65" s="810">
        <f t="shared" si="1"/>
        <v>0</v>
      </c>
    </row>
    <row r="66" spans="1:11" ht="18" customHeight="1" thickBot="1" x14ac:dyDescent="0.25">
      <c r="A66" s="190" t="s">
        <v>553</v>
      </c>
      <c r="B66" s="1234" t="str">
        <f>IF('Phase Codes'!B48="","",'Phase Codes'!B48)</f>
        <v/>
      </c>
      <c r="C66" s="1234"/>
      <c r="D66" s="404">
        <f t="shared" si="7"/>
        <v>0</v>
      </c>
      <c r="E66" s="406">
        <f t="shared" si="8"/>
        <v>0</v>
      </c>
      <c r="F66" s="405">
        <f>SUMIFS(SM_MaterialColumn,PC_SM_Material,$A66)+SUMIF('MCAA RECAP'!$A$101:$A$105,A66,'MCAA RECAP'!$H$101:$H$105)</f>
        <v>0</v>
      </c>
      <c r="H66" s="121" t="str">
        <f t="shared" si="9"/>
        <v/>
      </c>
      <c r="K66" s="810">
        <f t="shared" si="1"/>
        <v>0</v>
      </c>
    </row>
    <row r="67" spans="1:11" ht="18" customHeight="1" thickBot="1" x14ac:dyDescent="0.25">
      <c r="A67" s="190" t="s">
        <v>554</v>
      </c>
      <c r="B67" s="1234" t="str">
        <f>IF('Phase Codes'!B49="","",'Phase Codes'!B49)</f>
        <v/>
      </c>
      <c r="C67" s="1234"/>
      <c r="D67" s="404">
        <f t="shared" si="7"/>
        <v>0</v>
      </c>
      <c r="E67" s="406">
        <f t="shared" si="8"/>
        <v>0</v>
      </c>
      <c r="F67" s="405">
        <f>SUMIFS(SM_MaterialColumn,PC_SM_Material,$A67)+SUMIF('MCAA RECAP'!$A$101:$A$105,A67,'MCAA RECAP'!$H$101:$H$105)</f>
        <v>0</v>
      </c>
      <c r="H67" s="121" t="str">
        <f t="shared" si="9"/>
        <v/>
      </c>
      <c r="K67" s="810">
        <f t="shared" si="1"/>
        <v>0</v>
      </c>
    </row>
    <row r="68" spans="1:11" ht="18" customHeight="1" thickBot="1" x14ac:dyDescent="0.25">
      <c r="A68" s="190" t="s">
        <v>555</v>
      </c>
      <c r="B68" s="1234" t="str">
        <f>IF('Phase Codes'!B50="","",'Phase Codes'!B50)</f>
        <v/>
      </c>
      <c r="C68" s="1234"/>
      <c r="D68" s="404">
        <f t="shared" si="7"/>
        <v>0</v>
      </c>
      <c r="E68" s="406">
        <f t="shared" si="8"/>
        <v>0</v>
      </c>
      <c r="F68" s="405">
        <f>SUMIFS(SM_MaterialColumn,PC_SM_Material,$A68)+SUMIF('MCAA RECAP'!$A$101:$A$105,A68,'MCAA RECAP'!$H$101:$H$105)</f>
        <v>0</v>
      </c>
      <c r="H68" s="121" t="str">
        <f t="shared" si="9"/>
        <v/>
      </c>
      <c r="K68" s="810">
        <f t="shared" si="1"/>
        <v>0</v>
      </c>
    </row>
    <row r="69" spans="1:11" ht="18" customHeight="1" thickBot="1" x14ac:dyDescent="0.25">
      <c r="A69" s="190" t="s">
        <v>556</v>
      </c>
      <c r="B69" s="1234" t="str">
        <f>IF('Phase Codes'!B51="","",'Phase Codes'!B51)</f>
        <v/>
      </c>
      <c r="C69" s="1234"/>
      <c r="D69" s="404">
        <f t="shared" si="7"/>
        <v>0</v>
      </c>
      <c r="E69" s="406">
        <f t="shared" si="8"/>
        <v>0</v>
      </c>
      <c r="F69" s="405">
        <f>SUMIFS(SM_MaterialColumn,PC_SM_Material,$A69)+SUMIF('MCAA RECAP'!$A$101:$A$105,A69,'MCAA RECAP'!$H$101:$H$105)</f>
        <v>0</v>
      </c>
      <c r="H69" s="121" t="str">
        <f t="shared" si="9"/>
        <v/>
      </c>
      <c r="K69" s="810">
        <f t="shared" si="1"/>
        <v>0</v>
      </c>
    </row>
    <row r="70" spans="1:11" ht="18" customHeight="1" thickBot="1" x14ac:dyDescent="0.25">
      <c r="A70" s="190" t="s">
        <v>557</v>
      </c>
      <c r="B70" s="1234" t="str">
        <f>IF('Phase Codes'!B52="","",'Phase Codes'!B52)</f>
        <v/>
      </c>
      <c r="C70" s="1234"/>
      <c r="D70" s="404">
        <f t="shared" si="7"/>
        <v>0</v>
      </c>
      <c r="E70" s="406">
        <f t="shared" si="8"/>
        <v>0</v>
      </c>
      <c r="F70" s="405">
        <f>SUMIFS(SM_MaterialColumn,PC_SM_Material,$A70)+SUMIF('MCAA RECAP'!$A$101:$A$105,A70,'MCAA RECAP'!$H$101:$H$105)</f>
        <v>0</v>
      </c>
      <c r="H70" s="121" t="str">
        <f t="shared" si="9"/>
        <v/>
      </c>
      <c r="K70" s="810">
        <f t="shared" si="1"/>
        <v>0</v>
      </c>
    </row>
    <row r="71" spans="1:11" ht="18" customHeight="1" thickBot="1" x14ac:dyDescent="0.25">
      <c r="A71" s="190" t="s">
        <v>558</v>
      </c>
      <c r="B71" s="1234" t="str">
        <f>IF('Phase Codes'!B53="","",'Phase Codes'!B53)</f>
        <v/>
      </c>
      <c r="C71" s="1234"/>
      <c r="D71" s="404">
        <f t="shared" si="7"/>
        <v>0</v>
      </c>
      <c r="E71" s="406">
        <f t="shared" si="8"/>
        <v>0</v>
      </c>
      <c r="F71" s="405">
        <f>SUMIFS(SM_MaterialColumn,PC_SM_Material,$A71)+SUMIF('MCAA RECAP'!$A$101:$A$105,A71,'MCAA RECAP'!$H$101:$H$105)</f>
        <v>0</v>
      </c>
      <c r="H71" s="121" t="str">
        <f t="shared" si="9"/>
        <v/>
      </c>
      <c r="K71" s="810">
        <f t="shared" si="1"/>
        <v>0</v>
      </c>
    </row>
    <row r="72" spans="1:11" ht="18" customHeight="1" thickBot="1" x14ac:dyDescent="0.25">
      <c r="A72" s="190" t="s">
        <v>559</v>
      </c>
      <c r="B72" s="1234" t="str">
        <f>IF('Phase Codes'!B54="","",'Phase Codes'!B54)</f>
        <v/>
      </c>
      <c r="C72" s="1234"/>
      <c r="D72" s="404">
        <f t="shared" si="7"/>
        <v>0</v>
      </c>
      <c r="E72" s="406">
        <f t="shared" si="8"/>
        <v>0</v>
      </c>
      <c r="F72" s="405">
        <f>SUMIFS(SM_MaterialColumn,PC_SM_Material,$A72)+SUMIF('MCAA RECAP'!$A$101:$A$105,A72,'MCAA RECAP'!$H$101:$H$105)</f>
        <v>0</v>
      </c>
      <c r="H72" s="121" t="str">
        <f t="shared" si="9"/>
        <v/>
      </c>
      <c r="K72" s="810">
        <f t="shared" si="1"/>
        <v>0</v>
      </c>
    </row>
    <row r="73" spans="1:11" ht="18" customHeight="1" thickBot="1" x14ac:dyDescent="0.25">
      <c r="A73" s="190" t="s">
        <v>560</v>
      </c>
      <c r="B73" s="1234" t="str">
        <f>IF('Phase Codes'!B55="","",'Phase Codes'!B55)</f>
        <v/>
      </c>
      <c r="C73" s="1234"/>
      <c r="D73" s="404">
        <f t="shared" si="7"/>
        <v>0</v>
      </c>
      <c r="E73" s="406">
        <f t="shared" si="8"/>
        <v>0</v>
      </c>
      <c r="F73" s="405">
        <f>SUMIFS(SM_MaterialColumn,PC_SM_Material,$A73)+SUMIF('MCAA RECAP'!$A$101:$A$105,A73,'MCAA RECAP'!$H$101:$H$105)</f>
        <v>0</v>
      </c>
      <c r="H73" s="121" t="str">
        <f t="shared" si="9"/>
        <v/>
      </c>
      <c r="K73" s="810">
        <f t="shared" si="1"/>
        <v>0</v>
      </c>
    </row>
    <row r="74" spans="1:11" ht="18" customHeight="1" thickBot="1" x14ac:dyDescent="0.25">
      <c r="A74" s="190" t="s">
        <v>561</v>
      </c>
      <c r="B74" s="1234" t="str">
        <f>IF('Phase Codes'!B56="","",'Phase Codes'!B56)</f>
        <v/>
      </c>
      <c r="C74" s="1234"/>
      <c r="D74" s="404">
        <f t="shared" si="7"/>
        <v>0</v>
      </c>
      <c r="E74" s="406">
        <f t="shared" si="8"/>
        <v>0</v>
      </c>
      <c r="F74" s="405">
        <f>SUMIFS(SM_MaterialColumn,PC_SM_Material,$A74)+SUMIF('MCAA RECAP'!$A$101:$A$105,A74,'MCAA RECAP'!$H$101:$H$105)</f>
        <v>0</v>
      </c>
      <c r="H74" s="121" t="str">
        <f t="shared" si="9"/>
        <v/>
      </c>
      <c r="K74" s="810">
        <f t="shared" si="1"/>
        <v>0</v>
      </c>
    </row>
    <row r="75" spans="1:11" ht="18" customHeight="1" thickBot="1" x14ac:dyDescent="0.25">
      <c r="A75" s="190" t="s">
        <v>562</v>
      </c>
      <c r="B75" s="1234" t="str">
        <f>IF('Phase Codes'!B57="","",'Phase Codes'!B57)</f>
        <v/>
      </c>
      <c r="C75" s="1234"/>
      <c r="D75" s="404">
        <f t="shared" si="7"/>
        <v>0</v>
      </c>
      <c r="E75" s="406">
        <f t="shared" si="8"/>
        <v>0</v>
      </c>
      <c r="F75" s="405">
        <f>SUMIFS(SM_MaterialColumn,PC_SM_Material,$A75)+SUMIF('MCAA RECAP'!$A$101:$A$105,A75,'MCAA RECAP'!$H$101:$H$105)</f>
        <v>0</v>
      </c>
      <c r="H75" s="121" t="str">
        <f t="shared" si="9"/>
        <v/>
      </c>
      <c r="K75" s="810">
        <f t="shared" si="1"/>
        <v>0</v>
      </c>
    </row>
    <row r="76" spans="1:11" ht="18" customHeight="1" thickBot="1" x14ac:dyDescent="0.25">
      <c r="A76" s="190" t="s">
        <v>563</v>
      </c>
      <c r="B76" s="1234" t="str">
        <f>IF('Phase Codes'!B58="","",'Phase Codes'!B58)</f>
        <v/>
      </c>
      <c r="C76" s="1234"/>
      <c r="D76" s="404">
        <f t="shared" ref="D76:D107" si="10">SUMIFS(SM_FieldLaborColumn,PC_SM_Field,$A76)</f>
        <v>0</v>
      </c>
      <c r="E76" s="406">
        <f t="shared" si="8"/>
        <v>0</v>
      </c>
      <c r="F76" s="405">
        <f>SUMIFS(SM_MaterialColumn,PC_SM_Material,$A76)+SUMIF('MCAA RECAP'!$A$101:$A$105,A76,'MCAA RECAP'!$H$101:$H$105)</f>
        <v>0</v>
      </c>
      <c r="H76" s="121" t="str">
        <f t="shared" si="9"/>
        <v/>
      </c>
      <c r="K76" s="810">
        <f t="shared" si="1"/>
        <v>0</v>
      </c>
    </row>
    <row r="77" spans="1:11" ht="18" customHeight="1" thickBot="1" x14ac:dyDescent="0.25">
      <c r="A77" s="190" t="s">
        <v>564</v>
      </c>
      <c r="B77" s="1234" t="str">
        <f>IF('Phase Codes'!B59="","",'Phase Codes'!B59)</f>
        <v/>
      </c>
      <c r="C77" s="1234"/>
      <c r="D77" s="404">
        <f t="shared" si="10"/>
        <v>0</v>
      </c>
      <c r="E77" s="406">
        <f t="shared" si="8"/>
        <v>0</v>
      </c>
      <c r="F77" s="405">
        <f>SUMIFS(SM_MaterialColumn,PC_SM_Material,$A77)+SUMIF('MCAA RECAP'!$A$101:$A$105,A77,'MCAA RECAP'!$H$101:$H$105)</f>
        <v>0</v>
      </c>
      <c r="H77" s="121" t="str">
        <f t="shared" si="9"/>
        <v/>
      </c>
      <c r="K77" s="810">
        <f t="shared" si="1"/>
        <v>0</v>
      </c>
    </row>
    <row r="78" spans="1:11" ht="18" customHeight="1" thickBot="1" x14ac:dyDescent="0.25">
      <c r="A78" s="190" t="s">
        <v>565</v>
      </c>
      <c r="B78" s="1234" t="str">
        <f>IF('Phase Codes'!B60="","",'Phase Codes'!B60)</f>
        <v/>
      </c>
      <c r="C78" s="1234"/>
      <c r="D78" s="404">
        <f t="shared" si="10"/>
        <v>0</v>
      </c>
      <c r="E78" s="406">
        <f t="shared" si="8"/>
        <v>0</v>
      </c>
      <c r="F78" s="405">
        <f>SUMIFS(SM_MaterialColumn,PC_SM_Material,$A78)+SUMIF('MCAA RECAP'!$A$101:$A$105,A78,'MCAA RECAP'!$H$101:$H$105)</f>
        <v>0</v>
      </c>
      <c r="H78" s="121" t="str">
        <f t="shared" si="9"/>
        <v/>
      </c>
      <c r="K78" s="810">
        <f t="shared" si="1"/>
        <v>0</v>
      </c>
    </row>
    <row r="79" spans="1:11" ht="18" customHeight="1" thickBot="1" x14ac:dyDescent="0.25">
      <c r="A79" s="190" t="s">
        <v>566</v>
      </c>
      <c r="B79" s="1234" t="str">
        <f>IF('Phase Codes'!B61="","",'Phase Codes'!B61)</f>
        <v/>
      </c>
      <c r="C79" s="1234"/>
      <c r="D79" s="404">
        <f t="shared" si="10"/>
        <v>0</v>
      </c>
      <c r="E79" s="406">
        <f t="shared" ref="E79:E110" si="11">SUMIFS(Takeoff_Total_Field_Labor_Cost,PC_SM_Field,$A79)</f>
        <v>0</v>
      </c>
      <c r="F79" s="405">
        <f>SUMIFS(SM_MaterialColumn,PC_SM_Material,$A79)+SUMIF('MCAA RECAP'!$A$101:$A$105,A79,'MCAA RECAP'!$H$101:$H$105)</f>
        <v>0</v>
      </c>
      <c r="H79" s="121" t="str">
        <f t="shared" si="9"/>
        <v/>
      </c>
      <c r="K79" s="810">
        <f t="shared" si="1"/>
        <v>0</v>
      </c>
    </row>
    <row r="80" spans="1:11" ht="18" customHeight="1" thickBot="1" x14ac:dyDescent="0.25">
      <c r="A80" s="190" t="s">
        <v>567</v>
      </c>
      <c r="B80" s="1234" t="str">
        <f>IF('Phase Codes'!B62="","",'Phase Codes'!B62)</f>
        <v/>
      </c>
      <c r="C80" s="1234"/>
      <c r="D80" s="404">
        <f t="shared" si="10"/>
        <v>0</v>
      </c>
      <c r="E80" s="406">
        <f t="shared" si="11"/>
        <v>0</v>
      </c>
      <c r="F80" s="405">
        <f>SUMIFS(SM_MaterialColumn,PC_SM_Material,$A80)+SUMIF('MCAA RECAP'!$A$101:$A$105,A80,'MCAA RECAP'!$H$101:$H$105)</f>
        <v>0</v>
      </c>
      <c r="H80" s="121" t="str">
        <f t="shared" si="9"/>
        <v/>
      </c>
      <c r="K80" s="810">
        <f t="shared" si="1"/>
        <v>0</v>
      </c>
    </row>
    <row r="81" spans="1:11" ht="18" customHeight="1" thickBot="1" x14ac:dyDescent="0.25">
      <c r="A81" s="190" t="s">
        <v>568</v>
      </c>
      <c r="B81" s="1234" t="str">
        <f>IF('Phase Codes'!B63="","",'Phase Codes'!B63)</f>
        <v/>
      </c>
      <c r="C81" s="1234"/>
      <c r="D81" s="404">
        <f t="shared" si="10"/>
        <v>0</v>
      </c>
      <c r="E81" s="406">
        <f t="shared" si="11"/>
        <v>0</v>
      </c>
      <c r="F81" s="405">
        <f>SUMIFS(SM_MaterialColumn,PC_SM_Material,$A81)+SUMIF('MCAA RECAP'!$A$101:$A$105,A81,'MCAA RECAP'!$H$101:$H$105)</f>
        <v>0</v>
      </c>
      <c r="H81" s="121" t="str">
        <f t="shared" si="9"/>
        <v/>
      </c>
      <c r="K81" s="810">
        <f t="shared" si="1"/>
        <v>0</v>
      </c>
    </row>
    <row r="82" spans="1:11" ht="18" customHeight="1" thickBot="1" x14ac:dyDescent="0.25">
      <c r="A82" s="190" t="s">
        <v>569</v>
      </c>
      <c r="B82" s="1234" t="str">
        <f>IF('Phase Codes'!B64="","",'Phase Codes'!B64)</f>
        <v/>
      </c>
      <c r="C82" s="1234"/>
      <c r="D82" s="404">
        <f t="shared" si="10"/>
        <v>0</v>
      </c>
      <c r="E82" s="406">
        <f t="shared" si="11"/>
        <v>0</v>
      </c>
      <c r="F82" s="405">
        <f>SUMIFS(SM_MaterialColumn,PC_SM_Material,$A82)+SUMIF('MCAA RECAP'!$A$101:$A$105,A82,'MCAA RECAP'!$H$101:$H$105)</f>
        <v>0</v>
      </c>
      <c r="H82" s="121" t="str">
        <f t="shared" si="9"/>
        <v/>
      </c>
      <c r="K82" s="810">
        <f t="shared" si="1"/>
        <v>0</v>
      </c>
    </row>
    <row r="83" spans="1:11" ht="18" customHeight="1" thickBot="1" x14ac:dyDescent="0.25">
      <c r="A83" s="190" t="s">
        <v>570</v>
      </c>
      <c r="B83" s="1234" t="str">
        <f>IF('Phase Codes'!B65="","",'Phase Codes'!B65)</f>
        <v/>
      </c>
      <c r="C83" s="1234"/>
      <c r="D83" s="404">
        <f t="shared" si="10"/>
        <v>0</v>
      </c>
      <c r="E83" s="406">
        <f t="shared" si="11"/>
        <v>0</v>
      </c>
      <c r="F83" s="405">
        <f>SUMIFS(SM_MaterialColumn,PC_SM_Material,$A83)+SUMIF('MCAA RECAP'!$A$101:$A$105,A83,'MCAA RECAP'!$H$101:$H$105)</f>
        <v>0</v>
      </c>
      <c r="H83" s="121" t="str">
        <f t="shared" si="9"/>
        <v/>
      </c>
      <c r="K83" s="810">
        <f t="shared" si="1"/>
        <v>0</v>
      </c>
    </row>
    <row r="84" spans="1:11" ht="18" customHeight="1" thickBot="1" x14ac:dyDescent="0.25">
      <c r="A84" s="190" t="s">
        <v>571</v>
      </c>
      <c r="B84" s="1234" t="str">
        <f>IF('Phase Codes'!B66="","",'Phase Codes'!B66)</f>
        <v/>
      </c>
      <c r="C84" s="1234"/>
      <c r="D84" s="404">
        <f t="shared" si="10"/>
        <v>0</v>
      </c>
      <c r="E84" s="406">
        <f t="shared" si="11"/>
        <v>0</v>
      </c>
      <c r="F84" s="405">
        <f>SUMIFS(SM_MaterialColumn,PC_SM_Material,$A84)+SUMIF('MCAA RECAP'!$A$101:$A$105,A84,'MCAA RECAP'!$H$101:$H$105)</f>
        <v>0</v>
      </c>
      <c r="H84" s="121" t="str">
        <f t="shared" si="9"/>
        <v/>
      </c>
      <c r="K84" s="810">
        <f t="shared" si="1"/>
        <v>0</v>
      </c>
    </row>
    <row r="85" spans="1:11" ht="18" customHeight="1" thickBot="1" x14ac:dyDescent="0.25">
      <c r="A85" s="190" t="s">
        <v>572</v>
      </c>
      <c r="B85" s="1234" t="str">
        <f>IF('Phase Codes'!B67="","",'Phase Codes'!B67)</f>
        <v/>
      </c>
      <c r="C85" s="1234"/>
      <c r="D85" s="404">
        <f t="shared" si="10"/>
        <v>0</v>
      </c>
      <c r="E85" s="406">
        <f t="shared" si="11"/>
        <v>0</v>
      </c>
      <c r="F85" s="405">
        <f>SUMIFS(SM_MaterialColumn,PC_SM_Material,$A85)+SUMIF('MCAA RECAP'!$A$101:$A$105,A85,'MCAA RECAP'!$H$101:$H$105)</f>
        <v>0</v>
      </c>
      <c r="H85" s="121" t="str">
        <f t="shared" si="9"/>
        <v/>
      </c>
      <c r="K85" s="810">
        <f t="shared" si="1"/>
        <v>0</v>
      </c>
    </row>
    <row r="86" spans="1:11" ht="18" customHeight="1" thickBot="1" x14ac:dyDescent="0.25">
      <c r="A86" s="190" t="s">
        <v>573</v>
      </c>
      <c r="B86" s="1234" t="str">
        <f>IF('Phase Codes'!B68="","",'Phase Codes'!B68)</f>
        <v/>
      </c>
      <c r="C86" s="1234"/>
      <c r="D86" s="404">
        <f t="shared" si="10"/>
        <v>0</v>
      </c>
      <c r="E86" s="406">
        <f t="shared" si="11"/>
        <v>0</v>
      </c>
      <c r="F86" s="405">
        <f>SUMIFS(SM_MaterialColumn,PC_SM_Material,$A86)+SUMIF('MCAA RECAP'!$A$101:$A$105,A86,'MCAA RECAP'!$H$101:$H$105)</f>
        <v>0</v>
      </c>
      <c r="H86" s="121" t="str">
        <f t="shared" si="9"/>
        <v/>
      </c>
      <c r="K86" s="810">
        <f t="shared" si="1"/>
        <v>0</v>
      </c>
    </row>
    <row r="87" spans="1:11" ht="18" customHeight="1" thickBot="1" x14ac:dyDescent="0.25">
      <c r="A87" s="190" t="s">
        <v>574</v>
      </c>
      <c r="B87" s="1234" t="str">
        <f>IF('Phase Codes'!B69="","",'Phase Codes'!B69)</f>
        <v/>
      </c>
      <c r="C87" s="1234"/>
      <c r="D87" s="404">
        <f t="shared" si="10"/>
        <v>0</v>
      </c>
      <c r="E87" s="406">
        <f t="shared" si="11"/>
        <v>0</v>
      </c>
      <c r="F87" s="405">
        <f>SUMIFS(SM_MaterialColumn,PC_SM_Material,$A87)+SUMIF('MCAA RECAP'!$A$101:$A$105,A87,'MCAA RECAP'!$H$101:$H$105)</f>
        <v>0</v>
      </c>
      <c r="H87" s="121" t="str">
        <f t="shared" si="9"/>
        <v/>
      </c>
      <c r="K87" s="810">
        <f t="shared" ref="K87:K121" si="12">SUM(D87:F87)</f>
        <v>0</v>
      </c>
    </row>
    <row r="88" spans="1:11" ht="18" customHeight="1" thickBot="1" x14ac:dyDescent="0.25">
      <c r="A88" s="190" t="s">
        <v>575</v>
      </c>
      <c r="B88" s="1234" t="str">
        <f>IF('Phase Codes'!B70="","",'Phase Codes'!B70)</f>
        <v/>
      </c>
      <c r="C88" s="1234"/>
      <c r="D88" s="404">
        <f t="shared" si="10"/>
        <v>0</v>
      </c>
      <c r="E88" s="406">
        <f t="shared" si="11"/>
        <v>0</v>
      </c>
      <c r="F88" s="405">
        <f>SUMIFS(SM_MaterialColumn,PC_SM_Material,$A88)+SUMIF('MCAA RECAP'!$A$101:$A$105,A88,'MCAA RECAP'!$H$101:$H$105)</f>
        <v>0</v>
      </c>
      <c r="H88" s="121" t="str">
        <f t="shared" si="9"/>
        <v/>
      </c>
      <c r="K88" s="810">
        <f t="shared" si="12"/>
        <v>0</v>
      </c>
    </row>
    <row r="89" spans="1:11" ht="18" customHeight="1" thickBot="1" x14ac:dyDescent="0.25">
      <c r="A89" s="190" t="s">
        <v>576</v>
      </c>
      <c r="B89" s="1234" t="str">
        <f>IF('Phase Codes'!B71="","",'Phase Codes'!B71)</f>
        <v/>
      </c>
      <c r="C89" s="1234"/>
      <c r="D89" s="404">
        <f t="shared" si="10"/>
        <v>0</v>
      </c>
      <c r="E89" s="406">
        <f t="shared" si="11"/>
        <v>0</v>
      </c>
      <c r="F89" s="405">
        <f>SUMIFS(SM_MaterialColumn,PC_SM_Material,$A89)+SUMIF('MCAA RECAP'!$A$101:$A$105,A89,'MCAA RECAP'!$H$101:$H$105)</f>
        <v>0</v>
      </c>
      <c r="H89" s="121" t="str">
        <f t="shared" si="9"/>
        <v/>
      </c>
      <c r="K89" s="810">
        <f t="shared" si="12"/>
        <v>0</v>
      </c>
    </row>
    <row r="90" spans="1:11" ht="18" customHeight="1" thickBot="1" x14ac:dyDescent="0.25">
      <c r="A90" s="190" t="s">
        <v>577</v>
      </c>
      <c r="B90" s="1234" t="str">
        <f>IF('Phase Codes'!B72="","",'Phase Codes'!B72)</f>
        <v/>
      </c>
      <c r="C90" s="1234"/>
      <c r="D90" s="404">
        <f t="shared" si="10"/>
        <v>0</v>
      </c>
      <c r="E90" s="406">
        <f t="shared" si="11"/>
        <v>0</v>
      </c>
      <c r="F90" s="405">
        <f>SUMIFS(SM_MaterialColumn,PC_SM_Material,$A90)+SUMIF('MCAA RECAP'!$A$101:$A$105,A90,'MCAA RECAP'!$H$101:$H$105)</f>
        <v>0</v>
      </c>
      <c r="H90" s="121" t="str">
        <f t="shared" si="9"/>
        <v/>
      </c>
      <c r="K90" s="810">
        <f t="shared" si="12"/>
        <v>0</v>
      </c>
    </row>
    <row r="91" spans="1:11" ht="18" customHeight="1" thickBot="1" x14ac:dyDescent="0.25">
      <c r="A91" s="190" t="s">
        <v>578</v>
      </c>
      <c r="B91" s="1234" t="str">
        <f>IF('Phase Codes'!B73="","",'Phase Codes'!B73)</f>
        <v/>
      </c>
      <c r="C91" s="1234"/>
      <c r="D91" s="404">
        <f t="shared" si="10"/>
        <v>0</v>
      </c>
      <c r="E91" s="406">
        <f t="shared" si="11"/>
        <v>0</v>
      </c>
      <c r="F91" s="405">
        <f>SUMIFS(SM_MaterialColumn,PC_SM_Material,$A91)+SUMIF('MCAA RECAP'!$A$101:$A$105,A91,'MCAA RECAP'!$H$101:$H$105)</f>
        <v>0</v>
      </c>
      <c r="H91" s="121" t="str">
        <f t="shared" si="9"/>
        <v/>
      </c>
      <c r="K91" s="810">
        <f t="shared" si="12"/>
        <v>0</v>
      </c>
    </row>
    <row r="92" spans="1:11" ht="18" customHeight="1" thickBot="1" x14ac:dyDescent="0.25">
      <c r="A92" s="190" t="s">
        <v>579</v>
      </c>
      <c r="B92" s="1234" t="str">
        <f>IF('Phase Codes'!B74="","",'Phase Codes'!B74)</f>
        <v/>
      </c>
      <c r="C92" s="1234"/>
      <c r="D92" s="404">
        <f t="shared" si="10"/>
        <v>0</v>
      </c>
      <c r="E92" s="406">
        <f t="shared" si="11"/>
        <v>0</v>
      </c>
      <c r="F92" s="405">
        <f>SUMIFS(SM_MaterialColumn,PC_SM_Material,$A92)+SUMIF('MCAA RECAP'!$A$101:$A$105,A92,'MCAA RECAP'!$H$101:$H$105)</f>
        <v>0</v>
      </c>
      <c r="H92" s="121" t="str">
        <f t="shared" si="9"/>
        <v/>
      </c>
      <c r="K92" s="810">
        <f t="shared" si="12"/>
        <v>0</v>
      </c>
    </row>
    <row r="93" spans="1:11" ht="18" customHeight="1" thickBot="1" x14ac:dyDescent="0.25">
      <c r="A93" s="190" t="s">
        <v>580</v>
      </c>
      <c r="B93" s="1234" t="str">
        <f>IF('Phase Codes'!B75="","",'Phase Codes'!B75)</f>
        <v/>
      </c>
      <c r="C93" s="1234"/>
      <c r="D93" s="404">
        <f t="shared" si="10"/>
        <v>0</v>
      </c>
      <c r="E93" s="406">
        <f t="shared" si="11"/>
        <v>0</v>
      </c>
      <c r="F93" s="405">
        <f>SUMIFS(SM_MaterialColumn,PC_SM_Material,$A93)+SUMIF('MCAA RECAP'!$A$101:$A$105,A93,'MCAA RECAP'!$H$101:$H$105)</f>
        <v>0</v>
      </c>
      <c r="H93" s="121" t="str">
        <f t="shared" si="9"/>
        <v/>
      </c>
      <c r="K93" s="810">
        <f t="shared" si="12"/>
        <v>0</v>
      </c>
    </row>
    <row r="94" spans="1:11" ht="18" customHeight="1" thickBot="1" x14ac:dyDescent="0.25">
      <c r="A94" s="190" t="s">
        <v>581</v>
      </c>
      <c r="B94" s="1234" t="str">
        <f>IF('Phase Codes'!B76="","",'Phase Codes'!B76)</f>
        <v/>
      </c>
      <c r="C94" s="1234"/>
      <c r="D94" s="404">
        <f t="shared" si="10"/>
        <v>0</v>
      </c>
      <c r="E94" s="406">
        <f t="shared" si="11"/>
        <v>0</v>
      </c>
      <c r="F94" s="405">
        <f>SUMIFS(SM_MaterialColumn,PC_SM_Material,$A94)+SUMIF('MCAA RECAP'!$A$101:$A$105,A94,'MCAA RECAP'!$H$101:$H$105)</f>
        <v>0</v>
      </c>
      <c r="H94" s="121" t="str">
        <f t="shared" si="9"/>
        <v/>
      </c>
      <c r="K94" s="810">
        <f t="shared" si="12"/>
        <v>0</v>
      </c>
    </row>
    <row r="95" spans="1:11" ht="18" customHeight="1" thickBot="1" x14ac:dyDescent="0.25">
      <c r="A95" s="190" t="s">
        <v>582</v>
      </c>
      <c r="B95" s="1234" t="str">
        <f>IF('Phase Codes'!B77="","",'Phase Codes'!B77)</f>
        <v/>
      </c>
      <c r="C95" s="1234"/>
      <c r="D95" s="404">
        <f t="shared" si="10"/>
        <v>0</v>
      </c>
      <c r="E95" s="406">
        <f t="shared" si="11"/>
        <v>0</v>
      </c>
      <c r="F95" s="405">
        <f>SUMIFS(SM_MaterialColumn,PC_SM_Material,$A95)+SUMIF('MCAA RECAP'!$A$101:$A$105,A95,'MCAA RECAP'!$H$101:$H$105)</f>
        <v>0</v>
      </c>
      <c r="H95" s="121" t="str">
        <f t="shared" si="9"/>
        <v/>
      </c>
      <c r="K95" s="810">
        <f t="shared" si="12"/>
        <v>0</v>
      </c>
    </row>
    <row r="96" spans="1:11" ht="18" customHeight="1" thickBot="1" x14ac:dyDescent="0.25">
      <c r="A96" s="190" t="s">
        <v>583</v>
      </c>
      <c r="B96" s="1234" t="str">
        <f>IF('Phase Codes'!B78="","",'Phase Codes'!B78)</f>
        <v/>
      </c>
      <c r="C96" s="1234"/>
      <c r="D96" s="404">
        <f t="shared" si="10"/>
        <v>0</v>
      </c>
      <c r="E96" s="406">
        <f t="shared" si="11"/>
        <v>0</v>
      </c>
      <c r="F96" s="405">
        <f>SUMIFS(SM_MaterialColumn,PC_SM_Material,$A96)+SUMIF('MCAA RECAP'!$A$101:$A$105,A96,'MCAA RECAP'!$H$101:$H$105)</f>
        <v>0</v>
      </c>
      <c r="H96" s="121" t="str">
        <f t="shared" si="9"/>
        <v/>
      </c>
      <c r="K96" s="810">
        <f t="shared" si="12"/>
        <v>0</v>
      </c>
    </row>
    <row r="97" spans="1:11" ht="18" customHeight="1" thickBot="1" x14ac:dyDescent="0.25">
      <c r="A97" s="190" t="s">
        <v>584</v>
      </c>
      <c r="B97" s="1234" t="str">
        <f>IF('Phase Codes'!B79="","",'Phase Codes'!B79)</f>
        <v/>
      </c>
      <c r="C97" s="1234"/>
      <c r="D97" s="404">
        <f t="shared" si="10"/>
        <v>0</v>
      </c>
      <c r="E97" s="406">
        <f t="shared" si="11"/>
        <v>0</v>
      </c>
      <c r="F97" s="405">
        <f>SUMIFS(SM_MaterialColumn,PC_SM_Material,$A97)+SUMIF('MCAA RECAP'!$A$101:$A$105,A97,'MCAA RECAP'!$H$101:$H$105)</f>
        <v>0</v>
      </c>
      <c r="H97" s="121" t="str">
        <f t="shared" si="9"/>
        <v/>
      </c>
      <c r="K97" s="810">
        <f t="shared" si="12"/>
        <v>0</v>
      </c>
    </row>
    <row r="98" spans="1:11" ht="18" customHeight="1" thickBot="1" x14ac:dyDescent="0.25">
      <c r="A98" s="190" t="s">
        <v>585</v>
      </c>
      <c r="B98" s="1234" t="str">
        <f>IF('Phase Codes'!B80="","",'Phase Codes'!B80)</f>
        <v/>
      </c>
      <c r="C98" s="1234"/>
      <c r="D98" s="404">
        <f t="shared" si="10"/>
        <v>0</v>
      </c>
      <c r="E98" s="406">
        <f t="shared" si="11"/>
        <v>0</v>
      </c>
      <c r="F98" s="405">
        <f>SUMIFS(SM_MaterialColumn,PC_SM_Material,$A98)+SUMIF('MCAA RECAP'!$A$101:$A$105,A98,'MCAA RECAP'!$H$101:$H$105)</f>
        <v>0</v>
      </c>
      <c r="H98" s="121" t="str">
        <f t="shared" si="9"/>
        <v/>
      </c>
      <c r="K98" s="810">
        <f t="shared" si="12"/>
        <v>0</v>
      </c>
    </row>
    <row r="99" spans="1:11" ht="18" customHeight="1" thickBot="1" x14ac:dyDescent="0.25">
      <c r="A99" s="190" t="s">
        <v>586</v>
      </c>
      <c r="B99" s="1234" t="str">
        <f>IF('Phase Codes'!B81="","",'Phase Codes'!B81)</f>
        <v/>
      </c>
      <c r="C99" s="1234"/>
      <c r="D99" s="404">
        <f t="shared" si="10"/>
        <v>0</v>
      </c>
      <c r="E99" s="406">
        <f t="shared" si="11"/>
        <v>0</v>
      </c>
      <c r="F99" s="405">
        <f>SUMIFS(SM_MaterialColumn,PC_SM_Material,$A99)+SUMIF('MCAA RECAP'!$A$101:$A$105,A99,'MCAA RECAP'!$H$101:$H$105)</f>
        <v>0</v>
      </c>
      <c r="H99" s="121" t="str">
        <f t="shared" si="9"/>
        <v/>
      </c>
      <c r="K99" s="810">
        <f t="shared" si="12"/>
        <v>0</v>
      </c>
    </row>
    <row r="100" spans="1:11" ht="18" customHeight="1" thickBot="1" x14ac:dyDescent="0.25">
      <c r="A100" s="190" t="s">
        <v>587</v>
      </c>
      <c r="B100" s="1234" t="str">
        <f>IF('Phase Codes'!B82="","",'Phase Codes'!B82)</f>
        <v/>
      </c>
      <c r="C100" s="1234"/>
      <c r="D100" s="404">
        <f t="shared" si="10"/>
        <v>0</v>
      </c>
      <c r="E100" s="406">
        <f t="shared" si="11"/>
        <v>0</v>
      </c>
      <c r="F100" s="405">
        <f>SUMIFS(SM_MaterialColumn,PC_SM_Material,$A100)+SUMIF('MCAA RECAP'!$A$101:$A$105,A100,'MCAA RECAP'!$H$101:$H$105)</f>
        <v>0</v>
      </c>
      <c r="H100" s="121" t="str">
        <f t="shared" si="9"/>
        <v/>
      </c>
      <c r="K100" s="810">
        <f t="shared" si="12"/>
        <v>0</v>
      </c>
    </row>
    <row r="101" spans="1:11" ht="18" customHeight="1" thickBot="1" x14ac:dyDescent="0.25">
      <c r="A101" s="190" t="s">
        <v>588</v>
      </c>
      <c r="B101" s="1234" t="str">
        <f>IF('Phase Codes'!B83="","",'Phase Codes'!B83)</f>
        <v/>
      </c>
      <c r="C101" s="1234"/>
      <c r="D101" s="404">
        <f t="shared" si="10"/>
        <v>0</v>
      </c>
      <c r="E101" s="406">
        <f t="shared" si="11"/>
        <v>0</v>
      </c>
      <c r="F101" s="405">
        <f>SUMIFS(SM_MaterialColumn,PC_SM_Material,$A101)+SUMIF('MCAA RECAP'!$A$101:$A$105,A101,'MCAA RECAP'!$H$101:$H$105)</f>
        <v>0</v>
      </c>
      <c r="H101" s="121" t="str">
        <f t="shared" si="9"/>
        <v/>
      </c>
      <c r="K101" s="810">
        <f t="shared" si="12"/>
        <v>0</v>
      </c>
    </row>
    <row r="102" spans="1:11" ht="18" customHeight="1" thickBot="1" x14ac:dyDescent="0.25">
      <c r="A102" s="190" t="s">
        <v>589</v>
      </c>
      <c r="B102" s="1234" t="str">
        <f>IF('Phase Codes'!B84="","",'Phase Codes'!B84)</f>
        <v/>
      </c>
      <c r="C102" s="1234"/>
      <c r="D102" s="404">
        <f t="shared" si="10"/>
        <v>0</v>
      </c>
      <c r="E102" s="406">
        <f t="shared" si="11"/>
        <v>0</v>
      </c>
      <c r="F102" s="405">
        <f>SUMIFS(SM_MaterialColumn,PC_SM_Material,$A102)+SUMIF('MCAA RECAP'!$A$101:$A$105,A102,'MCAA RECAP'!$H$101:$H$105)</f>
        <v>0</v>
      </c>
      <c r="H102" s="121" t="str">
        <f t="shared" si="9"/>
        <v/>
      </c>
      <c r="K102" s="810">
        <f t="shared" si="12"/>
        <v>0</v>
      </c>
    </row>
    <row r="103" spans="1:11" ht="18" customHeight="1" thickBot="1" x14ac:dyDescent="0.25">
      <c r="A103" s="190" t="s">
        <v>590</v>
      </c>
      <c r="B103" s="1234" t="str">
        <f>IF('Phase Codes'!B85="","",'Phase Codes'!B85)</f>
        <v/>
      </c>
      <c r="C103" s="1234"/>
      <c r="D103" s="404">
        <f t="shared" si="10"/>
        <v>0</v>
      </c>
      <c r="E103" s="406">
        <f t="shared" si="11"/>
        <v>0</v>
      </c>
      <c r="F103" s="405">
        <f>SUMIFS(SM_MaterialColumn,PC_SM_Material,$A103)+SUMIF('MCAA RECAP'!$A$101:$A$105,A103,'MCAA RECAP'!$H$101:$H$105)</f>
        <v>0</v>
      </c>
      <c r="H103" s="121" t="str">
        <f t="shared" si="9"/>
        <v/>
      </c>
      <c r="K103" s="810">
        <f t="shared" si="12"/>
        <v>0</v>
      </c>
    </row>
    <row r="104" spans="1:11" ht="18" customHeight="1" thickBot="1" x14ac:dyDescent="0.25">
      <c r="A104" s="190" t="s">
        <v>591</v>
      </c>
      <c r="B104" s="1234" t="str">
        <f>IF('Phase Codes'!B86="","",'Phase Codes'!B86)</f>
        <v/>
      </c>
      <c r="C104" s="1234"/>
      <c r="D104" s="404">
        <f t="shared" si="10"/>
        <v>0</v>
      </c>
      <c r="E104" s="406">
        <f t="shared" si="11"/>
        <v>0</v>
      </c>
      <c r="F104" s="405">
        <f>SUMIFS(SM_MaterialColumn,PC_SM_Material,$A104)+SUMIF('MCAA RECAP'!$A$101:$A$105,A104,'MCAA RECAP'!$H$101:$H$105)</f>
        <v>0</v>
      </c>
      <c r="H104" s="121" t="str">
        <f t="shared" si="9"/>
        <v/>
      </c>
      <c r="K104" s="810">
        <f t="shared" si="12"/>
        <v>0</v>
      </c>
    </row>
    <row r="105" spans="1:11" ht="18" customHeight="1" thickBot="1" x14ac:dyDescent="0.25">
      <c r="A105" s="190" t="s">
        <v>592</v>
      </c>
      <c r="B105" s="1234" t="str">
        <f>IF('Phase Codes'!B87="","",'Phase Codes'!B87)</f>
        <v/>
      </c>
      <c r="C105" s="1234"/>
      <c r="D105" s="404">
        <f t="shared" si="10"/>
        <v>0</v>
      </c>
      <c r="E105" s="406">
        <f t="shared" si="11"/>
        <v>0</v>
      </c>
      <c r="F105" s="405">
        <f>SUMIFS(SM_MaterialColumn,PC_SM_Material,$A105)+SUMIF('MCAA RECAP'!$A$101:$A$105,A105,'MCAA RECAP'!$H$101:$H$105)</f>
        <v>0</v>
      </c>
      <c r="H105" s="121" t="str">
        <f t="shared" si="9"/>
        <v/>
      </c>
      <c r="K105" s="810">
        <f t="shared" si="12"/>
        <v>0</v>
      </c>
    </row>
    <row r="106" spans="1:11" ht="18" customHeight="1" thickBot="1" x14ac:dyDescent="0.25">
      <c r="A106" s="190" t="s">
        <v>593</v>
      </c>
      <c r="B106" s="1234" t="str">
        <f>IF('Phase Codes'!B88="","",'Phase Codes'!B88)</f>
        <v/>
      </c>
      <c r="C106" s="1234"/>
      <c r="D106" s="404">
        <f t="shared" si="10"/>
        <v>0</v>
      </c>
      <c r="E106" s="406">
        <f t="shared" si="11"/>
        <v>0</v>
      </c>
      <c r="F106" s="405">
        <f>SUMIFS(SM_MaterialColumn,PC_SM_Material,$A106)+SUMIF('MCAA RECAP'!$A$101:$A$105,A106,'MCAA RECAP'!$H$101:$H$105)</f>
        <v>0</v>
      </c>
      <c r="H106" s="121" t="str">
        <f t="shared" si="9"/>
        <v/>
      </c>
      <c r="K106" s="810">
        <f t="shared" si="12"/>
        <v>0</v>
      </c>
    </row>
    <row r="107" spans="1:11" ht="18" customHeight="1" thickBot="1" x14ac:dyDescent="0.25">
      <c r="A107" s="190" t="s">
        <v>594</v>
      </c>
      <c r="B107" s="1234" t="str">
        <f>IF('Phase Codes'!B89="","",'Phase Codes'!B89)</f>
        <v/>
      </c>
      <c r="C107" s="1234"/>
      <c r="D107" s="404">
        <f t="shared" si="10"/>
        <v>0</v>
      </c>
      <c r="E107" s="406">
        <f t="shared" si="11"/>
        <v>0</v>
      </c>
      <c r="F107" s="405">
        <f>SUMIFS(SM_MaterialColumn,PC_SM_Material,$A107)+SUMIF('MCAA RECAP'!$A$101:$A$105,A107,'MCAA RECAP'!$H$101:$H$105)</f>
        <v>0</v>
      </c>
      <c r="H107" s="121" t="str">
        <f t="shared" si="9"/>
        <v/>
      </c>
      <c r="K107" s="810">
        <f t="shared" si="12"/>
        <v>0</v>
      </c>
    </row>
    <row r="108" spans="1:11" ht="18" customHeight="1" thickBot="1" x14ac:dyDescent="0.25">
      <c r="A108" s="190" t="s">
        <v>595</v>
      </c>
      <c r="B108" s="1234" t="str">
        <f>IF('Phase Codes'!B90="","",'Phase Codes'!B90)</f>
        <v/>
      </c>
      <c r="C108" s="1234"/>
      <c r="D108" s="404">
        <f t="shared" ref="D108:D120" si="13">SUMIFS(SM_FieldLaborColumn,PC_SM_Field,$A108)</f>
        <v>0</v>
      </c>
      <c r="E108" s="406">
        <f t="shared" si="11"/>
        <v>0</v>
      </c>
      <c r="F108" s="405">
        <f>SUMIFS(SM_MaterialColumn,PC_SM_Material,$A108)+SUMIF('MCAA RECAP'!$A$101:$A$105,A108,'MCAA RECAP'!$H$101:$H$105)</f>
        <v>0</v>
      </c>
      <c r="H108" s="121" t="str">
        <f t="shared" si="9"/>
        <v/>
      </c>
      <c r="K108" s="810">
        <f t="shared" si="12"/>
        <v>0</v>
      </c>
    </row>
    <row r="109" spans="1:11" ht="18" customHeight="1" thickBot="1" x14ac:dyDescent="0.25">
      <c r="A109" s="190" t="s">
        <v>596</v>
      </c>
      <c r="B109" s="1234" t="str">
        <f>IF('Phase Codes'!B91="","",'Phase Codes'!B91)</f>
        <v/>
      </c>
      <c r="C109" s="1234"/>
      <c r="D109" s="404">
        <f t="shared" si="13"/>
        <v>0</v>
      </c>
      <c r="E109" s="406">
        <f t="shared" si="11"/>
        <v>0</v>
      </c>
      <c r="F109" s="405">
        <f>SUMIFS(SM_MaterialColumn,PC_SM_Material,$A109)+SUMIF('MCAA RECAP'!$A$101:$A$105,A109,'MCAA RECAP'!$H$101:$H$105)</f>
        <v>0</v>
      </c>
      <c r="H109" s="121" t="str">
        <f t="shared" si="9"/>
        <v/>
      </c>
      <c r="K109" s="810">
        <f t="shared" si="12"/>
        <v>0</v>
      </c>
    </row>
    <row r="110" spans="1:11" ht="18" customHeight="1" thickBot="1" x14ac:dyDescent="0.25">
      <c r="A110" s="190" t="s">
        <v>597</v>
      </c>
      <c r="B110" s="1234" t="str">
        <f>IF('Phase Codes'!B92="","",'Phase Codes'!B92)</f>
        <v>Safety Director - Offsite</v>
      </c>
      <c r="C110" s="1234"/>
      <c r="D110" s="404">
        <f t="shared" si="13"/>
        <v>0</v>
      </c>
      <c r="E110" s="406">
        <f t="shared" si="11"/>
        <v>0</v>
      </c>
      <c r="F110" s="405">
        <f>SUMIFS(SM_MaterialColumn,PC_SM_Material,$A110)+SUMIF('MCAA RECAP'!$A$101:$A$105,A110,'MCAA RECAP'!$H$101:$H$105)</f>
        <v>0</v>
      </c>
      <c r="H110" s="121" t="str">
        <f t="shared" si="9"/>
        <v/>
      </c>
      <c r="K110" s="810">
        <f t="shared" si="12"/>
        <v>0</v>
      </c>
    </row>
    <row r="111" spans="1:11" ht="18" customHeight="1" thickBot="1" x14ac:dyDescent="0.25">
      <c r="A111" s="190" t="s">
        <v>598</v>
      </c>
      <c r="B111" s="1234" t="str">
        <f>IF('Phase Codes'!B93="","",'Phase Codes'!B93)</f>
        <v/>
      </c>
      <c r="C111" s="1234"/>
      <c r="D111" s="404">
        <f t="shared" si="13"/>
        <v>0</v>
      </c>
      <c r="E111" s="406">
        <f t="shared" ref="E111:E120" si="14">SUMIFS(Takeoff_Total_Field_Labor_Cost,PC_SM_Field,$A111)</f>
        <v>0</v>
      </c>
      <c r="F111" s="405">
        <f>SUMIFS(SM_MaterialColumn,PC_SM_Material,$A111)+SUMIF('MCAA RECAP'!$A$101:$A$105,A111,'MCAA RECAP'!$H$101:$H$105)</f>
        <v>0</v>
      </c>
      <c r="H111" s="121" t="str">
        <f t="shared" si="9"/>
        <v/>
      </c>
      <c r="K111" s="810">
        <f t="shared" si="12"/>
        <v>0</v>
      </c>
    </row>
    <row r="112" spans="1:11" ht="18" customHeight="1" thickBot="1" x14ac:dyDescent="0.25">
      <c r="A112" s="190" t="s">
        <v>599</v>
      </c>
      <c r="B112" s="1234" t="str">
        <f>IF('Phase Codes'!B94="","",'Phase Codes'!B94)</f>
        <v/>
      </c>
      <c r="C112" s="1234"/>
      <c r="D112" s="404">
        <f t="shared" si="13"/>
        <v>0</v>
      </c>
      <c r="E112" s="406">
        <f t="shared" si="14"/>
        <v>0</v>
      </c>
      <c r="F112" s="405">
        <f>SUMIFS(SM_MaterialColumn,PC_SM_Material,$A112)+SUMIF('MCAA RECAP'!$A$101:$A$105,A112,'MCAA RECAP'!$H$101:$H$105)</f>
        <v>0</v>
      </c>
      <c r="H112" s="121" t="str">
        <f t="shared" ref="H112:H120" si="15">IF($G112="E",6,IF($G112="M",3,IF($G112="OH","?",IF($G112="OT",7,IF($G112="S",4,"")))))</f>
        <v/>
      </c>
      <c r="K112" s="810">
        <f t="shared" si="12"/>
        <v>0</v>
      </c>
    </row>
    <row r="113" spans="1:13" ht="18" customHeight="1" thickBot="1" x14ac:dyDescent="0.25">
      <c r="A113" s="190" t="s">
        <v>600</v>
      </c>
      <c r="B113" s="1234" t="str">
        <f>IF('Phase Codes'!B95="","",'Phase Codes'!B95)</f>
        <v/>
      </c>
      <c r="C113" s="1234"/>
      <c r="D113" s="404">
        <f t="shared" si="13"/>
        <v>0</v>
      </c>
      <c r="E113" s="406">
        <f t="shared" si="14"/>
        <v>0</v>
      </c>
      <c r="F113" s="405">
        <f>SUMIFS(SM_MaterialColumn,PC_SM_Material,$A113)+SUMIF('MCAA RECAP'!$A$101:$A$105,A113,'MCAA RECAP'!$H$101:$H$105)</f>
        <v>0</v>
      </c>
      <c r="H113" s="121" t="str">
        <f t="shared" si="15"/>
        <v/>
      </c>
      <c r="K113" s="810">
        <f t="shared" si="12"/>
        <v>0</v>
      </c>
    </row>
    <row r="114" spans="1:13" ht="18" customHeight="1" thickBot="1" x14ac:dyDescent="0.25">
      <c r="A114" s="190" t="s">
        <v>601</v>
      </c>
      <c r="B114" s="1234" t="str">
        <f>IF('Phase Codes'!B96="","",'Phase Codes'!B96)</f>
        <v/>
      </c>
      <c r="C114" s="1234"/>
      <c r="D114" s="404">
        <f t="shared" si="13"/>
        <v>0</v>
      </c>
      <c r="E114" s="406">
        <f t="shared" si="14"/>
        <v>0</v>
      </c>
      <c r="F114" s="405">
        <f>SUMIFS(SM_MaterialColumn,PC_SM_Material,$A114)+SUMIF('MCAA RECAP'!$A$101:$A$105,A114,'MCAA RECAP'!$H$101:$H$105)</f>
        <v>0</v>
      </c>
      <c r="H114" s="121" t="str">
        <f t="shared" si="15"/>
        <v/>
      </c>
      <c r="K114" s="810">
        <f t="shared" si="12"/>
        <v>0</v>
      </c>
    </row>
    <row r="115" spans="1:13" ht="18" customHeight="1" thickBot="1" x14ac:dyDescent="0.25">
      <c r="A115" s="190" t="s">
        <v>602</v>
      </c>
      <c r="B115" s="1234" t="str">
        <f>IF('Phase Codes'!B97="","",'Phase Codes'!B97)</f>
        <v/>
      </c>
      <c r="C115" s="1234"/>
      <c r="D115" s="404">
        <f t="shared" si="13"/>
        <v>0</v>
      </c>
      <c r="E115" s="406">
        <f t="shared" si="14"/>
        <v>0</v>
      </c>
      <c r="F115" s="405">
        <f>SUMIFS(SM_MaterialColumn,PC_SM_Material,$A115)+SUMIF('MCAA RECAP'!$A$101:$A$105,A115,'MCAA RECAP'!$H$101:$H$105)</f>
        <v>0</v>
      </c>
      <c r="H115" s="121" t="str">
        <f t="shared" si="15"/>
        <v/>
      </c>
      <c r="K115" s="810">
        <f t="shared" si="12"/>
        <v>0</v>
      </c>
    </row>
    <row r="116" spans="1:13" ht="18" customHeight="1" thickBot="1" x14ac:dyDescent="0.25">
      <c r="A116" s="190" t="s">
        <v>603</v>
      </c>
      <c r="B116" s="1234" t="str">
        <f>IF('Phase Codes'!B98="","",'Phase Codes'!B98)</f>
        <v/>
      </c>
      <c r="C116" s="1234"/>
      <c r="D116" s="404">
        <f t="shared" si="13"/>
        <v>0</v>
      </c>
      <c r="E116" s="406">
        <f t="shared" si="14"/>
        <v>0</v>
      </c>
      <c r="F116" s="405">
        <f>SUMIFS(SM_MaterialColumn,PC_SM_Material,$A116)+SUMIF('MCAA RECAP'!$A$101:$A$105,A116,'MCAA RECAP'!$H$101:$H$105)</f>
        <v>0</v>
      </c>
      <c r="H116" s="121" t="str">
        <f t="shared" si="15"/>
        <v/>
      </c>
      <c r="K116" s="810">
        <f t="shared" si="12"/>
        <v>0</v>
      </c>
    </row>
    <row r="117" spans="1:13" ht="18" customHeight="1" thickBot="1" x14ac:dyDescent="0.25">
      <c r="A117" s="190" t="s">
        <v>604</v>
      </c>
      <c r="B117" s="1234" t="str">
        <f>IF('Phase Codes'!B99="","",'Phase Codes'!B99)</f>
        <v/>
      </c>
      <c r="C117" s="1234"/>
      <c r="D117" s="404">
        <f t="shared" si="13"/>
        <v>0</v>
      </c>
      <c r="E117" s="406">
        <f t="shared" si="14"/>
        <v>0</v>
      </c>
      <c r="F117" s="405">
        <f>SUMIFS(SM_MaterialColumn,PC_SM_Material,$A117)+SUMIF('MCAA RECAP'!$A$101:$A$105,A117,'MCAA RECAP'!$H$101:$H$105)</f>
        <v>0</v>
      </c>
      <c r="H117" s="121" t="str">
        <f t="shared" si="15"/>
        <v/>
      </c>
      <c r="K117" s="810">
        <f t="shared" si="12"/>
        <v>0</v>
      </c>
    </row>
    <row r="118" spans="1:13" ht="18" customHeight="1" thickBot="1" x14ac:dyDescent="0.25">
      <c r="A118" s="190" t="s">
        <v>605</v>
      </c>
      <c r="B118" s="1234" t="str">
        <f>IF('Phase Codes'!B100="","",'Phase Codes'!B100)</f>
        <v/>
      </c>
      <c r="C118" s="1234"/>
      <c r="D118" s="404">
        <f t="shared" si="13"/>
        <v>0</v>
      </c>
      <c r="E118" s="406">
        <f t="shared" si="14"/>
        <v>0</v>
      </c>
      <c r="F118" s="405">
        <f>SUMIFS(SM_MaterialColumn,PC_SM_Material,$A118)+SUMIF('MCAA RECAP'!$A$101:$A$105,A118,'MCAA RECAP'!$H$101:$H$105)</f>
        <v>0</v>
      </c>
      <c r="H118" s="121" t="str">
        <f t="shared" si="15"/>
        <v/>
      </c>
      <c r="K118" s="810">
        <f t="shared" si="12"/>
        <v>0</v>
      </c>
    </row>
    <row r="119" spans="1:13" ht="18" customHeight="1" thickBot="1" x14ac:dyDescent="0.25">
      <c r="A119" s="190" t="s">
        <v>606</v>
      </c>
      <c r="B119" s="1234" t="str">
        <f>IF('Phase Codes'!B101="","",'Phase Codes'!B101)</f>
        <v/>
      </c>
      <c r="C119" s="1234"/>
      <c r="D119" s="404">
        <f t="shared" si="13"/>
        <v>0</v>
      </c>
      <c r="E119" s="406">
        <f t="shared" si="14"/>
        <v>0</v>
      </c>
      <c r="F119" s="405">
        <f>SUMIFS(SM_MaterialColumn,PC_SM_Material,$A119)+SUMIF('MCAA RECAP'!$A$101:$A$105,A119,'MCAA RECAP'!$H$101:$H$105)</f>
        <v>0</v>
      </c>
      <c r="H119" s="121" t="str">
        <f t="shared" si="15"/>
        <v/>
      </c>
      <c r="K119" s="810">
        <f t="shared" si="12"/>
        <v>0</v>
      </c>
    </row>
    <row r="120" spans="1:13" ht="18" customHeight="1" thickBot="1" x14ac:dyDescent="0.25">
      <c r="A120" s="190" t="s">
        <v>456</v>
      </c>
      <c r="B120" s="1234" t="str">
        <f>IF('Phase Codes'!B102="","",'Phase Codes'!B102)</f>
        <v/>
      </c>
      <c r="C120" s="1234"/>
      <c r="D120" s="404">
        <f t="shared" si="13"/>
        <v>0</v>
      </c>
      <c r="E120" s="406">
        <f t="shared" si="14"/>
        <v>0</v>
      </c>
      <c r="F120" s="405">
        <f>SUMIFS(SM_MaterialColumn,PC_SM_Material,$A120)+SUMIF('MCAA RECAP'!$A$101:$A$105,A120,'MCAA RECAP'!$H$101:$H$105)</f>
        <v>0</v>
      </c>
      <c r="H120" s="121" t="str">
        <f t="shared" si="15"/>
        <v/>
      </c>
      <c r="K120" s="810">
        <f t="shared" si="12"/>
        <v>0</v>
      </c>
    </row>
    <row r="121" spans="1:13" ht="18" customHeight="1" thickBot="1" x14ac:dyDescent="0.25">
      <c r="A121" s="165" t="s">
        <v>8</v>
      </c>
      <c r="B121" s="1235" t="s">
        <v>330</v>
      </c>
      <c r="C121" s="1236"/>
      <c r="D121" s="210">
        <f t="shared" ref="D121:F121" si="16">SUM(D22:D120)</f>
        <v>1145.24</v>
      </c>
      <c r="E121" s="191">
        <f t="shared" si="16"/>
        <v>119670.6704</v>
      </c>
      <c r="F121" s="191">
        <f t="shared" si="16"/>
        <v>15926.76</v>
      </c>
      <c r="H121" s="121"/>
      <c r="K121" s="810">
        <f t="shared" si="12"/>
        <v>136742.6704</v>
      </c>
    </row>
    <row r="122" spans="1:13" ht="15" customHeight="1" x14ac:dyDescent="0.2">
      <c r="H122" s="121"/>
      <c r="K122" s="810">
        <f>K121</f>
        <v>136742.6704</v>
      </c>
    </row>
    <row r="123" spans="1:13" ht="15" customHeight="1" x14ac:dyDescent="0.2">
      <c r="C123" s="250" t="s">
        <v>1398</v>
      </c>
      <c r="D123" s="549">
        <f>D121</f>
        <v>1145.24</v>
      </c>
      <c r="E123" s="550">
        <f>E121</f>
        <v>119670.6704</v>
      </c>
      <c r="F123" s="550">
        <f>F121</f>
        <v>15926.76</v>
      </c>
      <c r="H123" s="121"/>
      <c r="K123" s="810">
        <f>K121</f>
        <v>136742.6704</v>
      </c>
    </row>
    <row r="124" spans="1:13" ht="15" customHeight="1" thickBot="1" x14ac:dyDescent="0.3">
      <c r="A124" s="160"/>
      <c r="B124" s="160"/>
      <c r="C124" s="160"/>
      <c r="E124" s="158"/>
      <c r="F124" s="158"/>
      <c r="H124" s="121"/>
      <c r="K124" s="810">
        <f>K227</f>
        <v>0</v>
      </c>
    </row>
    <row r="125" spans="1:13" ht="16.5" thickBot="1" x14ac:dyDescent="0.3">
      <c r="A125" s="83"/>
      <c r="B125" s="1237" t="s">
        <v>324</v>
      </c>
      <c r="C125" s="1238"/>
      <c r="H125" s="121"/>
      <c r="K125" s="810">
        <f>K227</f>
        <v>0</v>
      </c>
    </row>
    <row r="126" spans="1:13" ht="26.25" thickBot="1" x14ac:dyDescent="0.25">
      <c r="A126" s="162" t="s">
        <v>325</v>
      </c>
      <c r="B126" s="1239" t="s">
        <v>0</v>
      </c>
      <c r="C126" s="1240"/>
      <c r="D126" s="163" t="s">
        <v>326</v>
      </c>
      <c r="E126" s="163" t="s">
        <v>327</v>
      </c>
      <c r="F126" s="163" t="s">
        <v>328</v>
      </c>
      <c r="G126" s="163" t="s">
        <v>1323</v>
      </c>
      <c r="H126" s="163" t="s">
        <v>1317</v>
      </c>
      <c r="K126" s="810">
        <f>K227</f>
        <v>0</v>
      </c>
    </row>
    <row r="127" spans="1:13" ht="17.100000000000001" customHeight="1" thickBot="1" x14ac:dyDescent="0.3">
      <c r="A127" s="164" t="s">
        <v>331</v>
      </c>
      <c r="B127" s="164"/>
      <c r="H127" s="121"/>
      <c r="K127" s="810">
        <f>K227</f>
        <v>0</v>
      </c>
      <c r="M127"/>
    </row>
    <row r="128" spans="1:13" ht="18" customHeight="1" thickBot="1" x14ac:dyDescent="0.25">
      <c r="A128" s="190" t="s">
        <v>385</v>
      </c>
      <c r="B128" s="1234" t="str">
        <f>IF('Phase Codes'!C4="","",'Phase Codes'!C4)</f>
        <v>Supervision</v>
      </c>
      <c r="C128" s="1234"/>
      <c r="D128" s="404">
        <f>SUMIFS(SM_ShopLaborColumn,PC_SM_Shop,$A128)</f>
        <v>0</v>
      </c>
      <c r="E128" s="405">
        <f>SUMIFS(Takeoff_Total_Shop_Labor_Cost,PC_SM_Shop,$A128)</f>
        <v>0</v>
      </c>
      <c r="F128" s="405">
        <f t="shared" ref="F128:F138" si="17">SUMIFS(SM_MaterialColumn,PC_SM_Material,$A128)</f>
        <v>0</v>
      </c>
      <c r="G128" t="s">
        <v>1319</v>
      </c>
      <c r="H128" s="121">
        <f t="shared" ref="H128:H191" si="18">IF($G128="E",6,IF($G128="M",3,IF($G128="OH","?",IF($G128="OT",7,IF($G128="S",4,"")))))</f>
        <v>3</v>
      </c>
      <c r="K128" s="810">
        <f>SUM(D128:F128)</f>
        <v>0</v>
      </c>
      <c r="L128" s="83"/>
      <c r="M128" s="617"/>
    </row>
    <row r="129" spans="1:13" ht="18" customHeight="1" thickBot="1" x14ac:dyDescent="0.25">
      <c r="A129" s="190" t="s">
        <v>350</v>
      </c>
      <c r="B129" s="1234" t="str">
        <f>IF('Phase Codes'!C5="","",'Phase Codes'!C5)</f>
        <v>Hangers</v>
      </c>
      <c r="C129" s="1234"/>
      <c r="D129" s="404">
        <f>SUMIFS(SM_ShopLaborColumn,PC_SM_Shop,$A129)</f>
        <v>0</v>
      </c>
      <c r="E129" s="405">
        <f>SUMIFS(Takeoff_Total_Shop_Labor_Cost,PC_SM_Shop,$A129)</f>
        <v>0</v>
      </c>
      <c r="F129" s="405">
        <f t="shared" si="17"/>
        <v>0</v>
      </c>
      <c r="G129" t="s">
        <v>1319</v>
      </c>
      <c r="H129" s="121">
        <f t="shared" si="18"/>
        <v>3</v>
      </c>
      <c r="K129" s="810">
        <f t="shared" ref="K129:K192" si="19">SUM(D129:F129)</f>
        <v>0</v>
      </c>
      <c r="L129" s="83"/>
      <c r="M129" s="617"/>
    </row>
    <row r="130" spans="1:13" ht="18" customHeight="1" thickBot="1" x14ac:dyDescent="0.25">
      <c r="A130" s="190" t="s">
        <v>351</v>
      </c>
      <c r="B130" s="1234" t="str">
        <f>IF('Phase Codes'!C6="","",'Phase Codes'!C6)</f>
        <v>Floor Supports</v>
      </c>
      <c r="C130" s="1234"/>
      <c r="D130" s="404">
        <f>SUMIFS(SM_ShopLaborColumn,PC_SM_Shop,$A130)</f>
        <v>0</v>
      </c>
      <c r="E130" s="405">
        <f>SUMIFS(Takeoff_Total_Shop_Labor_Cost,PC_SM_Shop,$A130)</f>
        <v>0</v>
      </c>
      <c r="F130" s="405">
        <f t="shared" si="17"/>
        <v>0</v>
      </c>
      <c r="G130" t="s">
        <v>1319</v>
      </c>
      <c r="H130" s="121">
        <f t="shared" si="18"/>
        <v>3</v>
      </c>
      <c r="K130" s="810">
        <f t="shared" si="19"/>
        <v>0</v>
      </c>
      <c r="L130" s="83"/>
      <c r="M130" s="617"/>
    </row>
    <row r="131" spans="1:13" ht="18" customHeight="1" thickBot="1" x14ac:dyDescent="0.25">
      <c r="A131" s="190" t="s">
        <v>386</v>
      </c>
      <c r="B131" s="1234" t="str">
        <f>IF('Phase Codes'!C7="","",'Phase Codes'!C7)</f>
        <v>QA/QC</v>
      </c>
      <c r="C131" s="1234"/>
      <c r="D131" s="404">
        <f>SUMIFS(SM_ShopLaborColumn,PC_SM_Shop,$A131)+'MCAA RECAP'!H15</f>
        <v>0</v>
      </c>
      <c r="E131" s="405">
        <f>SUMIFS(Takeoff_Total_Shop_Labor_Cost,PC_SM_Shop,$A131)+('MCAA RECAP'!H15*CrewRate_SMShop)</f>
        <v>0</v>
      </c>
      <c r="F131" s="405">
        <f t="shared" si="17"/>
        <v>0</v>
      </c>
      <c r="G131" t="s">
        <v>1319</v>
      </c>
      <c r="H131" s="121">
        <f t="shared" si="18"/>
        <v>3</v>
      </c>
      <c r="K131" s="810">
        <f t="shared" si="19"/>
        <v>0</v>
      </c>
      <c r="L131" s="83"/>
      <c r="M131" s="617"/>
    </row>
    <row r="132" spans="1:13" ht="18" customHeight="1" thickBot="1" x14ac:dyDescent="0.25">
      <c r="A132" s="190" t="s">
        <v>387</v>
      </c>
      <c r="B132" s="1234" t="str">
        <f>IF('Phase Codes'!C8="","",'Phase Codes'!C8)</f>
        <v>Detailing</v>
      </c>
      <c r="C132" s="1234"/>
      <c r="D132" s="404">
        <f>SUMIFS(SM_ShopLaborColumn,PC_SM_Shop,$A132)+'MCAA RECAP'!H12</f>
        <v>0</v>
      </c>
      <c r="E132" s="405">
        <f>SUMIFS(Takeoff_Total_Shop_Labor_Cost,PC_SM_Shop,$A132)+('MCAA RECAP'!H12*CrewRate_SMShop)</f>
        <v>0</v>
      </c>
      <c r="F132" s="405">
        <f t="shared" si="17"/>
        <v>0</v>
      </c>
      <c r="G132" t="s">
        <v>1319</v>
      </c>
      <c r="H132" s="121">
        <f t="shared" si="18"/>
        <v>3</v>
      </c>
      <c r="K132" s="810">
        <f t="shared" si="19"/>
        <v>0</v>
      </c>
      <c r="L132" s="83"/>
      <c r="M132" s="617"/>
    </row>
    <row r="133" spans="1:13" ht="18" customHeight="1" thickBot="1" x14ac:dyDescent="0.25">
      <c r="A133" s="190" t="s">
        <v>388</v>
      </c>
      <c r="B133" s="1234" t="str">
        <f>IF('Phase Codes'!C9="","",'Phase Codes'!C9)</f>
        <v>Material Handling</v>
      </c>
      <c r="C133" s="1234"/>
      <c r="D133" s="404">
        <f>SUMIFS(SM_ShopLaborColumn,PC_SM_Shop,$A133)+'MCAA RECAP'!H16</f>
        <v>0</v>
      </c>
      <c r="E133" s="405">
        <f>SUMIFS(Takeoff_Total_Shop_Labor_Cost,PC_SM_Shop,$A133)+('MCAA RECAP'!H16*CrewRate_SMShop)</f>
        <v>0</v>
      </c>
      <c r="F133" s="405">
        <f t="shared" si="17"/>
        <v>0</v>
      </c>
      <c r="G133" t="s">
        <v>1319</v>
      </c>
      <c r="H133" s="121">
        <f t="shared" si="18"/>
        <v>3</v>
      </c>
      <c r="K133" s="810">
        <f t="shared" si="19"/>
        <v>0</v>
      </c>
      <c r="L133" s="83"/>
      <c r="M133" s="617"/>
    </row>
    <row r="134" spans="1:13" ht="18" customHeight="1" thickBot="1" x14ac:dyDescent="0.25">
      <c r="A134" s="190" t="s">
        <v>384</v>
      </c>
      <c r="B134" s="1234" t="str">
        <f>IF('Phase Codes'!C10="","",'Phase Codes'!C10)</f>
        <v>Miscellaneous</v>
      </c>
      <c r="C134" s="1234"/>
      <c r="D134" s="404">
        <f>SUMIFS(SM_ShopLaborColumn,PC_SM_Shop,$A134)</f>
        <v>0</v>
      </c>
      <c r="E134" s="405">
        <f t="shared" ref="E134:E164" si="20">SUMIFS(Takeoff_Total_Shop_Labor_Cost,PC_SM_Shop,$A134)</f>
        <v>0</v>
      </c>
      <c r="F134" s="405">
        <f t="shared" si="17"/>
        <v>0</v>
      </c>
      <c r="G134" t="s">
        <v>1319</v>
      </c>
      <c r="H134" s="121">
        <f t="shared" si="18"/>
        <v>3</v>
      </c>
      <c r="K134" s="810">
        <f t="shared" si="19"/>
        <v>0</v>
      </c>
      <c r="L134" s="83"/>
      <c r="M134" s="617"/>
    </row>
    <row r="135" spans="1:13" ht="18" customHeight="1" thickBot="1" x14ac:dyDescent="0.25">
      <c r="A135" s="190" t="s">
        <v>389</v>
      </c>
      <c r="B135" s="1234" t="str">
        <f>IF('Phase Codes'!C11="","",'Phase Codes'!C11)</f>
        <v>Equity Fund</v>
      </c>
      <c r="C135" s="1234"/>
      <c r="D135" s="404">
        <f>SUMIFS(SM_ShopLaborColumn,PC_SM_Shop,$A135)</f>
        <v>0</v>
      </c>
      <c r="E135" s="405">
        <f>SUMIFS(Takeoff_Total_Shop_Labor_Cost,PC_SM_Shop,$A135)+(ABS('Work Recovery'!H6)*-1)</f>
        <v>0</v>
      </c>
      <c r="F135" s="405">
        <f t="shared" si="17"/>
        <v>0</v>
      </c>
      <c r="G135" t="s">
        <v>1322</v>
      </c>
      <c r="H135" s="121" t="s">
        <v>1828</v>
      </c>
      <c r="K135" s="810">
        <f t="shared" si="19"/>
        <v>0</v>
      </c>
      <c r="L135" s="83"/>
      <c r="M135" s="617"/>
    </row>
    <row r="136" spans="1:13" ht="18" customHeight="1" thickBot="1" x14ac:dyDescent="0.25">
      <c r="A136" s="190" t="s">
        <v>390</v>
      </c>
      <c r="B136" s="1234" t="str">
        <f>IF('Phase Codes'!C12="","",'Phase Codes'!C12)</f>
        <v>Safety Time</v>
      </c>
      <c r="C136" s="1234"/>
      <c r="D136" s="404">
        <f>SUMIFS(SM_ShopLaborColumn,PC_SM_Shop,$A136)+'MCAA RECAP'!H14</f>
        <v>0</v>
      </c>
      <c r="E136" s="405">
        <f>SUMIFS(Takeoff_Total_Shop_Labor_Cost,PC_SM_Shop,$A136)+('MCAA RECAP'!H14*CrewRate_SMShop)</f>
        <v>0</v>
      </c>
      <c r="F136" s="405">
        <f t="shared" si="17"/>
        <v>0</v>
      </c>
      <c r="G136" t="s">
        <v>1319</v>
      </c>
      <c r="H136" s="121">
        <f t="shared" si="18"/>
        <v>3</v>
      </c>
      <c r="K136" s="810">
        <f t="shared" si="19"/>
        <v>0</v>
      </c>
      <c r="L136" s="83"/>
      <c r="M136" s="617"/>
    </row>
    <row r="137" spans="1:13" ht="18" customHeight="1" thickBot="1" x14ac:dyDescent="0.25">
      <c r="A137" s="190" t="s">
        <v>391</v>
      </c>
      <c r="B137" s="1234" t="str">
        <f>IF('Phase Codes'!C13="","",'Phase Codes'!C13)</f>
        <v>Testing</v>
      </c>
      <c r="C137" s="1234"/>
      <c r="D137" s="404">
        <f>SUMIFS(SM_ShopLaborColumn,PC_SM_Shop,$A137)+'MCAA RECAP'!H13</f>
        <v>0</v>
      </c>
      <c r="E137" s="405">
        <f>SUMIFS(Takeoff_Total_Shop_Labor_Cost,PC_SM_Shop,$A137)+('MCAA RECAP'!H13*CrewRate_SMShop)</f>
        <v>0</v>
      </c>
      <c r="F137" s="405">
        <f t="shared" si="17"/>
        <v>0</v>
      </c>
      <c r="G137" t="s">
        <v>1319</v>
      </c>
      <c r="H137" s="121">
        <f t="shared" si="18"/>
        <v>3</v>
      </c>
      <c r="K137" s="810">
        <f t="shared" si="19"/>
        <v>0</v>
      </c>
      <c r="L137" s="83"/>
      <c r="M137" s="617"/>
    </row>
    <row r="138" spans="1:13" ht="18" customHeight="1" thickBot="1" x14ac:dyDescent="0.25">
      <c r="A138" s="190" t="s">
        <v>392</v>
      </c>
      <c r="B138" s="1234" t="str">
        <f>IF('Phase Codes'!C14="","",'Phase Codes'!C14)</f>
        <v>Training and Orientation</v>
      </c>
      <c r="C138" s="1234"/>
      <c r="D138" s="404">
        <f t="shared" ref="D138:D151" si="21">SUMIFS(SM_ShopLaborColumn,PC_SM_Shop,$A138)</f>
        <v>0</v>
      </c>
      <c r="E138" s="405">
        <f t="shared" si="20"/>
        <v>0</v>
      </c>
      <c r="F138" s="405">
        <f t="shared" si="17"/>
        <v>0</v>
      </c>
      <c r="G138" t="s">
        <v>1319</v>
      </c>
      <c r="H138" s="121">
        <f t="shared" si="18"/>
        <v>3</v>
      </c>
      <c r="K138" s="810">
        <f t="shared" si="19"/>
        <v>0</v>
      </c>
      <c r="L138" s="83"/>
      <c r="M138" s="617"/>
    </row>
    <row r="139" spans="1:13" ht="18" customHeight="1" thickBot="1" x14ac:dyDescent="0.25">
      <c r="A139" s="190" t="s">
        <v>352</v>
      </c>
      <c r="B139" s="1234" t="str">
        <f>IF('Phase Codes'!C15="","",'Phase Codes'!C15)</f>
        <v>Coil Duct</v>
      </c>
      <c r="C139" s="1234"/>
      <c r="D139" s="404">
        <f t="shared" si="21"/>
        <v>0</v>
      </c>
      <c r="E139" s="405">
        <f t="shared" si="20"/>
        <v>0</v>
      </c>
      <c r="F139" s="405">
        <f t="shared" ref="F139:F148" si="22">SUMIFS(SM_MaterialColumn,PC_SM_Material,$A139)</f>
        <v>0</v>
      </c>
      <c r="G139" t="s">
        <v>1319</v>
      </c>
      <c r="H139" s="121">
        <f t="shared" si="18"/>
        <v>3</v>
      </c>
      <c r="K139" s="810">
        <f t="shared" si="19"/>
        <v>0</v>
      </c>
      <c r="L139" s="83"/>
      <c r="M139" s="617"/>
    </row>
    <row r="140" spans="1:13" ht="18" customHeight="1" thickBot="1" x14ac:dyDescent="0.25">
      <c r="A140" s="190" t="s">
        <v>353</v>
      </c>
      <c r="B140" s="1234" t="str">
        <f>IF('Phase Codes'!C16="","",'Phase Codes'!C16)</f>
        <v>Galv Ftgs</v>
      </c>
      <c r="C140" s="1234"/>
      <c r="D140" s="404">
        <f t="shared" si="21"/>
        <v>0</v>
      </c>
      <c r="E140" s="405">
        <f t="shared" si="20"/>
        <v>0</v>
      </c>
      <c r="F140" s="405">
        <f t="shared" si="22"/>
        <v>0</v>
      </c>
      <c r="G140" t="s">
        <v>1319</v>
      </c>
      <c r="H140" s="121">
        <f t="shared" si="18"/>
        <v>3</v>
      </c>
      <c r="K140" s="810">
        <f t="shared" si="19"/>
        <v>0</v>
      </c>
      <c r="L140" s="83"/>
      <c r="M140" s="617"/>
    </row>
    <row r="141" spans="1:13" ht="18" customHeight="1" thickBot="1" x14ac:dyDescent="0.25">
      <c r="A141" s="190" t="s">
        <v>354</v>
      </c>
      <c r="B141" s="1234" t="str">
        <f>IF('Phase Codes'!C17="","",'Phase Codes'!C17)</f>
        <v>SS Duct and Fittings</v>
      </c>
      <c r="C141" s="1234"/>
      <c r="D141" s="404">
        <f t="shared" si="21"/>
        <v>0</v>
      </c>
      <c r="E141" s="405">
        <f t="shared" si="20"/>
        <v>0</v>
      </c>
      <c r="F141" s="405">
        <f t="shared" si="22"/>
        <v>0</v>
      </c>
      <c r="G141" t="s">
        <v>1319</v>
      </c>
      <c r="H141" s="121">
        <f t="shared" si="18"/>
        <v>3</v>
      </c>
      <c r="K141" s="810">
        <f t="shared" si="19"/>
        <v>0</v>
      </c>
      <c r="L141" s="83"/>
      <c r="M141" s="617"/>
    </row>
    <row r="142" spans="1:13" ht="18" customHeight="1" thickBot="1" x14ac:dyDescent="0.25">
      <c r="A142" s="190" t="s">
        <v>360</v>
      </c>
      <c r="B142" s="1234" t="str">
        <f>IF('Phase Codes'!C18="","",'Phase Codes'!C18)</f>
        <v>Alum Duct and Fittings</v>
      </c>
      <c r="C142" s="1234"/>
      <c r="D142" s="404">
        <f t="shared" si="21"/>
        <v>0</v>
      </c>
      <c r="E142" s="405">
        <f t="shared" si="20"/>
        <v>0</v>
      </c>
      <c r="F142" s="405">
        <f t="shared" si="22"/>
        <v>0</v>
      </c>
      <c r="G142" t="s">
        <v>1319</v>
      </c>
      <c r="H142" s="121">
        <f t="shared" si="18"/>
        <v>3</v>
      </c>
      <c r="K142" s="810">
        <f t="shared" si="19"/>
        <v>0</v>
      </c>
      <c r="L142" s="83"/>
      <c r="M142" s="617"/>
    </row>
    <row r="143" spans="1:13" ht="18" customHeight="1" thickBot="1" x14ac:dyDescent="0.25">
      <c r="A143" s="190" t="s">
        <v>369</v>
      </c>
      <c r="B143" s="1234" t="str">
        <f>IF('Phase Codes'!C19="","",'Phase Codes'!C19)</f>
        <v>Black Iron Duct and Fittings</v>
      </c>
      <c r="C143" s="1234"/>
      <c r="D143" s="404">
        <f t="shared" si="21"/>
        <v>0</v>
      </c>
      <c r="E143" s="405">
        <f t="shared" si="20"/>
        <v>0</v>
      </c>
      <c r="F143" s="405">
        <f t="shared" si="22"/>
        <v>0</v>
      </c>
      <c r="G143" t="s">
        <v>1319</v>
      </c>
      <c r="H143" s="121">
        <f t="shared" si="18"/>
        <v>3</v>
      </c>
      <c r="K143" s="810">
        <f t="shared" si="19"/>
        <v>0</v>
      </c>
      <c r="L143" s="83"/>
      <c r="M143" s="617"/>
    </row>
    <row r="144" spans="1:13" ht="18" customHeight="1" thickBot="1" x14ac:dyDescent="0.25">
      <c r="A144" s="190" t="s">
        <v>370</v>
      </c>
      <c r="B144" s="1234" t="str">
        <f>IF('Phase Codes'!C20="","",'Phase Codes'!C20)</f>
        <v>Custom Fabrication</v>
      </c>
      <c r="C144" s="1234"/>
      <c r="D144" s="404">
        <f t="shared" si="21"/>
        <v>0</v>
      </c>
      <c r="E144" s="405">
        <f t="shared" si="20"/>
        <v>0</v>
      </c>
      <c r="F144" s="405">
        <f t="shared" si="22"/>
        <v>0</v>
      </c>
      <c r="G144" t="s">
        <v>1319</v>
      </c>
      <c r="H144" s="121">
        <f t="shared" si="18"/>
        <v>3</v>
      </c>
      <c r="K144" s="810">
        <f t="shared" si="19"/>
        <v>0</v>
      </c>
      <c r="L144" s="83"/>
      <c r="M144" s="617"/>
    </row>
    <row r="145" spans="1:13" ht="18" customHeight="1" thickBot="1" x14ac:dyDescent="0.25">
      <c r="A145" s="190" t="s">
        <v>374</v>
      </c>
      <c r="B145" s="1234" t="str">
        <f>IF('Phase Codes'!C21="","",'Phase Codes'!C21)</f>
        <v>Consumeables and Small Tools</v>
      </c>
      <c r="C145" s="1234"/>
      <c r="D145" s="404">
        <f t="shared" si="21"/>
        <v>0</v>
      </c>
      <c r="E145" s="405">
        <f t="shared" si="20"/>
        <v>0</v>
      </c>
      <c r="F145" s="405">
        <f t="shared" si="22"/>
        <v>0</v>
      </c>
      <c r="G145" t="s">
        <v>1319</v>
      </c>
      <c r="H145" s="121">
        <f t="shared" si="18"/>
        <v>3</v>
      </c>
      <c r="K145" s="810">
        <f t="shared" si="19"/>
        <v>0</v>
      </c>
      <c r="L145" s="83"/>
      <c r="M145" s="617"/>
    </row>
    <row r="146" spans="1:13" ht="18" customHeight="1" thickBot="1" x14ac:dyDescent="0.25">
      <c r="A146" s="190" t="s">
        <v>393</v>
      </c>
      <c r="B146" s="1234" t="str">
        <f>IF('Phase Codes'!C22="","",'Phase Codes'!C22)</f>
        <v>Grilles and Grill Cans</v>
      </c>
      <c r="C146" s="1234"/>
      <c r="D146" s="404">
        <f t="shared" si="21"/>
        <v>0</v>
      </c>
      <c r="E146" s="405">
        <f t="shared" si="20"/>
        <v>0</v>
      </c>
      <c r="F146" s="405">
        <f t="shared" si="22"/>
        <v>0</v>
      </c>
      <c r="G146" t="s">
        <v>1319</v>
      </c>
      <c r="H146" s="121">
        <f t="shared" si="18"/>
        <v>3</v>
      </c>
      <c r="K146" s="810">
        <f t="shared" si="19"/>
        <v>0</v>
      </c>
      <c r="L146" s="83"/>
      <c r="M146" s="617"/>
    </row>
    <row r="147" spans="1:13" ht="18" customHeight="1" thickBot="1" x14ac:dyDescent="0.25">
      <c r="A147" s="190" t="s">
        <v>361</v>
      </c>
      <c r="B147" s="1234" t="str">
        <f>IF('Phase Codes'!C23="","",'Phase Codes'!C23)</f>
        <v>Dampers and Hardware</v>
      </c>
      <c r="C147" s="1234"/>
      <c r="D147" s="404">
        <f t="shared" si="21"/>
        <v>0</v>
      </c>
      <c r="E147" s="405">
        <f t="shared" si="20"/>
        <v>0</v>
      </c>
      <c r="F147" s="405">
        <f t="shared" si="22"/>
        <v>0</v>
      </c>
      <c r="G147" t="s">
        <v>1319</v>
      </c>
      <c r="H147" s="121">
        <f t="shared" si="18"/>
        <v>3</v>
      </c>
      <c r="K147" s="810">
        <f t="shared" si="19"/>
        <v>0</v>
      </c>
      <c r="L147" s="83"/>
      <c r="M147" s="617"/>
    </row>
    <row r="148" spans="1:13" ht="18" customHeight="1" thickBot="1" x14ac:dyDescent="0.25">
      <c r="A148" s="190" t="s">
        <v>394</v>
      </c>
      <c r="B148" s="1234" t="str">
        <f>IF('Phase Codes'!C24="","",'Phase Codes'!C24)</f>
        <v>Liner and Insulation</v>
      </c>
      <c r="C148" s="1234"/>
      <c r="D148" s="404">
        <f t="shared" si="21"/>
        <v>0</v>
      </c>
      <c r="E148" s="405">
        <f t="shared" si="20"/>
        <v>0</v>
      </c>
      <c r="F148" s="405">
        <f t="shared" si="22"/>
        <v>0</v>
      </c>
      <c r="G148" t="s">
        <v>1319</v>
      </c>
      <c r="H148" s="121">
        <f t="shared" si="18"/>
        <v>3</v>
      </c>
      <c r="K148" s="810">
        <f t="shared" si="19"/>
        <v>0</v>
      </c>
      <c r="L148" s="83"/>
      <c r="M148" s="617"/>
    </row>
    <row r="149" spans="1:13" ht="18" customHeight="1" thickBot="1" x14ac:dyDescent="0.25">
      <c r="A149" s="190" t="s">
        <v>395</v>
      </c>
      <c r="B149" s="1234" t="str">
        <f>IF('Phase Codes'!C25="","",'Phase Codes'!C25)</f>
        <v>Shop Preassembly</v>
      </c>
      <c r="C149" s="1234"/>
      <c r="D149" s="404">
        <f t="shared" si="21"/>
        <v>0</v>
      </c>
      <c r="E149" s="405">
        <f t="shared" si="20"/>
        <v>0</v>
      </c>
      <c r="F149" s="405">
        <f>SUMIFS(SM_MaterialColumn,PC_SM_Material,$A149)</f>
        <v>0</v>
      </c>
      <c r="G149" t="s">
        <v>1319</v>
      </c>
      <c r="H149" s="121">
        <f t="shared" si="18"/>
        <v>3</v>
      </c>
      <c r="K149" s="810">
        <f t="shared" si="19"/>
        <v>0</v>
      </c>
      <c r="L149" s="83"/>
      <c r="M149" s="617"/>
    </row>
    <row r="150" spans="1:13" ht="18" customHeight="1" thickBot="1" x14ac:dyDescent="0.25">
      <c r="A150" s="190" t="s">
        <v>396</v>
      </c>
      <c r="B150" s="1234" t="str">
        <f>IF('Phase Codes'!C26="","",'Phase Codes'!C26)</f>
        <v>Spiral Duct (Job)</v>
      </c>
      <c r="C150" s="1234"/>
      <c r="D150" s="404">
        <f t="shared" si="21"/>
        <v>0</v>
      </c>
      <c r="E150" s="405">
        <f t="shared" si="20"/>
        <v>0</v>
      </c>
      <c r="F150" s="405">
        <f>SUMIFS(SM_MaterialColumn,PC_SM_Material,$A150)</f>
        <v>0</v>
      </c>
      <c r="G150" t="s">
        <v>1319</v>
      </c>
      <c r="H150" s="121">
        <f t="shared" si="18"/>
        <v>3</v>
      </c>
      <c r="K150" s="810">
        <f t="shared" si="19"/>
        <v>0</v>
      </c>
      <c r="L150" s="83"/>
      <c r="M150" s="617"/>
    </row>
    <row r="151" spans="1:13" ht="18" customHeight="1" thickBot="1" x14ac:dyDescent="0.25">
      <c r="A151" s="190" t="s">
        <v>397</v>
      </c>
      <c r="B151" s="1234" t="str">
        <f>IF('Phase Codes'!C27="","",'Phase Codes'!C27)</f>
        <v>Curbs</v>
      </c>
      <c r="C151" s="1234"/>
      <c r="D151" s="404">
        <f t="shared" si="21"/>
        <v>0</v>
      </c>
      <c r="E151" s="405">
        <f t="shared" si="20"/>
        <v>0</v>
      </c>
      <c r="F151" s="405">
        <f>SUMIFS(SM_MaterialColumn,PC_SM_Material,$A151)</f>
        <v>0</v>
      </c>
      <c r="G151" t="s">
        <v>1319</v>
      </c>
      <c r="H151" s="121">
        <f t="shared" si="18"/>
        <v>3</v>
      </c>
      <c r="K151" s="810">
        <f t="shared" si="19"/>
        <v>0</v>
      </c>
      <c r="L151" s="83"/>
      <c r="M151" s="617"/>
    </row>
    <row r="152" spans="1:13" ht="18" customHeight="1" thickBot="1" x14ac:dyDescent="0.25">
      <c r="A152" s="190" t="s">
        <v>398</v>
      </c>
      <c r="B152" s="1234" t="str">
        <f>IF('Phase Codes'!C28="","",'Phase Codes'!C28)</f>
        <v>Flashing and Architectural</v>
      </c>
      <c r="C152" s="1234"/>
      <c r="D152" s="404">
        <f>SUMIFS(SM_ShopLaborColumn,PC_SM_Shop,$A152)</f>
        <v>0</v>
      </c>
      <c r="E152" s="405">
        <f t="shared" si="20"/>
        <v>0</v>
      </c>
      <c r="F152" s="405">
        <f>SUMIFS(SM_MaterialColumn,PC_SM_Material,$A152)</f>
        <v>0</v>
      </c>
      <c r="G152" t="s">
        <v>1319</v>
      </c>
      <c r="H152" s="121">
        <f t="shared" si="18"/>
        <v>3</v>
      </c>
      <c r="K152" s="810">
        <f t="shared" si="19"/>
        <v>0</v>
      </c>
      <c r="L152" s="83"/>
      <c r="M152" s="617"/>
    </row>
    <row r="153" spans="1:13" ht="18" customHeight="1" thickBot="1" x14ac:dyDescent="0.25">
      <c r="A153" s="190" t="s">
        <v>399</v>
      </c>
      <c r="B153" s="1234" t="str">
        <f>IF('Phase Codes'!C29="","",'Phase Codes'!C29)</f>
        <v/>
      </c>
      <c r="C153" s="1234"/>
      <c r="D153" s="404">
        <f t="shared" ref="D153:D164" si="23">SUMIFS(SM_ShopLaborColumn,PC_SM_Shop,$A153)</f>
        <v>0</v>
      </c>
      <c r="E153" s="405">
        <f t="shared" si="20"/>
        <v>0</v>
      </c>
      <c r="F153" s="405">
        <f t="shared" ref="F153:F164" si="24">SUMIFS(SM_MaterialColumn,PC_SM_Material,$A153)</f>
        <v>0</v>
      </c>
      <c r="H153" s="121" t="str">
        <f t="shared" si="18"/>
        <v/>
      </c>
      <c r="K153" s="810">
        <f t="shared" si="19"/>
        <v>0</v>
      </c>
      <c r="L153" s="83"/>
      <c r="M153" s="617"/>
    </row>
    <row r="154" spans="1:13" ht="18" customHeight="1" thickBot="1" x14ac:dyDescent="0.25">
      <c r="A154" s="190" t="s">
        <v>400</v>
      </c>
      <c r="B154" s="1234" t="str">
        <f>IF('Phase Codes'!C30="","",'Phase Codes'!C30)</f>
        <v/>
      </c>
      <c r="C154" s="1234"/>
      <c r="D154" s="404">
        <f t="shared" si="23"/>
        <v>0</v>
      </c>
      <c r="E154" s="405">
        <f t="shared" si="20"/>
        <v>0</v>
      </c>
      <c r="F154" s="405">
        <f t="shared" si="24"/>
        <v>0</v>
      </c>
      <c r="H154" s="121" t="str">
        <f t="shared" si="18"/>
        <v/>
      </c>
      <c r="K154" s="810">
        <f t="shared" si="19"/>
        <v>0</v>
      </c>
      <c r="L154" s="83"/>
      <c r="M154" s="617"/>
    </row>
    <row r="155" spans="1:13" ht="18" customHeight="1" thickBot="1" x14ac:dyDescent="0.25">
      <c r="A155" s="190" t="s">
        <v>401</v>
      </c>
      <c r="B155" s="1234" t="str">
        <f>IF('Phase Codes'!C31="","",'Phase Codes'!C31)</f>
        <v/>
      </c>
      <c r="C155" s="1234"/>
      <c r="D155" s="404">
        <f t="shared" si="23"/>
        <v>0</v>
      </c>
      <c r="E155" s="405">
        <f t="shared" si="20"/>
        <v>0</v>
      </c>
      <c r="F155" s="405">
        <f t="shared" si="24"/>
        <v>0</v>
      </c>
      <c r="H155" s="121" t="str">
        <f t="shared" si="18"/>
        <v/>
      </c>
      <c r="K155" s="810">
        <f t="shared" si="19"/>
        <v>0</v>
      </c>
      <c r="L155" s="83"/>
      <c r="M155" s="617"/>
    </row>
    <row r="156" spans="1:13" ht="18" customHeight="1" thickBot="1" x14ac:dyDescent="0.25">
      <c r="A156" s="190" t="s">
        <v>402</v>
      </c>
      <c r="B156" s="1234" t="str">
        <f>IF('Phase Codes'!C32="","",'Phase Codes'!C32)</f>
        <v/>
      </c>
      <c r="C156" s="1234"/>
      <c r="D156" s="404">
        <f t="shared" si="23"/>
        <v>0</v>
      </c>
      <c r="E156" s="405">
        <f t="shared" si="20"/>
        <v>0</v>
      </c>
      <c r="F156" s="405">
        <f t="shared" si="24"/>
        <v>0</v>
      </c>
      <c r="H156" s="121" t="str">
        <f t="shared" si="18"/>
        <v/>
      </c>
      <c r="K156" s="810">
        <f t="shared" si="19"/>
        <v>0</v>
      </c>
      <c r="L156" s="83"/>
      <c r="M156" s="617"/>
    </row>
    <row r="157" spans="1:13" ht="18" customHeight="1" thickBot="1" x14ac:dyDescent="0.25">
      <c r="A157" s="190" t="s">
        <v>469</v>
      </c>
      <c r="B157" s="1234" t="str">
        <f>IF('Phase Codes'!C33="","",'Phase Codes'!C33)</f>
        <v/>
      </c>
      <c r="C157" s="1234"/>
      <c r="D157" s="404">
        <f t="shared" si="23"/>
        <v>0</v>
      </c>
      <c r="E157" s="405">
        <f t="shared" si="20"/>
        <v>0</v>
      </c>
      <c r="F157" s="405">
        <f t="shared" si="24"/>
        <v>0</v>
      </c>
      <c r="H157" s="121" t="str">
        <f t="shared" si="18"/>
        <v/>
      </c>
      <c r="K157" s="810">
        <f t="shared" si="19"/>
        <v>0</v>
      </c>
      <c r="L157" s="83"/>
      <c r="M157" s="617"/>
    </row>
    <row r="158" spans="1:13" ht="18" customHeight="1" thickBot="1" x14ac:dyDescent="0.25">
      <c r="A158" s="190" t="s">
        <v>470</v>
      </c>
      <c r="B158" s="1234" t="str">
        <f>IF('Phase Codes'!C34="","",'Phase Codes'!C34)</f>
        <v/>
      </c>
      <c r="C158" s="1234"/>
      <c r="D158" s="404">
        <f t="shared" si="23"/>
        <v>0</v>
      </c>
      <c r="E158" s="405">
        <f t="shared" si="20"/>
        <v>0</v>
      </c>
      <c r="F158" s="405">
        <f t="shared" si="24"/>
        <v>0</v>
      </c>
      <c r="H158" s="121" t="str">
        <f t="shared" si="18"/>
        <v/>
      </c>
      <c r="K158" s="810">
        <f t="shared" si="19"/>
        <v>0</v>
      </c>
      <c r="L158" s="83"/>
      <c r="M158" s="617"/>
    </row>
    <row r="159" spans="1:13" ht="18" customHeight="1" thickBot="1" x14ac:dyDescent="0.25">
      <c r="A159" s="190" t="s">
        <v>471</v>
      </c>
      <c r="B159" s="1234" t="str">
        <f>IF('Phase Codes'!C35="","",'Phase Codes'!C35)</f>
        <v/>
      </c>
      <c r="C159" s="1234"/>
      <c r="D159" s="404">
        <f t="shared" si="23"/>
        <v>0</v>
      </c>
      <c r="E159" s="405">
        <f t="shared" si="20"/>
        <v>0</v>
      </c>
      <c r="F159" s="405">
        <f t="shared" si="24"/>
        <v>0</v>
      </c>
      <c r="H159" s="121" t="str">
        <f t="shared" si="18"/>
        <v/>
      </c>
      <c r="K159" s="810">
        <f t="shared" si="19"/>
        <v>0</v>
      </c>
      <c r="L159" s="83"/>
      <c r="M159" s="617"/>
    </row>
    <row r="160" spans="1:13" ht="18" customHeight="1" thickBot="1" x14ac:dyDescent="0.25">
      <c r="A160" s="190" t="s">
        <v>472</v>
      </c>
      <c r="B160" s="1234" t="str">
        <f>IF('Phase Codes'!C36="","",'Phase Codes'!C36)</f>
        <v/>
      </c>
      <c r="C160" s="1234"/>
      <c r="D160" s="404">
        <f t="shared" si="23"/>
        <v>0</v>
      </c>
      <c r="E160" s="405">
        <f t="shared" si="20"/>
        <v>0</v>
      </c>
      <c r="F160" s="405">
        <f t="shared" si="24"/>
        <v>0</v>
      </c>
      <c r="H160" s="121" t="str">
        <f t="shared" si="18"/>
        <v/>
      </c>
      <c r="K160" s="810">
        <f t="shared" si="19"/>
        <v>0</v>
      </c>
      <c r="L160" s="83"/>
      <c r="M160" s="617"/>
    </row>
    <row r="161" spans="1:13" ht="18" customHeight="1" thickBot="1" x14ac:dyDescent="0.25">
      <c r="A161" s="190" t="s">
        <v>473</v>
      </c>
      <c r="B161" s="1234" t="str">
        <f>IF('Phase Codes'!C37="","",'Phase Codes'!C37)</f>
        <v/>
      </c>
      <c r="C161" s="1234"/>
      <c r="D161" s="404">
        <f t="shared" si="23"/>
        <v>0</v>
      </c>
      <c r="E161" s="405">
        <f t="shared" si="20"/>
        <v>0</v>
      </c>
      <c r="F161" s="405">
        <f t="shared" si="24"/>
        <v>0</v>
      </c>
      <c r="H161" s="121" t="str">
        <f t="shared" si="18"/>
        <v/>
      </c>
      <c r="K161" s="810">
        <f t="shared" si="19"/>
        <v>0</v>
      </c>
      <c r="L161" s="83"/>
      <c r="M161" s="617"/>
    </row>
    <row r="162" spans="1:13" ht="18" customHeight="1" thickBot="1" x14ac:dyDescent="0.25">
      <c r="A162" s="190" t="s">
        <v>474</v>
      </c>
      <c r="B162" s="1234" t="str">
        <f>IF('Phase Codes'!C38="","",'Phase Codes'!C38)</f>
        <v/>
      </c>
      <c r="C162" s="1234"/>
      <c r="D162" s="404">
        <f t="shared" si="23"/>
        <v>0</v>
      </c>
      <c r="E162" s="405">
        <f t="shared" si="20"/>
        <v>0</v>
      </c>
      <c r="F162" s="405">
        <f t="shared" si="24"/>
        <v>0</v>
      </c>
      <c r="H162" s="121" t="str">
        <f t="shared" si="18"/>
        <v/>
      </c>
      <c r="K162" s="810">
        <f t="shared" si="19"/>
        <v>0</v>
      </c>
      <c r="L162" s="83"/>
      <c r="M162" s="617"/>
    </row>
    <row r="163" spans="1:13" ht="18" customHeight="1" thickBot="1" x14ac:dyDescent="0.25">
      <c r="A163" s="190" t="s">
        <v>475</v>
      </c>
      <c r="B163" s="1234" t="str">
        <f>IF('Phase Codes'!C39="","",'Phase Codes'!C39)</f>
        <v/>
      </c>
      <c r="C163" s="1234"/>
      <c r="D163" s="404">
        <f t="shared" si="23"/>
        <v>0</v>
      </c>
      <c r="E163" s="405">
        <f t="shared" si="20"/>
        <v>0</v>
      </c>
      <c r="F163" s="405">
        <f t="shared" si="24"/>
        <v>0</v>
      </c>
      <c r="H163" s="121" t="str">
        <f t="shared" si="18"/>
        <v/>
      </c>
      <c r="K163" s="810">
        <f t="shared" si="19"/>
        <v>0</v>
      </c>
      <c r="L163" s="83"/>
      <c r="M163" s="617"/>
    </row>
    <row r="164" spans="1:13" ht="18" customHeight="1" thickBot="1" x14ac:dyDescent="0.25">
      <c r="A164" s="190" t="s">
        <v>476</v>
      </c>
      <c r="B164" s="1234" t="str">
        <f>IF('Phase Codes'!C40="","",'Phase Codes'!C40)</f>
        <v/>
      </c>
      <c r="C164" s="1234"/>
      <c r="D164" s="404">
        <f t="shared" si="23"/>
        <v>0</v>
      </c>
      <c r="E164" s="405">
        <f t="shared" si="20"/>
        <v>0</v>
      </c>
      <c r="F164" s="405">
        <f t="shared" si="24"/>
        <v>0</v>
      </c>
      <c r="H164" s="121" t="str">
        <f t="shared" si="18"/>
        <v/>
      </c>
      <c r="K164" s="810">
        <f t="shared" si="19"/>
        <v>0</v>
      </c>
      <c r="L164" s="83"/>
      <c r="M164" s="617"/>
    </row>
    <row r="165" spans="1:13" ht="18" customHeight="1" thickBot="1" x14ac:dyDescent="0.25">
      <c r="A165" s="190" t="s">
        <v>477</v>
      </c>
      <c r="B165" s="1234" t="str">
        <f>IF('Phase Codes'!C41="","",'Phase Codes'!C41)</f>
        <v>Service</v>
      </c>
      <c r="C165" s="1234"/>
      <c r="D165" s="404">
        <f>SUMIFS(SM_ShopLaborColumn,PC_SM_Shop,$A165)</f>
        <v>0</v>
      </c>
      <c r="E165" s="405">
        <f t="shared" ref="E165:E196" si="25">SUMIFS(Takeoff_Total_Shop_Labor_Cost,PC_SM_Shop,$A165)</f>
        <v>0</v>
      </c>
      <c r="F165" s="405">
        <f>SUMIFS(SM_MaterialColumn,PC_SM_Material,$A165)</f>
        <v>0</v>
      </c>
      <c r="G165" t="s">
        <v>1319</v>
      </c>
      <c r="H165" s="121">
        <f t="shared" si="18"/>
        <v>3</v>
      </c>
      <c r="K165" s="810">
        <f t="shared" si="19"/>
        <v>0</v>
      </c>
      <c r="L165" s="83"/>
      <c r="M165" s="617"/>
    </row>
    <row r="166" spans="1:13" ht="18" customHeight="1" thickBot="1" x14ac:dyDescent="0.25">
      <c r="A166" s="190" t="s">
        <v>478</v>
      </c>
      <c r="B166" s="1234" t="str">
        <f>IF('Phase Codes'!C42="","",'Phase Codes'!C42)</f>
        <v/>
      </c>
      <c r="C166" s="1234"/>
      <c r="D166" s="404">
        <f t="shared" ref="D166:D197" si="26">SUMIFS(SM_ShopLaborColumn,PC_SM_Shop,$A166)</f>
        <v>0</v>
      </c>
      <c r="E166" s="405">
        <f t="shared" si="25"/>
        <v>0</v>
      </c>
      <c r="F166" s="405">
        <f t="shared" ref="F166:F197" si="27">SUMIFS(SM_MaterialColumn,PC_SM_Material,$A166)</f>
        <v>0</v>
      </c>
      <c r="H166" s="121" t="str">
        <f t="shared" si="18"/>
        <v/>
      </c>
      <c r="K166" s="810">
        <f t="shared" si="19"/>
        <v>0</v>
      </c>
      <c r="L166" s="83"/>
      <c r="M166" s="617"/>
    </row>
    <row r="167" spans="1:13" ht="18" customHeight="1" thickBot="1" x14ac:dyDescent="0.25">
      <c r="A167" s="190" t="s">
        <v>479</v>
      </c>
      <c r="B167" s="1234" t="str">
        <f>IF('Phase Codes'!C43="","",'Phase Codes'!C43)</f>
        <v/>
      </c>
      <c r="C167" s="1234"/>
      <c r="D167" s="404">
        <f t="shared" si="26"/>
        <v>0</v>
      </c>
      <c r="E167" s="405">
        <f t="shared" si="25"/>
        <v>0</v>
      </c>
      <c r="F167" s="405">
        <f t="shared" si="27"/>
        <v>0</v>
      </c>
      <c r="H167" s="121" t="str">
        <f t="shared" si="18"/>
        <v/>
      </c>
      <c r="K167" s="810">
        <f t="shared" si="19"/>
        <v>0</v>
      </c>
      <c r="L167" s="83"/>
      <c r="M167" s="617"/>
    </row>
    <row r="168" spans="1:13" ht="18" customHeight="1" thickBot="1" x14ac:dyDescent="0.25">
      <c r="A168" s="190" t="s">
        <v>480</v>
      </c>
      <c r="B168" s="1234" t="str">
        <f>IF('Phase Codes'!C44="","",'Phase Codes'!C44)</f>
        <v/>
      </c>
      <c r="C168" s="1234"/>
      <c r="D168" s="404">
        <f t="shared" si="26"/>
        <v>0</v>
      </c>
      <c r="E168" s="405">
        <f t="shared" si="25"/>
        <v>0</v>
      </c>
      <c r="F168" s="405">
        <f t="shared" si="27"/>
        <v>0</v>
      </c>
      <c r="H168" s="121" t="str">
        <f t="shared" si="18"/>
        <v/>
      </c>
      <c r="K168" s="810">
        <f t="shared" si="19"/>
        <v>0</v>
      </c>
      <c r="L168" s="83"/>
      <c r="M168" s="617"/>
    </row>
    <row r="169" spans="1:13" ht="18" customHeight="1" thickBot="1" x14ac:dyDescent="0.25">
      <c r="A169" s="190" t="s">
        <v>481</v>
      </c>
      <c r="B169" s="1234" t="str">
        <f>IF('Phase Codes'!C45="","",'Phase Codes'!C45)</f>
        <v/>
      </c>
      <c r="C169" s="1234"/>
      <c r="D169" s="404">
        <f t="shared" si="26"/>
        <v>0</v>
      </c>
      <c r="E169" s="405">
        <f t="shared" si="25"/>
        <v>0</v>
      </c>
      <c r="F169" s="405">
        <f t="shared" si="27"/>
        <v>0</v>
      </c>
      <c r="H169" s="121" t="str">
        <f t="shared" si="18"/>
        <v/>
      </c>
      <c r="K169" s="810">
        <f t="shared" si="19"/>
        <v>0</v>
      </c>
      <c r="L169" s="83"/>
      <c r="M169" s="617"/>
    </row>
    <row r="170" spans="1:13" ht="18" customHeight="1" thickBot="1" x14ac:dyDescent="0.25">
      <c r="A170" s="190" t="s">
        <v>482</v>
      </c>
      <c r="B170" s="1234" t="str">
        <f>IF('Phase Codes'!C46="","",'Phase Codes'!C46)</f>
        <v/>
      </c>
      <c r="C170" s="1234"/>
      <c r="D170" s="404">
        <f t="shared" si="26"/>
        <v>0</v>
      </c>
      <c r="E170" s="405">
        <f t="shared" si="25"/>
        <v>0</v>
      </c>
      <c r="F170" s="405">
        <f t="shared" si="27"/>
        <v>0</v>
      </c>
      <c r="H170" s="121" t="str">
        <f t="shared" si="18"/>
        <v/>
      </c>
      <c r="K170" s="810">
        <f t="shared" si="19"/>
        <v>0</v>
      </c>
      <c r="L170" s="83"/>
      <c r="M170" s="617"/>
    </row>
    <row r="171" spans="1:13" ht="18" customHeight="1" thickBot="1" x14ac:dyDescent="0.25">
      <c r="A171" s="190" t="s">
        <v>483</v>
      </c>
      <c r="B171" s="1234" t="str">
        <f>IF('Phase Codes'!C47="","",'Phase Codes'!C47)</f>
        <v/>
      </c>
      <c r="C171" s="1234"/>
      <c r="D171" s="404">
        <f t="shared" si="26"/>
        <v>0</v>
      </c>
      <c r="E171" s="405">
        <f t="shared" si="25"/>
        <v>0</v>
      </c>
      <c r="F171" s="405">
        <f t="shared" si="27"/>
        <v>0</v>
      </c>
      <c r="H171" s="121" t="str">
        <f t="shared" si="18"/>
        <v/>
      </c>
      <c r="K171" s="810">
        <f t="shared" si="19"/>
        <v>0</v>
      </c>
      <c r="L171" s="83"/>
      <c r="M171" s="617"/>
    </row>
    <row r="172" spans="1:13" ht="18" customHeight="1" thickBot="1" x14ac:dyDescent="0.25">
      <c r="A172" s="190" t="s">
        <v>484</v>
      </c>
      <c r="B172" s="1234" t="str">
        <f>IF('Phase Codes'!C48="","",'Phase Codes'!C48)</f>
        <v/>
      </c>
      <c r="C172" s="1234"/>
      <c r="D172" s="404">
        <f t="shared" si="26"/>
        <v>0</v>
      </c>
      <c r="E172" s="405">
        <f t="shared" si="25"/>
        <v>0</v>
      </c>
      <c r="F172" s="405">
        <f t="shared" si="27"/>
        <v>0</v>
      </c>
      <c r="H172" s="121" t="str">
        <f t="shared" si="18"/>
        <v/>
      </c>
      <c r="K172" s="810">
        <f t="shared" si="19"/>
        <v>0</v>
      </c>
      <c r="L172" s="83"/>
      <c r="M172" s="617"/>
    </row>
    <row r="173" spans="1:13" ht="18" customHeight="1" thickBot="1" x14ac:dyDescent="0.25">
      <c r="A173" s="190" t="s">
        <v>485</v>
      </c>
      <c r="B173" s="1234" t="str">
        <f>IF('Phase Codes'!C49="","",'Phase Codes'!C49)</f>
        <v/>
      </c>
      <c r="C173" s="1234"/>
      <c r="D173" s="404">
        <f t="shared" si="26"/>
        <v>0</v>
      </c>
      <c r="E173" s="405">
        <f t="shared" si="25"/>
        <v>0</v>
      </c>
      <c r="F173" s="405">
        <f t="shared" si="27"/>
        <v>0</v>
      </c>
      <c r="H173" s="121" t="str">
        <f t="shared" si="18"/>
        <v/>
      </c>
      <c r="K173" s="810">
        <f t="shared" si="19"/>
        <v>0</v>
      </c>
      <c r="L173" s="83"/>
      <c r="M173" s="617"/>
    </row>
    <row r="174" spans="1:13" ht="18" customHeight="1" thickBot="1" x14ac:dyDescent="0.25">
      <c r="A174" s="190" t="s">
        <v>486</v>
      </c>
      <c r="B174" s="1234" t="str">
        <f>IF('Phase Codes'!C50="","",'Phase Codes'!C50)</f>
        <v/>
      </c>
      <c r="C174" s="1234"/>
      <c r="D174" s="404">
        <f t="shared" si="26"/>
        <v>0</v>
      </c>
      <c r="E174" s="405">
        <f t="shared" si="25"/>
        <v>0</v>
      </c>
      <c r="F174" s="405">
        <f t="shared" si="27"/>
        <v>0</v>
      </c>
      <c r="H174" s="121" t="str">
        <f t="shared" si="18"/>
        <v/>
      </c>
      <c r="K174" s="810">
        <f t="shared" si="19"/>
        <v>0</v>
      </c>
      <c r="L174" s="83"/>
      <c r="M174" s="617"/>
    </row>
    <row r="175" spans="1:13" ht="18" customHeight="1" thickBot="1" x14ac:dyDescent="0.25">
      <c r="A175" s="190" t="s">
        <v>487</v>
      </c>
      <c r="B175" s="1234" t="str">
        <f>IF('Phase Codes'!C51="","",'Phase Codes'!C51)</f>
        <v/>
      </c>
      <c r="C175" s="1234"/>
      <c r="D175" s="404">
        <f t="shared" si="26"/>
        <v>0</v>
      </c>
      <c r="E175" s="405">
        <f t="shared" si="25"/>
        <v>0</v>
      </c>
      <c r="F175" s="405">
        <f t="shared" si="27"/>
        <v>0</v>
      </c>
      <c r="H175" s="121" t="str">
        <f t="shared" si="18"/>
        <v/>
      </c>
      <c r="K175" s="810">
        <f t="shared" si="19"/>
        <v>0</v>
      </c>
      <c r="L175" s="83"/>
      <c r="M175" s="617"/>
    </row>
    <row r="176" spans="1:13" ht="18" customHeight="1" thickBot="1" x14ac:dyDescent="0.25">
      <c r="A176" s="190" t="s">
        <v>488</v>
      </c>
      <c r="B176" s="1234" t="str">
        <f>IF('Phase Codes'!C52="","",'Phase Codes'!C52)</f>
        <v/>
      </c>
      <c r="C176" s="1234"/>
      <c r="D176" s="404">
        <f t="shared" si="26"/>
        <v>0</v>
      </c>
      <c r="E176" s="405">
        <f t="shared" si="25"/>
        <v>0</v>
      </c>
      <c r="F176" s="405">
        <f t="shared" si="27"/>
        <v>0</v>
      </c>
      <c r="H176" s="121" t="str">
        <f t="shared" si="18"/>
        <v/>
      </c>
      <c r="K176" s="810">
        <f t="shared" si="19"/>
        <v>0</v>
      </c>
      <c r="L176" s="83"/>
      <c r="M176" s="617"/>
    </row>
    <row r="177" spans="1:13" ht="18" customHeight="1" thickBot="1" x14ac:dyDescent="0.25">
      <c r="A177" s="190" t="s">
        <v>489</v>
      </c>
      <c r="B177" s="1234" t="str">
        <f>IF('Phase Codes'!C53="","",'Phase Codes'!C53)</f>
        <v/>
      </c>
      <c r="C177" s="1234"/>
      <c r="D177" s="404">
        <f t="shared" si="26"/>
        <v>0</v>
      </c>
      <c r="E177" s="405">
        <f t="shared" si="25"/>
        <v>0</v>
      </c>
      <c r="F177" s="405">
        <f t="shared" si="27"/>
        <v>0</v>
      </c>
      <c r="H177" s="121" t="str">
        <f t="shared" si="18"/>
        <v/>
      </c>
      <c r="K177" s="810">
        <f t="shared" si="19"/>
        <v>0</v>
      </c>
      <c r="L177" s="83"/>
      <c r="M177" s="617"/>
    </row>
    <row r="178" spans="1:13" ht="18" customHeight="1" thickBot="1" x14ac:dyDescent="0.25">
      <c r="A178" s="190" t="s">
        <v>490</v>
      </c>
      <c r="B178" s="1234" t="str">
        <f>IF('Phase Codes'!C54="","",'Phase Codes'!C54)</f>
        <v/>
      </c>
      <c r="C178" s="1234"/>
      <c r="D178" s="404">
        <f t="shared" si="26"/>
        <v>0</v>
      </c>
      <c r="E178" s="405">
        <f t="shared" si="25"/>
        <v>0</v>
      </c>
      <c r="F178" s="405">
        <f t="shared" si="27"/>
        <v>0</v>
      </c>
      <c r="H178" s="121" t="str">
        <f t="shared" si="18"/>
        <v/>
      </c>
      <c r="K178" s="810">
        <f t="shared" si="19"/>
        <v>0</v>
      </c>
      <c r="L178" s="83"/>
      <c r="M178" s="617"/>
    </row>
    <row r="179" spans="1:13" ht="18" customHeight="1" thickBot="1" x14ac:dyDescent="0.25">
      <c r="A179" s="190" t="s">
        <v>491</v>
      </c>
      <c r="B179" s="1234" t="str">
        <f>IF('Phase Codes'!C55="","",'Phase Codes'!C55)</f>
        <v/>
      </c>
      <c r="C179" s="1234"/>
      <c r="D179" s="404">
        <f t="shared" si="26"/>
        <v>0</v>
      </c>
      <c r="E179" s="405">
        <f t="shared" si="25"/>
        <v>0</v>
      </c>
      <c r="F179" s="405">
        <f t="shared" si="27"/>
        <v>0</v>
      </c>
      <c r="H179" s="121" t="str">
        <f t="shared" si="18"/>
        <v/>
      </c>
      <c r="K179" s="810">
        <f t="shared" si="19"/>
        <v>0</v>
      </c>
      <c r="L179" s="83"/>
      <c r="M179" s="617"/>
    </row>
    <row r="180" spans="1:13" ht="18" customHeight="1" thickBot="1" x14ac:dyDescent="0.25">
      <c r="A180" s="190" t="s">
        <v>492</v>
      </c>
      <c r="B180" s="1234" t="str">
        <f>IF('Phase Codes'!C56="","",'Phase Codes'!C56)</f>
        <v/>
      </c>
      <c r="C180" s="1234"/>
      <c r="D180" s="404">
        <f t="shared" si="26"/>
        <v>0</v>
      </c>
      <c r="E180" s="405">
        <f t="shared" si="25"/>
        <v>0</v>
      </c>
      <c r="F180" s="405">
        <f t="shared" si="27"/>
        <v>0</v>
      </c>
      <c r="H180" s="121" t="str">
        <f t="shared" si="18"/>
        <v/>
      </c>
      <c r="K180" s="810">
        <f t="shared" si="19"/>
        <v>0</v>
      </c>
      <c r="L180" s="83"/>
      <c r="M180" s="617"/>
    </row>
    <row r="181" spans="1:13" ht="18" customHeight="1" thickBot="1" x14ac:dyDescent="0.25">
      <c r="A181" s="190" t="s">
        <v>493</v>
      </c>
      <c r="B181" s="1234" t="str">
        <f>IF('Phase Codes'!C57="","",'Phase Codes'!C57)</f>
        <v/>
      </c>
      <c r="C181" s="1234"/>
      <c r="D181" s="404">
        <f t="shared" si="26"/>
        <v>0</v>
      </c>
      <c r="E181" s="405">
        <f t="shared" si="25"/>
        <v>0</v>
      </c>
      <c r="F181" s="405">
        <f t="shared" si="27"/>
        <v>0</v>
      </c>
      <c r="H181" s="121" t="str">
        <f t="shared" si="18"/>
        <v/>
      </c>
      <c r="K181" s="810">
        <f t="shared" si="19"/>
        <v>0</v>
      </c>
      <c r="L181" s="83"/>
      <c r="M181" s="617"/>
    </row>
    <row r="182" spans="1:13" ht="18" customHeight="1" thickBot="1" x14ac:dyDescent="0.25">
      <c r="A182" s="190" t="s">
        <v>494</v>
      </c>
      <c r="B182" s="1234" t="str">
        <f>IF('Phase Codes'!C58="","",'Phase Codes'!C58)</f>
        <v/>
      </c>
      <c r="C182" s="1234"/>
      <c r="D182" s="404">
        <f t="shared" si="26"/>
        <v>0</v>
      </c>
      <c r="E182" s="405">
        <f t="shared" si="25"/>
        <v>0</v>
      </c>
      <c r="F182" s="405">
        <f t="shared" si="27"/>
        <v>0</v>
      </c>
      <c r="H182" s="121" t="str">
        <f t="shared" si="18"/>
        <v/>
      </c>
      <c r="K182" s="810">
        <f t="shared" si="19"/>
        <v>0</v>
      </c>
      <c r="L182" s="83"/>
      <c r="M182" s="617"/>
    </row>
    <row r="183" spans="1:13" ht="18" customHeight="1" thickBot="1" x14ac:dyDescent="0.25">
      <c r="A183" s="190" t="s">
        <v>495</v>
      </c>
      <c r="B183" s="1234" t="str">
        <f>IF('Phase Codes'!C59="","",'Phase Codes'!C59)</f>
        <v/>
      </c>
      <c r="C183" s="1234"/>
      <c r="D183" s="404">
        <f t="shared" si="26"/>
        <v>0</v>
      </c>
      <c r="E183" s="405">
        <f t="shared" si="25"/>
        <v>0</v>
      </c>
      <c r="F183" s="405">
        <f t="shared" si="27"/>
        <v>0</v>
      </c>
      <c r="H183" s="121" t="str">
        <f t="shared" si="18"/>
        <v/>
      </c>
      <c r="K183" s="810">
        <f t="shared" si="19"/>
        <v>0</v>
      </c>
      <c r="L183" s="83"/>
      <c r="M183" s="617"/>
    </row>
    <row r="184" spans="1:13" ht="18" customHeight="1" thickBot="1" x14ac:dyDescent="0.25">
      <c r="A184" s="190" t="s">
        <v>496</v>
      </c>
      <c r="B184" s="1234" t="str">
        <f>IF('Phase Codes'!C60="","",'Phase Codes'!C60)</f>
        <v/>
      </c>
      <c r="C184" s="1234"/>
      <c r="D184" s="404">
        <f t="shared" si="26"/>
        <v>0</v>
      </c>
      <c r="E184" s="405">
        <f t="shared" si="25"/>
        <v>0</v>
      </c>
      <c r="F184" s="405">
        <f t="shared" si="27"/>
        <v>0</v>
      </c>
      <c r="H184" s="121" t="str">
        <f t="shared" si="18"/>
        <v/>
      </c>
      <c r="K184" s="810">
        <f t="shared" si="19"/>
        <v>0</v>
      </c>
      <c r="L184" s="83"/>
      <c r="M184" s="617"/>
    </row>
    <row r="185" spans="1:13" ht="18" customHeight="1" thickBot="1" x14ac:dyDescent="0.25">
      <c r="A185" s="190" t="s">
        <v>497</v>
      </c>
      <c r="B185" s="1234" t="str">
        <f>IF('Phase Codes'!C61="","",'Phase Codes'!C61)</f>
        <v/>
      </c>
      <c r="C185" s="1234"/>
      <c r="D185" s="404">
        <f t="shared" si="26"/>
        <v>0</v>
      </c>
      <c r="E185" s="405">
        <f t="shared" si="25"/>
        <v>0</v>
      </c>
      <c r="F185" s="405">
        <f t="shared" si="27"/>
        <v>0</v>
      </c>
      <c r="H185" s="121" t="str">
        <f t="shared" si="18"/>
        <v/>
      </c>
      <c r="K185" s="810">
        <f t="shared" si="19"/>
        <v>0</v>
      </c>
      <c r="L185" s="83"/>
      <c r="M185" s="617"/>
    </row>
    <row r="186" spans="1:13" ht="18" customHeight="1" thickBot="1" x14ac:dyDescent="0.25">
      <c r="A186" s="190" t="s">
        <v>498</v>
      </c>
      <c r="B186" s="1234" t="str">
        <f>IF('Phase Codes'!C62="","",'Phase Codes'!C62)</f>
        <v/>
      </c>
      <c r="C186" s="1234"/>
      <c r="D186" s="404">
        <f t="shared" si="26"/>
        <v>0</v>
      </c>
      <c r="E186" s="405">
        <f t="shared" si="25"/>
        <v>0</v>
      </c>
      <c r="F186" s="405">
        <f t="shared" si="27"/>
        <v>0</v>
      </c>
      <c r="H186" s="121" t="str">
        <f t="shared" si="18"/>
        <v/>
      </c>
      <c r="K186" s="810">
        <f t="shared" si="19"/>
        <v>0</v>
      </c>
      <c r="L186" s="83"/>
      <c r="M186" s="617"/>
    </row>
    <row r="187" spans="1:13" ht="18" customHeight="1" thickBot="1" x14ac:dyDescent="0.25">
      <c r="A187" s="190" t="s">
        <v>499</v>
      </c>
      <c r="B187" s="1234" t="str">
        <f>IF('Phase Codes'!C63="","",'Phase Codes'!C63)</f>
        <v/>
      </c>
      <c r="C187" s="1234"/>
      <c r="D187" s="404">
        <f t="shared" si="26"/>
        <v>0</v>
      </c>
      <c r="E187" s="405">
        <f t="shared" si="25"/>
        <v>0</v>
      </c>
      <c r="F187" s="405">
        <f t="shared" si="27"/>
        <v>0</v>
      </c>
      <c r="H187" s="121" t="str">
        <f t="shared" si="18"/>
        <v/>
      </c>
      <c r="K187" s="810">
        <f t="shared" si="19"/>
        <v>0</v>
      </c>
      <c r="L187" s="83"/>
      <c r="M187" s="617"/>
    </row>
    <row r="188" spans="1:13" ht="18" customHeight="1" thickBot="1" x14ac:dyDescent="0.25">
      <c r="A188" s="190" t="s">
        <v>500</v>
      </c>
      <c r="B188" s="1234" t="str">
        <f>IF('Phase Codes'!C64="","",'Phase Codes'!C64)</f>
        <v/>
      </c>
      <c r="C188" s="1234"/>
      <c r="D188" s="404">
        <f t="shared" si="26"/>
        <v>0</v>
      </c>
      <c r="E188" s="405">
        <f t="shared" si="25"/>
        <v>0</v>
      </c>
      <c r="F188" s="405">
        <f t="shared" si="27"/>
        <v>0</v>
      </c>
      <c r="H188" s="121" t="str">
        <f t="shared" si="18"/>
        <v/>
      </c>
      <c r="K188" s="810">
        <f t="shared" si="19"/>
        <v>0</v>
      </c>
      <c r="L188" s="83"/>
      <c r="M188" s="617"/>
    </row>
    <row r="189" spans="1:13" ht="18" customHeight="1" thickBot="1" x14ac:dyDescent="0.25">
      <c r="A189" s="190" t="s">
        <v>501</v>
      </c>
      <c r="B189" s="1234" t="str">
        <f>IF('Phase Codes'!C65="","",'Phase Codes'!C65)</f>
        <v/>
      </c>
      <c r="C189" s="1234"/>
      <c r="D189" s="404">
        <f t="shared" si="26"/>
        <v>0</v>
      </c>
      <c r="E189" s="405">
        <f t="shared" si="25"/>
        <v>0</v>
      </c>
      <c r="F189" s="405">
        <f t="shared" si="27"/>
        <v>0</v>
      </c>
      <c r="H189" s="121" t="str">
        <f t="shared" si="18"/>
        <v/>
      </c>
      <c r="K189" s="810">
        <f t="shared" si="19"/>
        <v>0</v>
      </c>
      <c r="L189" s="83"/>
      <c r="M189" s="617"/>
    </row>
    <row r="190" spans="1:13" ht="18" customHeight="1" thickBot="1" x14ac:dyDescent="0.25">
      <c r="A190" s="190" t="s">
        <v>502</v>
      </c>
      <c r="B190" s="1234" t="str">
        <f>IF('Phase Codes'!C66="","",'Phase Codes'!C66)</f>
        <v/>
      </c>
      <c r="C190" s="1234"/>
      <c r="D190" s="404">
        <f t="shared" si="26"/>
        <v>0</v>
      </c>
      <c r="E190" s="405">
        <f t="shared" si="25"/>
        <v>0</v>
      </c>
      <c r="F190" s="405">
        <f t="shared" si="27"/>
        <v>0</v>
      </c>
      <c r="H190" s="121" t="str">
        <f t="shared" si="18"/>
        <v/>
      </c>
      <c r="K190" s="810">
        <f t="shared" si="19"/>
        <v>0</v>
      </c>
      <c r="L190" s="83"/>
      <c r="M190" s="617"/>
    </row>
    <row r="191" spans="1:13" ht="18" customHeight="1" thickBot="1" x14ac:dyDescent="0.25">
      <c r="A191" s="190" t="s">
        <v>503</v>
      </c>
      <c r="B191" s="1234" t="str">
        <f>IF('Phase Codes'!C67="","",'Phase Codes'!C67)</f>
        <v/>
      </c>
      <c r="C191" s="1234"/>
      <c r="D191" s="404">
        <f t="shared" si="26"/>
        <v>0</v>
      </c>
      <c r="E191" s="405">
        <f t="shared" si="25"/>
        <v>0</v>
      </c>
      <c r="F191" s="405">
        <f t="shared" si="27"/>
        <v>0</v>
      </c>
      <c r="H191" s="121" t="str">
        <f t="shared" si="18"/>
        <v/>
      </c>
      <c r="K191" s="810">
        <f t="shared" si="19"/>
        <v>0</v>
      </c>
      <c r="L191" s="83"/>
      <c r="M191" s="617"/>
    </row>
    <row r="192" spans="1:13" ht="18" customHeight="1" thickBot="1" x14ac:dyDescent="0.25">
      <c r="A192" s="190" t="s">
        <v>504</v>
      </c>
      <c r="B192" s="1234" t="str">
        <f>IF('Phase Codes'!C68="","",'Phase Codes'!C68)</f>
        <v/>
      </c>
      <c r="C192" s="1234"/>
      <c r="D192" s="404">
        <f t="shared" si="26"/>
        <v>0</v>
      </c>
      <c r="E192" s="405">
        <f t="shared" si="25"/>
        <v>0</v>
      </c>
      <c r="F192" s="405">
        <f t="shared" si="27"/>
        <v>0</v>
      </c>
      <c r="H192" s="121" t="str">
        <f t="shared" ref="H192:H226" si="28">IF($G192="E",6,IF($G192="M",3,IF($G192="OH","?",IF($G192="OT",7,IF($G192="S",4,"")))))</f>
        <v/>
      </c>
      <c r="K192" s="810">
        <f t="shared" si="19"/>
        <v>0</v>
      </c>
      <c r="L192" s="83"/>
      <c r="M192" s="617"/>
    </row>
    <row r="193" spans="1:13" ht="18" customHeight="1" thickBot="1" x14ac:dyDescent="0.25">
      <c r="A193" s="190" t="s">
        <v>505</v>
      </c>
      <c r="B193" s="1234" t="str">
        <f>IF('Phase Codes'!C69="","",'Phase Codes'!C69)</f>
        <v/>
      </c>
      <c r="C193" s="1234"/>
      <c r="D193" s="404">
        <f t="shared" si="26"/>
        <v>0</v>
      </c>
      <c r="E193" s="405">
        <f t="shared" si="25"/>
        <v>0</v>
      </c>
      <c r="F193" s="405">
        <f t="shared" si="27"/>
        <v>0</v>
      </c>
      <c r="H193" s="121" t="str">
        <f t="shared" si="28"/>
        <v/>
      </c>
      <c r="K193" s="810">
        <f t="shared" ref="K193:K227" si="29">SUM(D193:F193)</f>
        <v>0</v>
      </c>
      <c r="L193" s="83"/>
      <c r="M193" s="617"/>
    </row>
    <row r="194" spans="1:13" ht="18" customHeight="1" thickBot="1" x14ac:dyDescent="0.25">
      <c r="A194" s="190" t="s">
        <v>506</v>
      </c>
      <c r="B194" s="1234" t="str">
        <f>IF('Phase Codes'!C70="","",'Phase Codes'!C70)</f>
        <v/>
      </c>
      <c r="C194" s="1234"/>
      <c r="D194" s="404">
        <f t="shared" si="26"/>
        <v>0</v>
      </c>
      <c r="E194" s="405">
        <f t="shared" si="25"/>
        <v>0</v>
      </c>
      <c r="F194" s="405">
        <f t="shared" si="27"/>
        <v>0</v>
      </c>
      <c r="H194" s="121" t="str">
        <f t="shared" si="28"/>
        <v/>
      </c>
      <c r="K194" s="810">
        <f t="shared" si="29"/>
        <v>0</v>
      </c>
      <c r="L194" s="83"/>
      <c r="M194" s="617"/>
    </row>
    <row r="195" spans="1:13" ht="18" customHeight="1" thickBot="1" x14ac:dyDescent="0.25">
      <c r="A195" s="190" t="s">
        <v>507</v>
      </c>
      <c r="B195" s="1234" t="str">
        <f>IF('Phase Codes'!C71="","",'Phase Codes'!C71)</f>
        <v/>
      </c>
      <c r="C195" s="1234"/>
      <c r="D195" s="404">
        <f t="shared" si="26"/>
        <v>0</v>
      </c>
      <c r="E195" s="405">
        <f t="shared" si="25"/>
        <v>0</v>
      </c>
      <c r="F195" s="405">
        <f t="shared" si="27"/>
        <v>0</v>
      </c>
      <c r="H195" s="121" t="str">
        <f t="shared" si="28"/>
        <v/>
      </c>
      <c r="K195" s="810">
        <f t="shared" si="29"/>
        <v>0</v>
      </c>
      <c r="L195" s="83"/>
      <c r="M195" s="617"/>
    </row>
    <row r="196" spans="1:13" ht="18" customHeight="1" thickBot="1" x14ac:dyDescent="0.25">
      <c r="A196" s="190" t="s">
        <v>508</v>
      </c>
      <c r="B196" s="1234" t="str">
        <f>IF('Phase Codes'!C72="","",'Phase Codes'!C72)</f>
        <v/>
      </c>
      <c r="C196" s="1234"/>
      <c r="D196" s="404">
        <f t="shared" si="26"/>
        <v>0</v>
      </c>
      <c r="E196" s="405">
        <f t="shared" si="25"/>
        <v>0</v>
      </c>
      <c r="F196" s="405">
        <f t="shared" si="27"/>
        <v>0</v>
      </c>
      <c r="H196" s="121" t="str">
        <f t="shared" si="28"/>
        <v/>
      </c>
      <c r="K196" s="810">
        <f t="shared" si="29"/>
        <v>0</v>
      </c>
      <c r="L196" s="83"/>
      <c r="M196" s="617"/>
    </row>
    <row r="197" spans="1:13" ht="18" customHeight="1" thickBot="1" x14ac:dyDescent="0.25">
      <c r="A197" s="190" t="s">
        <v>509</v>
      </c>
      <c r="B197" s="1234" t="str">
        <f>IF('Phase Codes'!C73="","",'Phase Codes'!C73)</f>
        <v/>
      </c>
      <c r="C197" s="1234"/>
      <c r="D197" s="404">
        <f t="shared" si="26"/>
        <v>0</v>
      </c>
      <c r="E197" s="405">
        <f t="shared" ref="E197:E226" si="30">SUMIFS(Takeoff_Total_Shop_Labor_Cost,PC_SM_Shop,$A197)</f>
        <v>0</v>
      </c>
      <c r="F197" s="405">
        <f t="shared" si="27"/>
        <v>0</v>
      </c>
      <c r="H197" s="121" t="str">
        <f t="shared" si="28"/>
        <v/>
      </c>
      <c r="K197" s="810">
        <f t="shared" si="29"/>
        <v>0</v>
      </c>
      <c r="L197" s="83"/>
      <c r="M197" s="617"/>
    </row>
    <row r="198" spans="1:13" ht="18" customHeight="1" thickBot="1" x14ac:dyDescent="0.25">
      <c r="A198" s="190" t="s">
        <v>510</v>
      </c>
      <c r="B198" s="1234" t="str">
        <f>IF('Phase Codes'!C74="","",'Phase Codes'!C74)</f>
        <v/>
      </c>
      <c r="C198" s="1234"/>
      <c r="D198" s="404">
        <f t="shared" ref="D198:D226" si="31">SUMIFS(SM_ShopLaborColumn,PC_SM_Shop,$A198)</f>
        <v>0</v>
      </c>
      <c r="E198" s="405">
        <f t="shared" si="30"/>
        <v>0</v>
      </c>
      <c r="F198" s="405">
        <f t="shared" ref="F198:F226" si="32">SUMIFS(SM_MaterialColumn,PC_SM_Material,$A198)</f>
        <v>0</v>
      </c>
      <c r="H198" s="121" t="str">
        <f t="shared" si="28"/>
        <v/>
      </c>
      <c r="K198" s="810">
        <f t="shared" si="29"/>
        <v>0</v>
      </c>
      <c r="L198" s="83"/>
      <c r="M198" s="617"/>
    </row>
    <row r="199" spans="1:13" ht="18" customHeight="1" thickBot="1" x14ac:dyDescent="0.25">
      <c r="A199" s="190" t="s">
        <v>511</v>
      </c>
      <c r="B199" s="1234" t="str">
        <f>IF('Phase Codes'!C75="","",'Phase Codes'!C75)</f>
        <v/>
      </c>
      <c r="C199" s="1234"/>
      <c r="D199" s="404">
        <f t="shared" si="31"/>
        <v>0</v>
      </c>
      <c r="E199" s="405">
        <f t="shared" si="30"/>
        <v>0</v>
      </c>
      <c r="F199" s="405">
        <f t="shared" si="32"/>
        <v>0</v>
      </c>
      <c r="H199" s="121" t="str">
        <f t="shared" si="28"/>
        <v/>
      </c>
      <c r="K199" s="810">
        <f t="shared" si="29"/>
        <v>0</v>
      </c>
      <c r="L199" s="83"/>
      <c r="M199" s="617"/>
    </row>
    <row r="200" spans="1:13" ht="18" customHeight="1" thickBot="1" x14ac:dyDescent="0.25">
      <c r="A200" s="190" t="s">
        <v>512</v>
      </c>
      <c r="B200" s="1234" t="str">
        <f>IF('Phase Codes'!C76="","",'Phase Codes'!C76)</f>
        <v/>
      </c>
      <c r="C200" s="1234"/>
      <c r="D200" s="404">
        <f t="shared" si="31"/>
        <v>0</v>
      </c>
      <c r="E200" s="405">
        <f t="shared" si="30"/>
        <v>0</v>
      </c>
      <c r="F200" s="405">
        <f t="shared" si="32"/>
        <v>0</v>
      </c>
      <c r="H200" s="121" t="str">
        <f t="shared" si="28"/>
        <v/>
      </c>
      <c r="K200" s="810">
        <f t="shared" si="29"/>
        <v>0</v>
      </c>
      <c r="L200" s="83"/>
      <c r="M200" s="617"/>
    </row>
    <row r="201" spans="1:13" ht="18" customHeight="1" thickBot="1" x14ac:dyDescent="0.25">
      <c r="A201" s="190" t="s">
        <v>513</v>
      </c>
      <c r="B201" s="1234" t="str">
        <f>IF('Phase Codes'!C77="","",'Phase Codes'!C77)</f>
        <v/>
      </c>
      <c r="C201" s="1234"/>
      <c r="D201" s="404">
        <f t="shared" si="31"/>
        <v>0</v>
      </c>
      <c r="E201" s="405">
        <f t="shared" si="30"/>
        <v>0</v>
      </c>
      <c r="F201" s="405">
        <f t="shared" si="32"/>
        <v>0</v>
      </c>
      <c r="H201" s="121" t="str">
        <f t="shared" si="28"/>
        <v/>
      </c>
      <c r="K201" s="810">
        <f t="shared" si="29"/>
        <v>0</v>
      </c>
      <c r="L201" s="83"/>
      <c r="M201" s="617"/>
    </row>
    <row r="202" spans="1:13" ht="18" customHeight="1" thickBot="1" x14ac:dyDescent="0.25">
      <c r="A202" s="190" t="s">
        <v>514</v>
      </c>
      <c r="B202" s="1234" t="str">
        <f>IF('Phase Codes'!C78="","",'Phase Codes'!C78)</f>
        <v/>
      </c>
      <c r="C202" s="1234"/>
      <c r="D202" s="404">
        <f t="shared" si="31"/>
        <v>0</v>
      </c>
      <c r="E202" s="405">
        <f t="shared" si="30"/>
        <v>0</v>
      </c>
      <c r="F202" s="405">
        <f t="shared" si="32"/>
        <v>0</v>
      </c>
      <c r="H202" s="121" t="str">
        <f t="shared" si="28"/>
        <v/>
      </c>
      <c r="K202" s="810">
        <f t="shared" si="29"/>
        <v>0</v>
      </c>
      <c r="L202" s="83"/>
      <c r="M202" s="617"/>
    </row>
    <row r="203" spans="1:13" ht="18" customHeight="1" thickBot="1" x14ac:dyDescent="0.25">
      <c r="A203" s="190" t="s">
        <v>515</v>
      </c>
      <c r="B203" s="1234" t="str">
        <f>IF('Phase Codes'!C79="","",'Phase Codes'!C79)</f>
        <v/>
      </c>
      <c r="C203" s="1234"/>
      <c r="D203" s="404">
        <f t="shared" si="31"/>
        <v>0</v>
      </c>
      <c r="E203" s="405">
        <f t="shared" si="30"/>
        <v>0</v>
      </c>
      <c r="F203" s="405">
        <f t="shared" si="32"/>
        <v>0</v>
      </c>
      <c r="H203" s="121" t="str">
        <f t="shared" si="28"/>
        <v/>
      </c>
      <c r="K203" s="810">
        <f t="shared" si="29"/>
        <v>0</v>
      </c>
      <c r="L203" s="83"/>
      <c r="M203" s="617"/>
    </row>
    <row r="204" spans="1:13" ht="18" customHeight="1" thickBot="1" x14ac:dyDescent="0.25">
      <c r="A204" s="190" t="s">
        <v>516</v>
      </c>
      <c r="B204" s="1234" t="str">
        <f>IF('Phase Codes'!C80="","",'Phase Codes'!C80)</f>
        <v/>
      </c>
      <c r="C204" s="1234"/>
      <c r="D204" s="404">
        <f t="shared" si="31"/>
        <v>0</v>
      </c>
      <c r="E204" s="405">
        <f t="shared" si="30"/>
        <v>0</v>
      </c>
      <c r="F204" s="405">
        <f t="shared" si="32"/>
        <v>0</v>
      </c>
      <c r="H204" s="121" t="str">
        <f t="shared" si="28"/>
        <v/>
      </c>
      <c r="K204" s="810">
        <f t="shared" si="29"/>
        <v>0</v>
      </c>
      <c r="L204" s="83"/>
      <c r="M204" s="617"/>
    </row>
    <row r="205" spans="1:13" ht="18" customHeight="1" thickBot="1" x14ac:dyDescent="0.25">
      <c r="A205" s="190" t="s">
        <v>517</v>
      </c>
      <c r="B205" s="1234" t="str">
        <f>IF('Phase Codes'!C81="","",'Phase Codes'!C81)</f>
        <v/>
      </c>
      <c r="C205" s="1234"/>
      <c r="D205" s="404">
        <f t="shared" si="31"/>
        <v>0</v>
      </c>
      <c r="E205" s="405">
        <f t="shared" si="30"/>
        <v>0</v>
      </c>
      <c r="F205" s="405">
        <f t="shared" si="32"/>
        <v>0</v>
      </c>
      <c r="H205" s="121" t="str">
        <f t="shared" si="28"/>
        <v/>
      </c>
      <c r="K205" s="810">
        <f t="shared" si="29"/>
        <v>0</v>
      </c>
      <c r="L205" s="83"/>
      <c r="M205" s="617"/>
    </row>
    <row r="206" spans="1:13" ht="18" customHeight="1" thickBot="1" x14ac:dyDescent="0.25">
      <c r="A206" s="190" t="s">
        <v>518</v>
      </c>
      <c r="B206" s="1234" t="str">
        <f>IF('Phase Codes'!C82="","",'Phase Codes'!C82)</f>
        <v/>
      </c>
      <c r="C206" s="1234"/>
      <c r="D206" s="404">
        <f t="shared" si="31"/>
        <v>0</v>
      </c>
      <c r="E206" s="405">
        <f t="shared" si="30"/>
        <v>0</v>
      </c>
      <c r="F206" s="405">
        <f t="shared" si="32"/>
        <v>0</v>
      </c>
      <c r="H206" s="121" t="str">
        <f t="shared" si="28"/>
        <v/>
      </c>
      <c r="K206" s="810">
        <f t="shared" si="29"/>
        <v>0</v>
      </c>
      <c r="L206" s="83"/>
      <c r="M206" s="617"/>
    </row>
    <row r="207" spans="1:13" ht="18" customHeight="1" thickBot="1" x14ac:dyDescent="0.25">
      <c r="A207" s="190" t="s">
        <v>519</v>
      </c>
      <c r="B207" s="1234" t="str">
        <f>IF('Phase Codes'!C83="","",'Phase Codes'!C83)</f>
        <v/>
      </c>
      <c r="C207" s="1234"/>
      <c r="D207" s="404">
        <f t="shared" si="31"/>
        <v>0</v>
      </c>
      <c r="E207" s="405">
        <f t="shared" si="30"/>
        <v>0</v>
      </c>
      <c r="F207" s="405">
        <f t="shared" si="32"/>
        <v>0</v>
      </c>
      <c r="H207" s="121" t="str">
        <f t="shared" si="28"/>
        <v/>
      </c>
      <c r="K207" s="810">
        <f t="shared" si="29"/>
        <v>0</v>
      </c>
      <c r="L207" s="83"/>
      <c r="M207" s="617"/>
    </row>
    <row r="208" spans="1:13" ht="18" customHeight="1" thickBot="1" x14ac:dyDescent="0.25">
      <c r="A208" s="190" t="s">
        <v>520</v>
      </c>
      <c r="B208" s="1234" t="str">
        <f>IF('Phase Codes'!C84="","",'Phase Codes'!C84)</f>
        <v/>
      </c>
      <c r="C208" s="1234"/>
      <c r="D208" s="404">
        <f t="shared" si="31"/>
        <v>0</v>
      </c>
      <c r="E208" s="405">
        <f t="shared" si="30"/>
        <v>0</v>
      </c>
      <c r="F208" s="405">
        <f t="shared" si="32"/>
        <v>0</v>
      </c>
      <c r="H208" s="121" t="str">
        <f t="shared" si="28"/>
        <v/>
      </c>
      <c r="K208" s="810">
        <f t="shared" si="29"/>
        <v>0</v>
      </c>
      <c r="L208" s="83"/>
      <c r="M208" s="617"/>
    </row>
    <row r="209" spans="1:13" ht="18" customHeight="1" thickBot="1" x14ac:dyDescent="0.25">
      <c r="A209" s="190" t="s">
        <v>521</v>
      </c>
      <c r="B209" s="1234" t="str">
        <f>IF('Phase Codes'!C85="","",'Phase Codes'!C85)</f>
        <v/>
      </c>
      <c r="C209" s="1234"/>
      <c r="D209" s="404">
        <f t="shared" si="31"/>
        <v>0</v>
      </c>
      <c r="E209" s="405">
        <f t="shared" si="30"/>
        <v>0</v>
      </c>
      <c r="F209" s="405">
        <f t="shared" si="32"/>
        <v>0</v>
      </c>
      <c r="H209" s="121" t="str">
        <f t="shared" si="28"/>
        <v/>
      </c>
      <c r="K209" s="810">
        <f t="shared" si="29"/>
        <v>0</v>
      </c>
      <c r="L209" s="83"/>
      <c r="M209" s="617"/>
    </row>
    <row r="210" spans="1:13" ht="18" customHeight="1" thickBot="1" x14ac:dyDescent="0.25">
      <c r="A210" s="190" t="s">
        <v>522</v>
      </c>
      <c r="B210" s="1234" t="str">
        <f>IF('Phase Codes'!C86="","",'Phase Codes'!C86)</f>
        <v/>
      </c>
      <c r="C210" s="1234"/>
      <c r="D210" s="404">
        <f t="shared" si="31"/>
        <v>0</v>
      </c>
      <c r="E210" s="405">
        <f t="shared" si="30"/>
        <v>0</v>
      </c>
      <c r="F210" s="405">
        <f t="shared" si="32"/>
        <v>0</v>
      </c>
      <c r="H210" s="121" t="str">
        <f t="shared" si="28"/>
        <v/>
      </c>
      <c r="K210" s="810">
        <f t="shared" si="29"/>
        <v>0</v>
      </c>
      <c r="L210" s="83"/>
      <c r="M210" s="617"/>
    </row>
    <row r="211" spans="1:13" ht="18" customHeight="1" thickBot="1" x14ac:dyDescent="0.25">
      <c r="A211" s="190" t="s">
        <v>523</v>
      </c>
      <c r="B211" s="1234" t="str">
        <f>IF('Phase Codes'!C87="","",'Phase Codes'!C87)</f>
        <v/>
      </c>
      <c r="C211" s="1234"/>
      <c r="D211" s="404">
        <f t="shared" si="31"/>
        <v>0</v>
      </c>
      <c r="E211" s="405">
        <f t="shared" si="30"/>
        <v>0</v>
      </c>
      <c r="F211" s="405">
        <f t="shared" si="32"/>
        <v>0</v>
      </c>
      <c r="H211" s="121" t="str">
        <f t="shared" si="28"/>
        <v/>
      </c>
      <c r="K211" s="810">
        <f t="shared" si="29"/>
        <v>0</v>
      </c>
      <c r="L211" s="83"/>
      <c r="M211" s="617"/>
    </row>
    <row r="212" spans="1:13" ht="18" customHeight="1" thickBot="1" x14ac:dyDescent="0.25">
      <c r="A212" s="190" t="s">
        <v>524</v>
      </c>
      <c r="B212" s="1234" t="str">
        <f>IF('Phase Codes'!C88="","",'Phase Codes'!C88)</f>
        <v/>
      </c>
      <c r="C212" s="1234"/>
      <c r="D212" s="404">
        <f t="shared" si="31"/>
        <v>0</v>
      </c>
      <c r="E212" s="405">
        <f t="shared" si="30"/>
        <v>0</v>
      </c>
      <c r="F212" s="405">
        <f t="shared" si="32"/>
        <v>0</v>
      </c>
      <c r="H212" s="121" t="str">
        <f t="shared" si="28"/>
        <v/>
      </c>
      <c r="K212" s="810">
        <f t="shared" si="29"/>
        <v>0</v>
      </c>
      <c r="L212" s="83"/>
      <c r="M212" s="617"/>
    </row>
    <row r="213" spans="1:13" ht="18" customHeight="1" thickBot="1" x14ac:dyDescent="0.25">
      <c r="A213" s="190" t="s">
        <v>525</v>
      </c>
      <c r="B213" s="1234" t="str">
        <f>IF('Phase Codes'!C89="","",'Phase Codes'!C89)</f>
        <v/>
      </c>
      <c r="C213" s="1234"/>
      <c r="D213" s="404">
        <f t="shared" si="31"/>
        <v>0</v>
      </c>
      <c r="E213" s="405">
        <f t="shared" si="30"/>
        <v>0</v>
      </c>
      <c r="F213" s="405">
        <f t="shared" si="32"/>
        <v>0</v>
      </c>
      <c r="H213" s="121" t="str">
        <f t="shared" si="28"/>
        <v/>
      </c>
      <c r="K213" s="810">
        <f t="shared" si="29"/>
        <v>0</v>
      </c>
      <c r="L213" s="83"/>
      <c r="M213" s="617"/>
    </row>
    <row r="214" spans="1:13" ht="18" customHeight="1" thickBot="1" x14ac:dyDescent="0.25">
      <c r="A214" s="190" t="s">
        <v>526</v>
      </c>
      <c r="B214" s="1234" t="str">
        <f>IF('Phase Codes'!C90="","",'Phase Codes'!C90)</f>
        <v/>
      </c>
      <c r="C214" s="1234"/>
      <c r="D214" s="404">
        <f t="shared" si="31"/>
        <v>0</v>
      </c>
      <c r="E214" s="405">
        <f t="shared" si="30"/>
        <v>0</v>
      </c>
      <c r="F214" s="405">
        <f t="shared" si="32"/>
        <v>0</v>
      </c>
      <c r="H214" s="121" t="str">
        <f t="shared" si="28"/>
        <v/>
      </c>
      <c r="K214" s="810">
        <f t="shared" si="29"/>
        <v>0</v>
      </c>
      <c r="L214" s="83"/>
      <c r="M214" s="617"/>
    </row>
    <row r="215" spans="1:13" ht="18" customHeight="1" thickBot="1" x14ac:dyDescent="0.25">
      <c r="A215" s="190" t="s">
        <v>527</v>
      </c>
      <c r="B215" s="1234" t="str">
        <f>IF('Phase Codes'!C91="","",'Phase Codes'!C91)</f>
        <v/>
      </c>
      <c r="C215" s="1234"/>
      <c r="D215" s="404">
        <f t="shared" si="31"/>
        <v>0</v>
      </c>
      <c r="E215" s="405">
        <f t="shared" si="30"/>
        <v>0</v>
      </c>
      <c r="F215" s="405">
        <f t="shared" si="32"/>
        <v>0</v>
      </c>
      <c r="H215" s="121" t="str">
        <f t="shared" si="28"/>
        <v/>
      </c>
      <c r="K215" s="810">
        <f t="shared" si="29"/>
        <v>0</v>
      </c>
      <c r="L215" s="83"/>
      <c r="M215" s="617"/>
    </row>
    <row r="216" spans="1:13" ht="18" customHeight="1" thickBot="1" x14ac:dyDescent="0.25">
      <c r="A216" s="190" t="s">
        <v>528</v>
      </c>
      <c r="B216" s="1234" t="str">
        <f>IF('Phase Codes'!C92="","",'Phase Codes'!C92)</f>
        <v/>
      </c>
      <c r="C216" s="1234"/>
      <c r="D216" s="404">
        <f t="shared" si="31"/>
        <v>0</v>
      </c>
      <c r="E216" s="405">
        <f t="shared" si="30"/>
        <v>0</v>
      </c>
      <c r="F216" s="405">
        <f t="shared" si="32"/>
        <v>0</v>
      </c>
      <c r="H216" s="121" t="str">
        <f t="shared" si="28"/>
        <v/>
      </c>
      <c r="K216" s="810">
        <f t="shared" si="29"/>
        <v>0</v>
      </c>
      <c r="L216" s="83"/>
      <c r="M216" s="617"/>
    </row>
    <row r="217" spans="1:13" ht="18" customHeight="1" thickBot="1" x14ac:dyDescent="0.25">
      <c r="A217" s="190" t="s">
        <v>529</v>
      </c>
      <c r="B217" s="1234" t="str">
        <f>IF('Phase Codes'!C93="","",'Phase Codes'!C93)</f>
        <v/>
      </c>
      <c r="C217" s="1234"/>
      <c r="D217" s="404">
        <f t="shared" si="31"/>
        <v>0</v>
      </c>
      <c r="E217" s="405">
        <f t="shared" si="30"/>
        <v>0</v>
      </c>
      <c r="F217" s="405">
        <f t="shared" si="32"/>
        <v>0</v>
      </c>
      <c r="H217" s="121" t="str">
        <f t="shared" si="28"/>
        <v/>
      </c>
      <c r="K217" s="810">
        <f t="shared" si="29"/>
        <v>0</v>
      </c>
      <c r="L217" s="83"/>
      <c r="M217" s="617"/>
    </row>
    <row r="218" spans="1:13" ht="18" customHeight="1" thickBot="1" x14ac:dyDescent="0.25">
      <c r="A218" s="190" t="s">
        <v>530</v>
      </c>
      <c r="B218" s="1234" t="str">
        <f>IF('Phase Codes'!C94="","",'Phase Codes'!C94)</f>
        <v/>
      </c>
      <c r="C218" s="1234"/>
      <c r="D218" s="404">
        <f t="shared" si="31"/>
        <v>0</v>
      </c>
      <c r="E218" s="405">
        <f t="shared" si="30"/>
        <v>0</v>
      </c>
      <c r="F218" s="405">
        <f t="shared" si="32"/>
        <v>0</v>
      </c>
      <c r="H218" s="121" t="str">
        <f t="shared" si="28"/>
        <v/>
      </c>
      <c r="K218" s="810">
        <f t="shared" si="29"/>
        <v>0</v>
      </c>
      <c r="L218" s="83"/>
      <c r="M218" s="617"/>
    </row>
    <row r="219" spans="1:13" ht="18" customHeight="1" thickBot="1" x14ac:dyDescent="0.25">
      <c r="A219" s="190" t="s">
        <v>531</v>
      </c>
      <c r="B219" s="1234" t="str">
        <f>IF('Phase Codes'!C95="","",'Phase Codes'!C95)</f>
        <v/>
      </c>
      <c r="C219" s="1234"/>
      <c r="D219" s="404">
        <f t="shared" si="31"/>
        <v>0</v>
      </c>
      <c r="E219" s="405">
        <f t="shared" si="30"/>
        <v>0</v>
      </c>
      <c r="F219" s="405">
        <f t="shared" si="32"/>
        <v>0</v>
      </c>
      <c r="H219" s="121" t="str">
        <f t="shared" si="28"/>
        <v/>
      </c>
      <c r="K219" s="810">
        <f t="shared" si="29"/>
        <v>0</v>
      </c>
      <c r="L219" s="83"/>
      <c r="M219" s="617"/>
    </row>
    <row r="220" spans="1:13" ht="18" customHeight="1" thickBot="1" x14ac:dyDescent="0.25">
      <c r="A220" s="190" t="s">
        <v>532</v>
      </c>
      <c r="B220" s="1234" t="str">
        <f>IF('Phase Codes'!C96="","",'Phase Codes'!C96)</f>
        <v/>
      </c>
      <c r="C220" s="1234"/>
      <c r="D220" s="404">
        <f t="shared" si="31"/>
        <v>0</v>
      </c>
      <c r="E220" s="405">
        <f t="shared" si="30"/>
        <v>0</v>
      </c>
      <c r="F220" s="405">
        <f t="shared" si="32"/>
        <v>0</v>
      </c>
      <c r="H220" s="121" t="str">
        <f t="shared" si="28"/>
        <v/>
      </c>
      <c r="K220" s="810">
        <f t="shared" si="29"/>
        <v>0</v>
      </c>
      <c r="L220" s="83"/>
      <c r="M220" s="617"/>
    </row>
    <row r="221" spans="1:13" ht="18" customHeight="1" thickBot="1" x14ac:dyDescent="0.25">
      <c r="A221" s="190" t="s">
        <v>533</v>
      </c>
      <c r="B221" s="1234" t="str">
        <f>IF('Phase Codes'!C97="","",'Phase Codes'!C97)</f>
        <v/>
      </c>
      <c r="C221" s="1234"/>
      <c r="D221" s="404">
        <f t="shared" si="31"/>
        <v>0</v>
      </c>
      <c r="E221" s="405">
        <f t="shared" si="30"/>
        <v>0</v>
      </c>
      <c r="F221" s="405">
        <f t="shared" si="32"/>
        <v>0</v>
      </c>
      <c r="H221" s="121" t="str">
        <f t="shared" si="28"/>
        <v/>
      </c>
      <c r="K221" s="810">
        <f t="shared" si="29"/>
        <v>0</v>
      </c>
      <c r="L221" s="83"/>
      <c r="M221" s="617"/>
    </row>
    <row r="222" spans="1:13" ht="18" customHeight="1" thickBot="1" x14ac:dyDescent="0.25">
      <c r="A222" s="190" t="s">
        <v>534</v>
      </c>
      <c r="B222" s="1234" t="str">
        <f>IF('Phase Codes'!C98="","",'Phase Codes'!C98)</f>
        <v/>
      </c>
      <c r="C222" s="1234"/>
      <c r="D222" s="404">
        <f t="shared" si="31"/>
        <v>0</v>
      </c>
      <c r="E222" s="405">
        <f t="shared" si="30"/>
        <v>0</v>
      </c>
      <c r="F222" s="405">
        <f t="shared" si="32"/>
        <v>0</v>
      </c>
      <c r="H222" s="121" t="str">
        <f t="shared" si="28"/>
        <v/>
      </c>
      <c r="K222" s="810">
        <f t="shared" si="29"/>
        <v>0</v>
      </c>
      <c r="L222" s="83"/>
      <c r="M222" s="617"/>
    </row>
    <row r="223" spans="1:13" ht="18" customHeight="1" thickBot="1" x14ac:dyDescent="0.25">
      <c r="A223" s="190" t="s">
        <v>535</v>
      </c>
      <c r="B223" s="1234" t="str">
        <f>IF('Phase Codes'!C99="","",'Phase Codes'!C99)</f>
        <v/>
      </c>
      <c r="C223" s="1234"/>
      <c r="D223" s="404">
        <f t="shared" si="31"/>
        <v>0</v>
      </c>
      <c r="E223" s="405">
        <f t="shared" si="30"/>
        <v>0</v>
      </c>
      <c r="F223" s="405">
        <f t="shared" si="32"/>
        <v>0</v>
      </c>
      <c r="H223" s="121" t="str">
        <f t="shared" si="28"/>
        <v/>
      </c>
      <c r="K223" s="810">
        <f t="shared" si="29"/>
        <v>0</v>
      </c>
      <c r="L223" s="83"/>
      <c r="M223" s="617"/>
    </row>
    <row r="224" spans="1:13" ht="18" customHeight="1" thickBot="1" x14ac:dyDescent="0.25">
      <c r="A224" s="190" t="s">
        <v>536</v>
      </c>
      <c r="B224" s="1234" t="str">
        <f>IF('Phase Codes'!C100="","",'Phase Codes'!C100)</f>
        <v/>
      </c>
      <c r="C224" s="1234"/>
      <c r="D224" s="404">
        <f t="shared" si="31"/>
        <v>0</v>
      </c>
      <c r="E224" s="405">
        <f t="shared" si="30"/>
        <v>0</v>
      </c>
      <c r="F224" s="405">
        <f t="shared" si="32"/>
        <v>0</v>
      </c>
      <c r="H224" s="121" t="str">
        <f t="shared" si="28"/>
        <v/>
      </c>
      <c r="K224" s="810">
        <f t="shared" si="29"/>
        <v>0</v>
      </c>
      <c r="L224" s="83"/>
      <c r="M224" s="617"/>
    </row>
    <row r="225" spans="1:13" ht="18" customHeight="1" thickBot="1" x14ac:dyDescent="0.25">
      <c r="A225" s="190" t="s">
        <v>537</v>
      </c>
      <c r="B225" s="1234" t="str">
        <f>IF('Phase Codes'!C101="","",'Phase Codes'!C101)</f>
        <v/>
      </c>
      <c r="C225" s="1234"/>
      <c r="D225" s="404">
        <f t="shared" si="31"/>
        <v>0</v>
      </c>
      <c r="E225" s="405">
        <f t="shared" si="30"/>
        <v>0</v>
      </c>
      <c r="F225" s="405">
        <f t="shared" si="32"/>
        <v>0</v>
      </c>
      <c r="H225" s="121" t="str">
        <f t="shared" si="28"/>
        <v/>
      </c>
      <c r="K225" s="810">
        <f t="shared" si="29"/>
        <v>0</v>
      </c>
      <c r="L225" s="83"/>
      <c r="M225" s="617"/>
    </row>
    <row r="226" spans="1:13" ht="18" customHeight="1" thickBot="1" x14ac:dyDescent="0.25">
      <c r="A226" s="190" t="s">
        <v>403</v>
      </c>
      <c r="B226" s="1234" t="str">
        <f>IF('Phase Codes'!C102="","",'Phase Codes'!C102)</f>
        <v>Spiral Allocation</v>
      </c>
      <c r="C226" s="1234"/>
      <c r="D226" s="404">
        <f t="shared" si="31"/>
        <v>0</v>
      </c>
      <c r="E226" s="405">
        <f t="shared" si="30"/>
        <v>0</v>
      </c>
      <c r="F226" s="405">
        <f t="shared" si="32"/>
        <v>0</v>
      </c>
      <c r="G226" t="s">
        <v>1319</v>
      </c>
      <c r="H226" s="121">
        <f t="shared" si="28"/>
        <v>3</v>
      </c>
      <c r="K226" s="810">
        <f t="shared" si="29"/>
        <v>0</v>
      </c>
      <c r="L226" s="83"/>
      <c r="M226" s="617"/>
    </row>
    <row r="227" spans="1:13" ht="18" customHeight="1" thickBot="1" x14ac:dyDescent="0.25">
      <c r="A227" s="165" t="s">
        <v>8</v>
      </c>
      <c r="B227" s="1235" t="s">
        <v>332</v>
      </c>
      <c r="C227" s="1236"/>
      <c r="D227" s="210">
        <f t="shared" ref="D227:F227" si="33">SUM(D128:D226)</f>
        <v>0</v>
      </c>
      <c r="E227" s="191">
        <f t="shared" si="33"/>
        <v>0</v>
      </c>
      <c r="F227" s="191">
        <f t="shared" si="33"/>
        <v>0</v>
      </c>
      <c r="H227" s="121"/>
      <c r="K227" s="810">
        <f t="shared" si="29"/>
        <v>0</v>
      </c>
    </row>
    <row r="228" spans="1:13" ht="15" customHeight="1" x14ac:dyDescent="0.2">
      <c r="H228" s="121"/>
      <c r="K228" s="810">
        <f>K227</f>
        <v>0</v>
      </c>
    </row>
    <row r="229" spans="1:13" ht="15" customHeight="1" x14ac:dyDescent="0.2">
      <c r="C229" s="250" t="s">
        <v>1398</v>
      </c>
      <c r="D229" s="549">
        <f>D123+D227</f>
        <v>1145.24</v>
      </c>
      <c r="E229" s="550">
        <f>E123+E227</f>
        <v>119670.6704</v>
      </c>
      <c r="F229" s="550">
        <f>F123+F227</f>
        <v>15926.76</v>
      </c>
      <c r="H229" s="121"/>
      <c r="K229" s="810">
        <f>K227</f>
        <v>0</v>
      </c>
    </row>
    <row r="230" spans="1:13" ht="15" customHeight="1" thickBot="1" x14ac:dyDescent="0.3">
      <c r="A230" s="160"/>
      <c r="B230" s="160"/>
      <c r="C230" s="160"/>
      <c r="E230" s="158"/>
      <c r="F230" s="158"/>
      <c r="H230" s="121"/>
      <c r="K230" s="810">
        <f>K333</f>
        <v>128959.62119999999</v>
      </c>
    </row>
    <row r="231" spans="1:13" ht="16.5" thickBot="1" x14ac:dyDescent="0.3">
      <c r="A231" s="83"/>
      <c r="B231" s="1237" t="s">
        <v>324</v>
      </c>
      <c r="C231" s="1238"/>
      <c r="H231" s="121"/>
      <c r="K231" s="810">
        <f>K333</f>
        <v>128959.62119999999</v>
      </c>
    </row>
    <row r="232" spans="1:13" ht="26.25" thickBot="1" x14ac:dyDescent="0.25">
      <c r="A232" s="162" t="s">
        <v>325</v>
      </c>
      <c r="B232" s="1239" t="s">
        <v>0</v>
      </c>
      <c r="C232" s="1240"/>
      <c r="D232" s="163" t="s">
        <v>326</v>
      </c>
      <c r="E232" s="163" t="s">
        <v>327</v>
      </c>
      <c r="F232" s="163" t="s">
        <v>328</v>
      </c>
      <c r="G232" s="163" t="s">
        <v>1323</v>
      </c>
      <c r="H232" s="163" t="s">
        <v>1317</v>
      </c>
      <c r="K232" s="810">
        <f>K333</f>
        <v>128959.62119999999</v>
      </c>
    </row>
    <row r="233" spans="1:13" ht="17.100000000000001" customHeight="1" thickBot="1" x14ac:dyDescent="0.3">
      <c r="A233" s="164" t="s">
        <v>333</v>
      </c>
      <c r="B233" s="164"/>
      <c r="H233" s="121"/>
      <c r="K233" s="810">
        <f>K333</f>
        <v>128959.62119999999</v>
      </c>
      <c r="M233"/>
    </row>
    <row r="234" spans="1:13" ht="18" customHeight="1" thickBot="1" x14ac:dyDescent="0.25">
      <c r="A234" s="190" t="s">
        <v>234</v>
      </c>
      <c r="B234" s="1234" t="str">
        <f>IF('Phase Codes'!D4="","",'Phase Codes'!D4)</f>
        <v>Supervision</v>
      </c>
      <c r="C234" s="1234"/>
      <c r="D234" s="404">
        <f>SUMIFS(SM_FieldLaborColumn,PC_SM_Field,$A234)+'MCAA RECAP'!F52</f>
        <v>731.33</v>
      </c>
      <c r="E234" s="405">
        <f>SUMIFS(Takeoff_Total_Field_Labor_Cost,PC_SM_Field,$A234)+'MCAA RECAP'!H52</f>
        <v>79919.742400000003</v>
      </c>
      <c r="F234" s="405">
        <f t="shared" ref="F234:F244" si="34">SUMIFS(SM_MaterialColumn,PC_SM_Material,$A234)</f>
        <v>0</v>
      </c>
      <c r="G234" t="s">
        <v>1319</v>
      </c>
      <c r="H234" s="121">
        <f t="shared" ref="H234:H297" si="35">IF($G234="E",6,IF($G234="M",3,IF($G234="OH","?",IF($G234="OT",7,IF($G234="S",4,"")))))</f>
        <v>3</v>
      </c>
      <c r="K234" s="810">
        <f>SUM(D234:F234)</f>
        <v>80651.072400000005</v>
      </c>
    </row>
    <row r="235" spans="1:13" ht="18" customHeight="1" thickBot="1" x14ac:dyDescent="0.25">
      <c r="A235" s="190" t="s">
        <v>355</v>
      </c>
      <c r="B235" s="1234" t="str">
        <f>IF('Phase Codes'!D5="","",'Phase Codes'!D5)</f>
        <v>Hangers</v>
      </c>
      <c r="C235" s="1234"/>
      <c r="D235" s="404">
        <f>SUMIFS(SM_FieldLaborColumn,PC_SM_Field,$A235)</f>
        <v>0</v>
      </c>
      <c r="E235" s="405">
        <f>SUMIFS(Takeoff_Total_Field_Labor_Cost,PC_SM_Field,$A235)</f>
        <v>0</v>
      </c>
      <c r="F235" s="405">
        <f t="shared" si="34"/>
        <v>0</v>
      </c>
      <c r="G235" t="s">
        <v>1319</v>
      </c>
      <c r="H235" s="121">
        <f t="shared" si="35"/>
        <v>3</v>
      </c>
      <c r="K235" s="810">
        <f t="shared" ref="K235:K298" si="36">SUM(D235:F235)</f>
        <v>0</v>
      </c>
    </row>
    <row r="236" spans="1:13" ht="18" customHeight="1" thickBot="1" x14ac:dyDescent="0.25">
      <c r="A236" s="190" t="s">
        <v>356</v>
      </c>
      <c r="B236" s="1234" t="str">
        <f>IF('Phase Codes'!D6="","",'Phase Codes'!D6)</f>
        <v>Floor Supports</v>
      </c>
      <c r="C236" s="1234"/>
      <c r="D236" s="404">
        <f>SUMIFS(SM_FieldLaborColumn,PC_SM_Field,$A236)</f>
        <v>0</v>
      </c>
      <c r="E236" s="405">
        <f>SUMIFS(Takeoff_Total_Field_Labor_Cost,PC_SM_Field,$A236)</f>
        <v>0</v>
      </c>
      <c r="F236" s="405">
        <f t="shared" si="34"/>
        <v>0</v>
      </c>
      <c r="G236" t="s">
        <v>1319</v>
      </c>
      <c r="H236" s="121">
        <f t="shared" si="35"/>
        <v>3</v>
      </c>
      <c r="K236" s="810">
        <f t="shared" si="36"/>
        <v>0</v>
      </c>
    </row>
    <row r="237" spans="1:13" ht="18" customHeight="1" thickBot="1" x14ac:dyDescent="0.25">
      <c r="A237" s="190" t="s">
        <v>404</v>
      </c>
      <c r="B237" s="1234" t="str">
        <f>IF('Phase Codes'!D7="","",'Phase Codes'!D7)</f>
        <v xml:space="preserve">QA/QC </v>
      </c>
      <c r="C237" s="1234"/>
      <c r="D237" s="404">
        <f>SUMIFS(SM_FieldLaborColumn,PC_SM_Field,$A237)+'MCAA RECAP'!G15</f>
        <v>0</v>
      </c>
      <c r="E237" s="405">
        <f>SUMIFS(Takeoff_Total_Field_Labor_Cost,PC_SM_Field,$A237)+('MCAA RECAP'!G15*CrewRate_SMField)</f>
        <v>0</v>
      </c>
      <c r="F237" s="405">
        <f t="shared" si="34"/>
        <v>0</v>
      </c>
      <c r="G237" t="s">
        <v>1319</v>
      </c>
      <c r="H237" s="121">
        <f t="shared" si="35"/>
        <v>3</v>
      </c>
      <c r="K237" s="810">
        <f t="shared" si="36"/>
        <v>0</v>
      </c>
    </row>
    <row r="238" spans="1:13" ht="18" customHeight="1" thickBot="1" x14ac:dyDescent="0.25">
      <c r="A238" s="190" t="s">
        <v>405</v>
      </c>
      <c r="B238" s="1234" t="str">
        <f>IF('Phase Codes'!D8="","",'Phase Codes'!D8)</f>
        <v>Detailing</v>
      </c>
      <c r="C238" s="1234"/>
      <c r="D238" s="404">
        <f>SUMIFS(SM_FieldLaborColumn,PC_SM_Field,$A238)</f>
        <v>0</v>
      </c>
      <c r="E238" s="405">
        <f>SUMIFS(Takeoff_Total_Field_Labor_Cost,PC_SM_Field,$A238)</f>
        <v>0</v>
      </c>
      <c r="F238" s="405">
        <f t="shared" si="34"/>
        <v>0</v>
      </c>
      <c r="G238" t="s">
        <v>1319</v>
      </c>
      <c r="H238" s="121">
        <f t="shared" si="35"/>
        <v>3</v>
      </c>
      <c r="K238" s="810">
        <f t="shared" si="36"/>
        <v>0</v>
      </c>
    </row>
    <row r="239" spans="1:13" ht="18" customHeight="1" thickBot="1" x14ac:dyDescent="0.25">
      <c r="A239" s="190" t="s">
        <v>406</v>
      </c>
      <c r="B239" s="1234" t="str">
        <f>IF('Phase Codes'!D9="","",'Phase Codes'!D9)</f>
        <v>Material Handling</v>
      </c>
      <c r="C239" s="1234"/>
      <c r="D239" s="404">
        <f>SUMIFS(SM_FieldLaborColumn,PC_SM_Field,$A239)+'MCAA RECAP'!G16</f>
        <v>377.95</v>
      </c>
      <c r="E239" s="405">
        <f>SUMIFS(Takeoff_Total_Field_Labor_Cost,PC_SM_Field,$A239)+('MCAA RECAP'!G16*CrewRate_SMField)</f>
        <v>36782.093999999997</v>
      </c>
      <c r="F239" s="405">
        <f t="shared" si="34"/>
        <v>0</v>
      </c>
      <c r="G239" t="s">
        <v>1319</v>
      </c>
      <c r="H239" s="121">
        <f t="shared" si="35"/>
        <v>3</v>
      </c>
      <c r="K239" s="810">
        <f t="shared" si="36"/>
        <v>37160.043999999994</v>
      </c>
    </row>
    <row r="240" spans="1:13" ht="18" customHeight="1" thickBot="1" x14ac:dyDescent="0.25">
      <c r="A240" s="190" t="s">
        <v>380</v>
      </c>
      <c r="B240" s="1234" t="str">
        <f>IF('Phase Codes'!D10="","",'Phase Codes'!D10)</f>
        <v>Miscellaneous</v>
      </c>
      <c r="C240" s="1234"/>
      <c r="D240" s="404">
        <f>SUMIFS(SM_FieldLaborColumn,PC_SM_Field,$A240)</f>
        <v>0</v>
      </c>
      <c r="E240" s="405">
        <f>SUMIFS(Takeoff_Total_Field_Labor_Cost,PC_SM_Field,$A240)</f>
        <v>0</v>
      </c>
      <c r="F240" s="405">
        <f t="shared" si="34"/>
        <v>0</v>
      </c>
      <c r="G240" t="s">
        <v>1319</v>
      </c>
      <c r="H240" s="121">
        <f t="shared" si="35"/>
        <v>3</v>
      </c>
      <c r="K240" s="810">
        <f t="shared" si="36"/>
        <v>0</v>
      </c>
    </row>
    <row r="241" spans="1:11" ht="18" customHeight="1" thickBot="1" x14ac:dyDescent="0.25">
      <c r="A241" s="190" t="s">
        <v>407</v>
      </c>
      <c r="B241" s="1234" t="str">
        <f>IF('Phase Codes'!D11="","",'Phase Codes'!D11)</f>
        <v>Equity Fund</v>
      </c>
      <c r="C241" s="1234"/>
      <c r="D241" s="404">
        <f>SUMIFS(SM_FieldLaborColumn,PC_SM_Field,$A241)</f>
        <v>0</v>
      </c>
      <c r="E241" s="659">
        <f>SUMIFS(Takeoff_Total_Field_Labor_Cost,PC_SM_Field,$A241)+(ABS('Work Recovery'!H4)*-1)</f>
        <v>0</v>
      </c>
      <c r="F241" s="405">
        <f t="shared" si="34"/>
        <v>0</v>
      </c>
      <c r="G241" t="s">
        <v>1322</v>
      </c>
      <c r="H241" s="121" t="s">
        <v>1828</v>
      </c>
      <c r="K241" s="810">
        <f t="shared" si="36"/>
        <v>0</v>
      </c>
    </row>
    <row r="242" spans="1:11" ht="18" customHeight="1" thickBot="1" x14ac:dyDescent="0.25">
      <c r="A242" s="190" t="s">
        <v>408</v>
      </c>
      <c r="B242" s="1234" t="str">
        <f>IF('Phase Codes'!D12="","",'Phase Codes'!D12)</f>
        <v>Safety Time</v>
      </c>
      <c r="C242" s="1234"/>
      <c r="D242" s="404">
        <f>SUMIFS(SM_FieldLaborColumn,PC_SM_Field,$A242)+'MCAA RECAP'!G14</f>
        <v>75.59</v>
      </c>
      <c r="E242" s="405">
        <f>SUMIFS(Takeoff_Total_Field_Labor_Cost,PC_SM_Field,$A242)+('MCAA RECAP'!G14*CrewRate_SMField)</f>
        <v>7356.4187999999995</v>
      </c>
      <c r="F242" s="405">
        <f t="shared" si="34"/>
        <v>0</v>
      </c>
      <c r="G242" t="s">
        <v>1319</v>
      </c>
      <c r="H242" s="121">
        <f t="shared" si="35"/>
        <v>3</v>
      </c>
      <c r="K242" s="810">
        <f t="shared" si="36"/>
        <v>7432.0087999999996</v>
      </c>
    </row>
    <row r="243" spans="1:11" ht="18" customHeight="1" thickBot="1" x14ac:dyDescent="0.25">
      <c r="A243" s="190" t="s">
        <v>409</v>
      </c>
      <c r="B243" s="1234" t="str">
        <f>IF('Phase Codes'!D13="","",'Phase Codes'!D13)</f>
        <v>Testing</v>
      </c>
      <c r="C243" s="1234"/>
      <c r="D243" s="404">
        <f>SUMIFS(SM_FieldLaborColumn,PC_SM_Field,$A243)+'MCAA RECAP'!G13</f>
        <v>37.799999999999997</v>
      </c>
      <c r="E243" s="405">
        <f>SUMIFS(Takeoff_Total_Field_Labor_Cost,PC_SM_Field,$A243)+('MCAA RECAP'!G13*CrewRate_SMField)</f>
        <v>3678.6959999999995</v>
      </c>
      <c r="F243" s="405">
        <f t="shared" si="34"/>
        <v>0</v>
      </c>
      <c r="G243" t="s">
        <v>1319</v>
      </c>
      <c r="H243" s="121">
        <f t="shared" si="35"/>
        <v>3</v>
      </c>
      <c r="K243" s="810">
        <f t="shared" si="36"/>
        <v>3716.4959999999996</v>
      </c>
    </row>
    <row r="244" spans="1:11" ht="18" customHeight="1" thickBot="1" x14ac:dyDescent="0.25">
      <c r="A244" s="190" t="s">
        <v>410</v>
      </c>
      <c r="B244" s="1234" t="str">
        <f>IF('Phase Codes'!D14="","",'Phase Codes'!D14)</f>
        <v>Training and Orientation</v>
      </c>
      <c r="C244" s="1234"/>
      <c r="D244" s="404">
        <f>SUMIFS(SM_FieldLaborColumn,PC_SM_Field,$A244)+'MCAA RECAP'!F97</f>
        <v>0</v>
      </c>
      <c r="E244" s="406">
        <f>SUMIFS(Takeoff_Total_Field_Labor_Cost,PC_SM_Field,$A244)+'MCAA RECAP'!H97</f>
        <v>0</v>
      </c>
      <c r="F244" s="405">
        <f t="shared" si="34"/>
        <v>0</v>
      </c>
      <c r="G244" t="s">
        <v>1319</v>
      </c>
      <c r="H244" s="121">
        <f t="shared" si="35"/>
        <v>3</v>
      </c>
      <c r="K244" s="810">
        <f t="shared" si="36"/>
        <v>0</v>
      </c>
    </row>
    <row r="245" spans="1:11" ht="18" customHeight="1" thickBot="1" x14ac:dyDescent="0.25">
      <c r="A245" s="190" t="s">
        <v>357</v>
      </c>
      <c r="B245" s="1234" t="str">
        <f>IF('Phase Codes'!D15="","",'Phase Codes'!D15)</f>
        <v>Galvanized Duct</v>
      </c>
      <c r="C245" s="1234"/>
      <c r="D245" s="404">
        <f t="shared" ref="D245:D276" si="37">SUMIFS(SM_FieldLaborColumn,PC_SM_Field,$A245)</f>
        <v>0</v>
      </c>
      <c r="E245" s="405">
        <f t="shared" ref="E245:E273" si="38">SUMIFS(Takeoff_Total_Field_Labor_Cost,PC_SM_Field,$A245)</f>
        <v>0</v>
      </c>
      <c r="F245" s="405">
        <f t="shared" ref="F245:F276" si="39">SUMIFS(SM_MaterialColumn,PC_SM_Material,$A245)</f>
        <v>0</v>
      </c>
      <c r="G245" t="s">
        <v>1319</v>
      </c>
      <c r="H245" s="121">
        <f t="shared" si="35"/>
        <v>3</v>
      </c>
      <c r="K245" s="810">
        <f t="shared" si="36"/>
        <v>0</v>
      </c>
    </row>
    <row r="246" spans="1:11" ht="18" customHeight="1" thickBot="1" x14ac:dyDescent="0.25">
      <c r="A246" s="190" t="s">
        <v>362</v>
      </c>
      <c r="B246" s="1234" t="str">
        <f>IF('Phase Codes'!D16="","",'Phase Codes'!D16)</f>
        <v>Black Iron Duct</v>
      </c>
      <c r="C246" s="1234"/>
      <c r="D246" s="404">
        <f t="shared" si="37"/>
        <v>0</v>
      </c>
      <c r="E246" s="405">
        <f t="shared" si="38"/>
        <v>0</v>
      </c>
      <c r="F246" s="405">
        <f t="shared" si="39"/>
        <v>0</v>
      </c>
      <c r="G246" t="s">
        <v>1319</v>
      </c>
      <c r="H246" s="121">
        <f t="shared" si="35"/>
        <v>3</v>
      </c>
      <c r="K246" s="810">
        <f t="shared" si="36"/>
        <v>0</v>
      </c>
    </row>
    <row r="247" spans="1:11" ht="18" customHeight="1" thickBot="1" x14ac:dyDescent="0.25">
      <c r="A247" s="190" t="s">
        <v>358</v>
      </c>
      <c r="B247" s="1234" t="str">
        <f>IF('Phase Codes'!D17="","",'Phase Codes'!D17)</f>
        <v>Stainless Steel Duct</v>
      </c>
      <c r="C247" s="1234"/>
      <c r="D247" s="404">
        <f t="shared" si="37"/>
        <v>0</v>
      </c>
      <c r="E247" s="405">
        <f t="shared" si="38"/>
        <v>0</v>
      </c>
      <c r="F247" s="405">
        <f t="shared" si="39"/>
        <v>0</v>
      </c>
      <c r="G247" t="s">
        <v>1319</v>
      </c>
      <c r="H247" s="121">
        <f t="shared" si="35"/>
        <v>3</v>
      </c>
      <c r="K247" s="810">
        <f t="shared" si="36"/>
        <v>0</v>
      </c>
    </row>
    <row r="248" spans="1:11" ht="18" customHeight="1" thickBot="1" x14ac:dyDescent="0.25">
      <c r="A248" s="190" t="s">
        <v>359</v>
      </c>
      <c r="B248" s="1234" t="str">
        <f>IF('Phase Codes'!D18="","",'Phase Codes'!D18)</f>
        <v>Aluminum Duct</v>
      </c>
      <c r="C248" s="1234"/>
      <c r="D248" s="404">
        <f t="shared" si="37"/>
        <v>0</v>
      </c>
      <c r="E248" s="405">
        <f t="shared" si="38"/>
        <v>0</v>
      </c>
      <c r="F248" s="405">
        <f t="shared" si="39"/>
        <v>0</v>
      </c>
      <c r="G248" t="s">
        <v>1319</v>
      </c>
      <c r="H248" s="121">
        <f t="shared" si="35"/>
        <v>3</v>
      </c>
      <c r="K248" s="810">
        <f t="shared" si="36"/>
        <v>0</v>
      </c>
    </row>
    <row r="249" spans="1:11" ht="18" customHeight="1" thickBot="1" x14ac:dyDescent="0.25">
      <c r="A249" s="190" t="s">
        <v>411</v>
      </c>
      <c r="B249" s="1234" t="str">
        <f>IF('Phase Codes'!D19="","",'Phase Codes'!D19)</f>
        <v>FRP/ATS Duct</v>
      </c>
      <c r="C249" s="1234"/>
      <c r="D249" s="404">
        <f t="shared" si="37"/>
        <v>0</v>
      </c>
      <c r="E249" s="405">
        <f t="shared" si="38"/>
        <v>0</v>
      </c>
      <c r="F249" s="405">
        <f t="shared" si="39"/>
        <v>0</v>
      </c>
      <c r="G249" t="s">
        <v>1319</v>
      </c>
      <c r="H249" s="121">
        <f t="shared" si="35"/>
        <v>3</v>
      </c>
      <c r="K249" s="810">
        <f t="shared" si="36"/>
        <v>0</v>
      </c>
    </row>
    <row r="250" spans="1:11" ht="18" customHeight="1" thickBot="1" x14ac:dyDescent="0.25">
      <c r="A250" s="190" t="s">
        <v>412</v>
      </c>
      <c r="B250" s="1234" t="str">
        <f>IF('Phase Codes'!D20="","",'Phase Codes'!D20)</f>
        <v>Plastic Duct</v>
      </c>
      <c r="C250" s="1234"/>
      <c r="D250" s="404">
        <f t="shared" si="37"/>
        <v>0</v>
      </c>
      <c r="E250" s="405">
        <f t="shared" si="38"/>
        <v>0</v>
      </c>
      <c r="F250" s="405">
        <f t="shared" si="39"/>
        <v>0</v>
      </c>
      <c r="G250" t="s">
        <v>1319</v>
      </c>
      <c r="H250" s="121">
        <f t="shared" si="35"/>
        <v>3</v>
      </c>
      <c r="K250" s="810">
        <f t="shared" si="36"/>
        <v>0</v>
      </c>
    </row>
    <row r="251" spans="1:11" ht="18" customHeight="1" thickBot="1" x14ac:dyDescent="0.25">
      <c r="A251" s="190" t="s">
        <v>375</v>
      </c>
      <c r="B251" s="1234" t="str">
        <f>IF('Phase Codes'!D21="","",'Phase Codes'!D21)</f>
        <v>Oval Duct</v>
      </c>
      <c r="C251" s="1234"/>
      <c r="D251" s="404">
        <f t="shared" si="37"/>
        <v>0</v>
      </c>
      <c r="E251" s="405">
        <f t="shared" si="38"/>
        <v>0</v>
      </c>
      <c r="F251" s="405">
        <f t="shared" si="39"/>
        <v>0</v>
      </c>
      <c r="G251" t="s">
        <v>1319</v>
      </c>
      <c r="H251" s="121">
        <f t="shared" si="35"/>
        <v>3</v>
      </c>
      <c r="K251" s="810">
        <f t="shared" si="36"/>
        <v>0</v>
      </c>
    </row>
    <row r="252" spans="1:11" ht="18" customHeight="1" thickBot="1" x14ac:dyDescent="0.25">
      <c r="A252" s="190" t="s">
        <v>363</v>
      </c>
      <c r="B252" s="1234" t="str">
        <f>IF('Phase Codes'!D22="","",'Phase Codes'!D22)</f>
        <v>Teflon Duct Systems</v>
      </c>
      <c r="C252" s="1234"/>
      <c r="D252" s="404">
        <f t="shared" si="37"/>
        <v>0</v>
      </c>
      <c r="E252" s="405">
        <f t="shared" si="38"/>
        <v>0</v>
      </c>
      <c r="F252" s="405">
        <f t="shared" si="39"/>
        <v>0</v>
      </c>
      <c r="G252" t="s">
        <v>1319</v>
      </c>
      <c r="H252" s="121">
        <f t="shared" si="35"/>
        <v>3</v>
      </c>
      <c r="K252" s="810">
        <f t="shared" si="36"/>
        <v>0</v>
      </c>
    </row>
    <row r="253" spans="1:11" ht="18" customHeight="1" thickBot="1" x14ac:dyDescent="0.25">
      <c r="A253" s="190" t="s">
        <v>413</v>
      </c>
      <c r="B253" s="1234" t="str">
        <f>IF('Phase Codes'!D23="","",'Phase Codes'!D23)</f>
        <v>Flues and Boiler Breeching</v>
      </c>
      <c r="C253" s="1234"/>
      <c r="D253" s="404">
        <f t="shared" si="37"/>
        <v>0</v>
      </c>
      <c r="E253" s="405">
        <f t="shared" si="38"/>
        <v>0</v>
      </c>
      <c r="F253" s="405">
        <f t="shared" si="39"/>
        <v>0</v>
      </c>
      <c r="G253" t="s">
        <v>1319</v>
      </c>
      <c r="H253" s="121">
        <f t="shared" si="35"/>
        <v>3</v>
      </c>
      <c r="K253" s="810">
        <f t="shared" si="36"/>
        <v>0</v>
      </c>
    </row>
    <row r="254" spans="1:11" ht="18" customHeight="1" thickBot="1" x14ac:dyDescent="0.25">
      <c r="A254" s="190" t="s">
        <v>364</v>
      </c>
      <c r="B254" s="1234" t="str">
        <f>IF('Phase Codes'!D24="","",'Phase Codes'!D24)</f>
        <v>Fire and Smoke Dampers</v>
      </c>
      <c r="C254" s="1234"/>
      <c r="D254" s="404">
        <f t="shared" si="37"/>
        <v>0</v>
      </c>
      <c r="E254" s="405">
        <f t="shared" si="38"/>
        <v>0</v>
      </c>
      <c r="F254" s="405">
        <f t="shared" si="39"/>
        <v>0</v>
      </c>
      <c r="G254" t="s">
        <v>1319</v>
      </c>
      <c r="H254" s="121">
        <f t="shared" si="35"/>
        <v>3</v>
      </c>
      <c r="K254" s="810">
        <f t="shared" si="36"/>
        <v>0</v>
      </c>
    </row>
    <row r="255" spans="1:11" ht="18" customHeight="1" thickBot="1" x14ac:dyDescent="0.25">
      <c r="A255" s="190" t="s">
        <v>365</v>
      </c>
      <c r="B255" s="1234" t="str">
        <f>IF('Phase Codes'!D25="","",'Phase Codes'!D25)</f>
        <v>GRDs and Flex</v>
      </c>
      <c r="C255" s="1234"/>
      <c r="D255" s="404">
        <f t="shared" si="37"/>
        <v>0</v>
      </c>
      <c r="E255" s="405">
        <f t="shared" si="38"/>
        <v>0</v>
      </c>
      <c r="F255" s="405">
        <f t="shared" si="39"/>
        <v>0</v>
      </c>
      <c r="G255" t="s">
        <v>1319</v>
      </c>
      <c r="H255" s="121">
        <f t="shared" si="35"/>
        <v>3</v>
      </c>
      <c r="K255" s="810">
        <f t="shared" si="36"/>
        <v>0</v>
      </c>
    </row>
    <row r="256" spans="1:11" ht="18" customHeight="1" thickBot="1" x14ac:dyDescent="0.25">
      <c r="A256" s="190" t="s">
        <v>366</v>
      </c>
      <c r="B256" s="1234" t="str">
        <f>IF('Phase Codes'!D26="","",'Phase Codes'!D26)</f>
        <v>Louvers</v>
      </c>
      <c r="C256" s="1234"/>
      <c r="D256" s="404">
        <f t="shared" si="37"/>
        <v>0</v>
      </c>
      <c r="E256" s="405">
        <f t="shared" si="38"/>
        <v>0</v>
      </c>
      <c r="F256" s="405">
        <f t="shared" si="39"/>
        <v>0</v>
      </c>
      <c r="G256" t="s">
        <v>1319</v>
      </c>
      <c r="H256" s="121">
        <f t="shared" si="35"/>
        <v>3</v>
      </c>
      <c r="K256" s="810">
        <f t="shared" si="36"/>
        <v>0</v>
      </c>
    </row>
    <row r="257" spans="1:11" ht="18" customHeight="1" thickBot="1" x14ac:dyDescent="0.25">
      <c r="A257" s="190" t="s">
        <v>371</v>
      </c>
      <c r="B257" s="1234" t="str">
        <f>IF('Phase Codes'!D27="","",'Phase Codes'!D27)</f>
        <v>Dampers and Hardware</v>
      </c>
      <c r="C257" s="1234"/>
      <c r="D257" s="404">
        <f t="shared" si="37"/>
        <v>0</v>
      </c>
      <c r="E257" s="405">
        <f t="shared" si="38"/>
        <v>0</v>
      </c>
      <c r="F257" s="405">
        <f t="shared" si="39"/>
        <v>0</v>
      </c>
      <c r="G257" t="s">
        <v>1319</v>
      </c>
      <c r="H257" s="121">
        <f t="shared" si="35"/>
        <v>3</v>
      </c>
      <c r="K257" s="810">
        <f t="shared" si="36"/>
        <v>0</v>
      </c>
    </row>
    <row r="258" spans="1:11" ht="18" customHeight="1" thickBot="1" x14ac:dyDescent="0.25">
      <c r="A258" s="190" t="s">
        <v>414</v>
      </c>
      <c r="B258" s="1234" t="str">
        <f>IF('Phase Codes'!D28="","",'Phase Codes'!D28)</f>
        <v>Liner and Insulation</v>
      </c>
      <c r="C258" s="1234"/>
      <c r="D258" s="404">
        <f t="shared" si="37"/>
        <v>0</v>
      </c>
      <c r="E258" s="405">
        <f t="shared" si="38"/>
        <v>0</v>
      </c>
      <c r="F258" s="405">
        <f t="shared" si="39"/>
        <v>0</v>
      </c>
      <c r="G258" t="s">
        <v>1319</v>
      </c>
      <c r="H258" s="121">
        <f t="shared" si="35"/>
        <v>3</v>
      </c>
      <c r="K258" s="810">
        <f t="shared" si="36"/>
        <v>0</v>
      </c>
    </row>
    <row r="259" spans="1:11" ht="18" customHeight="1" thickBot="1" x14ac:dyDescent="0.25">
      <c r="A259" s="190" t="s">
        <v>415</v>
      </c>
      <c r="B259" s="1234" t="str">
        <f>IF('Phase Codes'!D29="","",'Phase Codes'!D29)</f>
        <v>Filter Installation</v>
      </c>
      <c r="C259" s="1234"/>
      <c r="D259" s="404">
        <f t="shared" si="37"/>
        <v>0</v>
      </c>
      <c r="E259" s="405">
        <f t="shared" si="38"/>
        <v>0</v>
      </c>
      <c r="F259" s="405">
        <f t="shared" si="39"/>
        <v>0</v>
      </c>
      <c r="G259" t="s">
        <v>1319</v>
      </c>
      <c r="H259" s="121">
        <f t="shared" si="35"/>
        <v>3</v>
      </c>
      <c r="K259" s="810">
        <f t="shared" si="36"/>
        <v>0</v>
      </c>
    </row>
    <row r="260" spans="1:11" ht="18" customHeight="1" thickBot="1" x14ac:dyDescent="0.25">
      <c r="A260" s="190" t="s">
        <v>416</v>
      </c>
      <c r="B260" s="1234" t="str">
        <f>IF('Phase Codes'!D30="","",'Phase Codes'!D30)</f>
        <v>Plenum Installation</v>
      </c>
      <c r="C260" s="1234"/>
      <c r="D260" s="404">
        <f t="shared" si="37"/>
        <v>0</v>
      </c>
      <c r="E260" s="405">
        <f t="shared" si="38"/>
        <v>0</v>
      </c>
      <c r="F260" s="405">
        <f t="shared" si="39"/>
        <v>0</v>
      </c>
      <c r="G260" t="s">
        <v>1319</v>
      </c>
      <c r="H260" s="121">
        <f t="shared" si="35"/>
        <v>3</v>
      </c>
      <c r="K260" s="810">
        <f t="shared" si="36"/>
        <v>0</v>
      </c>
    </row>
    <row r="261" spans="1:11" ht="18" customHeight="1" thickBot="1" x14ac:dyDescent="0.25">
      <c r="A261" s="190" t="s">
        <v>417</v>
      </c>
      <c r="B261" s="1234" t="str">
        <f>IF('Phase Codes'!D31="","",'Phase Codes'!D31)</f>
        <v>Labels and ID</v>
      </c>
      <c r="C261" s="1234"/>
      <c r="D261" s="404">
        <f t="shared" si="37"/>
        <v>0</v>
      </c>
      <c r="E261" s="405">
        <f t="shared" si="38"/>
        <v>0</v>
      </c>
      <c r="F261" s="405">
        <f t="shared" si="39"/>
        <v>0</v>
      </c>
      <c r="G261" t="s">
        <v>1319</v>
      </c>
      <c r="H261" s="121">
        <f t="shared" si="35"/>
        <v>3</v>
      </c>
      <c r="K261" s="810">
        <f t="shared" si="36"/>
        <v>0</v>
      </c>
    </row>
    <row r="262" spans="1:11" ht="18" customHeight="1" thickBot="1" x14ac:dyDescent="0.25">
      <c r="A262" s="190" t="s">
        <v>418</v>
      </c>
      <c r="B262" s="1234" t="str">
        <f>IF('Phase Codes'!D32="","",'Phase Codes'!D32)</f>
        <v>Access Doors</v>
      </c>
      <c r="C262" s="1234"/>
      <c r="D262" s="404">
        <f t="shared" si="37"/>
        <v>0</v>
      </c>
      <c r="E262" s="405">
        <f t="shared" si="38"/>
        <v>0</v>
      </c>
      <c r="F262" s="405">
        <f t="shared" si="39"/>
        <v>0</v>
      </c>
      <c r="G262" t="s">
        <v>1319</v>
      </c>
      <c r="H262" s="121">
        <f t="shared" si="35"/>
        <v>3</v>
      </c>
      <c r="K262" s="810">
        <f t="shared" si="36"/>
        <v>0</v>
      </c>
    </row>
    <row r="263" spans="1:11" ht="18" customHeight="1" thickBot="1" x14ac:dyDescent="0.25">
      <c r="A263" s="190" t="s">
        <v>419</v>
      </c>
      <c r="B263" s="1234" t="str">
        <f>IF('Phase Codes'!D33="","",'Phase Codes'!D33)</f>
        <v>Demolition</v>
      </c>
      <c r="C263" s="1234"/>
      <c r="D263" s="404">
        <f t="shared" si="37"/>
        <v>0</v>
      </c>
      <c r="E263" s="405">
        <f t="shared" si="38"/>
        <v>0</v>
      </c>
      <c r="F263" s="405">
        <f t="shared" si="39"/>
        <v>0</v>
      </c>
      <c r="G263" t="s">
        <v>1319</v>
      </c>
      <c r="H263" s="121">
        <f t="shared" si="35"/>
        <v>3</v>
      </c>
      <c r="K263" s="810">
        <f t="shared" si="36"/>
        <v>0</v>
      </c>
    </row>
    <row r="264" spans="1:11" ht="18" customHeight="1" thickBot="1" x14ac:dyDescent="0.25">
      <c r="A264" s="190" t="s">
        <v>376</v>
      </c>
      <c r="B264" s="1234" t="str">
        <f>IF('Phase Codes'!D34="","",'Phase Codes'!D34)</f>
        <v>Equipment Installation</v>
      </c>
      <c r="C264" s="1234"/>
      <c r="D264" s="404">
        <f t="shared" si="37"/>
        <v>0</v>
      </c>
      <c r="E264" s="405">
        <f t="shared" si="38"/>
        <v>0</v>
      </c>
      <c r="F264" s="405">
        <f t="shared" si="39"/>
        <v>0</v>
      </c>
      <c r="G264" t="s">
        <v>1319</v>
      </c>
      <c r="H264" s="121">
        <f t="shared" si="35"/>
        <v>3</v>
      </c>
      <c r="K264" s="810">
        <f t="shared" si="36"/>
        <v>0</v>
      </c>
    </row>
    <row r="265" spans="1:11" ht="18" customHeight="1" thickBot="1" x14ac:dyDescent="0.25">
      <c r="A265" s="190" t="s">
        <v>420</v>
      </c>
      <c r="B265" s="1234" t="str">
        <f>IF('Phase Codes'!D35="","",'Phase Codes'!D35)</f>
        <v>Seismic Restraints</v>
      </c>
      <c r="C265" s="1234"/>
      <c r="D265" s="404">
        <f t="shared" si="37"/>
        <v>0</v>
      </c>
      <c r="E265" s="405">
        <f t="shared" si="38"/>
        <v>0</v>
      </c>
      <c r="F265" s="405">
        <f t="shared" si="39"/>
        <v>0</v>
      </c>
      <c r="G265" t="s">
        <v>1319</v>
      </c>
      <c r="H265" s="121">
        <f t="shared" si="35"/>
        <v>3</v>
      </c>
      <c r="K265" s="810">
        <f t="shared" si="36"/>
        <v>0</v>
      </c>
    </row>
    <row r="266" spans="1:11" ht="18" customHeight="1" thickBot="1" x14ac:dyDescent="0.25">
      <c r="A266" s="190" t="s">
        <v>421</v>
      </c>
      <c r="B266" s="1234" t="str">
        <f>IF('Phase Codes'!D36="","",'Phase Codes'!D36)</f>
        <v>Sealants and Fire Caulking</v>
      </c>
      <c r="C266" s="1234"/>
      <c r="D266" s="404">
        <f t="shared" si="37"/>
        <v>0</v>
      </c>
      <c r="E266" s="405">
        <f t="shared" si="38"/>
        <v>0</v>
      </c>
      <c r="F266" s="405">
        <f t="shared" si="39"/>
        <v>0</v>
      </c>
      <c r="G266" t="s">
        <v>1319</v>
      </c>
      <c r="H266" s="121">
        <f t="shared" si="35"/>
        <v>3</v>
      </c>
      <c r="K266" s="810">
        <f t="shared" si="36"/>
        <v>0</v>
      </c>
    </row>
    <row r="267" spans="1:11" ht="18" customHeight="1" thickBot="1" x14ac:dyDescent="0.25">
      <c r="A267" s="190" t="s">
        <v>422</v>
      </c>
      <c r="B267" s="1234" t="str">
        <f>IF('Phase Codes'!D37="","",'Phase Codes'!D37)</f>
        <v>Startup and Commissioning</v>
      </c>
      <c r="C267" s="1234"/>
      <c r="D267" s="404">
        <f t="shared" si="37"/>
        <v>0</v>
      </c>
      <c r="E267" s="405">
        <f t="shared" si="38"/>
        <v>0</v>
      </c>
      <c r="F267" s="405">
        <f t="shared" si="39"/>
        <v>0</v>
      </c>
      <c r="G267" t="s">
        <v>1319</v>
      </c>
      <c r="H267" s="121">
        <f t="shared" si="35"/>
        <v>3</v>
      </c>
      <c r="K267" s="810">
        <f t="shared" si="36"/>
        <v>0</v>
      </c>
    </row>
    <row r="268" spans="1:11" ht="18" customHeight="1" thickBot="1" x14ac:dyDescent="0.25">
      <c r="A268" s="190" t="s">
        <v>423</v>
      </c>
      <c r="B268" s="1234" t="str">
        <f>IF('Phase Codes'!D38="","",'Phase Codes'!D38)</f>
        <v>Non-Chargeable</v>
      </c>
      <c r="C268" s="1234"/>
      <c r="D268" s="404">
        <f t="shared" si="37"/>
        <v>0</v>
      </c>
      <c r="E268" s="405">
        <f t="shared" si="38"/>
        <v>0</v>
      </c>
      <c r="F268" s="405">
        <f t="shared" si="39"/>
        <v>0</v>
      </c>
      <c r="G268" t="s">
        <v>1319</v>
      </c>
      <c r="H268" s="121">
        <f t="shared" si="35"/>
        <v>3</v>
      </c>
      <c r="K268" s="810">
        <f t="shared" si="36"/>
        <v>0</v>
      </c>
    </row>
    <row r="269" spans="1:11" ht="18" customHeight="1" thickBot="1" x14ac:dyDescent="0.25">
      <c r="A269" s="190" t="s">
        <v>424</v>
      </c>
      <c r="B269" s="1234" t="str">
        <f>IF('Phase Codes'!D39="","",'Phase Codes'!D39)</f>
        <v>Curbs and Flashing</v>
      </c>
      <c r="C269" s="1234"/>
      <c r="D269" s="404">
        <f t="shared" si="37"/>
        <v>0</v>
      </c>
      <c r="E269" s="405">
        <f t="shared" si="38"/>
        <v>0</v>
      </c>
      <c r="F269" s="405">
        <f t="shared" si="39"/>
        <v>0</v>
      </c>
      <c r="G269" t="s">
        <v>1319</v>
      </c>
      <c r="H269" s="121">
        <f t="shared" si="35"/>
        <v>3</v>
      </c>
      <c r="K269" s="810">
        <f t="shared" si="36"/>
        <v>0</v>
      </c>
    </row>
    <row r="270" spans="1:11" ht="18" customHeight="1" thickBot="1" x14ac:dyDescent="0.25">
      <c r="A270" s="190" t="s">
        <v>425</v>
      </c>
      <c r="B270" s="1234" t="str">
        <f>IF('Phase Codes'!D40="","",'Phase Codes'!D40)</f>
        <v>Drain Pans</v>
      </c>
      <c r="C270" s="1234"/>
      <c r="D270" s="404">
        <f t="shared" si="37"/>
        <v>0</v>
      </c>
      <c r="E270" s="405">
        <f t="shared" si="38"/>
        <v>0</v>
      </c>
      <c r="F270" s="405">
        <f t="shared" si="39"/>
        <v>0</v>
      </c>
      <c r="G270" t="s">
        <v>1319</v>
      </c>
      <c r="H270" s="121">
        <f t="shared" si="35"/>
        <v>3</v>
      </c>
      <c r="K270" s="810">
        <f t="shared" si="36"/>
        <v>0</v>
      </c>
    </row>
    <row r="271" spans="1:11" ht="18" customHeight="1" thickBot="1" x14ac:dyDescent="0.25">
      <c r="A271" s="190" t="s">
        <v>426</v>
      </c>
      <c r="B271" s="1234" t="str">
        <f>IF('Phase Codes'!D41="","",'Phase Codes'!D41)</f>
        <v>Service</v>
      </c>
      <c r="C271" s="1234"/>
      <c r="D271" s="404">
        <f t="shared" si="37"/>
        <v>0</v>
      </c>
      <c r="E271" s="405">
        <f t="shared" si="38"/>
        <v>0</v>
      </c>
      <c r="F271" s="405">
        <f t="shared" si="39"/>
        <v>0</v>
      </c>
      <c r="G271" t="s">
        <v>1319</v>
      </c>
      <c r="H271" s="121">
        <f t="shared" si="35"/>
        <v>3</v>
      </c>
      <c r="K271" s="810">
        <f t="shared" si="36"/>
        <v>0</v>
      </c>
    </row>
    <row r="272" spans="1:11" ht="18" customHeight="1" thickBot="1" x14ac:dyDescent="0.25">
      <c r="A272" s="190" t="s">
        <v>427</v>
      </c>
      <c r="B272" s="1234" t="str">
        <f>IF('Phase Codes'!D42="","",'Phase Codes'!D42)</f>
        <v/>
      </c>
      <c r="C272" s="1234"/>
      <c r="D272" s="404">
        <f t="shared" si="37"/>
        <v>0</v>
      </c>
      <c r="E272" s="405">
        <f t="shared" si="38"/>
        <v>0</v>
      </c>
      <c r="F272" s="405">
        <f t="shared" si="39"/>
        <v>0</v>
      </c>
      <c r="H272" s="121" t="str">
        <f t="shared" si="35"/>
        <v/>
      </c>
      <c r="K272" s="810">
        <f t="shared" si="36"/>
        <v>0</v>
      </c>
    </row>
    <row r="273" spans="1:11" ht="18" customHeight="1" thickBot="1" x14ac:dyDescent="0.25">
      <c r="A273" s="190" t="s">
        <v>428</v>
      </c>
      <c r="B273" s="1234" t="str">
        <f>IF('Phase Codes'!D43="","",'Phase Codes'!D43)</f>
        <v/>
      </c>
      <c r="C273" s="1234"/>
      <c r="D273" s="404">
        <f t="shared" si="37"/>
        <v>0</v>
      </c>
      <c r="E273" s="405">
        <f t="shared" si="38"/>
        <v>0</v>
      </c>
      <c r="F273" s="405">
        <f t="shared" si="39"/>
        <v>0</v>
      </c>
      <c r="H273" s="121" t="str">
        <f t="shared" si="35"/>
        <v/>
      </c>
      <c r="K273" s="810">
        <f t="shared" si="36"/>
        <v>0</v>
      </c>
    </row>
    <row r="274" spans="1:11" ht="18" customHeight="1" thickBot="1" x14ac:dyDescent="0.25">
      <c r="A274" s="190" t="s">
        <v>429</v>
      </c>
      <c r="B274" s="1234" t="str">
        <f>IF('Phase Codes'!D44="","",'Phase Codes'!D44)</f>
        <v/>
      </c>
      <c r="C274" s="1234"/>
      <c r="D274" s="404">
        <f t="shared" si="37"/>
        <v>0</v>
      </c>
      <c r="E274" s="405">
        <f t="shared" ref="E274:E305" si="40">SUMIFS(Takeoff_Total_Field_Labor_Cost,PC_SM_Field,$A274)</f>
        <v>0</v>
      </c>
      <c r="F274" s="405">
        <f t="shared" si="39"/>
        <v>0</v>
      </c>
      <c r="H274" s="121" t="str">
        <f t="shared" si="35"/>
        <v/>
      </c>
      <c r="K274" s="810">
        <f t="shared" si="36"/>
        <v>0</v>
      </c>
    </row>
    <row r="275" spans="1:11" ht="18" customHeight="1" thickBot="1" x14ac:dyDescent="0.25">
      <c r="A275" s="190" t="s">
        <v>607</v>
      </c>
      <c r="B275" s="1234" t="str">
        <f>IF('Phase Codes'!D45="","",'Phase Codes'!D45)</f>
        <v/>
      </c>
      <c r="C275" s="1234"/>
      <c r="D275" s="404">
        <f t="shared" si="37"/>
        <v>0</v>
      </c>
      <c r="E275" s="405">
        <f t="shared" si="40"/>
        <v>0</v>
      </c>
      <c r="F275" s="405">
        <f t="shared" si="39"/>
        <v>0</v>
      </c>
      <c r="H275" s="121" t="str">
        <f t="shared" si="35"/>
        <v/>
      </c>
      <c r="K275" s="810">
        <f t="shared" si="36"/>
        <v>0</v>
      </c>
    </row>
    <row r="276" spans="1:11" ht="18" customHeight="1" thickBot="1" x14ac:dyDescent="0.25">
      <c r="A276" s="190" t="s">
        <v>608</v>
      </c>
      <c r="B276" s="1234" t="str">
        <f>IF('Phase Codes'!D46="","",'Phase Codes'!D46)</f>
        <v/>
      </c>
      <c r="C276" s="1234"/>
      <c r="D276" s="404">
        <f t="shared" si="37"/>
        <v>0</v>
      </c>
      <c r="E276" s="405">
        <f t="shared" si="40"/>
        <v>0</v>
      </c>
      <c r="F276" s="405">
        <f t="shared" si="39"/>
        <v>0</v>
      </c>
      <c r="H276" s="121" t="str">
        <f t="shared" si="35"/>
        <v/>
      </c>
      <c r="K276" s="810">
        <f t="shared" si="36"/>
        <v>0</v>
      </c>
    </row>
    <row r="277" spans="1:11" ht="18" customHeight="1" thickBot="1" x14ac:dyDescent="0.25">
      <c r="A277" s="190" t="s">
        <v>609</v>
      </c>
      <c r="B277" s="1234" t="str">
        <f>IF('Phase Codes'!D47="","",'Phase Codes'!D47)</f>
        <v/>
      </c>
      <c r="C277" s="1234"/>
      <c r="D277" s="404">
        <f t="shared" ref="D277:D308" si="41">SUMIFS(SM_FieldLaborColumn,PC_SM_Field,$A277)</f>
        <v>0</v>
      </c>
      <c r="E277" s="405">
        <f t="shared" si="40"/>
        <v>0</v>
      </c>
      <c r="F277" s="405">
        <f t="shared" ref="F277:F308" si="42">SUMIFS(SM_MaterialColumn,PC_SM_Material,$A277)</f>
        <v>0</v>
      </c>
      <c r="H277" s="121" t="str">
        <f t="shared" si="35"/>
        <v/>
      </c>
      <c r="K277" s="810">
        <f t="shared" si="36"/>
        <v>0</v>
      </c>
    </row>
    <row r="278" spans="1:11" ht="18" customHeight="1" thickBot="1" x14ac:dyDescent="0.25">
      <c r="A278" s="190" t="s">
        <v>610</v>
      </c>
      <c r="B278" s="1234" t="str">
        <f>IF('Phase Codes'!D48="","",'Phase Codes'!D48)</f>
        <v/>
      </c>
      <c r="C278" s="1234"/>
      <c r="D278" s="404">
        <f t="shared" si="41"/>
        <v>0</v>
      </c>
      <c r="E278" s="405">
        <f t="shared" si="40"/>
        <v>0</v>
      </c>
      <c r="F278" s="405">
        <f t="shared" si="42"/>
        <v>0</v>
      </c>
      <c r="H278" s="121" t="str">
        <f t="shared" si="35"/>
        <v/>
      </c>
      <c r="K278" s="810">
        <f t="shared" si="36"/>
        <v>0</v>
      </c>
    </row>
    <row r="279" spans="1:11" ht="18" customHeight="1" thickBot="1" x14ac:dyDescent="0.25">
      <c r="A279" s="190" t="s">
        <v>611</v>
      </c>
      <c r="B279" s="1234" t="str">
        <f>IF('Phase Codes'!D49="","",'Phase Codes'!D49)</f>
        <v/>
      </c>
      <c r="C279" s="1234"/>
      <c r="D279" s="404">
        <f t="shared" si="41"/>
        <v>0</v>
      </c>
      <c r="E279" s="405">
        <f t="shared" si="40"/>
        <v>0</v>
      </c>
      <c r="F279" s="405">
        <f t="shared" si="42"/>
        <v>0</v>
      </c>
      <c r="H279" s="121" t="str">
        <f t="shared" si="35"/>
        <v/>
      </c>
      <c r="K279" s="810">
        <f t="shared" si="36"/>
        <v>0</v>
      </c>
    </row>
    <row r="280" spans="1:11" ht="18" customHeight="1" thickBot="1" x14ac:dyDescent="0.25">
      <c r="A280" s="190" t="s">
        <v>612</v>
      </c>
      <c r="B280" s="1234" t="str">
        <f>IF('Phase Codes'!D50="","",'Phase Codes'!D50)</f>
        <v/>
      </c>
      <c r="C280" s="1234"/>
      <c r="D280" s="404">
        <f t="shared" si="41"/>
        <v>0</v>
      </c>
      <c r="E280" s="405">
        <f t="shared" si="40"/>
        <v>0</v>
      </c>
      <c r="F280" s="405">
        <f t="shared" si="42"/>
        <v>0</v>
      </c>
      <c r="H280" s="121" t="str">
        <f t="shared" si="35"/>
        <v/>
      </c>
      <c r="K280" s="810">
        <f t="shared" si="36"/>
        <v>0</v>
      </c>
    </row>
    <row r="281" spans="1:11" ht="18" customHeight="1" thickBot="1" x14ac:dyDescent="0.25">
      <c r="A281" s="190" t="s">
        <v>613</v>
      </c>
      <c r="B281" s="1234" t="str">
        <f>IF('Phase Codes'!D51="","",'Phase Codes'!D51)</f>
        <v/>
      </c>
      <c r="C281" s="1234"/>
      <c r="D281" s="404">
        <f t="shared" si="41"/>
        <v>0</v>
      </c>
      <c r="E281" s="405">
        <f t="shared" si="40"/>
        <v>0</v>
      </c>
      <c r="F281" s="405">
        <f t="shared" si="42"/>
        <v>0</v>
      </c>
      <c r="H281" s="121" t="str">
        <f t="shared" si="35"/>
        <v/>
      </c>
      <c r="K281" s="810">
        <f t="shared" si="36"/>
        <v>0</v>
      </c>
    </row>
    <row r="282" spans="1:11" ht="18" customHeight="1" thickBot="1" x14ac:dyDescent="0.25">
      <c r="A282" s="190" t="s">
        <v>614</v>
      </c>
      <c r="B282" s="1234" t="str">
        <f>IF('Phase Codes'!D52="","",'Phase Codes'!D52)</f>
        <v/>
      </c>
      <c r="C282" s="1234"/>
      <c r="D282" s="404">
        <f t="shared" si="41"/>
        <v>0</v>
      </c>
      <c r="E282" s="405">
        <f t="shared" si="40"/>
        <v>0</v>
      </c>
      <c r="F282" s="405">
        <f t="shared" si="42"/>
        <v>0</v>
      </c>
      <c r="H282" s="121" t="str">
        <f t="shared" si="35"/>
        <v/>
      </c>
      <c r="K282" s="810">
        <f t="shared" si="36"/>
        <v>0</v>
      </c>
    </row>
    <row r="283" spans="1:11" ht="18" customHeight="1" thickBot="1" x14ac:dyDescent="0.25">
      <c r="A283" s="190" t="s">
        <v>615</v>
      </c>
      <c r="B283" s="1234" t="str">
        <f>IF('Phase Codes'!D53="","",'Phase Codes'!D53)</f>
        <v/>
      </c>
      <c r="C283" s="1234"/>
      <c r="D283" s="404">
        <f t="shared" si="41"/>
        <v>0</v>
      </c>
      <c r="E283" s="405">
        <f t="shared" si="40"/>
        <v>0</v>
      </c>
      <c r="F283" s="405">
        <f t="shared" si="42"/>
        <v>0</v>
      </c>
      <c r="H283" s="121" t="str">
        <f t="shared" si="35"/>
        <v/>
      </c>
      <c r="K283" s="810">
        <f t="shared" si="36"/>
        <v>0</v>
      </c>
    </row>
    <row r="284" spans="1:11" ht="18" customHeight="1" thickBot="1" x14ac:dyDescent="0.25">
      <c r="A284" s="190" t="s">
        <v>616</v>
      </c>
      <c r="B284" s="1234" t="str">
        <f>IF('Phase Codes'!D54="","",'Phase Codes'!D54)</f>
        <v/>
      </c>
      <c r="C284" s="1234"/>
      <c r="D284" s="404">
        <f t="shared" si="41"/>
        <v>0</v>
      </c>
      <c r="E284" s="405">
        <f t="shared" si="40"/>
        <v>0</v>
      </c>
      <c r="F284" s="405">
        <f t="shared" si="42"/>
        <v>0</v>
      </c>
      <c r="H284" s="121" t="str">
        <f t="shared" si="35"/>
        <v/>
      </c>
      <c r="K284" s="810">
        <f t="shared" si="36"/>
        <v>0</v>
      </c>
    </row>
    <row r="285" spans="1:11" ht="18" customHeight="1" thickBot="1" x14ac:dyDescent="0.25">
      <c r="A285" s="190" t="s">
        <v>617</v>
      </c>
      <c r="B285" s="1234" t="str">
        <f>IF('Phase Codes'!D55="","",'Phase Codes'!D55)</f>
        <v/>
      </c>
      <c r="C285" s="1234"/>
      <c r="D285" s="404">
        <f t="shared" si="41"/>
        <v>0</v>
      </c>
      <c r="E285" s="405">
        <f t="shared" si="40"/>
        <v>0</v>
      </c>
      <c r="F285" s="405">
        <f t="shared" si="42"/>
        <v>0</v>
      </c>
      <c r="H285" s="121" t="str">
        <f t="shared" si="35"/>
        <v/>
      </c>
      <c r="K285" s="810">
        <f t="shared" si="36"/>
        <v>0</v>
      </c>
    </row>
    <row r="286" spans="1:11" ht="18" customHeight="1" thickBot="1" x14ac:dyDescent="0.25">
      <c r="A286" s="190" t="s">
        <v>618</v>
      </c>
      <c r="B286" s="1234" t="str">
        <f>IF('Phase Codes'!D56="","",'Phase Codes'!D56)</f>
        <v/>
      </c>
      <c r="C286" s="1234"/>
      <c r="D286" s="404">
        <f t="shared" si="41"/>
        <v>0</v>
      </c>
      <c r="E286" s="405">
        <f t="shared" si="40"/>
        <v>0</v>
      </c>
      <c r="F286" s="405">
        <f t="shared" si="42"/>
        <v>0</v>
      </c>
      <c r="H286" s="121" t="str">
        <f t="shared" si="35"/>
        <v/>
      </c>
      <c r="K286" s="810">
        <f t="shared" si="36"/>
        <v>0</v>
      </c>
    </row>
    <row r="287" spans="1:11" ht="18" customHeight="1" thickBot="1" x14ac:dyDescent="0.25">
      <c r="A287" s="190" t="s">
        <v>619</v>
      </c>
      <c r="B287" s="1234" t="str">
        <f>IF('Phase Codes'!D57="","",'Phase Codes'!D57)</f>
        <v/>
      </c>
      <c r="C287" s="1234"/>
      <c r="D287" s="404">
        <f t="shared" si="41"/>
        <v>0</v>
      </c>
      <c r="E287" s="405">
        <f t="shared" si="40"/>
        <v>0</v>
      </c>
      <c r="F287" s="405">
        <f t="shared" si="42"/>
        <v>0</v>
      </c>
      <c r="H287" s="121" t="str">
        <f t="shared" si="35"/>
        <v/>
      </c>
      <c r="K287" s="810">
        <f t="shared" si="36"/>
        <v>0</v>
      </c>
    </row>
    <row r="288" spans="1:11" ht="18" customHeight="1" thickBot="1" x14ac:dyDescent="0.25">
      <c r="A288" s="190" t="s">
        <v>620</v>
      </c>
      <c r="B288" s="1234" t="str">
        <f>IF('Phase Codes'!D58="","",'Phase Codes'!D58)</f>
        <v/>
      </c>
      <c r="C288" s="1234"/>
      <c r="D288" s="404">
        <f t="shared" si="41"/>
        <v>0</v>
      </c>
      <c r="E288" s="405">
        <f t="shared" si="40"/>
        <v>0</v>
      </c>
      <c r="F288" s="405">
        <f t="shared" si="42"/>
        <v>0</v>
      </c>
      <c r="H288" s="121" t="str">
        <f t="shared" si="35"/>
        <v/>
      </c>
      <c r="K288" s="810">
        <f t="shared" si="36"/>
        <v>0</v>
      </c>
    </row>
    <row r="289" spans="1:11" ht="18" customHeight="1" thickBot="1" x14ac:dyDescent="0.25">
      <c r="A289" s="190" t="s">
        <v>621</v>
      </c>
      <c r="B289" s="1234" t="str">
        <f>IF('Phase Codes'!D59="","",'Phase Codes'!D59)</f>
        <v/>
      </c>
      <c r="C289" s="1234"/>
      <c r="D289" s="404">
        <f t="shared" si="41"/>
        <v>0</v>
      </c>
      <c r="E289" s="405">
        <f t="shared" si="40"/>
        <v>0</v>
      </c>
      <c r="F289" s="405">
        <f t="shared" si="42"/>
        <v>0</v>
      </c>
      <c r="H289" s="121" t="str">
        <f t="shared" si="35"/>
        <v/>
      </c>
      <c r="K289" s="810">
        <f t="shared" si="36"/>
        <v>0</v>
      </c>
    </row>
    <row r="290" spans="1:11" ht="18" customHeight="1" thickBot="1" x14ac:dyDescent="0.25">
      <c r="A290" s="190" t="s">
        <v>622</v>
      </c>
      <c r="B290" s="1234" t="str">
        <f>IF('Phase Codes'!D60="","",'Phase Codes'!D60)</f>
        <v/>
      </c>
      <c r="C290" s="1234"/>
      <c r="D290" s="404">
        <f t="shared" si="41"/>
        <v>0</v>
      </c>
      <c r="E290" s="405">
        <f t="shared" si="40"/>
        <v>0</v>
      </c>
      <c r="F290" s="405">
        <f t="shared" si="42"/>
        <v>0</v>
      </c>
      <c r="H290" s="121" t="str">
        <f t="shared" si="35"/>
        <v/>
      </c>
      <c r="K290" s="810">
        <f t="shared" si="36"/>
        <v>0</v>
      </c>
    </row>
    <row r="291" spans="1:11" ht="18" customHeight="1" thickBot="1" x14ac:dyDescent="0.25">
      <c r="A291" s="190" t="s">
        <v>623</v>
      </c>
      <c r="B291" s="1234" t="str">
        <f>IF('Phase Codes'!D61="","",'Phase Codes'!D61)</f>
        <v/>
      </c>
      <c r="C291" s="1234"/>
      <c r="D291" s="404">
        <f t="shared" si="41"/>
        <v>0</v>
      </c>
      <c r="E291" s="405">
        <f t="shared" si="40"/>
        <v>0</v>
      </c>
      <c r="F291" s="405">
        <f t="shared" si="42"/>
        <v>0</v>
      </c>
      <c r="H291" s="121" t="str">
        <f t="shared" si="35"/>
        <v/>
      </c>
      <c r="K291" s="810">
        <f t="shared" si="36"/>
        <v>0</v>
      </c>
    </row>
    <row r="292" spans="1:11" ht="18" customHeight="1" thickBot="1" x14ac:dyDescent="0.25">
      <c r="A292" s="190" t="s">
        <v>624</v>
      </c>
      <c r="B292" s="1234" t="str">
        <f>IF('Phase Codes'!D62="","",'Phase Codes'!D62)</f>
        <v/>
      </c>
      <c r="C292" s="1234"/>
      <c r="D292" s="404">
        <f t="shared" si="41"/>
        <v>0</v>
      </c>
      <c r="E292" s="405">
        <f t="shared" si="40"/>
        <v>0</v>
      </c>
      <c r="F292" s="405">
        <f t="shared" si="42"/>
        <v>0</v>
      </c>
      <c r="H292" s="121" t="str">
        <f t="shared" si="35"/>
        <v/>
      </c>
      <c r="K292" s="810">
        <f t="shared" si="36"/>
        <v>0</v>
      </c>
    </row>
    <row r="293" spans="1:11" ht="18" customHeight="1" thickBot="1" x14ac:dyDescent="0.25">
      <c r="A293" s="190" t="s">
        <v>625</v>
      </c>
      <c r="B293" s="1234" t="str">
        <f>IF('Phase Codes'!D63="","",'Phase Codes'!D63)</f>
        <v/>
      </c>
      <c r="C293" s="1234"/>
      <c r="D293" s="404">
        <f t="shared" si="41"/>
        <v>0</v>
      </c>
      <c r="E293" s="405">
        <f t="shared" si="40"/>
        <v>0</v>
      </c>
      <c r="F293" s="405">
        <f t="shared" si="42"/>
        <v>0</v>
      </c>
      <c r="H293" s="121" t="str">
        <f t="shared" si="35"/>
        <v/>
      </c>
      <c r="K293" s="810">
        <f t="shared" si="36"/>
        <v>0</v>
      </c>
    </row>
    <row r="294" spans="1:11" ht="18" customHeight="1" thickBot="1" x14ac:dyDescent="0.25">
      <c r="A294" s="190" t="s">
        <v>626</v>
      </c>
      <c r="B294" s="1234" t="str">
        <f>IF('Phase Codes'!D64="","",'Phase Codes'!D64)</f>
        <v/>
      </c>
      <c r="C294" s="1234"/>
      <c r="D294" s="404">
        <f t="shared" si="41"/>
        <v>0</v>
      </c>
      <c r="E294" s="405">
        <f t="shared" si="40"/>
        <v>0</v>
      </c>
      <c r="F294" s="405">
        <f t="shared" si="42"/>
        <v>0</v>
      </c>
      <c r="H294" s="121" t="str">
        <f t="shared" si="35"/>
        <v/>
      </c>
      <c r="K294" s="810">
        <f t="shared" si="36"/>
        <v>0</v>
      </c>
    </row>
    <row r="295" spans="1:11" ht="18" customHeight="1" thickBot="1" x14ac:dyDescent="0.25">
      <c r="A295" s="190" t="s">
        <v>627</v>
      </c>
      <c r="B295" s="1234" t="str">
        <f>IF('Phase Codes'!D65="","",'Phase Codes'!D65)</f>
        <v/>
      </c>
      <c r="C295" s="1234"/>
      <c r="D295" s="404">
        <f t="shared" si="41"/>
        <v>0</v>
      </c>
      <c r="E295" s="405">
        <f t="shared" si="40"/>
        <v>0</v>
      </c>
      <c r="F295" s="405">
        <f t="shared" si="42"/>
        <v>0</v>
      </c>
      <c r="H295" s="121" t="str">
        <f t="shared" si="35"/>
        <v/>
      </c>
      <c r="K295" s="810">
        <f t="shared" si="36"/>
        <v>0</v>
      </c>
    </row>
    <row r="296" spans="1:11" ht="18" customHeight="1" thickBot="1" x14ac:dyDescent="0.25">
      <c r="A296" s="190" t="s">
        <v>628</v>
      </c>
      <c r="B296" s="1234" t="str">
        <f>IF('Phase Codes'!D66="","",'Phase Codes'!D66)</f>
        <v/>
      </c>
      <c r="C296" s="1234"/>
      <c r="D296" s="404">
        <f t="shared" si="41"/>
        <v>0</v>
      </c>
      <c r="E296" s="405">
        <f t="shared" si="40"/>
        <v>0</v>
      </c>
      <c r="F296" s="405">
        <f t="shared" si="42"/>
        <v>0</v>
      </c>
      <c r="H296" s="121" t="str">
        <f t="shared" si="35"/>
        <v/>
      </c>
      <c r="K296" s="810">
        <f t="shared" si="36"/>
        <v>0</v>
      </c>
    </row>
    <row r="297" spans="1:11" ht="18" customHeight="1" thickBot="1" x14ac:dyDescent="0.25">
      <c r="A297" s="190" t="s">
        <v>629</v>
      </c>
      <c r="B297" s="1234" t="str">
        <f>IF('Phase Codes'!D67="","",'Phase Codes'!D67)</f>
        <v/>
      </c>
      <c r="C297" s="1234"/>
      <c r="D297" s="404">
        <f t="shared" si="41"/>
        <v>0</v>
      </c>
      <c r="E297" s="405">
        <f t="shared" si="40"/>
        <v>0</v>
      </c>
      <c r="F297" s="405">
        <f t="shared" si="42"/>
        <v>0</v>
      </c>
      <c r="H297" s="121" t="str">
        <f t="shared" si="35"/>
        <v/>
      </c>
      <c r="K297" s="810">
        <f t="shared" si="36"/>
        <v>0</v>
      </c>
    </row>
    <row r="298" spans="1:11" ht="18" customHeight="1" thickBot="1" x14ac:dyDescent="0.25">
      <c r="A298" s="190" t="s">
        <v>630</v>
      </c>
      <c r="B298" s="1234" t="str">
        <f>IF('Phase Codes'!D68="","",'Phase Codes'!D68)</f>
        <v/>
      </c>
      <c r="C298" s="1234"/>
      <c r="D298" s="404">
        <f t="shared" si="41"/>
        <v>0</v>
      </c>
      <c r="E298" s="405">
        <f t="shared" si="40"/>
        <v>0</v>
      </c>
      <c r="F298" s="405">
        <f t="shared" si="42"/>
        <v>0</v>
      </c>
      <c r="H298" s="121" t="str">
        <f t="shared" ref="H298:H332" si="43">IF($G298="E",6,IF($G298="M",3,IF($G298="OH","?",IF($G298="OT",7,IF($G298="S",4,"")))))</f>
        <v/>
      </c>
      <c r="K298" s="810">
        <f t="shared" si="36"/>
        <v>0</v>
      </c>
    </row>
    <row r="299" spans="1:11" ht="18" customHeight="1" thickBot="1" x14ac:dyDescent="0.25">
      <c r="A299" s="190" t="s">
        <v>631</v>
      </c>
      <c r="B299" s="1234" t="str">
        <f>IF('Phase Codes'!D69="","",'Phase Codes'!D69)</f>
        <v/>
      </c>
      <c r="C299" s="1234"/>
      <c r="D299" s="404">
        <f t="shared" si="41"/>
        <v>0</v>
      </c>
      <c r="E299" s="405">
        <f t="shared" si="40"/>
        <v>0</v>
      </c>
      <c r="F299" s="405">
        <f t="shared" si="42"/>
        <v>0</v>
      </c>
      <c r="H299" s="121" t="str">
        <f t="shared" si="43"/>
        <v/>
      </c>
      <c r="K299" s="810">
        <f t="shared" ref="K299:K333" si="44">SUM(D299:F299)</f>
        <v>0</v>
      </c>
    </row>
    <row r="300" spans="1:11" ht="18" customHeight="1" thickBot="1" x14ac:dyDescent="0.25">
      <c r="A300" s="190" t="s">
        <v>632</v>
      </c>
      <c r="B300" s="1234" t="str">
        <f>IF('Phase Codes'!D70="","",'Phase Codes'!D70)</f>
        <v/>
      </c>
      <c r="C300" s="1234"/>
      <c r="D300" s="404">
        <f t="shared" si="41"/>
        <v>0</v>
      </c>
      <c r="E300" s="405">
        <f t="shared" si="40"/>
        <v>0</v>
      </c>
      <c r="F300" s="405">
        <f t="shared" si="42"/>
        <v>0</v>
      </c>
      <c r="H300" s="121" t="str">
        <f t="shared" si="43"/>
        <v/>
      </c>
      <c r="K300" s="810">
        <f t="shared" si="44"/>
        <v>0</v>
      </c>
    </row>
    <row r="301" spans="1:11" ht="18" customHeight="1" thickBot="1" x14ac:dyDescent="0.25">
      <c r="A301" s="190" t="s">
        <v>633</v>
      </c>
      <c r="B301" s="1234" t="str">
        <f>IF('Phase Codes'!D71="","",'Phase Codes'!D71)</f>
        <v/>
      </c>
      <c r="C301" s="1234"/>
      <c r="D301" s="404">
        <f t="shared" si="41"/>
        <v>0</v>
      </c>
      <c r="E301" s="405">
        <f t="shared" si="40"/>
        <v>0</v>
      </c>
      <c r="F301" s="405">
        <f t="shared" si="42"/>
        <v>0</v>
      </c>
      <c r="H301" s="121" t="str">
        <f t="shared" si="43"/>
        <v/>
      </c>
      <c r="K301" s="810">
        <f t="shared" si="44"/>
        <v>0</v>
      </c>
    </row>
    <row r="302" spans="1:11" ht="18" customHeight="1" thickBot="1" x14ac:dyDescent="0.25">
      <c r="A302" s="190" t="s">
        <v>634</v>
      </c>
      <c r="B302" s="1234" t="str">
        <f>IF('Phase Codes'!D72="","",'Phase Codes'!D72)</f>
        <v/>
      </c>
      <c r="C302" s="1234"/>
      <c r="D302" s="404">
        <f t="shared" si="41"/>
        <v>0</v>
      </c>
      <c r="E302" s="405">
        <f t="shared" si="40"/>
        <v>0</v>
      </c>
      <c r="F302" s="405">
        <f t="shared" si="42"/>
        <v>0</v>
      </c>
      <c r="H302" s="121" t="str">
        <f t="shared" si="43"/>
        <v/>
      </c>
      <c r="K302" s="810">
        <f t="shared" si="44"/>
        <v>0</v>
      </c>
    </row>
    <row r="303" spans="1:11" ht="18" customHeight="1" thickBot="1" x14ac:dyDescent="0.25">
      <c r="A303" s="190" t="s">
        <v>635</v>
      </c>
      <c r="B303" s="1234" t="str">
        <f>IF('Phase Codes'!D73="","",'Phase Codes'!D73)</f>
        <v>BOLI Adjustments</v>
      </c>
      <c r="C303" s="1234"/>
      <c r="D303" s="404">
        <f t="shared" si="41"/>
        <v>0</v>
      </c>
      <c r="E303" s="405">
        <f t="shared" si="40"/>
        <v>0</v>
      </c>
      <c r="F303" s="405">
        <f t="shared" si="42"/>
        <v>0</v>
      </c>
      <c r="H303" s="121" t="str">
        <f t="shared" si="43"/>
        <v/>
      </c>
      <c r="K303" s="810">
        <f t="shared" si="44"/>
        <v>0</v>
      </c>
    </row>
    <row r="304" spans="1:11" ht="18" customHeight="1" thickBot="1" x14ac:dyDescent="0.25">
      <c r="A304" s="190" t="s">
        <v>636</v>
      </c>
      <c r="B304" s="1234" t="str">
        <f>IF('Phase Codes'!D74="","",'Phase Codes'!D74)</f>
        <v/>
      </c>
      <c r="C304" s="1234"/>
      <c r="D304" s="404">
        <f t="shared" si="41"/>
        <v>0</v>
      </c>
      <c r="E304" s="405">
        <f t="shared" si="40"/>
        <v>0</v>
      </c>
      <c r="F304" s="405">
        <f t="shared" si="42"/>
        <v>0</v>
      </c>
      <c r="H304" s="121" t="str">
        <f t="shared" si="43"/>
        <v/>
      </c>
      <c r="K304" s="810">
        <f t="shared" si="44"/>
        <v>0</v>
      </c>
    </row>
    <row r="305" spans="1:11" ht="18" customHeight="1" thickBot="1" x14ac:dyDescent="0.25">
      <c r="A305" s="190" t="s">
        <v>637</v>
      </c>
      <c r="B305" s="1234" t="str">
        <f>IF('Phase Codes'!D75="","",'Phase Codes'!D75)</f>
        <v/>
      </c>
      <c r="C305" s="1234"/>
      <c r="D305" s="404">
        <f t="shared" si="41"/>
        <v>0</v>
      </c>
      <c r="E305" s="405">
        <f t="shared" si="40"/>
        <v>0</v>
      </c>
      <c r="F305" s="405">
        <f t="shared" si="42"/>
        <v>0</v>
      </c>
      <c r="H305" s="121" t="str">
        <f t="shared" si="43"/>
        <v/>
      </c>
      <c r="K305" s="810">
        <f t="shared" si="44"/>
        <v>0</v>
      </c>
    </row>
    <row r="306" spans="1:11" ht="18" customHeight="1" thickBot="1" x14ac:dyDescent="0.25">
      <c r="A306" s="190" t="s">
        <v>638</v>
      </c>
      <c r="B306" s="1234" t="str">
        <f>IF('Phase Codes'!D76="","",'Phase Codes'!D76)</f>
        <v/>
      </c>
      <c r="C306" s="1234"/>
      <c r="D306" s="404">
        <f t="shared" si="41"/>
        <v>0</v>
      </c>
      <c r="E306" s="405">
        <f t="shared" ref="E306:E331" si="45">SUMIFS(Takeoff_Total_Field_Labor_Cost,PC_SM_Field,$A306)</f>
        <v>0</v>
      </c>
      <c r="F306" s="405">
        <f t="shared" si="42"/>
        <v>0</v>
      </c>
      <c r="H306" s="121" t="str">
        <f t="shared" si="43"/>
        <v/>
      </c>
      <c r="K306" s="810">
        <f t="shared" si="44"/>
        <v>0</v>
      </c>
    </row>
    <row r="307" spans="1:11" ht="18" customHeight="1" thickBot="1" x14ac:dyDescent="0.25">
      <c r="A307" s="190" t="s">
        <v>639</v>
      </c>
      <c r="B307" s="1234" t="str">
        <f>IF('Phase Codes'!D77="","",'Phase Codes'!D77)</f>
        <v/>
      </c>
      <c r="C307" s="1234"/>
      <c r="D307" s="404">
        <f t="shared" si="41"/>
        <v>0</v>
      </c>
      <c r="E307" s="405">
        <f t="shared" si="45"/>
        <v>0</v>
      </c>
      <c r="F307" s="405">
        <f t="shared" si="42"/>
        <v>0</v>
      </c>
      <c r="H307" s="121" t="str">
        <f t="shared" si="43"/>
        <v/>
      </c>
      <c r="K307" s="810">
        <f t="shared" si="44"/>
        <v>0</v>
      </c>
    </row>
    <row r="308" spans="1:11" ht="18" customHeight="1" thickBot="1" x14ac:dyDescent="0.25">
      <c r="A308" s="190" t="s">
        <v>640</v>
      </c>
      <c r="B308" s="1234" t="str">
        <f>IF('Phase Codes'!D78="","",'Phase Codes'!D78)</f>
        <v/>
      </c>
      <c r="C308" s="1234"/>
      <c r="D308" s="404">
        <f t="shared" si="41"/>
        <v>0</v>
      </c>
      <c r="E308" s="405">
        <f t="shared" si="45"/>
        <v>0</v>
      </c>
      <c r="F308" s="405">
        <f t="shared" si="42"/>
        <v>0</v>
      </c>
      <c r="H308" s="121" t="str">
        <f t="shared" si="43"/>
        <v/>
      </c>
      <c r="K308" s="810">
        <f t="shared" si="44"/>
        <v>0</v>
      </c>
    </row>
    <row r="309" spans="1:11" ht="18" customHeight="1" thickBot="1" x14ac:dyDescent="0.25">
      <c r="A309" s="190" t="s">
        <v>641</v>
      </c>
      <c r="B309" s="1234" t="str">
        <f>IF('Phase Codes'!D79="","",'Phase Codes'!D79)</f>
        <v/>
      </c>
      <c r="C309" s="1234"/>
      <c r="D309" s="404">
        <f t="shared" ref="D309:D332" si="46">SUMIFS(SM_FieldLaborColumn,PC_SM_Field,$A309)</f>
        <v>0</v>
      </c>
      <c r="E309" s="405">
        <f t="shared" si="45"/>
        <v>0</v>
      </c>
      <c r="F309" s="405">
        <f t="shared" ref="F309:F332" si="47">SUMIFS(SM_MaterialColumn,PC_SM_Material,$A309)</f>
        <v>0</v>
      </c>
      <c r="H309" s="121" t="str">
        <f t="shared" si="43"/>
        <v/>
      </c>
      <c r="K309" s="810">
        <f t="shared" si="44"/>
        <v>0</v>
      </c>
    </row>
    <row r="310" spans="1:11" ht="18" customHeight="1" thickBot="1" x14ac:dyDescent="0.25">
      <c r="A310" s="190" t="s">
        <v>642</v>
      </c>
      <c r="B310" s="1234" t="str">
        <f>IF('Phase Codes'!D80="","",'Phase Codes'!D80)</f>
        <v/>
      </c>
      <c r="C310" s="1234"/>
      <c r="D310" s="404">
        <f t="shared" si="46"/>
        <v>0</v>
      </c>
      <c r="E310" s="405">
        <f t="shared" si="45"/>
        <v>0</v>
      </c>
      <c r="F310" s="405">
        <f t="shared" si="47"/>
        <v>0</v>
      </c>
      <c r="H310" s="121" t="str">
        <f t="shared" si="43"/>
        <v/>
      </c>
      <c r="K310" s="810">
        <f t="shared" si="44"/>
        <v>0</v>
      </c>
    </row>
    <row r="311" spans="1:11" ht="18" customHeight="1" thickBot="1" x14ac:dyDescent="0.25">
      <c r="A311" s="190" t="s">
        <v>643</v>
      </c>
      <c r="B311" s="1234" t="str">
        <f>IF('Phase Codes'!D81="","",'Phase Codes'!D81)</f>
        <v/>
      </c>
      <c r="C311" s="1234"/>
      <c r="D311" s="404">
        <f t="shared" si="46"/>
        <v>0</v>
      </c>
      <c r="E311" s="405">
        <f t="shared" si="45"/>
        <v>0</v>
      </c>
      <c r="F311" s="405">
        <f t="shared" si="47"/>
        <v>0</v>
      </c>
      <c r="H311" s="121" t="str">
        <f t="shared" si="43"/>
        <v/>
      </c>
      <c r="K311" s="810">
        <f t="shared" si="44"/>
        <v>0</v>
      </c>
    </row>
    <row r="312" spans="1:11" ht="18" customHeight="1" thickBot="1" x14ac:dyDescent="0.25">
      <c r="A312" s="190" t="s">
        <v>644</v>
      </c>
      <c r="B312" s="1234" t="str">
        <f>IF('Phase Codes'!D82="","",'Phase Codes'!D82)</f>
        <v/>
      </c>
      <c r="C312" s="1234"/>
      <c r="D312" s="404">
        <f t="shared" si="46"/>
        <v>0</v>
      </c>
      <c r="E312" s="405">
        <f t="shared" si="45"/>
        <v>0</v>
      </c>
      <c r="F312" s="405">
        <f t="shared" si="47"/>
        <v>0</v>
      </c>
      <c r="H312" s="121" t="str">
        <f t="shared" si="43"/>
        <v/>
      </c>
      <c r="K312" s="810">
        <f t="shared" si="44"/>
        <v>0</v>
      </c>
    </row>
    <row r="313" spans="1:11" ht="18" customHeight="1" thickBot="1" x14ac:dyDescent="0.25">
      <c r="A313" s="190" t="s">
        <v>645</v>
      </c>
      <c r="B313" s="1234" t="str">
        <f>IF('Phase Codes'!D83="","",'Phase Codes'!D83)</f>
        <v/>
      </c>
      <c r="C313" s="1234"/>
      <c r="D313" s="404">
        <f t="shared" si="46"/>
        <v>0</v>
      </c>
      <c r="E313" s="405">
        <f t="shared" si="45"/>
        <v>0</v>
      </c>
      <c r="F313" s="405">
        <f t="shared" si="47"/>
        <v>0</v>
      </c>
      <c r="H313" s="121" t="str">
        <f t="shared" si="43"/>
        <v/>
      </c>
      <c r="K313" s="810">
        <f t="shared" si="44"/>
        <v>0</v>
      </c>
    </row>
    <row r="314" spans="1:11" ht="18" customHeight="1" thickBot="1" x14ac:dyDescent="0.25">
      <c r="A314" s="190" t="s">
        <v>646</v>
      </c>
      <c r="B314" s="1234" t="str">
        <f>IF('Phase Codes'!D84="","",'Phase Codes'!D84)</f>
        <v/>
      </c>
      <c r="C314" s="1234"/>
      <c r="D314" s="404">
        <f t="shared" si="46"/>
        <v>0</v>
      </c>
      <c r="E314" s="405">
        <f t="shared" si="45"/>
        <v>0</v>
      </c>
      <c r="F314" s="405">
        <f t="shared" si="47"/>
        <v>0</v>
      </c>
      <c r="H314" s="121" t="str">
        <f t="shared" si="43"/>
        <v/>
      </c>
      <c r="K314" s="810">
        <f t="shared" si="44"/>
        <v>0</v>
      </c>
    </row>
    <row r="315" spans="1:11" ht="18" customHeight="1" thickBot="1" x14ac:dyDescent="0.25">
      <c r="A315" s="190" t="s">
        <v>647</v>
      </c>
      <c r="B315" s="1234" t="str">
        <f>IF('Phase Codes'!D85="","",'Phase Codes'!D85)</f>
        <v/>
      </c>
      <c r="C315" s="1234"/>
      <c r="D315" s="404">
        <f t="shared" si="46"/>
        <v>0</v>
      </c>
      <c r="E315" s="405">
        <f t="shared" si="45"/>
        <v>0</v>
      </c>
      <c r="F315" s="405">
        <f t="shared" si="47"/>
        <v>0</v>
      </c>
      <c r="H315" s="121" t="str">
        <f t="shared" si="43"/>
        <v/>
      </c>
      <c r="K315" s="810">
        <f t="shared" si="44"/>
        <v>0</v>
      </c>
    </row>
    <row r="316" spans="1:11" ht="18" customHeight="1" thickBot="1" x14ac:dyDescent="0.25">
      <c r="A316" s="190" t="s">
        <v>648</v>
      </c>
      <c r="B316" s="1234" t="str">
        <f>IF('Phase Codes'!D86="","",'Phase Codes'!D86)</f>
        <v/>
      </c>
      <c r="C316" s="1234"/>
      <c r="D316" s="404">
        <f t="shared" si="46"/>
        <v>0</v>
      </c>
      <c r="E316" s="405">
        <f t="shared" si="45"/>
        <v>0</v>
      </c>
      <c r="F316" s="405">
        <f t="shared" si="47"/>
        <v>0</v>
      </c>
      <c r="H316" s="121" t="str">
        <f t="shared" si="43"/>
        <v/>
      </c>
      <c r="K316" s="810">
        <f t="shared" si="44"/>
        <v>0</v>
      </c>
    </row>
    <row r="317" spans="1:11" ht="18" customHeight="1" thickBot="1" x14ac:dyDescent="0.25">
      <c r="A317" s="190" t="s">
        <v>649</v>
      </c>
      <c r="B317" s="1234" t="str">
        <f>IF('Phase Codes'!D87="","",'Phase Codes'!D87)</f>
        <v/>
      </c>
      <c r="C317" s="1234"/>
      <c r="D317" s="404">
        <f t="shared" si="46"/>
        <v>0</v>
      </c>
      <c r="E317" s="405">
        <f t="shared" si="45"/>
        <v>0</v>
      </c>
      <c r="F317" s="405">
        <f t="shared" si="47"/>
        <v>0</v>
      </c>
      <c r="H317" s="121" t="str">
        <f t="shared" si="43"/>
        <v/>
      </c>
      <c r="K317" s="810">
        <f t="shared" si="44"/>
        <v>0</v>
      </c>
    </row>
    <row r="318" spans="1:11" ht="18" customHeight="1" thickBot="1" x14ac:dyDescent="0.25">
      <c r="A318" s="190" t="s">
        <v>650</v>
      </c>
      <c r="B318" s="1234" t="str">
        <f>IF('Phase Codes'!D88="","",'Phase Codes'!D88)</f>
        <v/>
      </c>
      <c r="C318" s="1234"/>
      <c r="D318" s="404">
        <f t="shared" si="46"/>
        <v>0</v>
      </c>
      <c r="E318" s="405">
        <f t="shared" si="45"/>
        <v>0</v>
      </c>
      <c r="F318" s="405">
        <f t="shared" si="47"/>
        <v>0</v>
      </c>
      <c r="H318" s="121" t="str">
        <f t="shared" si="43"/>
        <v/>
      </c>
      <c r="K318" s="810">
        <f t="shared" si="44"/>
        <v>0</v>
      </c>
    </row>
    <row r="319" spans="1:11" ht="18" customHeight="1" thickBot="1" x14ac:dyDescent="0.25">
      <c r="A319" s="190" t="s">
        <v>651</v>
      </c>
      <c r="B319" s="1234" t="str">
        <f>IF('Phase Codes'!D89="","",'Phase Codes'!D89)</f>
        <v/>
      </c>
      <c r="C319" s="1234"/>
      <c r="D319" s="404">
        <f t="shared" si="46"/>
        <v>0</v>
      </c>
      <c r="E319" s="405">
        <f t="shared" si="45"/>
        <v>0</v>
      </c>
      <c r="F319" s="405">
        <f t="shared" si="47"/>
        <v>0</v>
      </c>
      <c r="H319" s="121" t="str">
        <f t="shared" si="43"/>
        <v/>
      </c>
      <c r="K319" s="810">
        <f t="shared" si="44"/>
        <v>0</v>
      </c>
    </row>
    <row r="320" spans="1:11" ht="18" customHeight="1" thickBot="1" x14ac:dyDescent="0.25">
      <c r="A320" s="190" t="s">
        <v>652</v>
      </c>
      <c r="B320" s="1234" t="str">
        <f>IF('Phase Codes'!D90="","",'Phase Codes'!D90)</f>
        <v/>
      </c>
      <c r="C320" s="1234"/>
      <c r="D320" s="404">
        <f t="shared" si="46"/>
        <v>0</v>
      </c>
      <c r="E320" s="405">
        <f t="shared" si="45"/>
        <v>0</v>
      </c>
      <c r="F320" s="405">
        <f t="shared" si="47"/>
        <v>0</v>
      </c>
      <c r="H320" s="121" t="str">
        <f t="shared" si="43"/>
        <v/>
      </c>
      <c r="K320" s="810">
        <f t="shared" si="44"/>
        <v>0</v>
      </c>
    </row>
    <row r="321" spans="1:11" ht="18" customHeight="1" thickBot="1" x14ac:dyDescent="0.25">
      <c r="A321" s="190" t="s">
        <v>653</v>
      </c>
      <c r="B321" s="1234" t="str">
        <f>IF('Phase Codes'!D91="","",'Phase Codes'!D91)</f>
        <v/>
      </c>
      <c r="C321" s="1234"/>
      <c r="D321" s="404">
        <f t="shared" si="46"/>
        <v>0</v>
      </c>
      <c r="E321" s="405">
        <f t="shared" si="45"/>
        <v>0</v>
      </c>
      <c r="F321" s="405">
        <f t="shared" si="47"/>
        <v>0</v>
      </c>
      <c r="H321" s="121" t="str">
        <f t="shared" si="43"/>
        <v/>
      </c>
      <c r="K321" s="810">
        <f t="shared" si="44"/>
        <v>0</v>
      </c>
    </row>
    <row r="322" spans="1:11" ht="18" customHeight="1" thickBot="1" x14ac:dyDescent="0.25">
      <c r="A322" s="190" t="s">
        <v>654</v>
      </c>
      <c r="B322" s="1234" t="str">
        <f>IF('Phase Codes'!D92="","",'Phase Codes'!D92)</f>
        <v>Safety Director - Onsite</v>
      </c>
      <c r="C322" s="1234"/>
      <c r="D322" s="404">
        <f t="shared" si="46"/>
        <v>0</v>
      </c>
      <c r="E322" s="405">
        <f t="shared" si="45"/>
        <v>0</v>
      </c>
      <c r="F322" s="405">
        <f t="shared" si="47"/>
        <v>0</v>
      </c>
      <c r="H322" s="121" t="str">
        <f t="shared" si="43"/>
        <v/>
      </c>
      <c r="K322" s="810">
        <f t="shared" si="44"/>
        <v>0</v>
      </c>
    </row>
    <row r="323" spans="1:11" ht="18" customHeight="1" thickBot="1" x14ac:dyDescent="0.25">
      <c r="A323" s="190" t="s">
        <v>655</v>
      </c>
      <c r="B323" s="1234" t="str">
        <f>IF('Phase Codes'!D93="","",'Phase Codes'!D93)</f>
        <v/>
      </c>
      <c r="C323" s="1234"/>
      <c r="D323" s="404">
        <f t="shared" si="46"/>
        <v>0</v>
      </c>
      <c r="E323" s="405">
        <f t="shared" si="45"/>
        <v>0</v>
      </c>
      <c r="F323" s="405">
        <f t="shared" si="47"/>
        <v>0</v>
      </c>
      <c r="H323" s="121" t="str">
        <f t="shared" si="43"/>
        <v/>
      </c>
      <c r="K323" s="810">
        <f t="shared" si="44"/>
        <v>0</v>
      </c>
    </row>
    <row r="324" spans="1:11" ht="18" customHeight="1" thickBot="1" x14ac:dyDescent="0.25">
      <c r="A324" s="190" t="s">
        <v>656</v>
      </c>
      <c r="B324" s="1234" t="str">
        <f>IF('Phase Codes'!D94="","",'Phase Codes'!D94)</f>
        <v/>
      </c>
      <c r="C324" s="1234"/>
      <c r="D324" s="404">
        <f t="shared" si="46"/>
        <v>0</v>
      </c>
      <c r="E324" s="405">
        <f t="shared" si="45"/>
        <v>0</v>
      </c>
      <c r="F324" s="405">
        <f t="shared" si="47"/>
        <v>0</v>
      </c>
      <c r="H324" s="121" t="str">
        <f t="shared" si="43"/>
        <v/>
      </c>
      <c r="K324" s="810">
        <f t="shared" si="44"/>
        <v>0</v>
      </c>
    </row>
    <row r="325" spans="1:11" ht="18" customHeight="1" thickBot="1" x14ac:dyDescent="0.25">
      <c r="A325" s="190" t="s">
        <v>657</v>
      </c>
      <c r="B325" s="1234" t="str">
        <f>IF('Phase Codes'!D95="","",'Phase Codes'!D95)</f>
        <v/>
      </c>
      <c r="C325" s="1234"/>
      <c r="D325" s="404">
        <f t="shared" si="46"/>
        <v>0</v>
      </c>
      <c r="E325" s="405">
        <f t="shared" si="45"/>
        <v>0</v>
      </c>
      <c r="F325" s="405">
        <f t="shared" si="47"/>
        <v>0</v>
      </c>
      <c r="H325" s="121" t="str">
        <f t="shared" si="43"/>
        <v/>
      </c>
      <c r="K325" s="810">
        <f t="shared" si="44"/>
        <v>0</v>
      </c>
    </row>
    <row r="326" spans="1:11" ht="18" customHeight="1" thickBot="1" x14ac:dyDescent="0.25">
      <c r="A326" s="190" t="s">
        <v>658</v>
      </c>
      <c r="B326" s="1234" t="str">
        <f>IF('Phase Codes'!D96="","",'Phase Codes'!D96)</f>
        <v/>
      </c>
      <c r="C326" s="1234"/>
      <c r="D326" s="404">
        <f t="shared" si="46"/>
        <v>0</v>
      </c>
      <c r="E326" s="405">
        <f t="shared" si="45"/>
        <v>0</v>
      </c>
      <c r="F326" s="405">
        <f t="shared" si="47"/>
        <v>0</v>
      </c>
      <c r="H326" s="121" t="str">
        <f t="shared" si="43"/>
        <v/>
      </c>
      <c r="K326" s="810">
        <f t="shared" si="44"/>
        <v>0</v>
      </c>
    </row>
    <row r="327" spans="1:11" ht="18" customHeight="1" thickBot="1" x14ac:dyDescent="0.25">
      <c r="A327" s="190" t="s">
        <v>659</v>
      </c>
      <c r="B327" s="1234" t="str">
        <f>IF('Phase Codes'!D97="","",'Phase Codes'!D97)</f>
        <v/>
      </c>
      <c r="C327" s="1234"/>
      <c r="D327" s="404">
        <f t="shared" si="46"/>
        <v>0</v>
      </c>
      <c r="E327" s="405">
        <f t="shared" si="45"/>
        <v>0</v>
      </c>
      <c r="F327" s="405">
        <f t="shared" si="47"/>
        <v>0</v>
      </c>
      <c r="H327" s="121" t="str">
        <f t="shared" si="43"/>
        <v/>
      </c>
      <c r="K327" s="810">
        <f t="shared" si="44"/>
        <v>0</v>
      </c>
    </row>
    <row r="328" spans="1:11" ht="18" customHeight="1" thickBot="1" x14ac:dyDescent="0.25">
      <c r="A328" s="190" t="s">
        <v>660</v>
      </c>
      <c r="B328" s="1234" t="str">
        <f>IF('Phase Codes'!D98="","",'Phase Codes'!D98)</f>
        <v/>
      </c>
      <c r="C328" s="1234"/>
      <c r="D328" s="404">
        <f t="shared" si="46"/>
        <v>0</v>
      </c>
      <c r="E328" s="405">
        <f t="shared" si="45"/>
        <v>0</v>
      </c>
      <c r="F328" s="405">
        <f t="shared" si="47"/>
        <v>0</v>
      </c>
      <c r="H328" s="121" t="str">
        <f t="shared" si="43"/>
        <v/>
      </c>
      <c r="K328" s="810">
        <f t="shared" si="44"/>
        <v>0</v>
      </c>
    </row>
    <row r="329" spans="1:11" ht="18" customHeight="1" thickBot="1" x14ac:dyDescent="0.25">
      <c r="A329" s="190" t="s">
        <v>661</v>
      </c>
      <c r="B329" s="1234" t="str">
        <f>IF('Phase Codes'!D99="","",'Phase Codes'!D99)</f>
        <v/>
      </c>
      <c r="C329" s="1234"/>
      <c r="D329" s="404">
        <f t="shared" si="46"/>
        <v>0</v>
      </c>
      <c r="E329" s="405">
        <f t="shared" si="45"/>
        <v>0</v>
      </c>
      <c r="F329" s="405">
        <f t="shared" si="47"/>
        <v>0</v>
      </c>
      <c r="H329" s="121" t="str">
        <f t="shared" si="43"/>
        <v/>
      </c>
      <c r="K329" s="810">
        <f t="shared" si="44"/>
        <v>0</v>
      </c>
    </row>
    <row r="330" spans="1:11" ht="18" customHeight="1" thickBot="1" x14ac:dyDescent="0.25">
      <c r="A330" s="190" t="s">
        <v>662</v>
      </c>
      <c r="B330" s="1234" t="str">
        <f>IF('Phase Codes'!D100="","",'Phase Codes'!D100)</f>
        <v/>
      </c>
      <c r="C330" s="1234"/>
      <c r="D330" s="404">
        <f t="shared" si="46"/>
        <v>0</v>
      </c>
      <c r="E330" s="405">
        <f t="shared" si="45"/>
        <v>0</v>
      </c>
      <c r="F330" s="405">
        <f t="shared" si="47"/>
        <v>0</v>
      </c>
      <c r="H330" s="121" t="str">
        <f t="shared" si="43"/>
        <v/>
      </c>
      <c r="K330" s="810">
        <f t="shared" si="44"/>
        <v>0</v>
      </c>
    </row>
    <row r="331" spans="1:11" ht="18" customHeight="1" thickBot="1" x14ac:dyDescent="0.25">
      <c r="A331" s="190" t="s">
        <v>663</v>
      </c>
      <c r="B331" s="1234" t="str">
        <f>IF('Phase Codes'!D101="","",'Phase Codes'!D101)</f>
        <v/>
      </c>
      <c r="C331" s="1234"/>
      <c r="D331" s="404">
        <f t="shared" si="46"/>
        <v>0</v>
      </c>
      <c r="E331" s="405">
        <f t="shared" si="45"/>
        <v>0</v>
      </c>
      <c r="F331" s="405">
        <f t="shared" si="47"/>
        <v>0</v>
      </c>
      <c r="H331" s="121" t="str">
        <f t="shared" si="43"/>
        <v/>
      </c>
      <c r="K331" s="810">
        <f t="shared" si="44"/>
        <v>0</v>
      </c>
    </row>
    <row r="332" spans="1:11" ht="18" customHeight="1" thickBot="1" x14ac:dyDescent="0.25">
      <c r="A332" s="190" t="s">
        <v>430</v>
      </c>
      <c r="B332" s="1234" t="str">
        <f>IF('Phase Codes'!D102="","",'Phase Codes'!D102)</f>
        <v>OCIP Deduct</v>
      </c>
      <c r="C332" s="1234"/>
      <c r="D332" s="404">
        <f t="shared" si="46"/>
        <v>0</v>
      </c>
      <c r="E332" s="405">
        <f>SUMIFS(Takeoff_Total_Field_Labor_Cost,PC_SM_Field,$A332)+'MCAA RECAP'!C27</f>
        <v>0</v>
      </c>
      <c r="F332" s="405">
        <f t="shared" si="47"/>
        <v>0</v>
      </c>
      <c r="H332" s="121" t="str">
        <f t="shared" si="43"/>
        <v/>
      </c>
      <c r="K332" s="810">
        <f t="shared" si="44"/>
        <v>0</v>
      </c>
    </row>
    <row r="333" spans="1:11" ht="18" customHeight="1" thickBot="1" x14ac:dyDescent="0.25">
      <c r="A333" s="165" t="s">
        <v>8</v>
      </c>
      <c r="B333" s="1235" t="s">
        <v>334</v>
      </c>
      <c r="C333" s="1236"/>
      <c r="D333" s="210">
        <f t="shared" ref="D333:F333" si="48">SUM(D234:D332)</f>
        <v>1222.6699999999998</v>
      </c>
      <c r="E333" s="191">
        <f t="shared" si="48"/>
        <v>127736.9512</v>
      </c>
      <c r="F333" s="191">
        <f t="shared" si="48"/>
        <v>0</v>
      </c>
      <c r="H333" s="121"/>
      <c r="K333" s="810">
        <f t="shared" si="44"/>
        <v>128959.62119999999</v>
      </c>
    </row>
    <row r="334" spans="1:11" ht="15" customHeight="1" x14ac:dyDescent="0.2">
      <c r="H334" s="121"/>
      <c r="K334" s="810">
        <f>K333</f>
        <v>128959.62119999999</v>
      </c>
    </row>
    <row r="335" spans="1:11" ht="15" customHeight="1" x14ac:dyDescent="0.2">
      <c r="C335" s="250" t="s">
        <v>1398</v>
      </c>
      <c r="D335" s="549">
        <f>D229+D333</f>
        <v>2367.91</v>
      </c>
      <c r="E335" s="550">
        <f>E229+E333</f>
        <v>247407.62160000001</v>
      </c>
      <c r="F335" s="550">
        <f>F229+F333</f>
        <v>15926.76</v>
      </c>
      <c r="H335" s="121"/>
      <c r="K335" s="810">
        <f>K333</f>
        <v>128959.62119999999</v>
      </c>
    </row>
    <row r="336" spans="1:11" ht="15" customHeight="1" thickBot="1" x14ac:dyDescent="0.3">
      <c r="A336" s="160"/>
      <c r="B336" s="160"/>
      <c r="C336" s="160"/>
      <c r="E336" s="158"/>
      <c r="F336" s="158"/>
      <c r="H336" s="121"/>
      <c r="K336" s="810">
        <f>K439</f>
        <v>0</v>
      </c>
    </row>
    <row r="337" spans="1:11" ht="16.5" thickBot="1" x14ac:dyDescent="0.3">
      <c r="A337" s="83"/>
      <c r="B337" s="1237" t="s">
        <v>324</v>
      </c>
      <c r="C337" s="1238"/>
      <c r="H337" s="121"/>
      <c r="K337" s="810">
        <f>K439</f>
        <v>0</v>
      </c>
    </row>
    <row r="338" spans="1:11" ht="26.25" thickBot="1" x14ac:dyDescent="0.25">
      <c r="A338" s="162" t="s">
        <v>325</v>
      </c>
      <c r="B338" s="1239" t="s">
        <v>0</v>
      </c>
      <c r="C338" s="1240"/>
      <c r="D338" s="163" t="s">
        <v>326</v>
      </c>
      <c r="E338" s="163" t="s">
        <v>327</v>
      </c>
      <c r="F338" s="163" t="s">
        <v>328</v>
      </c>
      <c r="G338" s="163" t="s">
        <v>1323</v>
      </c>
      <c r="H338" s="163" t="s">
        <v>1317</v>
      </c>
      <c r="K338" s="810">
        <f>K439</f>
        <v>0</v>
      </c>
    </row>
    <row r="339" spans="1:11" ht="17.100000000000001" customHeight="1" thickBot="1" x14ac:dyDescent="0.3">
      <c r="A339" s="164" t="s">
        <v>1779</v>
      </c>
      <c r="B339" s="164"/>
      <c r="H339" s="121"/>
      <c r="K339" s="810">
        <f>K439</f>
        <v>0</v>
      </c>
    </row>
    <row r="340" spans="1:11" ht="18" customHeight="1" thickBot="1" x14ac:dyDescent="0.25">
      <c r="A340" s="190" t="s">
        <v>664</v>
      </c>
      <c r="B340" s="1234" t="str">
        <f>IF('Phase Codes'!E4="","",'Phase Codes'!E4)</f>
        <v>Supervision</v>
      </c>
      <c r="C340" s="1234"/>
      <c r="D340" s="404">
        <f t="shared" ref="D340:D352" si="49">SUMIFS(SM_FieldLaborColumn,PC_SM_Field,$A340)</f>
        <v>0</v>
      </c>
      <c r="E340" s="405">
        <f t="shared" ref="E340:E352" si="50">SUMIFS(Takeoff_Total_Field_Labor_Cost,PC_SM_Field,$A340)</f>
        <v>0</v>
      </c>
      <c r="F340" s="405">
        <f t="shared" ref="F340:F352" si="51">SUMIFS(SM_MaterialColumn,PC_SM_Material,$A340)</f>
        <v>0</v>
      </c>
      <c r="G340" t="s">
        <v>1319</v>
      </c>
      <c r="H340" s="121">
        <f t="shared" ref="H340:H403" si="52">IF($G340="E",6,IF($G340="M",3,IF($G340="OH","?",IF($G340="OT",7,IF($G340="S",4,"")))))</f>
        <v>3</v>
      </c>
      <c r="K340" s="810">
        <f>SUM(D340:F340)</f>
        <v>0</v>
      </c>
    </row>
    <row r="341" spans="1:11" ht="18" customHeight="1" thickBot="1" x14ac:dyDescent="0.25">
      <c r="A341" s="190" t="s">
        <v>665</v>
      </c>
      <c r="B341" s="1234" t="str">
        <f>IF('Phase Codes'!E5="","",'Phase Codes'!E5)</f>
        <v>Hangers</v>
      </c>
      <c r="C341" s="1234"/>
      <c r="D341" s="404">
        <f t="shared" si="49"/>
        <v>0</v>
      </c>
      <c r="E341" s="405">
        <f t="shared" si="50"/>
        <v>0</v>
      </c>
      <c r="F341" s="405">
        <f t="shared" si="51"/>
        <v>0</v>
      </c>
      <c r="G341" t="s">
        <v>1319</v>
      </c>
      <c r="H341" s="121">
        <f t="shared" si="52"/>
        <v>3</v>
      </c>
      <c r="K341" s="810">
        <f t="shared" ref="K341:K404" si="53">SUM(D341:F341)</f>
        <v>0</v>
      </c>
    </row>
    <row r="342" spans="1:11" ht="18" customHeight="1" thickBot="1" x14ac:dyDescent="0.25">
      <c r="A342" s="190" t="s">
        <v>666</v>
      </c>
      <c r="B342" s="1234" t="str">
        <f>IF('Phase Codes'!E6="","",'Phase Codes'!E6)</f>
        <v>Floor Supports</v>
      </c>
      <c r="C342" s="1234"/>
      <c r="D342" s="404">
        <f t="shared" si="49"/>
        <v>0</v>
      </c>
      <c r="E342" s="405">
        <f t="shared" si="50"/>
        <v>0</v>
      </c>
      <c r="F342" s="405">
        <f t="shared" si="51"/>
        <v>0</v>
      </c>
      <c r="G342" t="s">
        <v>1319</v>
      </c>
      <c r="H342" s="121">
        <f t="shared" si="52"/>
        <v>3</v>
      </c>
      <c r="K342" s="810">
        <f t="shared" si="53"/>
        <v>0</v>
      </c>
    </row>
    <row r="343" spans="1:11" ht="18" customHeight="1" thickBot="1" x14ac:dyDescent="0.25">
      <c r="A343" s="190" t="s">
        <v>667</v>
      </c>
      <c r="B343" s="1234" t="str">
        <f>IF('Phase Codes'!E7="","",'Phase Codes'!E7)</f>
        <v>QA/QC</v>
      </c>
      <c r="C343" s="1234"/>
      <c r="D343" s="404">
        <f t="shared" si="49"/>
        <v>0</v>
      </c>
      <c r="E343" s="405">
        <f t="shared" si="50"/>
        <v>0</v>
      </c>
      <c r="F343" s="405">
        <f t="shared" si="51"/>
        <v>0</v>
      </c>
      <c r="G343" t="s">
        <v>1319</v>
      </c>
      <c r="H343" s="121">
        <f t="shared" si="52"/>
        <v>3</v>
      </c>
      <c r="K343" s="810">
        <f t="shared" si="53"/>
        <v>0</v>
      </c>
    </row>
    <row r="344" spans="1:11" ht="18" customHeight="1" thickBot="1" x14ac:dyDescent="0.25">
      <c r="A344" s="190" t="s">
        <v>668</v>
      </c>
      <c r="B344" s="1234" t="str">
        <f>IF('Phase Codes'!E8="","",'Phase Codes'!E8)</f>
        <v>Detailing</v>
      </c>
      <c r="C344" s="1234"/>
      <c r="D344" s="404">
        <f t="shared" si="49"/>
        <v>0</v>
      </c>
      <c r="E344" s="405">
        <f t="shared" si="50"/>
        <v>0</v>
      </c>
      <c r="F344" s="405">
        <f t="shared" si="51"/>
        <v>0</v>
      </c>
      <c r="G344" t="s">
        <v>1319</v>
      </c>
      <c r="H344" s="121">
        <f t="shared" si="52"/>
        <v>3</v>
      </c>
      <c r="K344" s="810">
        <f t="shared" si="53"/>
        <v>0</v>
      </c>
    </row>
    <row r="345" spans="1:11" ht="18" customHeight="1" thickBot="1" x14ac:dyDescent="0.25">
      <c r="A345" s="190" t="s">
        <v>669</v>
      </c>
      <c r="B345" s="1234" t="str">
        <f>IF('Phase Codes'!E9="","",'Phase Codes'!E9)</f>
        <v>Material Handling</v>
      </c>
      <c r="C345" s="1234"/>
      <c r="D345" s="404">
        <f t="shared" si="49"/>
        <v>0</v>
      </c>
      <c r="E345" s="405">
        <f t="shared" si="50"/>
        <v>0</v>
      </c>
      <c r="F345" s="405">
        <f t="shared" si="51"/>
        <v>0</v>
      </c>
      <c r="G345" t="s">
        <v>1319</v>
      </c>
      <c r="H345" s="121">
        <f t="shared" si="52"/>
        <v>3</v>
      </c>
      <c r="K345" s="810">
        <f t="shared" si="53"/>
        <v>0</v>
      </c>
    </row>
    <row r="346" spans="1:11" ht="18" customHeight="1" thickBot="1" x14ac:dyDescent="0.25">
      <c r="A346" s="190" t="s">
        <v>670</v>
      </c>
      <c r="B346" s="1234" t="str">
        <f>IF('Phase Codes'!E10="","",'Phase Codes'!E10)</f>
        <v>Miscellaneous</v>
      </c>
      <c r="C346" s="1234"/>
      <c r="D346" s="404">
        <f t="shared" si="49"/>
        <v>0</v>
      </c>
      <c r="E346" s="405">
        <f t="shared" si="50"/>
        <v>0</v>
      </c>
      <c r="F346" s="405">
        <f t="shared" si="51"/>
        <v>0</v>
      </c>
      <c r="G346" t="s">
        <v>1319</v>
      </c>
      <c r="H346" s="121">
        <f t="shared" si="52"/>
        <v>3</v>
      </c>
      <c r="K346" s="810">
        <f t="shared" si="53"/>
        <v>0</v>
      </c>
    </row>
    <row r="347" spans="1:11" ht="18" customHeight="1" thickBot="1" x14ac:dyDescent="0.25">
      <c r="A347" s="190" t="s">
        <v>671</v>
      </c>
      <c r="B347" s="1234" t="str">
        <f>IF('Phase Codes'!E11="","",'Phase Codes'!E11)</f>
        <v>Ind Advancement Program - Loc290</v>
      </c>
      <c r="C347" s="1234"/>
      <c r="D347" s="404">
        <f t="shared" si="49"/>
        <v>0</v>
      </c>
      <c r="E347" s="405">
        <f t="shared" si="50"/>
        <v>0</v>
      </c>
      <c r="F347" s="405">
        <f t="shared" si="51"/>
        <v>0</v>
      </c>
      <c r="G347" t="s">
        <v>1322</v>
      </c>
      <c r="H347" s="121" t="s">
        <v>1828</v>
      </c>
      <c r="K347" s="810">
        <f t="shared" si="53"/>
        <v>0</v>
      </c>
    </row>
    <row r="348" spans="1:11" ht="18" customHeight="1" thickBot="1" x14ac:dyDescent="0.25">
      <c r="A348" s="190" t="s">
        <v>672</v>
      </c>
      <c r="B348" s="1234" t="str">
        <f>IF('Phase Codes'!E12="","",'Phase Codes'!E12)</f>
        <v>Safety Time</v>
      </c>
      <c r="C348" s="1234"/>
      <c r="D348" s="404">
        <f t="shared" si="49"/>
        <v>0</v>
      </c>
      <c r="E348" s="405">
        <f t="shared" si="50"/>
        <v>0</v>
      </c>
      <c r="F348" s="405">
        <f t="shared" si="51"/>
        <v>0</v>
      </c>
      <c r="G348" t="s">
        <v>1319</v>
      </c>
      <c r="H348" s="121">
        <f t="shared" si="52"/>
        <v>3</v>
      </c>
      <c r="K348" s="810">
        <f t="shared" si="53"/>
        <v>0</v>
      </c>
    </row>
    <row r="349" spans="1:11" ht="18" customHeight="1" thickBot="1" x14ac:dyDescent="0.25">
      <c r="A349" s="190" t="s">
        <v>673</v>
      </c>
      <c r="B349" s="1234" t="str">
        <f>IF('Phase Codes'!E13="","",'Phase Codes'!E13)</f>
        <v>Testing</v>
      </c>
      <c r="C349" s="1234"/>
      <c r="D349" s="404">
        <f t="shared" si="49"/>
        <v>0</v>
      </c>
      <c r="E349" s="405">
        <f t="shared" si="50"/>
        <v>0</v>
      </c>
      <c r="F349" s="405">
        <f t="shared" si="51"/>
        <v>0</v>
      </c>
      <c r="G349" t="s">
        <v>1319</v>
      </c>
      <c r="H349" s="121">
        <f t="shared" si="52"/>
        <v>3</v>
      </c>
      <c r="K349" s="810">
        <f t="shared" si="53"/>
        <v>0</v>
      </c>
    </row>
    <row r="350" spans="1:11" ht="18" customHeight="1" thickBot="1" x14ac:dyDescent="0.25">
      <c r="A350" s="190" t="s">
        <v>674</v>
      </c>
      <c r="B350" s="1234" t="str">
        <f>IF('Phase Codes'!E14="","",'Phase Codes'!E14)</f>
        <v>Training and Orientation</v>
      </c>
      <c r="C350" s="1234"/>
      <c r="D350" s="404">
        <f t="shared" si="49"/>
        <v>0</v>
      </c>
      <c r="E350" s="405">
        <f t="shared" si="50"/>
        <v>0</v>
      </c>
      <c r="F350" s="405">
        <f t="shared" si="51"/>
        <v>0</v>
      </c>
      <c r="G350" t="s">
        <v>1319</v>
      </c>
      <c r="H350" s="121">
        <f t="shared" si="52"/>
        <v>3</v>
      </c>
      <c r="K350" s="810">
        <f t="shared" si="53"/>
        <v>0</v>
      </c>
    </row>
    <row r="351" spans="1:11" ht="18" customHeight="1" thickBot="1" x14ac:dyDescent="0.25">
      <c r="A351" s="190" t="s">
        <v>675</v>
      </c>
      <c r="B351" s="1234" t="str">
        <f>IF('Phase Codes'!E15="","",'Phase Codes'!E15)</f>
        <v>Welded Ferrous Steel Systems</v>
      </c>
      <c r="C351" s="1234"/>
      <c r="D351" s="404">
        <f t="shared" si="49"/>
        <v>0</v>
      </c>
      <c r="E351" s="405">
        <f t="shared" si="50"/>
        <v>0</v>
      </c>
      <c r="F351" s="405">
        <f t="shared" si="51"/>
        <v>0</v>
      </c>
      <c r="G351" t="s">
        <v>1319</v>
      </c>
      <c r="H351" s="121">
        <f t="shared" si="52"/>
        <v>3</v>
      </c>
      <c r="K351" s="810">
        <f t="shared" si="53"/>
        <v>0</v>
      </c>
    </row>
    <row r="352" spans="1:11" ht="18" customHeight="1" thickBot="1" x14ac:dyDescent="0.25">
      <c r="A352" s="190" t="s">
        <v>676</v>
      </c>
      <c r="B352" s="1234" t="str">
        <f>IF('Phase Codes'!E16="","",'Phase Codes'!E16)</f>
        <v>Welded Alloy Systems</v>
      </c>
      <c r="C352" s="1234"/>
      <c r="D352" s="404">
        <f t="shared" si="49"/>
        <v>0</v>
      </c>
      <c r="E352" s="405">
        <f t="shared" si="50"/>
        <v>0</v>
      </c>
      <c r="F352" s="405">
        <f t="shared" si="51"/>
        <v>0</v>
      </c>
      <c r="G352" t="s">
        <v>1319</v>
      </c>
      <c r="H352" s="121">
        <f t="shared" si="52"/>
        <v>3</v>
      </c>
      <c r="K352" s="810">
        <f t="shared" si="53"/>
        <v>0</v>
      </c>
    </row>
    <row r="353" spans="1:11" ht="18" customHeight="1" thickBot="1" x14ac:dyDescent="0.25">
      <c r="A353" s="190" t="s">
        <v>677</v>
      </c>
      <c r="B353" s="1234" t="str">
        <f>IF('Phase Codes'!E17="","",'Phase Codes'!E17)</f>
        <v>Threaded and Coupled Systems</v>
      </c>
      <c r="C353" s="1234"/>
      <c r="D353" s="404">
        <f t="shared" ref="D353:D381" si="54">SUMIFS(SM_FieldLaborColumn,PC_SM_Field,$A353)</f>
        <v>0</v>
      </c>
      <c r="E353" s="405">
        <f t="shared" ref="E353:E384" si="55">SUMIFS(Takeoff_Total_Field_Labor_Cost,PC_SM_Field,$A353)</f>
        <v>0</v>
      </c>
      <c r="F353" s="405">
        <f t="shared" ref="F353:F416" si="56">SUMIFS(SM_MaterialColumn,PC_SM_Material,$A353)</f>
        <v>0</v>
      </c>
      <c r="H353" s="121" t="str">
        <f t="shared" si="52"/>
        <v/>
      </c>
      <c r="K353" s="810">
        <f t="shared" si="53"/>
        <v>0</v>
      </c>
    </row>
    <row r="354" spans="1:11" ht="18" customHeight="1" thickBot="1" x14ac:dyDescent="0.25">
      <c r="A354" s="190" t="s">
        <v>678</v>
      </c>
      <c r="B354" s="1234" t="str">
        <f>IF('Phase Codes'!E18="","",'Phase Codes'!E18)</f>
        <v>Grooved Systems</v>
      </c>
      <c r="C354" s="1234"/>
      <c r="D354" s="404">
        <f t="shared" si="54"/>
        <v>0</v>
      </c>
      <c r="E354" s="405">
        <f t="shared" si="55"/>
        <v>0</v>
      </c>
      <c r="F354" s="405">
        <f t="shared" si="56"/>
        <v>0</v>
      </c>
      <c r="H354" s="121" t="str">
        <f t="shared" si="52"/>
        <v/>
      </c>
      <c r="K354" s="810">
        <f t="shared" si="53"/>
        <v>0</v>
      </c>
    </row>
    <row r="355" spans="1:11" ht="18" customHeight="1" thickBot="1" x14ac:dyDescent="0.25">
      <c r="A355" s="190" t="s">
        <v>679</v>
      </c>
      <c r="B355" s="1234" t="str">
        <f>IF('Phase Codes'!E19="","",'Phase Codes'!E19)</f>
        <v>Copper Systems</v>
      </c>
      <c r="C355" s="1234"/>
      <c r="D355" s="404">
        <f t="shared" si="54"/>
        <v>0</v>
      </c>
      <c r="E355" s="405">
        <f t="shared" si="55"/>
        <v>0</v>
      </c>
      <c r="F355" s="405">
        <f t="shared" si="56"/>
        <v>0</v>
      </c>
      <c r="H355" s="121" t="str">
        <f t="shared" si="52"/>
        <v/>
      </c>
      <c r="K355" s="810">
        <f t="shared" si="53"/>
        <v>0</v>
      </c>
    </row>
    <row r="356" spans="1:11" ht="18" customHeight="1" thickBot="1" x14ac:dyDescent="0.25">
      <c r="A356" s="190" t="s">
        <v>680</v>
      </c>
      <c r="B356" s="1234" t="str">
        <f>IF('Phase Codes'!E20="","",'Phase Codes'!E20)</f>
        <v>High Purity/Med Systems</v>
      </c>
      <c r="C356" s="1234"/>
      <c r="D356" s="404">
        <f t="shared" si="54"/>
        <v>0</v>
      </c>
      <c r="E356" s="405">
        <f t="shared" si="55"/>
        <v>0</v>
      </c>
      <c r="F356" s="405">
        <f t="shared" si="56"/>
        <v>0</v>
      </c>
      <c r="H356" s="121" t="str">
        <f t="shared" si="52"/>
        <v/>
      </c>
      <c r="K356" s="810">
        <f t="shared" si="53"/>
        <v>0</v>
      </c>
    </row>
    <row r="357" spans="1:11" ht="18" customHeight="1" thickBot="1" x14ac:dyDescent="0.25">
      <c r="A357" s="190" t="s">
        <v>681</v>
      </c>
      <c r="B357" s="1234" t="str">
        <f>IF('Phase Codes'!E21="","",'Phase Codes'!E21)</f>
        <v>Cemented Plastic Systems</v>
      </c>
      <c r="C357" s="1234"/>
      <c r="D357" s="404">
        <f t="shared" si="54"/>
        <v>0</v>
      </c>
      <c r="E357" s="405">
        <f t="shared" si="55"/>
        <v>0</v>
      </c>
      <c r="F357" s="405">
        <f t="shared" si="56"/>
        <v>0</v>
      </c>
      <c r="H357" s="121" t="str">
        <f t="shared" si="52"/>
        <v/>
      </c>
      <c r="K357" s="810">
        <f t="shared" si="53"/>
        <v>0</v>
      </c>
    </row>
    <row r="358" spans="1:11" ht="18" customHeight="1" thickBot="1" x14ac:dyDescent="0.25">
      <c r="A358" s="190" t="s">
        <v>682</v>
      </c>
      <c r="B358" s="1234" t="str">
        <f>IF('Phase Codes'!E22="","",'Phase Codes'!E22)</f>
        <v>Thermoplastic Systems</v>
      </c>
      <c r="C358" s="1234"/>
      <c r="D358" s="404">
        <f t="shared" si="54"/>
        <v>0</v>
      </c>
      <c r="E358" s="405">
        <f t="shared" si="55"/>
        <v>0</v>
      </c>
      <c r="F358" s="405">
        <f t="shared" si="56"/>
        <v>0</v>
      </c>
      <c r="H358" s="121" t="str">
        <f t="shared" si="52"/>
        <v/>
      </c>
      <c r="K358" s="810">
        <f t="shared" si="53"/>
        <v>0</v>
      </c>
    </row>
    <row r="359" spans="1:11" ht="18" customHeight="1" thickBot="1" x14ac:dyDescent="0.25">
      <c r="A359" s="190" t="s">
        <v>683</v>
      </c>
      <c r="B359" s="1234" t="str">
        <f>IF('Phase Codes'!E23="","",'Phase Codes'!E23)</f>
        <v>Assemblies and Batteries</v>
      </c>
      <c r="C359" s="1234"/>
      <c r="D359" s="404">
        <f t="shared" si="54"/>
        <v>0</v>
      </c>
      <c r="E359" s="405">
        <f t="shared" si="55"/>
        <v>0</v>
      </c>
      <c r="F359" s="405">
        <f t="shared" si="56"/>
        <v>0</v>
      </c>
      <c r="H359" s="121" t="str">
        <f t="shared" si="52"/>
        <v/>
      </c>
      <c r="K359" s="810">
        <f t="shared" si="53"/>
        <v>0</v>
      </c>
    </row>
    <row r="360" spans="1:11" ht="18" customHeight="1" thickBot="1" x14ac:dyDescent="0.25">
      <c r="A360" s="190" t="s">
        <v>684</v>
      </c>
      <c r="B360" s="1234" t="str">
        <f>IF('Phase Codes'!E24="","",'Phase Codes'!E24)</f>
        <v>Waste and Vent Systems AG</v>
      </c>
      <c r="C360" s="1234"/>
      <c r="D360" s="404">
        <f t="shared" si="54"/>
        <v>0</v>
      </c>
      <c r="E360" s="405">
        <f t="shared" si="55"/>
        <v>0</v>
      </c>
      <c r="F360" s="405">
        <f t="shared" si="56"/>
        <v>0</v>
      </c>
      <c r="H360" s="121" t="str">
        <f t="shared" si="52"/>
        <v/>
      </c>
      <c r="K360" s="810">
        <f t="shared" si="53"/>
        <v>0</v>
      </c>
    </row>
    <row r="361" spans="1:11" ht="18" customHeight="1" thickBot="1" x14ac:dyDescent="0.25">
      <c r="A361" s="190" t="s">
        <v>685</v>
      </c>
      <c r="B361" s="1234" t="str">
        <f>IF('Phase Codes'!E25="","",'Phase Codes'!E25)</f>
        <v>Waste and Vent Systems BG</v>
      </c>
      <c r="C361" s="1234"/>
      <c r="D361" s="404">
        <f t="shared" si="54"/>
        <v>0</v>
      </c>
      <c r="E361" s="405">
        <f t="shared" si="55"/>
        <v>0</v>
      </c>
      <c r="F361" s="405">
        <f t="shared" si="56"/>
        <v>0</v>
      </c>
      <c r="H361" s="121" t="str">
        <f t="shared" si="52"/>
        <v/>
      </c>
      <c r="K361" s="810">
        <f t="shared" si="53"/>
        <v>0</v>
      </c>
    </row>
    <row r="362" spans="1:11" ht="18" customHeight="1" thickBot="1" x14ac:dyDescent="0.25">
      <c r="A362" s="190" t="s">
        <v>686</v>
      </c>
      <c r="B362" s="1234" t="str">
        <f>IF('Phase Codes'!E26="","",'Phase Codes'!E26)</f>
        <v>Tubing Systems</v>
      </c>
      <c r="C362" s="1234"/>
      <c r="D362" s="404">
        <f t="shared" si="54"/>
        <v>0</v>
      </c>
      <c r="E362" s="405">
        <f t="shared" si="55"/>
        <v>0</v>
      </c>
      <c r="F362" s="405">
        <f t="shared" si="56"/>
        <v>0</v>
      </c>
      <c r="H362" s="121" t="str">
        <f t="shared" si="52"/>
        <v/>
      </c>
      <c r="K362" s="810">
        <f t="shared" si="53"/>
        <v>0</v>
      </c>
    </row>
    <row r="363" spans="1:11" ht="18" customHeight="1" thickBot="1" x14ac:dyDescent="0.25">
      <c r="A363" s="190" t="s">
        <v>687</v>
      </c>
      <c r="B363" s="1234" t="str">
        <f>IF('Phase Codes'!E27="","",'Phase Codes'!E27)</f>
        <v>Double Contained Piping</v>
      </c>
      <c r="C363" s="1234"/>
      <c r="D363" s="404">
        <f t="shared" si="54"/>
        <v>0</v>
      </c>
      <c r="E363" s="405">
        <f t="shared" si="55"/>
        <v>0</v>
      </c>
      <c r="F363" s="405">
        <f t="shared" si="56"/>
        <v>0</v>
      </c>
      <c r="H363" s="121" t="str">
        <f t="shared" si="52"/>
        <v/>
      </c>
      <c r="K363" s="810">
        <f t="shared" si="53"/>
        <v>0</v>
      </c>
    </row>
    <row r="364" spans="1:11" ht="18" customHeight="1" thickBot="1" x14ac:dyDescent="0.25">
      <c r="A364" s="190" t="s">
        <v>688</v>
      </c>
      <c r="B364" s="1234" t="str">
        <f>IF('Phase Codes'!E28="","",'Phase Codes'!E28)</f>
        <v>Excavation and Backfill</v>
      </c>
      <c r="C364" s="1234"/>
      <c r="D364" s="404">
        <f t="shared" si="54"/>
        <v>0</v>
      </c>
      <c r="E364" s="405">
        <f t="shared" si="55"/>
        <v>0</v>
      </c>
      <c r="F364" s="405">
        <f t="shared" si="56"/>
        <v>0</v>
      </c>
      <c r="H364" s="121" t="str">
        <f t="shared" si="52"/>
        <v/>
      </c>
      <c r="K364" s="810">
        <f t="shared" si="53"/>
        <v>0</v>
      </c>
    </row>
    <row r="365" spans="1:11" ht="18" customHeight="1" thickBot="1" x14ac:dyDescent="0.25">
      <c r="A365" s="190" t="s">
        <v>689</v>
      </c>
      <c r="B365" s="1234" t="str">
        <f>IF('Phase Codes'!E29="","",'Phase Codes'!E29)</f>
        <v>Medical Equipment Installation</v>
      </c>
      <c r="C365" s="1234"/>
      <c r="D365" s="404">
        <f t="shared" si="54"/>
        <v>0</v>
      </c>
      <c r="E365" s="405">
        <f t="shared" si="55"/>
        <v>0</v>
      </c>
      <c r="F365" s="405">
        <f t="shared" si="56"/>
        <v>0</v>
      </c>
      <c r="H365" s="121" t="str">
        <f t="shared" si="52"/>
        <v/>
      </c>
      <c r="K365" s="810">
        <f t="shared" si="53"/>
        <v>0</v>
      </c>
    </row>
    <row r="366" spans="1:11" ht="18" customHeight="1" thickBot="1" x14ac:dyDescent="0.25">
      <c r="A366" s="190" t="s">
        <v>690</v>
      </c>
      <c r="B366" s="1234" t="str">
        <f>IF('Phase Codes'!E30="","",'Phase Codes'!E30)</f>
        <v>Fixtures and Carriers</v>
      </c>
      <c r="C366" s="1234"/>
      <c r="D366" s="404">
        <f t="shared" si="54"/>
        <v>0</v>
      </c>
      <c r="E366" s="405">
        <f t="shared" si="55"/>
        <v>0</v>
      </c>
      <c r="F366" s="405">
        <f t="shared" si="56"/>
        <v>0</v>
      </c>
      <c r="H366" s="121" t="str">
        <f t="shared" si="52"/>
        <v/>
      </c>
      <c r="K366" s="810">
        <f t="shared" si="53"/>
        <v>0</v>
      </c>
    </row>
    <row r="367" spans="1:11" ht="18" customHeight="1" thickBot="1" x14ac:dyDescent="0.25">
      <c r="A367" s="190" t="s">
        <v>691</v>
      </c>
      <c r="B367" s="1234" t="str">
        <f>IF('Phase Codes'!E31="","",'Phase Codes'!E31)</f>
        <v>Labels and ID</v>
      </c>
      <c r="C367" s="1234"/>
      <c r="D367" s="404">
        <f t="shared" si="54"/>
        <v>0</v>
      </c>
      <c r="E367" s="405">
        <f t="shared" si="55"/>
        <v>0</v>
      </c>
      <c r="F367" s="405">
        <f t="shared" si="56"/>
        <v>0</v>
      </c>
      <c r="H367" s="121" t="str">
        <f t="shared" si="52"/>
        <v/>
      </c>
      <c r="K367" s="810">
        <f t="shared" si="53"/>
        <v>0</v>
      </c>
    </row>
    <row r="368" spans="1:11" ht="18" customHeight="1" thickBot="1" x14ac:dyDescent="0.25">
      <c r="A368" s="190" t="s">
        <v>692</v>
      </c>
      <c r="B368" s="1234" t="str">
        <f>IF('Phase Codes'!E32="","",'Phase Codes'!E32)</f>
        <v>Access Doors</v>
      </c>
      <c r="C368" s="1234"/>
      <c r="D368" s="404">
        <f t="shared" si="54"/>
        <v>0</v>
      </c>
      <c r="E368" s="405">
        <f t="shared" si="55"/>
        <v>0</v>
      </c>
      <c r="F368" s="405">
        <f t="shared" si="56"/>
        <v>0</v>
      </c>
      <c r="H368" s="121" t="str">
        <f t="shared" si="52"/>
        <v/>
      </c>
      <c r="K368" s="810">
        <f t="shared" si="53"/>
        <v>0</v>
      </c>
    </row>
    <row r="369" spans="1:11" ht="18" customHeight="1" thickBot="1" x14ac:dyDescent="0.25">
      <c r="A369" s="190" t="s">
        <v>693</v>
      </c>
      <c r="B369" s="1234" t="str">
        <f>IF('Phase Codes'!E33="","",'Phase Codes'!E33)</f>
        <v>Demolition</v>
      </c>
      <c r="C369" s="1234"/>
      <c r="D369" s="404">
        <f t="shared" si="54"/>
        <v>0</v>
      </c>
      <c r="E369" s="405">
        <f t="shared" si="55"/>
        <v>0</v>
      </c>
      <c r="F369" s="405">
        <f t="shared" si="56"/>
        <v>0</v>
      </c>
      <c r="H369" s="121" t="str">
        <f t="shared" si="52"/>
        <v/>
      </c>
      <c r="K369" s="810">
        <f t="shared" si="53"/>
        <v>0</v>
      </c>
    </row>
    <row r="370" spans="1:11" ht="18" customHeight="1" thickBot="1" x14ac:dyDescent="0.25">
      <c r="A370" s="190" t="s">
        <v>694</v>
      </c>
      <c r="B370" s="1234" t="str">
        <f>IF('Phase Codes'!E34="","",'Phase Codes'!E34)</f>
        <v>Equipment Installation</v>
      </c>
      <c r="C370" s="1234"/>
      <c r="D370" s="404">
        <f t="shared" si="54"/>
        <v>0</v>
      </c>
      <c r="E370" s="405">
        <f t="shared" si="55"/>
        <v>0</v>
      </c>
      <c r="F370" s="405">
        <f t="shared" si="56"/>
        <v>0</v>
      </c>
      <c r="H370" s="121" t="str">
        <f t="shared" si="52"/>
        <v/>
      </c>
      <c r="K370" s="810">
        <f t="shared" si="53"/>
        <v>0</v>
      </c>
    </row>
    <row r="371" spans="1:11" ht="18" customHeight="1" thickBot="1" x14ac:dyDescent="0.25">
      <c r="A371" s="190" t="s">
        <v>695</v>
      </c>
      <c r="B371" s="1234" t="str">
        <f>IF('Phase Codes'!E35="","",'Phase Codes'!E35)</f>
        <v>Seismic Restraints</v>
      </c>
      <c r="C371" s="1234"/>
      <c r="D371" s="404">
        <f t="shared" si="54"/>
        <v>0</v>
      </c>
      <c r="E371" s="405">
        <f t="shared" si="55"/>
        <v>0</v>
      </c>
      <c r="F371" s="405">
        <f t="shared" si="56"/>
        <v>0</v>
      </c>
      <c r="H371" s="121" t="str">
        <f t="shared" si="52"/>
        <v/>
      </c>
      <c r="K371" s="810">
        <f t="shared" si="53"/>
        <v>0</v>
      </c>
    </row>
    <row r="372" spans="1:11" ht="18" customHeight="1" thickBot="1" x14ac:dyDescent="0.25">
      <c r="A372" s="190" t="s">
        <v>696</v>
      </c>
      <c r="B372" s="1234" t="str">
        <f>IF('Phase Codes'!E36="","",'Phase Codes'!E36)</f>
        <v>Sealants and Fire Caulking</v>
      </c>
      <c r="C372" s="1234"/>
      <c r="D372" s="404">
        <f t="shared" si="54"/>
        <v>0</v>
      </c>
      <c r="E372" s="405">
        <f t="shared" si="55"/>
        <v>0</v>
      </c>
      <c r="F372" s="405">
        <f t="shared" si="56"/>
        <v>0</v>
      </c>
      <c r="H372" s="121" t="str">
        <f t="shared" si="52"/>
        <v/>
      </c>
      <c r="K372" s="810">
        <f t="shared" si="53"/>
        <v>0</v>
      </c>
    </row>
    <row r="373" spans="1:11" ht="18" customHeight="1" thickBot="1" x14ac:dyDescent="0.25">
      <c r="A373" s="190" t="s">
        <v>697</v>
      </c>
      <c r="B373" s="1234" t="str">
        <f>IF('Phase Codes'!E37="","",'Phase Codes'!E37)</f>
        <v>Startup and Commissioning</v>
      </c>
      <c r="C373" s="1234"/>
      <c r="D373" s="404">
        <f t="shared" si="54"/>
        <v>0</v>
      </c>
      <c r="E373" s="405">
        <f t="shared" si="55"/>
        <v>0</v>
      </c>
      <c r="F373" s="405">
        <f t="shared" si="56"/>
        <v>0</v>
      </c>
      <c r="H373" s="121" t="str">
        <f t="shared" si="52"/>
        <v/>
      </c>
      <c r="K373" s="810">
        <f t="shared" si="53"/>
        <v>0</v>
      </c>
    </row>
    <row r="374" spans="1:11" ht="18" customHeight="1" thickBot="1" x14ac:dyDescent="0.25">
      <c r="A374" s="190" t="s">
        <v>698</v>
      </c>
      <c r="B374" s="1234" t="str">
        <f>IF('Phase Codes'!E38="","",'Phase Codes'!E38)</f>
        <v>Non-Chargeable</v>
      </c>
      <c r="C374" s="1234"/>
      <c r="D374" s="404">
        <f t="shared" si="54"/>
        <v>0</v>
      </c>
      <c r="E374" s="405">
        <f t="shared" si="55"/>
        <v>0</v>
      </c>
      <c r="F374" s="405">
        <f t="shared" si="56"/>
        <v>0</v>
      </c>
      <c r="H374" s="121" t="str">
        <f t="shared" si="52"/>
        <v/>
      </c>
      <c r="K374" s="810">
        <f t="shared" si="53"/>
        <v>0</v>
      </c>
    </row>
    <row r="375" spans="1:11" ht="18" customHeight="1" thickBot="1" x14ac:dyDescent="0.25">
      <c r="A375" s="190" t="s">
        <v>699</v>
      </c>
      <c r="B375" s="1234" t="str">
        <f>IF('Phase Codes'!E39="","",'Phase Codes'!E39)</f>
        <v/>
      </c>
      <c r="C375" s="1234"/>
      <c r="D375" s="404">
        <f t="shared" si="54"/>
        <v>0</v>
      </c>
      <c r="E375" s="405">
        <f t="shared" si="55"/>
        <v>0</v>
      </c>
      <c r="F375" s="405">
        <f t="shared" si="56"/>
        <v>0</v>
      </c>
      <c r="H375" s="121" t="str">
        <f t="shared" si="52"/>
        <v/>
      </c>
      <c r="K375" s="810">
        <f t="shared" si="53"/>
        <v>0</v>
      </c>
    </row>
    <row r="376" spans="1:11" ht="18" customHeight="1" thickBot="1" x14ac:dyDescent="0.25">
      <c r="A376" s="190" t="s">
        <v>700</v>
      </c>
      <c r="B376" s="1234" t="str">
        <f>IF('Phase Codes'!E40="","",'Phase Codes'!E40)</f>
        <v/>
      </c>
      <c r="C376" s="1234"/>
      <c r="D376" s="404">
        <f t="shared" si="54"/>
        <v>0</v>
      </c>
      <c r="E376" s="405">
        <f t="shared" si="55"/>
        <v>0</v>
      </c>
      <c r="F376" s="405">
        <f t="shared" si="56"/>
        <v>0</v>
      </c>
      <c r="H376" s="121" t="str">
        <f t="shared" si="52"/>
        <v/>
      </c>
      <c r="K376" s="810">
        <f t="shared" si="53"/>
        <v>0</v>
      </c>
    </row>
    <row r="377" spans="1:11" ht="18" customHeight="1" thickBot="1" x14ac:dyDescent="0.25">
      <c r="A377" s="190" t="s">
        <v>701</v>
      </c>
      <c r="B377" s="1234" t="str">
        <f>IF('Phase Codes'!E41="","",'Phase Codes'!E41)</f>
        <v>Service</v>
      </c>
      <c r="C377" s="1234"/>
      <c r="D377" s="404">
        <f t="shared" si="54"/>
        <v>0</v>
      </c>
      <c r="E377" s="405">
        <f t="shared" si="55"/>
        <v>0</v>
      </c>
      <c r="F377" s="405">
        <f t="shared" si="56"/>
        <v>0</v>
      </c>
      <c r="H377" s="121" t="str">
        <f t="shared" si="52"/>
        <v/>
      </c>
      <c r="K377" s="810">
        <f t="shared" si="53"/>
        <v>0</v>
      </c>
    </row>
    <row r="378" spans="1:11" ht="18" customHeight="1" thickBot="1" x14ac:dyDescent="0.25">
      <c r="A378" s="190" t="s">
        <v>702</v>
      </c>
      <c r="B378" s="1234" t="str">
        <f>IF('Phase Codes'!E42="","",'Phase Codes'!E42)</f>
        <v/>
      </c>
      <c r="C378" s="1234"/>
      <c r="D378" s="404">
        <f t="shared" si="54"/>
        <v>0</v>
      </c>
      <c r="E378" s="405">
        <f t="shared" si="55"/>
        <v>0</v>
      </c>
      <c r="F378" s="405">
        <f t="shared" si="56"/>
        <v>0</v>
      </c>
      <c r="H378" s="121" t="str">
        <f t="shared" si="52"/>
        <v/>
      </c>
      <c r="K378" s="810">
        <f t="shared" si="53"/>
        <v>0</v>
      </c>
    </row>
    <row r="379" spans="1:11" ht="18" customHeight="1" thickBot="1" x14ac:dyDescent="0.25">
      <c r="A379" s="190" t="s">
        <v>703</v>
      </c>
      <c r="B379" s="1234" t="str">
        <f>IF('Phase Codes'!E43="","",'Phase Codes'!E43)</f>
        <v/>
      </c>
      <c r="C379" s="1234"/>
      <c r="D379" s="404">
        <f t="shared" si="54"/>
        <v>0</v>
      </c>
      <c r="E379" s="405">
        <f t="shared" si="55"/>
        <v>0</v>
      </c>
      <c r="F379" s="405">
        <f t="shared" si="56"/>
        <v>0</v>
      </c>
      <c r="H379" s="121" t="str">
        <f t="shared" si="52"/>
        <v/>
      </c>
      <c r="K379" s="810">
        <f t="shared" si="53"/>
        <v>0</v>
      </c>
    </row>
    <row r="380" spans="1:11" ht="18" customHeight="1" thickBot="1" x14ac:dyDescent="0.25">
      <c r="A380" s="190" t="s">
        <v>704</v>
      </c>
      <c r="B380" s="1234" t="str">
        <f>IF('Phase Codes'!E44="","",'Phase Codes'!E44)</f>
        <v/>
      </c>
      <c r="C380" s="1234"/>
      <c r="D380" s="404">
        <f t="shared" si="54"/>
        <v>0</v>
      </c>
      <c r="E380" s="405">
        <f t="shared" si="55"/>
        <v>0</v>
      </c>
      <c r="F380" s="405">
        <f t="shared" si="56"/>
        <v>0</v>
      </c>
      <c r="H380" s="121" t="str">
        <f t="shared" si="52"/>
        <v/>
      </c>
      <c r="K380" s="810">
        <f t="shared" si="53"/>
        <v>0</v>
      </c>
    </row>
    <row r="381" spans="1:11" ht="18" customHeight="1" thickBot="1" x14ac:dyDescent="0.25">
      <c r="A381" s="190" t="s">
        <v>705</v>
      </c>
      <c r="B381" s="1234" t="str">
        <f>IF('Phase Codes'!E45="","",'Phase Codes'!E45)</f>
        <v/>
      </c>
      <c r="C381" s="1234"/>
      <c r="D381" s="404">
        <f t="shared" si="54"/>
        <v>0</v>
      </c>
      <c r="E381" s="405">
        <f t="shared" si="55"/>
        <v>0</v>
      </c>
      <c r="F381" s="405">
        <f t="shared" si="56"/>
        <v>0</v>
      </c>
      <c r="H381" s="121" t="str">
        <f t="shared" si="52"/>
        <v/>
      </c>
      <c r="K381" s="810">
        <f t="shared" si="53"/>
        <v>0</v>
      </c>
    </row>
    <row r="382" spans="1:11" ht="18" customHeight="1" thickBot="1" x14ac:dyDescent="0.25">
      <c r="A382" s="190" t="s">
        <v>706</v>
      </c>
      <c r="B382" s="1234" t="str">
        <f>IF('Phase Codes'!E46="","",'Phase Codes'!E46)</f>
        <v/>
      </c>
      <c r="C382" s="1234"/>
      <c r="D382" s="404">
        <f t="shared" ref="D382:D413" si="57">SUMIFS(SM_FieldLaborColumn,PC_SM_Field,$A382)</f>
        <v>0</v>
      </c>
      <c r="E382" s="405">
        <f t="shared" si="55"/>
        <v>0</v>
      </c>
      <c r="F382" s="405">
        <f t="shared" si="56"/>
        <v>0</v>
      </c>
      <c r="H382" s="121" t="str">
        <f t="shared" si="52"/>
        <v/>
      </c>
      <c r="K382" s="810">
        <f t="shared" si="53"/>
        <v>0</v>
      </c>
    </row>
    <row r="383" spans="1:11" ht="18" customHeight="1" thickBot="1" x14ac:dyDescent="0.25">
      <c r="A383" s="190" t="s">
        <v>707</v>
      </c>
      <c r="B383" s="1234" t="str">
        <f>IF('Phase Codes'!E47="","",'Phase Codes'!E47)</f>
        <v/>
      </c>
      <c r="C383" s="1234"/>
      <c r="D383" s="404">
        <f t="shared" si="57"/>
        <v>0</v>
      </c>
      <c r="E383" s="405">
        <f t="shared" si="55"/>
        <v>0</v>
      </c>
      <c r="F383" s="405">
        <f t="shared" si="56"/>
        <v>0</v>
      </c>
      <c r="H383" s="121" t="str">
        <f t="shared" si="52"/>
        <v/>
      </c>
      <c r="K383" s="810">
        <f t="shared" si="53"/>
        <v>0</v>
      </c>
    </row>
    <row r="384" spans="1:11" ht="18" customHeight="1" thickBot="1" x14ac:dyDescent="0.25">
      <c r="A384" s="190" t="s">
        <v>708</v>
      </c>
      <c r="B384" s="1234" t="str">
        <f>IF('Phase Codes'!E48="","",'Phase Codes'!E48)</f>
        <v/>
      </c>
      <c r="C384" s="1234"/>
      <c r="D384" s="404">
        <f t="shared" si="57"/>
        <v>0</v>
      </c>
      <c r="E384" s="405">
        <f t="shared" si="55"/>
        <v>0</v>
      </c>
      <c r="F384" s="405">
        <f t="shared" si="56"/>
        <v>0</v>
      </c>
      <c r="H384" s="121" t="str">
        <f t="shared" si="52"/>
        <v/>
      </c>
      <c r="K384" s="810">
        <f t="shared" si="53"/>
        <v>0</v>
      </c>
    </row>
    <row r="385" spans="1:11" ht="18" customHeight="1" thickBot="1" x14ac:dyDescent="0.25">
      <c r="A385" s="190" t="s">
        <v>709</v>
      </c>
      <c r="B385" s="1234" t="str">
        <f>IF('Phase Codes'!E49="","",'Phase Codes'!E49)</f>
        <v/>
      </c>
      <c r="C385" s="1234"/>
      <c r="D385" s="404">
        <f t="shared" si="57"/>
        <v>0</v>
      </c>
      <c r="E385" s="405">
        <f t="shared" ref="E385:E416" si="58">SUMIFS(Takeoff_Total_Field_Labor_Cost,PC_SM_Field,$A385)</f>
        <v>0</v>
      </c>
      <c r="F385" s="405">
        <f t="shared" si="56"/>
        <v>0</v>
      </c>
      <c r="H385" s="121" t="str">
        <f t="shared" si="52"/>
        <v/>
      </c>
      <c r="K385" s="810">
        <f t="shared" si="53"/>
        <v>0</v>
      </c>
    </row>
    <row r="386" spans="1:11" ht="18" customHeight="1" thickBot="1" x14ac:dyDescent="0.25">
      <c r="A386" s="190" t="s">
        <v>710</v>
      </c>
      <c r="B386" s="1234" t="str">
        <f>IF('Phase Codes'!E50="","",'Phase Codes'!E50)</f>
        <v/>
      </c>
      <c r="C386" s="1234"/>
      <c r="D386" s="404">
        <f t="shared" si="57"/>
        <v>0</v>
      </c>
      <c r="E386" s="405">
        <f t="shared" si="58"/>
        <v>0</v>
      </c>
      <c r="F386" s="405">
        <f t="shared" si="56"/>
        <v>0</v>
      </c>
      <c r="H386" s="121" t="str">
        <f t="shared" si="52"/>
        <v/>
      </c>
      <c r="K386" s="810">
        <f t="shared" si="53"/>
        <v>0</v>
      </c>
    </row>
    <row r="387" spans="1:11" ht="18" customHeight="1" thickBot="1" x14ac:dyDescent="0.25">
      <c r="A387" s="190" t="s">
        <v>711</v>
      </c>
      <c r="B387" s="1234" t="str">
        <f>IF('Phase Codes'!E51="","",'Phase Codes'!E51)</f>
        <v/>
      </c>
      <c r="C387" s="1234"/>
      <c r="D387" s="404">
        <f t="shared" si="57"/>
        <v>0</v>
      </c>
      <c r="E387" s="405">
        <f t="shared" si="58"/>
        <v>0</v>
      </c>
      <c r="F387" s="405">
        <f t="shared" si="56"/>
        <v>0</v>
      </c>
      <c r="H387" s="121" t="str">
        <f t="shared" si="52"/>
        <v/>
      </c>
      <c r="K387" s="810">
        <f t="shared" si="53"/>
        <v>0</v>
      </c>
    </row>
    <row r="388" spans="1:11" ht="18" customHeight="1" thickBot="1" x14ac:dyDescent="0.25">
      <c r="A388" s="190" t="s">
        <v>712</v>
      </c>
      <c r="B388" s="1234" t="str">
        <f>IF('Phase Codes'!E52="","",'Phase Codes'!E52)</f>
        <v/>
      </c>
      <c r="C388" s="1234"/>
      <c r="D388" s="404">
        <f t="shared" si="57"/>
        <v>0</v>
      </c>
      <c r="E388" s="405">
        <f t="shared" si="58"/>
        <v>0</v>
      </c>
      <c r="F388" s="405">
        <f t="shared" si="56"/>
        <v>0</v>
      </c>
      <c r="H388" s="121" t="str">
        <f t="shared" si="52"/>
        <v/>
      </c>
      <c r="K388" s="810">
        <f t="shared" si="53"/>
        <v>0</v>
      </c>
    </row>
    <row r="389" spans="1:11" ht="18" customHeight="1" thickBot="1" x14ac:dyDescent="0.25">
      <c r="A389" s="190" t="s">
        <v>713</v>
      </c>
      <c r="B389" s="1234" t="str">
        <f>IF('Phase Codes'!E53="","",'Phase Codes'!E53)</f>
        <v/>
      </c>
      <c r="C389" s="1234"/>
      <c r="D389" s="404">
        <f t="shared" si="57"/>
        <v>0</v>
      </c>
      <c r="E389" s="405">
        <f t="shared" si="58"/>
        <v>0</v>
      </c>
      <c r="F389" s="405">
        <f t="shared" si="56"/>
        <v>0</v>
      </c>
      <c r="H389" s="121" t="str">
        <f t="shared" si="52"/>
        <v/>
      </c>
      <c r="K389" s="810">
        <f t="shared" si="53"/>
        <v>0</v>
      </c>
    </row>
    <row r="390" spans="1:11" ht="18" customHeight="1" thickBot="1" x14ac:dyDescent="0.25">
      <c r="A390" s="190" t="s">
        <v>714</v>
      </c>
      <c r="B390" s="1234" t="str">
        <f>IF('Phase Codes'!E54="","",'Phase Codes'!E54)</f>
        <v/>
      </c>
      <c r="C390" s="1234"/>
      <c r="D390" s="404">
        <f t="shared" si="57"/>
        <v>0</v>
      </c>
      <c r="E390" s="405">
        <f t="shared" si="58"/>
        <v>0</v>
      </c>
      <c r="F390" s="405">
        <f t="shared" si="56"/>
        <v>0</v>
      </c>
      <c r="H390" s="121" t="str">
        <f t="shared" si="52"/>
        <v/>
      </c>
      <c r="K390" s="810">
        <f t="shared" si="53"/>
        <v>0</v>
      </c>
    </row>
    <row r="391" spans="1:11" ht="18" customHeight="1" thickBot="1" x14ac:dyDescent="0.25">
      <c r="A391" s="190" t="s">
        <v>715</v>
      </c>
      <c r="B391" s="1234" t="str">
        <f>IF('Phase Codes'!E55="","",'Phase Codes'!E55)</f>
        <v/>
      </c>
      <c r="C391" s="1234"/>
      <c r="D391" s="404">
        <f t="shared" si="57"/>
        <v>0</v>
      </c>
      <c r="E391" s="405">
        <f t="shared" si="58"/>
        <v>0</v>
      </c>
      <c r="F391" s="405">
        <f t="shared" si="56"/>
        <v>0</v>
      </c>
      <c r="H391" s="121" t="str">
        <f t="shared" si="52"/>
        <v/>
      </c>
      <c r="K391" s="810">
        <f t="shared" si="53"/>
        <v>0</v>
      </c>
    </row>
    <row r="392" spans="1:11" ht="18" customHeight="1" thickBot="1" x14ac:dyDescent="0.25">
      <c r="A392" s="190" t="s">
        <v>716</v>
      </c>
      <c r="B392" s="1234" t="str">
        <f>IF('Phase Codes'!E56="","",'Phase Codes'!E56)</f>
        <v/>
      </c>
      <c r="C392" s="1234"/>
      <c r="D392" s="404">
        <f t="shared" si="57"/>
        <v>0</v>
      </c>
      <c r="E392" s="405">
        <f t="shared" si="58"/>
        <v>0</v>
      </c>
      <c r="F392" s="405">
        <f t="shared" si="56"/>
        <v>0</v>
      </c>
      <c r="H392" s="121" t="str">
        <f t="shared" si="52"/>
        <v/>
      </c>
      <c r="K392" s="810">
        <f t="shared" si="53"/>
        <v>0</v>
      </c>
    </row>
    <row r="393" spans="1:11" ht="18" customHeight="1" thickBot="1" x14ac:dyDescent="0.25">
      <c r="A393" s="190" t="s">
        <v>717</v>
      </c>
      <c r="B393" s="1234" t="str">
        <f>IF('Phase Codes'!E57="","",'Phase Codes'!E57)</f>
        <v/>
      </c>
      <c r="C393" s="1234"/>
      <c r="D393" s="404">
        <f t="shared" si="57"/>
        <v>0</v>
      </c>
      <c r="E393" s="405">
        <f t="shared" si="58"/>
        <v>0</v>
      </c>
      <c r="F393" s="405">
        <f t="shared" si="56"/>
        <v>0</v>
      </c>
      <c r="H393" s="121" t="str">
        <f t="shared" si="52"/>
        <v/>
      </c>
      <c r="K393" s="810">
        <f t="shared" si="53"/>
        <v>0</v>
      </c>
    </row>
    <row r="394" spans="1:11" ht="18" customHeight="1" thickBot="1" x14ac:dyDescent="0.25">
      <c r="A394" s="190" t="s">
        <v>718</v>
      </c>
      <c r="B394" s="1234" t="str">
        <f>IF('Phase Codes'!E58="","",'Phase Codes'!E58)</f>
        <v/>
      </c>
      <c r="C394" s="1234"/>
      <c r="D394" s="404">
        <f t="shared" si="57"/>
        <v>0</v>
      </c>
      <c r="E394" s="405">
        <f t="shared" si="58"/>
        <v>0</v>
      </c>
      <c r="F394" s="405">
        <f t="shared" si="56"/>
        <v>0</v>
      </c>
      <c r="H394" s="121" t="str">
        <f t="shared" si="52"/>
        <v/>
      </c>
      <c r="K394" s="810">
        <f t="shared" si="53"/>
        <v>0</v>
      </c>
    </row>
    <row r="395" spans="1:11" ht="18" customHeight="1" thickBot="1" x14ac:dyDescent="0.25">
      <c r="A395" s="190" t="s">
        <v>719</v>
      </c>
      <c r="B395" s="1234" t="str">
        <f>IF('Phase Codes'!E59="","",'Phase Codes'!E59)</f>
        <v/>
      </c>
      <c r="C395" s="1234"/>
      <c r="D395" s="404">
        <f t="shared" si="57"/>
        <v>0</v>
      </c>
      <c r="E395" s="405">
        <f t="shared" si="58"/>
        <v>0</v>
      </c>
      <c r="F395" s="405">
        <f t="shared" si="56"/>
        <v>0</v>
      </c>
      <c r="H395" s="121" t="str">
        <f t="shared" si="52"/>
        <v/>
      </c>
      <c r="K395" s="810">
        <f t="shared" si="53"/>
        <v>0</v>
      </c>
    </row>
    <row r="396" spans="1:11" ht="18" customHeight="1" thickBot="1" x14ac:dyDescent="0.25">
      <c r="A396" s="190" t="s">
        <v>720</v>
      </c>
      <c r="B396" s="1234" t="str">
        <f>IF('Phase Codes'!E60="","",'Phase Codes'!E60)</f>
        <v/>
      </c>
      <c r="C396" s="1234"/>
      <c r="D396" s="404">
        <f t="shared" si="57"/>
        <v>0</v>
      </c>
      <c r="E396" s="405">
        <f t="shared" si="58"/>
        <v>0</v>
      </c>
      <c r="F396" s="405">
        <f t="shared" si="56"/>
        <v>0</v>
      </c>
      <c r="H396" s="121" t="str">
        <f t="shared" si="52"/>
        <v/>
      </c>
      <c r="K396" s="810">
        <f t="shared" si="53"/>
        <v>0</v>
      </c>
    </row>
    <row r="397" spans="1:11" ht="18" customHeight="1" thickBot="1" x14ac:dyDescent="0.25">
      <c r="A397" s="190" t="s">
        <v>721</v>
      </c>
      <c r="B397" s="1234" t="str">
        <f>IF('Phase Codes'!E61="","",'Phase Codes'!E61)</f>
        <v/>
      </c>
      <c r="C397" s="1234"/>
      <c r="D397" s="404">
        <f t="shared" si="57"/>
        <v>0</v>
      </c>
      <c r="E397" s="405">
        <f t="shared" si="58"/>
        <v>0</v>
      </c>
      <c r="F397" s="405">
        <f t="shared" si="56"/>
        <v>0</v>
      </c>
      <c r="H397" s="121" t="str">
        <f t="shared" si="52"/>
        <v/>
      </c>
      <c r="K397" s="810">
        <f t="shared" si="53"/>
        <v>0</v>
      </c>
    </row>
    <row r="398" spans="1:11" ht="18" customHeight="1" thickBot="1" x14ac:dyDescent="0.25">
      <c r="A398" s="190" t="s">
        <v>722</v>
      </c>
      <c r="B398" s="1234" t="str">
        <f>IF('Phase Codes'!E62="","",'Phase Codes'!E62)</f>
        <v/>
      </c>
      <c r="C398" s="1234"/>
      <c r="D398" s="404">
        <f t="shared" si="57"/>
        <v>0</v>
      </c>
      <c r="E398" s="405">
        <f t="shared" si="58"/>
        <v>0</v>
      </c>
      <c r="F398" s="405">
        <f t="shared" si="56"/>
        <v>0</v>
      </c>
      <c r="H398" s="121" t="str">
        <f t="shared" si="52"/>
        <v/>
      </c>
      <c r="K398" s="810">
        <f t="shared" si="53"/>
        <v>0</v>
      </c>
    </row>
    <row r="399" spans="1:11" ht="18" customHeight="1" thickBot="1" x14ac:dyDescent="0.25">
      <c r="A399" s="190" t="s">
        <v>723</v>
      </c>
      <c r="B399" s="1234" t="str">
        <f>IF('Phase Codes'!E63="","",'Phase Codes'!E63)</f>
        <v/>
      </c>
      <c r="C399" s="1234"/>
      <c r="D399" s="404">
        <f t="shared" si="57"/>
        <v>0</v>
      </c>
      <c r="E399" s="405">
        <f t="shared" si="58"/>
        <v>0</v>
      </c>
      <c r="F399" s="405">
        <f t="shared" si="56"/>
        <v>0</v>
      </c>
      <c r="H399" s="121" t="str">
        <f t="shared" si="52"/>
        <v/>
      </c>
      <c r="K399" s="810">
        <f t="shared" si="53"/>
        <v>0</v>
      </c>
    </row>
    <row r="400" spans="1:11" ht="18" customHeight="1" thickBot="1" x14ac:dyDescent="0.25">
      <c r="A400" s="190" t="s">
        <v>724</v>
      </c>
      <c r="B400" s="1234" t="str">
        <f>IF('Phase Codes'!E64="","",'Phase Codes'!E64)</f>
        <v/>
      </c>
      <c r="C400" s="1234"/>
      <c r="D400" s="404">
        <f t="shared" si="57"/>
        <v>0</v>
      </c>
      <c r="E400" s="405">
        <f t="shared" si="58"/>
        <v>0</v>
      </c>
      <c r="F400" s="405">
        <f t="shared" si="56"/>
        <v>0</v>
      </c>
      <c r="H400" s="121" t="str">
        <f t="shared" si="52"/>
        <v/>
      </c>
      <c r="K400" s="810">
        <f t="shared" si="53"/>
        <v>0</v>
      </c>
    </row>
    <row r="401" spans="1:11" ht="18" customHeight="1" thickBot="1" x14ac:dyDescent="0.25">
      <c r="A401" s="190" t="s">
        <v>725</v>
      </c>
      <c r="B401" s="1234" t="str">
        <f>IF('Phase Codes'!E65="","",'Phase Codes'!E65)</f>
        <v/>
      </c>
      <c r="C401" s="1234"/>
      <c r="D401" s="404">
        <f t="shared" si="57"/>
        <v>0</v>
      </c>
      <c r="E401" s="405">
        <f t="shared" si="58"/>
        <v>0</v>
      </c>
      <c r="F401" s="405">
        <f t="shared" si="56"/>
        <v>0</v>
      </c>
      <c r="H401" s="121" t="str">
        <f t="shared" si="52"/>
        <v/>
      </c>
      <c r="K401" s="810">
        <f t="shared" si="53"/>
        <v>0</v>
      </c>
    </row>
    <row r="402" spans="1:11" ht="18" customHeight="1" thickBot="1" x14ac:dyDescent="0.25">
      <c r="A402" s="190" t="s">
        <v>726</v>
      </c>
      <c r="B402" s="1234" t="str">
        <f>IF('Phase Codes'!E66="","",'Phase Codes'!E66)</f>
        <v/>
      </c>
      <c r="C402" s="1234"/>
      <c r="D402" s="404">
        <f t="shared" si="57"/>
        <v>0</v>
      </c>
      <c r="E402" s="405">
        <f t="shared" si="58"/>
        <v>0</v>
      </c>
      <c r="F402" s="405">
        <f t="shared" si="56"/>
        <v>0</v>
      </c>
      <c r="H402" s="121" t="str">
        <f t="shared" si="52"/>
        <v/>
      </c>
      <c r="K402" s="810">
        <f t="shared" si="53"/>
        <v>0</v>
      </c>
    </row>
    <row r="403" spans="1:11" ht="18" customHeight="1" thickBot="1" x14ac:dyDescent="0.25">
      <c r="A403" s="190" t="s">
        <v>727</v>
      </c>
      <c r="B403" s="1234" t="str">
        <f>IF('Phase Codes'!E67="","",'Phase Codes'!E67)</f>
        <v/>
      </c>
      <c r="C403" s="1234"/>
      <c r="D403" s="404">
        <f t="shared" si="57"/>
        <v>0</v>
      </c>
      <c r="E403" s="405">
        <f t="shared" si="58"/>
        <v>0</v>
      </c>
      <c r="F403" s="405">
        <f t="shared" si="56"/>
        <v>0</v>
      </c>
      <c r="H403" s="121" t="str">
        <f t="shared" si="52"/>
        <v/>
      </c>
      <c r="K403" s="810">
        <f t="shared" si="53"/>
        <v>0</v>
      </c>
    </row>
    <row r="404" spans="1:11" ht="18" customHeight="1" thickBot="1" x14ac:dyDescent="0.25">
      <c r="A404" s="190" t="s">
        <v>728</v>
      </c>
      <c r="B404" s="1234" t="str">
        <f>IF('Phase Codes'!E68="","",'Phase Codes'!E68)</f>
        <v/>
      </c>
      <c r="C404" s="1234"/>
      <c r="D404" s="404">
        <f t="shared" si="57"/>
        <v>0</v>
      </c>
      <c r="E404" s="405">
        <f t="shared" si="58"/>
        <v>0</v>
      </c>
      <c r="F404" s="405">
        <f t="shared" si="56"/>
        <v>0</v>
      </c>
      <c r="H404" s="121" t="str">
        <f t="shared" ref="H404:H438" si="59">IF($G404="E",6,IF($G404="M",3,IF($G404="OH","?",IF($G404="OT",7,IF($G404="S",4,"")))))</f>
        <v/>
      </c>
      <c r="K404" s="810">
        <f t="shared" si="53"/>
        <v>0</v>
      </c>
    </row>
    <row r="405" spans="1:11" ht="18" customHeight="1" thickBot="1" x14ac:dyDescent="0.25">
      <c r="A405" s="190" t="s">
        <v>729</v>
      </c>
      <c r="B405" s="1234" t="str">
        <f>IF('Phase Codes'!E69="","",'Phase Codes'!E69)</f>
        <v/>
      </c>
      <c r="C405" s="1234"/>
      <c r="D405" s="404">
        <f t="shared" si="57"/>
        <v>0</v>
      </c>
      <c r="E405" s="405">
        <f t="shared" si="58"/>
        <v>0</v>
      </c>
      <c r="F405" s="405">
        <f t="shared" si="56"/>
        <v>0</v>
      </c>
      <c r="H405" s="121" t="str">
        <f t="shared" si="59"/>
        <v/>
      </c>
      <c r="K405" s="810">
        <f t="shared" ref="K405:K439" si="60">SUM(D405:F405)</f>
        <v>0</v>
      </c>
    </row>
    <row r="406" spans="1:11" ht="18" customHeight="1" thickBot="1" x14ac:dyDescent="0.25">
      <c r="A406" s="190" t="s">
        <v>730</v>
      </c>
      <c r="B406" s="1234" t="str">
        <f>IF('Phase Codes'!E70="","",'Phase Codes'!E70)</f>
        <v/>
      </c>
      <c r="C406" s="1234"/>
      <c r="D406" s="404">
        <f t="shared" si="57"/>
        <v>0</v>
      </c>
      <c r="E406" s="405">
        <f t="shared" si="58"/>
        <v>0</v>
      </c>
      <c r="F406" s="405">
        <f t="shared" si="56"/>
        <v>0</v>
      </c>
      <c r="H406" s="121" t="str">
        <f t="shared" si="59"/>
        <v/>
      </c>
      <c r="K406" s="810">
        <f t="shared" si="60"/>
        <v>0</v>
      </c>
    </row>
    <row r="407" spans="1:11" ht="18" customHeight="1" thickBot="1" x14ac:dyDescent="0.25">
      <c r="A407" s="190" t="s">
        <v>731</v>
      </c>
      <c r="B407" s="1234" t="str">
        <f>IF('Phase Codes'!E71="","",'Phase Codes'!E71)</f>
        <v/>
      </c>
      <c r="C407" s="1234"/>
      <c r="D407" s="404">
        <f t="shared" si="57"/>
        <v>0</v>
      </c>
      <c r="E407" s="405">
        <f t="shared" si="58"/>
        <v>0</v>
      </c>
      <c r="F407" s="405">
        <f t="shared" si="56"/>
        <v>0</v>
      </c>
      <c r="H407" s="121" t="str">
        <f t="shared" si="59"/>
        <v/>
      </c>
      <c r="K407" s="810">
        <f t="shared" si="60"/>
        <v>0</v>
      </c>
    </row>
    <row r="408" spans="1:11" ht="18" customHeight="1" thickBot="1" x14ac:dyDescent="0.25">
      <c r="A408" s="190" t="s">
        <v>732</v>
      </c>
      <c r="B408" s="1234" t="str">
        <f>IF('Phase Codes'!E72="","",'Phase Codes'!E72)</f>
        <v/>
      </c>
      <c r="C408" s="1234"/>
      <c r="D408" s="404">
        <f t="shared" si="57"/>
        <v>0</v>
      </c>
      <c r="E408" s="405">
        <f t="shared" si="58"/>
        <v>0</v>
      </c>
      <c r="F408" s="405">
        <f t="shared" si="56"/>
        <v>0</v>
      </c>
      <c r="H408" s="121" t="str">
        <f t="shared" si="59"/>
        <v/>
      </c>
      <c r="K408" s="810">
        <f t="shared" si="60"/>
        <v>0</v>
      </c>
    </row>
    <row r="409" spans="1:11" ht="18" customHeight="1" thickBot="1" x14ac:dyDescent="0.25">
      <c r="A409" s="190" t="s">
        <v>733</v>
      </c>
      <c r="B409" s="1234" t="str">
        <f>IF('Phase Codes'!E73="","",'Phase Codes'!E73)</f>
        <v/>
      </c>
      <c r="C409" s="1234"/>
      <c r="D409" s="404">
        <f t="shared" si="57"/>
        <v>0</v>
      </c>
      <c r="E409" s="405">
        <f t="shared" si="58"/>
        <v>0</v>
      </c>
      <c r="F409" s="405">
        <f t="shared" si="56"/>
        <v>0</v>
      </c>
      <c r="H409" s="121" t="str">
        <f t="shared" si="59"/>
        <v/>
      </c>
      <c r="K409" s="810">
        <f t="shared" si="60"/>
        <v>0</v>
      </c>
    </row>
    <row r="410" spans="1:11" ht="18" customHeight="1" thickBot="1" x14ac:dyDescent="0.25">
      <c r="A410" s="190" t="s">
        <v>734</v>
      </c>
      <c r="B410" s="1234" t="str">
        <f>IF('Phase Codes'!E74="","",'Phase Codes'!E74)</f>
        <v/>
      </c>
      <c r="C410" s="1234"/>
      <c r="D410" s="404">
        <f t="shared" si="57"/>
        <v>0</v>
      </c>
      <c r="E410" s="405">
        <f t="shared" si="58"/>
        <v>0</v>
      </c>
      <c r="F410" s="405">
        <f t="shared" si="56"/>
        <v>0</v>
      </c>
      <c r="H410" s="121" t="str">
        <f t="shared" si="59"/>
        <v/>
      </c>
      <c r="K410" s="810">
        <f t="shared" si="60"/>
        <v>0</v>
      </c>
    </row>
    <row r="411" spans="1:11" ht="18" customHeight="1" thickBot="1" x14ac:dyDescent="0.25">
      <c r="A411" s="190" t="s">
        <v>735</v>
      </c>
      <c r="B411" s="1234" t="str">
        <f>IF('Phase Codes'!E75="","",'Phase Codes'!E75)</f>
        <v/>
      </c>
      <c r="C411" s="1234"/>
      <c r="D411" s="404">
        <f t="shared" si="57"/>
        <v>0</v>
      </c>
      <c r="E411" s="405">
        <f t="shared" si="58"/>
        <v>0</v>
      </c>
      <c r="F411" s="405">
        <f t="shared" si="56"/>
        <v>0</v>
      </c>
      <c r="H411" s="121" t="str">
        <f t="shared" si="59"/>
        <v/>
      </c>
      <c r="K411" s="810">
        <f t="shared" si="60"/>
        <v>0</v>
      </c>
    </row>
    <row r="412" spans="1:11" ht="18" customHeight="1" thickBot="1" x14ac:dyDescent="0.25">
      <c r="A412" s="190" t="s">
        <v>736</v>
      </c>
      <c r="B412" s="1234" t="str">
        <f>IF('Phase Codes'!E76="","",'Phase Codes'!E76)</f>
        <v/>
      </c>
      <c r="C412" s="1234"/>
      <c r="D412" s="404">
        <f t="shared" si="57"/>
        <v>0</v>
      </c>
      <c r="E412" s="405">
        <f t="shared" si="58"/>
        <v>0</v>
      </c>
      <c r="F412" s="405">
        <f t="shared" si="56"/>
        <v>0</v>
      </c>
      <c r="H412" s="121" t="str">
        <f t="shared" si="59"/>
        <v/>
      </c>
      <c r="K412" s="810">
        <f t="shared" si="60"/>
        <v>0</v>
      </c>
    </row>
    <row r="413" spans="1:11" ht="18" customHeight="1" thickBot="1" x14ac:dyDescent="0.25">
      <c r="A413" s="190" t="s">
        <v>737</v>
      </c>
      <c r="B413" s="1234" t="str">
        <f>IF('Phase Codes'!E77="","",'Phase Codes'!E77)</f>
        <v/>
      </c>
      <c r="C413" s="1234"/>
      <c r="D413" s="404">
        <f t="shared" si="57"/>
        <v>0</v>
      </c>
      <c r="E413" s="405">
        <f t="shared" si="58"/>
        <v>0</v>
      </c>
      <c r="F413" s="405">
        <f t="shared" si="56"/>
        <v>0</v>
      </c>
      <c r="H413" s="121" t="str">
        <f t="shared" si="59"/>
        <v/>
      </c>
      <c r="K413" s="810">
        <f t="shared" si="60"/>
        <v>0</v>
      </c>
    </row>
    <row r="414" spans="1:11" ht="18" customHeight="1" thickBot="1" x14ac:dyDescent="0.25">
      <c r="A414" s="190" t="s">
        <v>738</v>
      </c>
      <c r="B414" s="1234" t="str">
        <f>IF('Phase Codes'!E78="","",'Phase Codes'!E78)</f>
        <v/>
      </c>
      <c r="C414" s="1234"/>
      <c r="D414" s="404">
        <f t="shared" ref="D414:D438" si="61">SUMIFS(SM_FieldLaborColumn,PC_SM_Field,$A414)</f>
        <v>0</v>
      </c>
      <c r="E414" s="405">
        <f t="shared" si="58"/>
        <v>0</v>
      </c>
      <c r="F414" s="405">
        <f t="shared" si="56"/>
        <v>0</v>
      </c>
      <c r="H414" s="121" t="str">
        <f t="shared" si="59"/>
        <v/>
      </c>
      <c r="K414" s="810">
        <f t="shared" si="60"/>
        <v>0</v>
      </c>
    </row>
    <row r="415" spans="1:11" ht="18" customHeight="1" thickBot="1" x14ac:dyDescent="0.25">
      <c r="A415" s="190" t="s">
        <v>739</v>
      </c>
      <c r="B415" s="1234" t="str">
        <f>IF('Phase Codes'!E79="","",'Phase Codes'!E79)</f>
        <v/>
      </c>
      <c r="C415" s="1234"/>
      <c r="D415" s="404">
        <f t="shared" si="61"/>
        <v>0</v>
      </c>
      <c r="E415" s="405">
        <f t="shared" si="58"/>
        <v>0</v>
      </c>
      <c r="F415" s="405">
        <f t="shared" si="56"/>
        <v>0</v>
      </c>
      <c r="H415" s="121" t="str">
        <f t="shared" si="59"/>
        <v/>
      </c>
      <c r="K415" s="810">
        <f t="shared" si="60"/>
        <v>0</v>
      </c>
    </row>
    <row r="416" spans="1:11" ht="18" customHeight="1" thickBot="1" x14ac:dyDescent="0.25">
      <c r="A416" s="190" t="s">
        <v>740</v>
      </c>
      <c r="B416" s="1234" t="str">
        <f>IF('Phase Codes'!E80="","",'Phase Codes'!E80)</f>
        <v/>
      </c>
      <c r="C416" s="1234"/>
      <c r="D416" s="404">
        <f t="shared" si="61"/>
        <v>0</v>
      </c>
      <c r="E416" s="405">
        <f t="shared" si="58"/>
        <v>0</v>
      </c>
      <c r="F416" s="405">
        <f t="shared" si="56"/>
        <v>0</v>
      </c>
      <c r="H416" s="121" t="str">
        <f t="shared" si="59"/>
        <v/>
      </c>
      <c r="K416" s="810">
        <f t="shared" si="60"/>
        <v>0</v>
      </c>
    </row>
    <row r="417" spans="1:11" ht="18" customHeight="1" thickBot="1" x14ac:dyDescent="0.25">
      <c r="A417" s="190" t="s">
        <v>741</v>
      </c>
      <c r="B417" s="1234" t="str">
        <f>IF('Phase Codes'!E81="","",'Phase Codes'!E81)</f>
        <v/>
      </c>
      <c r="C417" s="1234"/>
      <c r="D417" s="404">
        <f t="shared" si="61"/>
        <v>0</v>
      </c>
      <c r="E417" s="405">
        <f t="shared" ref="E417:E438" si="62">SUMIFS(Takeoff_Total_Field_Labor_Cost,PC_SM_Field,$A417)</f>
        <v>0</v>
      </c>
      <c r="F417" s="405">
        <f t="shared" ref="F417:F438" si="63">SUMIFS(SM_MaterialColumn,PC_SM_Material,$A417)</f>
        <v>0</v>
      </c>
      <c r="H417" s="121" t="str">
        <f t="shared" si="59"/>
        <v/>
      </c>
      <c r="K417" s="810">
        <f t="shared" si="60"/>
        <v>0</v>
      </c>
    </row>
    <row r="418" spans="1:11" ht="18" customHeight="1" thickBot="1" x14ac:dyDescent="0.25">
      <c r="A418" s="190" t="s">
        <v>742</v>
      </c>
      <c r="B418" s="1234" t="str">
        <f>IF('Phase Codes'!E82="","",'Phase Codes'!E82)</f>
        <v/>
      </c>
      <c r="C418" s="1234"/>
      <c r="D418" s="404">
        <f t="shared" si="61"/>
        <v>0</v>
      </c>
      <c r="E418" s="405">
        <f t="shared" si="62"/>
        <v>0</v>
      </c>
      <c r="F418" s="405">
        <f t="shared" si="63"/>
        <v>0</v>
      </c>
      <c r="H418" s="121" t="str">
        <f t="shared" si="59"/>
        <v/>
      </c>
      <c r="K418" s="810">
        <f t="shared" si="60"/>
        <v>0</v>
      </c>
    </row>
    <row r="419" spans="1:11" ht="18" customHeight="1" thickBot="1" x14ac:dyDescent="0.25">
      <c r="A419" s="190" t="s">
        <v>743</v>
      </c>
      <c r="B419" s="1234" t="str">
        <f>IF('Phase Codes'!E83="","",'Phase Codes'!E83)</f>
        <v/>
      </c>
      <c r="C419" s="1234"/>
      <c r="D419" s="404">
        <f t="shared" si="61"/>
        <v>0</v>
      </c>
      <c r="E419" s="405">
        <f t="shared" si="62"/>
        <v>0</v>
      </c>
      <c r="F419" s="405">
        <f t="shared" si="63"/>
        <v>0</v>
      </c>
      <c r="H419" s="121" t="str">
        <f t="shared" si="59"/>
        <v/>
      </c>
      <c r="K419" s="810">
        <f t="shared" si="60"/>
        <v>0</v>
      </c>
    </row>
    <row r="420" spans="1:11" ht="18" customHeight="1" thickBot="1" x14ac:dyDescent="0.25">
      <c r="A420" s="190" t="s">
        <v>744</v>
      </c>
      <c r="B420" s="1234" t="str">
        <f>IF('Phase Codes'!E84="","",'Phase Codes'!E84)</f>
        <v/>
      </c>
      <c r="C420" s="1234"/>
      <c r="D420" s="404">
        <f t="shared" si="61"/>
        <v>0</v>
      </c>
      <c r="E420" s="405">
        <f t="shared" si="62"/>
        <v>0</v>
      </c>
      <c r="F420" s="405">
        <f t="shared" si="63"/>
        <v>0</v>
      </c>
      <c r="H420" s="121" t="str">
        <f t="shared" si="59"/>
        <v/>
      </c>
      <c r="K420" s="810">
        <f t="shared" si="60"/>
        <v>0</v>
      </c>
    </row>
    <row r="421" spans="1:11" ht="18" customHeight="1" thickBot="1" x14ac:dyDescent="0.25">
      <c r="A421" s="190" t="s">
        <v>745</v>
      </c>
      <c r="B421" s="1234" t="str">
        <f>IF('Phase Codes'!E85="","",'Phase Codes'!E85)</f>
        <v/>
      </c>
      <c r="C421" s="1234"/>
      <c r="D421" s="404">
        <f t="shared" si="61"/>
        <v>0</v>
      </c>
      <c r="E421" s="405">
        <f t="shared" si="62"/>
        <v>0</v>
      </c>
      <c r="F421" s="405">
        <f t="shared" si="63"/>
        <v>0</v>
      </c>
      <c r="H421" s="121" t="str">
        <f t="shared" si="59"/>
        <v/>
      </c>
      <c r="K421" s="810">
        <f t="shared" si="60"/>
        <v>0</v>
      </c>
    </row>
    <row r="422" spans="1:11" ht="18" customHeight="1" thickBot="1" x14ac:dyDescent="0.25">
      <c r="A422" s="190" t="s">
        <v>746</v>
      </c>
      <c r="B422" s="1234" t="str">
        <f>IF('Phase Codes'!E86="","",'Phase Codes'!E86)</f>
        <v/>
      </c>
      <c r="C422" s="1234"/>
      <c r="D422" s="404">
        <f t="shared" si="61"/>
        <v>0</v>
      </c>
      <c r="E422" s="405">
        <f t="shared" si="62"/>
        <v>0</v>
      </c>
      <c r="F422" s="405">
        <f t="shared" si="63"/>
        <v>0</v>
      </c>
      <c r="H422" s="121" t="str">
        <f t="shared" si="59"/>
        <v/>
      </c>
      <c r="K422" s="810">
        <f t="shared" si="60"/>
        <v>0</v>
      </c>
    </row>
    <row r="423" spans="1:11" ht="18" customHeight="1" thickBot="1" x14ac:dyDescent="0.25">
      <c r="A423" s="190" t="s">
        <v>747</v>
      </c>
      <c r="B423" s="1234" t="str">
        <f>IF('Phase Codes'!E87="","",'Phase Codes'!E87)</f>
        <v/>
      </c>
      <c r="C423" s="1234"/>
      <c r="D423" s="404">
        <f t="shared" si="61"/>
        <v>0</v>
      </c>
      <c r="E423" s="405">
        <f t="shared" si="62"/>
        <v>0</v>
      </c>
      <c r="F423" s="405">
        <f t="shared" si="63"/>
        <v>0</v>
      </c>
      <c r="H423" s="121" t="str">
        <f t="shared" si="59"/>
        <v/>
      </c>
      <c r="K423" s="810">
        <f t="shared" si="60"/>
        <v>0</v>
      </c>
    </row>
    <row r="424" spans="1:11" ht="18" customHeight="1" thickBot="1" x14ac:dyDescent="0.25">
      <c r="A424" s="190" t="s">
        <v>748</v>
      </c>
      <c r="B424" s="1234" t="str">
        <f>IF('Phase Codes'!E88="","",'Phase Codes'!E88)</f>
        <v/>
      </c>
      <c r="C424" s="1234"/>
      <c r="D424" s="404">
        <f t="shared" si="61"/>
        <v>0</v>
      </c>
      <c r="E424" s="405">
        <f t="shared" si="62"/>
        <v>0</v>
      </c>
      <c r="F424" s="405">
        <f t="shared" si="63"/>
        <v>0</v>
      </c>
      <c r="H424" s="121" t="str">
        <f t="shared" si="59"/>
        <v/>
      </c>
      <c r="K424" s="810">
        <f t="shared" si="60"/>
        <v>0</v>
      </c>
    </row>
    <row r="425" spans="1:11" ht="18" customHeight="1" thickBot="1" x14ac:dyDescent="0.25">
      <c r="A425" s="190" t="s">
        <v>749</v>
      </c>
      <c r="B425" s="1234" t="str">
        <f>IF('Phase Codes'!E89="","",'Phase Codes'!E89)</f>
        <v/>
      </c>
      <c r="C425" s="1234"/>
      <c r="D425" s="404">
        <f t="shared" si="61"/>
        <v>0</v>
      </c>
      <c r="E425" s="405">
        <f t="shared" si="62"/>
        <v>0</v>
      </c>
      <c r="F425" s="405">
        <f t="shared" si="63"/>
        <v>0</v>
      </c>
      <c r="H425" s="121" t="str">
        <f t="shared" si="59"/>
        <v/>
      </c>
      <c r="K425" s="810">
        <f t="shared" si="60"/>
        <v>0</v>
      </c>
    </row>
    <row r="426" spans="1:11" ht="18" customHeight="1" thickBot="1" x14ac:dyDescent="0.25">
      <c r="A426" s="190" t="s">
        <v>750</v>
      </c>
      <c r="B426" s="1234" t="str">
        <f>IF('Phase Codes'!E90="","",'Phase Codes'!E90)</f>
        <v/>
      </c>
      <c r="C426" s="1234"/>
      <c r="D426" s="404">
        <f t="shared" si="61"/>
        <v>0</v>
      </c>
      <c r="E426" s="405">
        <f t="shared" si="62"/>
        <v>0</v>
      </c>
      <c r="F426" s="405">
        <f t="shared" si="63"/>
        <v>0</v>
      </c>
      <c r="H426" s="121" t="str">
        <f t="shared" si="59"/>
        <v/>
      </c>
      <c r="K426" s="810">
        <f t="shared" si="60"/>
        <v>0</v>
      </c>
    </row>
    <row r="427" spans="1:11" ht="18" customHeight="1" thickBot="1" x14ac:dyDescent="0.25">
      <c r="A427" s="190" t="s">
        <v>751</v>
      </c>
      <c r="B427" s="1234" t="str">
        <f>IF('Phase Codes'!E91="","",'Phase Codes'!E91)</f>
        <v/>
      </c>
      <c r="C427" s="1234"/>
      <c r="D427" s="404">
        <f t="shared" si="61"/>
        <v>0</v>
      </c>
      <c r="E427" s="405">
        <f t="shared" si="62"/>
        <v>0</v>
      </c>
      <c r="F427" s="405">
        <f t="shared" si="63"/>
        <v>0</v>
      </c>
      <c r="H427" s="121" t="str">
        <f t="shared" si="59"/>
        <v/>
      </c>
      <c r="K427" s="810">
        <f t="shared" si="60"/>
        <v>0</v>
      </c>
    </row>
    <row r="428" spans="1:11" ht="18" customHeight="1" thickBot="1" x14ac:dyDescent="0.25">
      <c r="A428" s="190" t="s">
        <v>752</v>
      </c>
      <c r="B428" s="1234" t="str">
        <f>IF('Phase Codes'!E92="","",'Phase Codes'!E92)</f>
        <v/>
      </c>
      <c r="C428" s="1234"/>
      <c r="D428" s="404">
        <f t="shared" si="61"/>
        <v>0</v>
      </c>
      <c r="E428" s="405">
        <f t="shared" si="62"/>
        <v>0</v>
      </c>
      <c r="F428" s="405">
        <f t="shared" si="63"/>
        <v>0</v>
      </c>
      <c r="H428" s="121" t="str">
        <f t="shared" si="59"/>
        <v/>
      </c>
      <c r="K428" s="810">
        <f t="shared" si="60"/>
        <v>0</v>
      </c>
    </row>
    <row r="429" spans="1:11" ht="18" customHeight="1" thickBot="1" x14ac:dyDescent="0.25">
      <c r="A429" s="190" t="s">
        <v>753</v>
      </c>
      <c r="B429" s="1234" t="str">
        <f>IF('Phase Codes'!E93="","",'Phase Codes'!E93)</f>
        <v/>
      </c>
      <c r="C429" s="1234"/>
      <c r="D429" s="404">
        <f t="shared" si="61"/>
        <v>0</v>
      </c>
      <c r="E429" s="405">
        <f t="shared" si="62"/>
        <v>0</v>
      </c>
      <c r="F429" s="405">
        <f t="shared" si="63"/>
        <v>0</v>
      </c>
      <c r="H429" s="121" t="str">
        <f t="shared" si="59"/>
        <v/>
      </c>
      <c r="K429" s="810">
        <f t="shared" si="60"/>
        <v>0</v>
      </c>
    </row>
    <row r="430" spans="1:11" ht="18" customHeight="1" thickBot="1" x14ac:dyDescent="0.25">
      <c r="A430" s="190" t="s">
        <v>754</v>
      </c>
      <c r="B430" s="1234" t="str">
        <f>IF('Phase Codes'!E94="","",'Phase Codes'!E94)</f>
        <v/>
      </c>
      <c r="C430" s="1234"/>
      <c r="D430" s="404">
        <f t="shared" si="61"/>
        <v>0</v>
      </c>
      <c r="E430" s="405">
        <f t="shared" si="62"/>
        <v>0</v>
      </c>
      <c r="F430" s="405">
        <f t="shared" si="63"/>
        <v>0</v>
      </c>
      <c r="H430" s="121" t="str">
        <f t="shared" si="59"/>
        <v/>
      </c>
      <c r="K430" s="810">
        <f t="shared" si="60"/>
        <v>0</v>
      </c>
    </row>
    <row r="431" spans="1:11" ht="18" customHeight="1" thickBot="1" x14ac:dyDescent="0.25">
      <c r="A431" s="190" t="s">
        <v>755</v>
      </c>
      <c r="B431" s="1234" t="str">
        <f>IF('Phase Codes'!E95="","",'Phase Codes'!E95)</f>
        <v/>
      </c>
      <c r="C431" s="1234"/>
      <c r="D431" s="404">
        <f t="shared" si="61"/>
        <v>0</v>
      </c>
      <c r="E431" s="405">
        <f t="shared" si="62"/>
        <v>0</v>
      </c>
      <c r="F431" s="405">
        <f t="shared" si="63"/>
        <v>0</v>
      </c>
      <c r="H431" s="121" t="str">
        <f t="shared" si="59"/>
        <v/>
      </c>
      <c r="K431" s="810">
        <f t="shared" si="60"/>
        <v>0</v>
      </c>
    </row>
    <row r="432" spans="1:11" ht="18" customHeight="1" thickBot="1" x14ac:dyDescent="0.25">
      <c r="A432" s="190" t="s">
        <v>756</v>
      </c>
      <c r="B432" s="1234" t="str">
        <f>IF('Phase Codes'!E96="","",'Phase Codes'!E96)</f>
        <v/>
      </c>
      <c r="C432" s="1234"/>
      <c r="D432" s="404">
        <f t="shared" si="61"/>
        <v>0</v>
      </c>
      <c r="E432" s="405">
        <f t="shared" si="62"/>
        <v>0</v>
      </c>
      <c r="F432" s="405">
        <f t="shared" si="63"/>
        <v>0</v>
      </c>
      <c r="H432" s="121" t="str">
        <f t="shared" si="59"/>
        <v/>
      </c>
      <c r="K432" s="810">
        <f t="shared" si="60"/>
        <v>0</v>
      </c>
    </row>
    <row r="433" spans="1:11" ht="18" customHeight="1" thickBot="1" x14ac:dyDescent="0.25">
      <c r="A433" s="190" t="s">
        <v>757</v>
      </c>
      <c r="B433" s="1234" t="str">
        <f>IF('Phase Codes'!E97="","",'Phase Codes'!E97)</f>
        <v/>
      </c>
      <c r="C433" s="1234"/>
      <c r="D433" s="404">
        <f t="shared" si="61"/>
        <v>0</v>
      </c>
      <c r="E433" s="405">
        <f t="shared" si="62"/>
        <v>0</v>
      </c>
      <c r="F433" s="405">
        <f t="shared" si="63"/>
        <v>0</v>
      </c>
      <c r="H433" s="121" t="str">
        <f t="shared" si="59"/>
        <v/>
      </c>
      <c r="K433" s="810">
        <f t="shared" si="60"/>
        <v>0</v>
      </c>
    </row>
    <row r="434" spans="1:11" ht="18" customHeight="1" thickBot="1" x14ac:dyDescent="0.25">
      <c r="A434" s="190" t="s">
        <v>758</v>
      </c>
      <c r="B434" s="1234" t="str">
        <f>IF('Phase Codes'!E98="","",'Phase Codes'!E98)</f>
        <v/>
      </c>
      <c r="C434" s="1234"/>
      <c r="D434" s="404">
        <f t="shared" si="61"/>
        <v>0</v>
      </c>
      <c r="E434" s="405">
        <f t="shared" si="62"/>
        <v>0</v>
      </c>
      <c r="F434" s="405">
        <f t="shared" si="63"/>
        <v>0</v>
      </c>
      <c r="H434" s="121" t="str">
        <f t="shared" si="59"/>
        <v/>
      </c>
      <c r="K434" s="810">
        <f t="shared" si="60"/>
        <v>0</v>
      </c>
    </row>
    <row r="435" spans="1:11" ht="18" customHeight="1" thickBot="1" x14ac:dyDescent="0.25">
      <c r="A435" s="190" t="s">
        <v>759</v>
      </c>
      <c r="B435" s="1234" t="str">
        <f>IF('Phase Codes'!E99="","",'Phase Codes'!E99)</f>
        <v/>
      </c>
      <c r="C435" s="1234"/>
      <c r="D435" s="404">
        <f t="shared" si="61"/>
        <v>0</v>
      </c>
      <c r="E435" s="405">
        <f t="shared" si="62"/>
        <v>0</v>
      </c>
      <c r="F435" s="405">
        <f t="shared" si="63"/>
        <v>0</v>
      </c>
      <c r="H435" s="121" t="str">
        <f t="shared" si="59"/>
        <v/>
      </c>
      <c r="K435" s="810">
        <f t="shared" si="60"/>
        <v>0</v>
      </c>
    </row>
    <row r="436" spans="1:11" ht="18" customHeight="1" thickBot="1" x14ac:dyDescent="0.25">
      <c r="A436" s="190" t="s">
        <v>760</v>
      </c>
      <c r="B436" s="1234" t="str">
        <f>IF('Phase Codes'!E100="","",'Phase Codes'!E100)</f>
        <v/>
      </c>
      <c r="C436" s="1234"/>
      <c r="D436" s="404">
        <f t="shared" si="61"/>
        <v>0</v>
      </c>
      <c r="E436" s="405">
        <f t="shared" si="62"/>
        <v>0</v>
      </c>
      <c r="F436" s="405">
        <f t="shared" si="63"/>
        <v>0</v>
      </c>
      <c r="H436" s="121" t="str">
        <f t="shared" si="59"/>
        <v/>
      </c>
      <c r="K436" s="810">
        <f t="shared" si="60"/>
        <v>0</v>
      </c>
    </row>
    <row r="437" spans="1:11" ht="18" customHeight="1" thickBot="1" x14ac:dyDescent="0.25">
      <c r="A437" s="190" t="s">
        <v>761</v>
      </c>
      <c r="B437" s="1234" t="str">
        <f>IF('Phase Codes'!E101="","",'Phase Codes'!E101)</f>
        <v/>
      </c>
      <c r="C437" s="1234"/>
      <c r="D437" s="404">
        <f t="shared" si="61"/>
        <v>0</v>
      </c>
      <c r="E437" s="405">
        <f t="shared" si="62"/>
        <v>0</v>
      </c>
      <c r="F437" s="405">
        <f t="shared" si="63"/>
        <v>0</v>
      </c>
      <c r="H437" s="121" t="str">
        <f t="shared" si="59"/>
        <v/>
      </c>
      <c r="K437" s="810">
        <f t="shared" si="60"/>
        <v>0</v>
      </c>
    </row>
    <row r="438" spans="1:11" ht="18" customHeight="1" thickBot="1" x14ac:dyDescent="0.25">
      <c r="A438" s="190" t="s">
        <v>762</v>
      </c>
      <c r="B438" s="1234" t="str">
        <f>IF('Phase Codes'!E102="","",'Phase Codes'!E102)</f>
        <v/>
      </c>
      <c r="C438" s="1234"/>
      <c r="D438" s="404">
        <f t="shared" si="61"/>
        <v>0</v>
      </c>
      <c r="E438" s="405">
        <f t="shared" si="62"/>
        <v>0</v>
      </c>
      <c r="F438" s="405">
        <f t="shared" si="63"/>
        <v>0</v>
      </c>
      <c r="H438" s="121" t="str">
        <f t="shared" si="59"/>
        <v/>
      </c>
      <c r="K438" s="810">
        <f t="shared" si="60"/>
        <v>0</v>
      </c>
    </row>
    <row r="439" spans="1:11" ht="18" customHeight="1" thickBot="1" x14ac:dyDescent="0.25">
      <c r="A439" s="165" t="s">
        <v>8</v>
      </c>
      <c r="B439" s="1235" t="s">
        <v>1594</v>
      </c>
      <c r="C439" s="1236"/>
      <c r="D439" s="210">
        <f t="shared" ref="D439:F439" si="64">SUM(D340:D438)</f>
        <v>0</v>
      </c>
      <c r="E439" s="191">
        <f t="shared" si="64"/>
        <v>0</v>
      </c>
      <c r="F439" s="191">
        <f t="shared" si="64"/>
        <v>0</v>
      </c>
      <c r="H439" s="121"/>
      <c r="K439" s="810">
        <f t="shared" si="60"/>
        <v>0</v>
      </c>
    </row>
    <row r="440" spans="1:11" ht="15" customHeight="1" x14ac:dyDescent="0.2">
      <c r="H440" s="121"/>
      <c r="K440" s="810">
        <f>K439</f>
        <v>0</v>
      </c>
    </row>
    <row r="441" spans="1:11" ht="15" customHeight="1" x14ac:dyDescent="0.2">
      <c r="C441" s="250" t="s">
        <v>1398</v>
      </c>
      <c r="D441" s="549">
        <f>D335+D439</f>
        <v>2367.91</v>
      </c>
      <c r="E441" s="550">
        <f>E335+E439</f>
        <v>247407.62160000001</v>
      </c>
      <c r="F441" s="550">
        <f>F335+F439</f>
        <v>15926.76</v>
      </c>
      <c r="H441" s="121"/>
      <c r="K441" s="810">
        <f>K439</f>
        <v>0</v>
      </c>
    </row>
    <row r="442" spans="1:11" ht="15" customHeight="1" thickBot="1" x14ac:dyDescent="0.3">
      <c r="A442" s="160"/>
      <c r="B442" s="160"/>
      <c r="C442" s="160"/>
      <c r="E442" s="158"/>
      <c r="F442" s="158"/>
      <c r="H442" s="121"/>
      <c r="K442" s="810">
        <f>K545</f>
        <v>0</v>
      </c>
    </row>
    <row r="443" spans="1:11" ht="16.5" thickBot="1" x14ac:dyDescent="0.3">
      <c r="A443" s="83"/>
      <c r="B443" s="1237" t="s">
        <v>324</v>
      </c>
      <c r="C443" s="1238"/>
      <c r="H443" s="121"/>
      <c r="K443" s="810">
        <f>K545</f>
        <v>0</v>
      </c>
    </row>
    <row r="444" spans="1:11" ht="26.25" thickBot="1" x14ac:dyDescent="0.25">
      <c r="A444" s="162" t="s">
        <v>325</v>
      </c>
      <c r="B444" s="1239" t="s">
        <v>0</v>
      </c>
      <c r="C444" s="1240"/>
      <c r="D444" s="163" t="s">
        <v>326</v>
      </c>
      <c r="E444" s="163" t="s">
        <v>327</v>
      </c>
      <c r="F444" s="163" t="s">
        <v>328</v>
      </c>
      <c r="G444" s="163" t="s">
        <v>1323</v>
      </c>
      <c r="H444" s="163" t="s">
        <v>1317</v>
      </c>
      <c r="K444" s="810">
        <f>K545</f>
        <v>0</v>
      </c>
    </row>
    <row r="445" spans="1:11" ht="17.100000000000001" customHeight="1" thickBot="1" x14ac:dyDescent="0.3">
      <c r="A445" s="164" t="s">
        <v>335</v>
      </c>
      <c r="B445" s="164"/>
      <c r="H445" s="121"/>
      <c r="K445" s="810">
        <f>K545</f>
        <v>0</v>
      </c>
    </row>
    <row r="446" spans="1:11" ht="18" customHeight="1" thickBot="1" x14ac:dyDescent="0.25">
      <c r="A446" s="190" t="s">
        <v>232</v>
      </c>
      <c r="B446" s="1234" t="str">
        <f>IF('Phase Codes'!F4="","",'Phase Codes'!F4)</f>
        <v>Supervision</v>
      </c>
      <c r="C446" s="1234"/>
      <c r="D446" s="404">
        <f>SUMIFS(SM_FieldLaborColumn,PC_SM_Field,$A446)+'MCAA RECAP'!F49</f>
        <v>0</v>
      </c>
      <c r="E446" s="405">
        <f>SUMIFS(Takeoff_Total_Field_Labor_Cost,PC_SM_Field,$A446)+'MCAA RECAP'!H49</f>
        <v>0</v>
      </c>
      <c r="F446" s="405">
        <f t="shared" ref="F446:F509" si="65">SUMIFS(SM_MaterialColumn,PC_SM_Material,$A446)</f>
        <v>0</v>
      </c>
      <c r="G446" t="s">
        <v>1319</v>
      </c>
      <c r="H446" s="121">
        <f t="shared" ref="H446:H509" si="66">IF($G446="E",6,IF($G446="M",3,IF($G446="OH","?",IF($G446="OT",7,IF($G446="S",4,"")))))</f>
        <v>3</v>
      </c>
      <c r="K446" s="810">
        <f>SUM(D446:F446)</f>
        <v>0</v>
      </c>
    </row>
    <row r="447" spans="1:11" ht="18" customHeight="1" thickBot="1" x14ac:dyDescent="0.25">
      <c r="A447" s="190" t="s">
        <v>763</v>
      </c>
      <c r="B447" s="1234" t="str">
        <f>IF('Phase Codes'!F5="","",'Phase Codes'!F5)</f>
        <v>Hangers</v>
      </c>
      <c r="C447" s="1234"/>
      <c r="D447" s="404">
        <f t="shared" ref="D447:D477" si="67">SUMIFS(SM_FieldLaborColumn,PC_SM_Field,$A447)</f>
        <v>0</v>
      </c>
      <c r="E447" s="405">
        <f t="shared" ref="E447:E477" si="68">SUMIFS(Takeoff_Total_Field_Labor_Cost,PC_SM_Field,$A447)</f>
        <v>0</v>
      </c>
      <c r="F447" s="405">
        <f t="shared" si="65"/>
        <v>0</v>
      </c>
      <c r="G447" t="s">
        <v>1319</v>
      </c>
      <c r="H447" s="121">
        <f t="shared" si="66"/>
        <v>3</v>
      </c>
      <c r="K447" s="810">
        <f t="shared" ref="K447:K510" si="69">SUM(D447:F447)</f>
        <v>0</v>
      </c>
    </row>
    <row r="448" spans="1:11" ht="18" customHeight="1" thickBot="1" x14ac:dyDescent="0.25">
      <c r="A448" s="190" t="s">
        <v>764</v>
      </c>
      <c r="B448" s="1234" t="str">
        <f>IF('Phase Codes'!F6="","",'Phase Codes'!F6)</f>
        <v>Floor Supports</v>
      </c>
      <c r="C448" s="1234"/>
      <c r="D448" s="404">
        <f t="shared" si="67"/>
        <v>0</v>
      </c>
      <c r="E448" s="405">
        <f t="shared" si="68"/>
        <v>0</v>
      </c>
      <c r="F448" s="405">
        <f t="shared" si="65"/>
        <v>0</v>
      </c>
      <c r="G448" t="s">
        <v>1319</v>
      </c>
      <c r="H448" s="121">
        <f t="shared" si="66"/>
        <v>3</v>
      </c>
      <c r="K448" s="810">
        <f t="shared" si="69"/>
        <v>0</v>
      </c>
    </row>
    <row r="449" spans="1:11" ht="18" customHeight="1" thickBot="1" x14ac:dyDescent="0.25">
      <c r="A449" s="190" t="s">
        <v>765</v>
      </c>
      <c r="B449" s="1234" t="str">
        <f>IF('Phase Codes'!F7="","",'Phase Codes'!F7)</f>
        <v>QA/QC</v>
      </c>
      <c r="C449" s="1234"/>
      <c r="D449" s="404">
        <f>SUMIFS(SM_FieldLaborColumn,PC_SM_Field,$A449)+'MCAA RECAP'!E15</f>
        <v>0</v>
      </c>
      <c r="E449" s="405">
        <f>SUMIFS(Takeoff_Total_Field_Labor_Cost,PC_SM_Field,$A449)+('MCAA RECAP'!E15*CrewRate_Plumb)</f>
        <v>0</v>
      </c>
      <c r="F449" s="405">
        <f t="shared" si="65"/>
        <v>0</v>
      </c>
      <c r="G449" t="s">
        <v>1319</v>
      </c>
      <c r="H449" s="121">
        <f t="shared" si="66"/>
        <v>3</v>
      </c>
      <c r="K449" s="810">
        <f t="shared" si="69"/>
        <v>0</v>
      </c>
    </row>
    <row r="450" spans="1:11" ht="18" customHeight="1" thickBot="1" x14ac:dyDescent="0.25">
      <c r="A450" s="190" t="s">
        <v>766</v>
      </c>
      <c r="B450" s="1234" t="str">
        <f>IF('Phase Codes'!F8="","",'Phase Codes'!F8)</f>
        <v>Detailing</v>
      </c>
      <c r="C450" s="1234"/>
      <c r="D450" s="404">
        <f>SUMIFS(SM_FieldLaborColumn,PC_SM_Field,$A450)</f>
        <v>0</v>
      </c>
      <c r="E450" s="405">
        <f>SUMIFS(Takeoff_Total_Field_Labor_Cost,PC_SM_Field,$A450)</f>
        <v>0</v>
      </c>
      <c r="F450" s="405">
        <f t="shared" si="65"/>
        <v>0</v>
      </c>
      <c r="G450" t="s">
        <v>1319</v>
      </c>
      <c r="H450" s="121">
        <f t="shared" si="66"/>
        <v>3</v>
      </c>
      <c r="K450" s="810">
        <f t="shared" si="69"/>
        <v>0</v>
      </c>
    </row>
    <row r="451" spans="1:11" ht="18" customHeight="1" thickBot="1" x14ac:dyDescent="0.25">
      <c r="A451" s="190" t="s">
        <v>767</v>
      </c>
      <c r="B451" s="1234" t="str">
        <f>IF('Phase Codes'!F9="","",'Phase Codes'!F9)</f>
        <v>Material Handling</v>
      </c>
      <c r="C451" s="1234"/>
      <c r="D451" s="404">
        <f>SUMIFS(SM_FieldLaborColumn,PC_SM_Field,$A451)+'MCAA RECAP'!E16</f>
        <v>0</v>
      </c>
      <c r="E451" s="405">
        <f>SUMIFS(Takeoff_Total_Field_Labor_Cost,PC_SM_Field,$A451)+('MCAA RECAP'!E16*CrewRate_Plumb)</f>
        <v>0</v>
      </c>
      <c r="F451" s="405">
        <f t="shared" si="65"/>
        <v>0</v>
      </c>
      <c r="G451" t="s">
        <v>1319</v>
      </c>
      <c r="H451" s="121">
        <f t="shared" si="66"/>
        <v>3</v>
      </c>
      <c r="K451" s="810">
        <f t="shared" si="69"/>
        <v>0</v>
      </c>
    </row>
    <row r="452" spans="1:11" ht="18" customHeight="1" thickBot="1" x14ac:dyDescent="0.25">
      <c r="A452" s="190" t="s">
        <v>768</v>
      </c>
      <c r="B452" s="1234" t="str">
        <f>IF('Phase Codes'!F10="","",'Phase Codes'!F10)</f>
        <v>Miscellaneous</v>
      </c>
      <c r="C452" s="1234"/>
      <c r="D452" s="404">
        <f t="shared" si="67"/>
        <v>0</v>
      </c>
      <c r="E452" s="405">
        <f t="shared" si="68"/>
        <v>0</v>
      </c>
      <c r="F452" s="405">
        <f t="shared" si="65"/>
        <v>0</v>
      </c>
      <c r="G452" t="s">
        <v>1319</v>
      </c>
      <c r="H452" s="121">
        <f t="shared" si="66"/>
        <v>3</v>
      </c>
      <c r="K452" s="810">
        <f t="shared" si="69"/>
        <v>0</v>
      </c>
    </row>
    <row r="453" spans="1:11" ht="18" customHeight="1" thickBot="1" x14ac:dyDescent="0.25">
      <c r="A453" s="190" t="s">
        <v>769</v>
      </c>
      <c r="B453" s="1234" t="str">
        <f>IF('Phase Codes'!F11="","",'Phase Codes'!F11)</f>
        <v>Ind Advancement Program - Loc290</v>
      </c>
      <c r="C453" s="1234"/>
      <c r="D453" s="404">
        <f t="shared" si="67"/>
        <v>0</v>
      </c>
      <c r="E453" s="405">
        <f>SUMIFS(Takeoff_Total_Field_Labor_Cost,PC_SM_Field,$A453)+(ABS('Work Recovery'!H10)*-1)</f>
        <v>0</v>
      </c>
      <c r="F453" s="405">
        <f t="shared" si="65"/>
        <v>0</v>
      </c>
      <c r="G453" t="s">
        <v>1322</v>
      </c>
      <c r="H453" s="121" t="s">
        <v>1828</v>
      </c>
      <c r="K453" s="810">
        <f t="shared" si="69"/>
        <v>0</v>
      </c>
    </row>
    <row r="454" spans="1:11" ht="18" customHeight="1" thickBot="1" x14ac:dyDescent="0.25">
      <c r="A454" s="190" t="s">
        <v>770</v>
      </c>
      <c r="B454" s="1234" t="str">
        <f>IF('Phase Codes'!F12="","",'Phase Codes'!F12)</f>
        <v>Safety Time</v>
      </c>
      <c r="C454" s="1234"/>
      <c r="D454" s="404">
        <f>SUMIFS(SM_FieldLaborColumn,PC_SM_Field,$A454)+'MCAA RECAP'!E14</f>
        <v>0</v>
      </c>
      <c r="E454" s="405">
        <f>SUMIFS(Takeoff_Total_Field_Labor_Cost,PC_SM_Field,$A454)+('MCAA RECAP'!E14*CrewRate_Plumb)</f>
        <v>0</v>
      </c>
      <c r="F454" s="405">
        <f t="shared" si="65"/>
        <v>0</v>
      </c>
      <c r="G454" t="s">
        <v>1319</v>
      </c>
      <c r="H454" s="121">
        <f t="shared" si="66"/>
        <v>3</v>
      </c>
      <c r="K454" s="810">
        <f t="shared" si="69"/>
        <v>0</v>
      </c>
    </row>
    <row r="455" spans="1:11" ht="18" customHeight="1" thickBot="1" x14ac:dyDescent="0.25">
      <c r="A455" s="190" t="s">
        <v>771</v>
      </c>
      <c r="B455" s="1234" t="str">
        <f>IF('Phase Codes'!F13="","",'Phase Codes'!F13)</f>
        <v>Testing</v>
      </c>
      <c r="C455" s="1234"/>
      <c r="D455" s="404">
        <f>SUMIFS(SM_FieldLaborColumn,PC_SM_Field,$A455)+'MCAA RECAP'!E13</f>
        <v>0</v>
      </c>
      <c r="E455" s="405">
        <f>SUMIFS(Takeoff_Total_Field_Labor_Cost,PC_SM_Field,$A455)+('MCAA RECAP'!E13*CrewRate_Plumb)</f>
        <v>0</v>
      </c>
      <c r="F455" s="405">
        <f t="shared" si="65"/>
        <v>0</v>
      </c>
      <c r="G455" t="s">
        <v>1319</v>
      </c>
      <c r="H455" s="121">
        <f t="shared" si="66"/>
        <v>3</v>
      </c>
      <c r="K455" s="810">
        <f t="shared" si="69"/>
        <v>0</v>
      </c>
    </row>
    <row r="456" spans="1:11" ht="18" customHeight="1" thickBot="1" x14ac:dyDescent="0.25">
      <c r="A456" s="190" t="s">
        <v>772</v>
      </c>
      <c r="B456" s="1234" t="str">
        <f>IF('Phase Codes'!F14="","",'Phase Codes'!F14)</f>
        <v>Training and Orientation</v>
      </c>
      <c r="C456" s="1234"/>
      <c r="D456" s="404">
        <f t="shared" si="67"/>
        <v>0</v>
      </c>
      <c r="E456" s="405">
        <f t="shared" si="68"/>
        <v>0</v>
      </c>
      <c r="F456" s="405">
        <f t="shared" si="65"/>
        <v>0</v>
      </c>
      <c r="G456" t="s">
        <v>1319</v>
      </c>
      <c r="H456" s="121">
        <f t="shared" si="66"/>
        <v>3</v>
      </c>
      <c r="K456" s="810">
        <f t="shared" si="69"/>
        <v>0</v>
      </c>
    </row>
    <row r="457" spans="1:11" ht="18" customHeight="1" thickBot="1" x14ac:dyDescent="0.25">
      <c r="A457" s="190" t="s">
        <v>773</v>
      </c>
      <c r="B457" s="1234" t="str">
        <f>IF('Phase Codes'!F15="","",'Phase Codes'!F15)</f>
        <v>Welded Ferrous Steel Systems</v>
      </c>
      <c r="C457" s="1234"/>
      <c r="D457" s="404">
        <f t="shared" si="67"/>
        <v>0</v>
      </c>
      <c r="E457" s="405">
        <f t="shared" si="68"/>
        <v>0</v>
      </c>
      <c r="F457" s="405">
        <f t="shared" si="65"/>
        <v>0</v>
      </c>
      <c r="G457" t="s">
        <v>1319</v>
      </c>
      <c r="H457" s="121">
        <f t="shared" si="66"/>
        <v>3</v>
      </c>
      <c r="K457" s="810">
        <f t="shared" si="69"/>
        <v>0</v>
      </c>
    </row>
    <row r="458" spans="1:11" ht="18" customHeight="1" thickBot="1" x14ac:dyDescent="0.25">
      <c r="A458" s="190" t="s">
        <v>774</v>
      </c>
      <c r="B458" s="1234" t="str">
        <f>IF('Phase Codes'!F16="","",'Phase Codes'!F16)</f>
        <v>Welded Alloy Systems</v>
      </c>
      <c r="C458" s="1234"/>
      <c r="D458" s="404">
        <f t="shared" si="67"/>
        <v>0</v>
      </c>
      <c r="E458" s="405">
        <f t="shared" si="68"/>
        <v>0</v>
      </c>
      <c r="F458" s="405">
        <f t="shared" si="65"/>
        <v>0</v>
      </c>
      <c r="G458" t="s">
        <v>1319</v>
      </c>
      <c r="H458" s="121">
        <f t="shared" si="66"/>
        <v>3</v>
      </c>
      <c r="K458" s="810">
        <f t="shared" si="69"/>
        <v>0</v>
      </c>
    </row>
    <row r="459" spans="1:11" ht="18" customHeight="1" thickBot="1" x14ac:dyDescent="0.25">
      <c r="A459" s="190" t="s">
        <v>775</v>
      </c>
      <c r="B459" s="1234" t="str">
        <f>IF('Phase Codes'!F17="","",'Phase Codes'!F17)</f>
        <v>Threaded and Coupled Systems</v>
      </c>
      <c r="C459" s="1234"/>
      <c r="D459" s="404">
        <f t="shared" si="67"/>
        <v>0</v>
      </c>
      <c r="E459" s="405">
        <f t="shared" si="68"/>
        <v>0</v>
      </c>
      <c r="F459" s="405">
        <f t="shared" si="65"/>
        <v>0</v>
      </c>
      <c r="G459" t="s">
        <v>1319</v>
      </c>
      <c r="H459" s="121">
        <f t="shared" si="66"/>
        <v>3</v>
      </c>
      <c r="K459" s="810">
        <f t="shared" si="69"/>
        <v>0</v>
      </c>
    </row>
    <row r="460" spans="1:11" ht="18" customHeight="1" thickBot="1" x14ac:dyDescent="0.25">
      <c r="A460" s="190" t="s">
        <v>776</v>
      </c>
      <c r="B460" s="1234" t="str">
        <f>IF('Phase Codes'!F18="","",'Phase Codes'!F18)</f>
        <v>Grooved Systems</v>
      </c>
      <c r="C460" s="1234"/>
      <c r="D460" s="404">
        <f t="shared" si="67"/>
        <v>0</v>
      </c>
      <c r="E460" s="405">
        <f t="shared" si="68"/>
        <v>0</v>
      </c>
      <c r="F460" s="405">
        <f t="shared" si="65"/>
        <v>0</v>
      </c>
      <c r="G460" t="s">
        <v>1319</v>
      </c>
      <c r="H460" s="121">
        <f t="shared" si="66"/>
        <v>3</v>
      </c>
      <c r="K460" s="810">
        <f t="shared" si="69"/>
        <v>0</v>
      </c>
    </row>
    <row r="461" spans="1:11" ht="18" customHeight="1" thickBot="1" x14ac:dyDescent="0.25">
      <c r="A461" s="190" t="s">
        <v>777</v>
      </c>
      <c r="B461" s="1234" t="str">
        <f>IF('Phase Codes'!F19="","",'Phase Codes'!F19)</f>
        <v>Copper Systems</v>
      </c>
      <c r="C461" s="1234"/>
      <c r="D461" s="404">
        <f t="shared" si="67"/>
        <v>0</v>
      </c>
      <c r="E461" s="405">
        <f t="shared" si="68"/>
        <v>0</v>
      </c>
      <c r="F461" s="405">
        <f t="shared" si="65"/>
        <v>0</v>
      </c>
      <c r="G461" t="s">
        <v>1319</v>
      </c>
      <c r="H461" s="121">
        <f t="shared" si="66"/>
        <v>3</v>
      </c>
      <c r="K461" s="810">
        <f t="shared" si="69"/>
        <v>0</v>
      </c>
    </row>
    <row r="462" spans="1:11" ht="18" customHeight="1" thickBot="1" x14ac:dyDescent="0.25">
      <c r="A462" s="190" t="s">
        <v>778</v>
      </c>
      <c r="B462" s="1234" t="str">
        <f>IF('Phase Codes'!F20="","",'Phase Codes'!F20)</f>
        <v>High Purity/Med Systems</v>
      </c>
      <c r="C462" s="1234"/>
      <c r="D462" s="404">
        <f t="shared" si="67"/>
        <v>0</v>
      </c>
      <c r="E462" s="405">
        <f t="shared" si="68"/>
        <v>0</v>
      </c>
      <c r="F462" s="405">
        <f t="shared" si="65"/>
        <v>0</v>
      </c>
      <c r="G462" t="s">
        <v>1319</v>
      </c>
      <c r="H462" s="121">
        <f t="shared" si="66"/>
        <v>3</v>
      </c>
      <c r="K462" s="810">
        <f t="shared" si="69"/>
        <v>0</v>
      </c>
    </row>
    <row r="463" spans="1:11" ht="18" customHeight="1" thickBot="1" x14ac:dyDescent="0.25">
      <c r="A463" s="190" t="s">
        <v>779</v>
      </c>
      <c r="B463" s="1234" t="str">
        <f>IF('Phase Codes'!F21="","",'Phase Codes'!F21)</f>
        <v>Cemented Plastic Systems</v>
      </c>
      <c r="C463" s="1234"/>
      <c r="D463" s="404">
        <f t="shared" si="67"/>
        <v>0</v>
      </c>
      <c r="E463" s="405">
        <f t="shared" si="68"/>
        <v>0</v>
      </c>
      <c r="F463" s="405">
        <f t="shared" si="65"/>
        <v>0</v>
      </c>
      <c r="G463" t="s">
        <v>1319</v>
      </c>
      <c r="H463" s="121">
        <f t="shared" si="66"/>
        <v>3</v>
      </c>
      <c r="K463" s="810">
        <f t="shared" si="69"/>
        <v>0</v>
      </c>
    </row>
    <row r="464" spans="1:11" ht="18" customHeight="1" thickBot="1" x14ac:dyDescent="0.25">
      <c r="A464" s="190" t="s">
        <v>780</v>
      </c>
      <c r="B464" s="1234" t="str">
        <f>IF('Phase Codes'!F22="","",'Phase Codes'!F22)</f>
        <v>Thermoplastic Systems</v>
      </c>
      <c r="C464" s="1234"/>
      <c r="D464" s="404">
        <f t="shared" si="67"/>
        <v>0</v>
      </c>
      <c r="E464" s="405">
        <f t="shared" si="68"/>
        <v>0</v>
      </c>
      <c r="F464" s="405">
        <f t="shared" si="65"/>
        <v>0</v>
      </c>
      <c r="G464" t="s">
        <v>1319</v>
      </c>
      <c r="H464" s="121">
        <f t="shared" si="66"/>
        <v>3</v>
      </c>
      <c r="K464" s="810">
        <f t="shared" si="69"/>
        <v>0</v>
      </c>
    </row>
    <row r="465" spans="1:11" ht="18" customHeight="1" thickBot="1" x14ac:dyDescent="0.25">
      <c r="A465" s="190" t="s">
        <v>781</v>
      </c>
      <c r="B465" s="1234" t="str">
        <f>IF('Phase Codes'!F23="","",'Phase Codes'!F23)</f>
        <v>Assemblies and Batteries</v>
      </c>
      <c r="C465" s="1234"/>
      <c r="D465" s="404">
        <f t="shared" si="67"/>
        <v>0</v>
      </c>
      <c r="E465" s="405">
        <f t="shared" si="68"/>
        <v>0</v>
      </c>
      <c r="F465" s="405">
        <f t="shared" si="65"/>
        <v>0</v>
      </c>
      <c r="G465" t="s">
        <v>1319</v>
      </c>
      <c r="H465" s="121">
        <f t="shared" si="66"/>
        <v>3</v>
      </c>
      <c r="K465" s="810">
        <f t="shared" si="69"/>
        <v>0</v>
      </c>
    </row>
    <row r="466" spans="1:11" ht="18" customHeight="1" thickBot="1" x14ac:dyDescent="0.25">
      <c r="A466" s="190" t="s">
        <v>782</v>
      </c>
      <c r="B466" s="1234" t="str">
        <f>IF('Phase Codes'!F24="","",'Phase Codes'!F24)</f>
        <v>Waste and Vent Systems AG</v>
      </c>
      <c r="C466" s="1234"/>
      <c r="D466" s="404">
        <f t="shared" si="67"/>
        <v>0</v>
      </c>
      <c r="E466" s="405">
        <f t="shared" si="68"/>
        <v>0</v>
      </c>
      <c r="F466" s="405">
        <f t="shared" si="65"/>
        <v>0</v>
      </c>
      <c r="G466" t="s">
        <v>1319</v>
      </c>
      <c r="H466" s="121">
        <f t="shared" si="66"/>
        <v>3</v>
      </c>
      <c r="K466" s="810">
        <f t="shared" si="69"/>
        <v>0</v>
      </c>
    </row>
    <row r="467" spans="1:11" ht="18" customHeight="1" thickBot="1" x14ac:dyDescent="0.25">
      <c r="A467" s="190" t="s">
        <v>783</v>
      </c>
      <c r="B467" s="1234" t="str">
        <f>IF('Phase Codes'!F25="","",'Phase Codes'!F25)</f>
        <v>Waste and Vent Systems BG</v>
      </c>
      <c r="C467" s="1234"/>
      <c r="D467" s="404">
        <f t="shared" si="67"/>
        <v>0</v>
      </c>
      <c r="E467" s="405">
        <f t="shared" si="68"/>
        <v>0</v>
      </c>
      <c r="F467" s="405">
        <f t="shared" si="65"/>
        <v>0</v>
      </c>
      <c r="G467" t="s">
        <v>1319</v>
      </c>
      <c r="H467" s="121">
        <f t="shared" si="66"/>
        <v>3</v>
      </c>
      <c r="K467" s="810">
        <f t="shared" si="69"/>
        <v>0</v>
      </c>
    </row>
    <row r="468" spans="1:11" ht="18" customHeight="1" thickBot="1" x14ac:dyDescent="0.25">
      <c r="A468" s="190" t="s">
        <v>784</v>
      </c>
      <c r="B468" s="1234" t="str">
        <f>IF('Phase Codes'!F26="","",'Phase Codes'!F26)</f>
        <v>Tubing Systems</v>
      </c>
      <c r="C468" s="1234"/>
      <c r="D468" s="404">
        <f t="shared" si="67"/>
        <v>0</v>
      </c>
      <c r="E468" s="405">
        <f t="shared" si="68"/>
        <v>0</v>
      </c>
      <c r="F468" s="405">
        <f t="shared" si="65"/>
        <v>0</v>
      </c>
      <c r="G468" t="s">
        <v>1319</v>
      </c>
      <c r="H468" s="121">
        <f t="shared" si="66"/>
        <v>3</v>
      </c>
      <c r="K468" s="810">
        <f t="shared" si="69"/>
        <v>0</v>
      </c>
    </row>
    <row r="469" spans="1:11" ht="18" customHeight="1" thickBot="1" x14ac:dyDescent="0.25">
      <c r="A469" s="190" t="s">
        <v>785</v>
      </c>
      <c r="B469" s="1234" t="str">
        <f>IF('Phase Codes'!F27="","",'Phase Codes'!F27)</f>
        <v>Double Contained Piping</v>
      </c>
      <c r="C469" s="1234"/>
      <c r="D469" s="404">
        <f t="shared" si="67"/>
        <v>0</v>
      </c>
      <c r="E469" s="405">
        <f t="shared" si="68"/>
        <v>0</v>
      </c>
      <c r="F469" s="405">
        <f t="shared" si="65"/>
        <v>0</v>
      </c>
      <c r="G469" t="s">
        <v>1319</v>
      </c>
      <c r="H469" s="121">
        <f t="shared" si="66"/>
        <v>3</v>
      </c>
      <c r="K469" s="810">
        <f t="shared" si="69"/>
        <v>0</v>
      </c>
    </row>
    <row r="470" spans="1:11" ht="18" customHeight="1" thickBot="1" x14ac:dyDescent="0.25">
      <c r="A470" s="190" t="s">
        <v>786</v>
      </c>
      <c r="B470" s="1234" t="str">
        <f>IF('Phase Codes'!F28="","",'Phase Codes'!F28)</f>
        <v>Excavation and Backfill</v>
      </c>
      <c r="C470" s="1234"/>
      <c r="D470" s="404">
        <f t="shared" si="67"/>
        <v>0</v>
      </c>
      <c r="E470" s="405">
        <f t="shared" si="68"/>
        <v>0</v>
      </c>
      <c r="F470" s="405">
        <f t="shared" si="65"/>
        <v>0</v>
      </c>
      <c r="G470" t="s">
        <v>1319</v>
      </c>
      <c r="H470" s="121">
        <f t="shared" si="66"/>
        <v>3</v>
      </c>
      <c r="K470" s="810">
        <f t="shared" si="69"/>
        <v>0</v>
      </c>
    </row>
    <row r="471" spans="1:11" ht="18" customHeight="1" thickBot="1" x14ac:dyDescent="0.25">
      <c r="A471" s="190" t="s">
        <v>787</v>
      </c>
      <c r="B471" s="1234" t="str">
        <f>IF('Phase Codes'!F29="","",'Phase Codes'!F29)</f>
        <v>Medical Equipment Installation</v>
      </c>
      <c r="C471" s="1234"/>
      <c r="D471" s="404">
        <f t="shared" si="67"/>
        <v>0</v>
      </c>
      <c r="E471" s="405">
        <f t="shared" si="68"/>
        <v>0</v>
      </c>
      <c r="F471" s="405">
        <f t="shared" si="65"/>
        <v>0</v>
      </c>
      <c r="G471" t="s">
        <v>1319</v>
      </c>
      <c r="H471" s="121">
        <f t="shared" si="66"/>
        <v>3</v>
      </c>
      <c r="K471" s="810">
        <f t="shared" si="69"/>
        <v>0</v>
      </c>
    </row>
    <row r="472" spans="1:11" ht="18" customHeight="1" thickBot="1" x14ac:dyDescent="0.25">
      <c r="A472" s="190" t="s">
        <v>788</v>
      </c>
      <c r="B472" s="1234" t="str">
        <f>IF('Phase Codes'!F30="","",'Phase Codes'!F30)</f>
        <v>Fixtures and Carriers</v>
      </c>
      <c r="C472" s="1234"/>
      <c r="D472" s="404">
        <f t="shared" si="67"/>
        <v>0</v>
      </c>
      <c r="E472" s="405">
        <f t="shared" si="68"/>
        <v>0</v>
      </c>
      <c r="F472" s="405">
        <f t="shared" si="65"/>
        <v>0</v>
      </c>
      <c r="G472" t="s">
        <v>1319</v>
      </c>
      <c r="H472" s="121">
        <f t="shared" si="66"/>
        <v>3</v>
      </c>
      <c r="K472" s="810">
        <f t="shared" si="69"/>
        <v>0</v>
      </c>
    </row>
    <row r="473" spans="1:11" ht="18" customHeight="1" thickBot="1" x14ac:dyDescent="0.25">
      <c r="A473" s="190" t="s">
        <v>789</v>
      </c>
      <c r="B473" s="1234" t="str">
        <f>IF('Phase Codes'!F31="","",'Phase Codes'!F31)</f>
        <v>Labels and ID</v>
      </c>
      <c r="C473" s="1234"/>
      <c r="D473" s="404">
        <f t="shared" si="67"/>
        <v>0</v>
      </c>
      <c r="E473" s="405">
        <f t="shared" si="68"/>
        <v>0</v>
      </c>
      <c r="F473" s="405">
        <f t="shared" si="65"/>
        <v>0</v>
      </c>
      <c r="G473" t="s">
        <v>1319</v>
      </c>
      <c r="H473" s="121">
        <f t="shared" si="66"/>
        <v>3</v>
      </c>
      <c r="K473" s="810">
        <f t="shared" si="69"/>
        <v>0</v>
      </c>
    </row>
    <row r="474" spans="1:11" ht="18" customHeight="1" thickBot="1" x14ac:dyDescent="0.25">
      <c r="A474" s="190" t="s">
        <v>790</v>
      </c>
      <c r="B474" s="1234" t="str">
        <f>IF('Phase Codes'!F32="","",'Phase Codes'!F32)</f>
        <v>Access Doors</v>
      </c>
      <c r="C474" s="1234"/>
      <c r="D474" s="404">
        <f t="shared" si="67"/>
        <v>0</v>
      </c>
      <c r="E474" s="405">
        <f t="shared" si="68"/>
        <v>0</v>
      </c>
      <c r="F474" s="405">
        <f t="shared" si="65"/>
        <v>0</v>
      </c>
      <c r="G474" t="s">
        <v>1319</v>
      </c>
      <c r="H474" s="121">
        <f t="shared" si="66"/>
        <v>3</v>
      </c>
      <c r="K474" s="810">
        <f t="shared" si="69"/>
        <v>0</v>
      </c>
    </row>
    <row r="475" spans="1:11" ht="18" customHeight="1" thickBot="1" x14ac:dyDescent="0.25">
      <c r="A475" s="190" t="s">
        <v>791</v>
      </c>
      <c r="B475" s="1234" t="str">
        <f>IF('Phase Codes'!F33="","",'Phase Codes'!F33)</f>
        <v>Demolition</v>
      </c>
      <c r="C475" s="1234"/>
      <c r="D475" s="404">
        <f t="shared" si="67"/>
        <v>0</v>
      </c>
      <c r="E475" s="405">
        <f t="shared" si="68"/>
        <v>0</v>
      </c>
      <c r="F475" s="405">
        <f t="shared" si="65"/>
        <v>0</v>
      </c>
      <c r="G475" t="s">
        <v>1319</v>
      </c>
      <c r="H475" s="121">
        <f t="shared" si="66"/>
        <v>3</v>
      </c>
      <c r="K475" s="810">
        <f t="shared" si="69"/>
        <v>0</v>
      </c>
    </row>
    <row r="476" spans="1:11" ht="18" customHeight="1" thickBot="1" x14ac:dyDescent="0.25">
      <c r="A476" s="190" t="s">
        <v>792</v>
      </c>
      <c r="B476" s="1234" t="str">
        <f>IF('Phase Codes'!F34="","",'Phase Codes'!F34)</f>
        <v>Equipment Installation</v>
      </c>
      <c r="C476" s="1234"/>
      <c r="D476" s="404">
        <f t="shared" si="67"/>
        <v>0</v>
      </c>
      <c r="E476" s="405">
        <f t="shared" si="68"/>
        <v>0</v>
      </c>
      <c r="F476" s="405">
        <f t="shared" si="65"/>
        <v>0</v>
      </c>
      <c r="G476" t="s">
        <v>1319</v>
      </c>
      <c r="H476" s="121">
        <f t="shared" si="66"/>
        <v>3</v>
      </c>
      <c r="K476" s="810">
        <f t="shared" si="69"/>
        <v>0</v>
      </c>
    </row>
    <row r="477" spans="1:11" ht="18" customHeight="1" thickBot="1" x14ac:dyDescent="0.25">
      <c r="A477" s="190" t="s">
        <v>793</v>
      </c>
      <c r="B477" s="1234" t="str">
        <f>IF('Phase Codes'!F35="","",'Phase Codes'!F35)</f>
        <v>Seismic Restraints</v>
      </c>
      <c r="C477" s="1234"/>
      <c r="D477" s="404">
        <f t="shared" si="67"/>
        <v>0</v>
      </c>
      <c r="E477" s="405">
        <f t="shared" si="68"/>
        <v>0</v>
      </c>
      <c r="F477" s="405">
        <f t="shared" si="65"/>
        <v>0</v>
      </c>
      <c r="G477" t="s">
        <v>1319</v>
      </c>
      <c r="H477" s="121">
        <f t="shared" si="66"/>
        <v>3</v>
      </c>
      <c r="K477" s="810">
        <f t="shared" si="69"/>
        <v>0</v>
      </c>
    </row>
    <row r="478" spans="1:11" ht="18" customHeight="1" thickBot="1" x14ac:dyDescent="0.25">
      <c r="A478" s="190" t="s">
        <v>794</v>
      </c>
      <c r="B478" s="1234" t="str">
        <f>IF('Phase Codes'!F36="","",'Phase Codes'!F36)</f>
        <v>Sealants and Fire Caulking</v>
      </c>
      <c r="C478" s="1234"/>
      <c r="D478" s="404">
        <f t="shared" ref="D478:D509" si="70">SUMIFS(SM_FieldLaborColumn,PC_SM_Field,$A478)</f>
        <v>0</v>
      </c>
      <c r="E478" s="405">
        <f t="shared" ref="E478:E509" si="71">SUMIFS(Takeoff_Total_Field_Labor_Cost,PC_SM_Field,$A478)</f>
        <v>0</v>
      </c>
      <c r="F478" s="405">
        <f t="shared" si="65"/>
        <v>0</v>
      </c>
      <c r="G478" t="s">
        <v>1319</v>
      </c>
      <c r="H478" s="121">
        <f t="shared" si="66"/>
        <v>3</v>
      </c>
      <c r="K478" s="810">
        <f t="shared" si="69"/>
        <v>0</v>
      </c>
    </row>
    <row r="479" spans="1:11" ht="18" customHeight="1" thickBot="1" x14ac:dyDescent="0.25">
      <c r="A479" s="190" t="s">
        <v>795</v>
      </c>
      <c r="B479" s="1234" t="str">
        <f>IF('Phase Codes'!F37="","",'Phase Codes'!F37)</f>
        <v>Startup and Commissioning</v>
      </c>
      <c r="C479" s="1234"/>
      <c r="D479" s="404">
        <f t="shared" si="70"/>
        <v>0</v>
      </c>
      <c r="E479" s="405">
        <f t="shared" si="71"/>
        <v>0</v>
      </c>
      <c r="F479" s="405">
        <f t="shared" si="65"/>
        <v>0</v>
      </c>
      <c r="G479" t="s">
        <v>1319</v>
      </c>
      <c r="H479" s="121">
        <f t="shared" si="66"/>
        <v>3</v>
      </c>
      <c r="K479" s="810">
        <f t="shared" si="69"/>
        <v>0</v>
      </c>
    </row>
    <row r="480" spans="1:11" ht="18" customHeight="1" thickBot="1" x14ac:dyDescent="0.25">
      <c r="A480" s="190" t="s">
        <v>796</v>
      </c>
      <c r="B480" s="1234" t="str">
        <f>IF('Phase Codes'!F38="","",'Phase Codes'!F38)</f>
        <v>Non-Chargeable</v>
      </c>
      <c r="C480" s="1234"/>
      <c r="D480" s="404">
        <f t="shared" si="70"/>
        <v>0</v>
      </c>
      <c r="E480" s="405">
        <f t="shared" si="71"/>
        <v>0</v>
      </c>
      <c r="F480" s="405">
        <f t="shared" si="65"/>
        <v>0</v>
      </c>
      <c r="G480" t="s">
        <v>1319</v>
      </c>
      <c r="H480" s="121">
        <f t="shared" si="66"/>
        <v>3</v>
      </c>
      <c r="K480" s="810">
        <f t="shared" si="69"/>
        <v>0</v>
      </c>
    </row>
    <row r="481" spans="1:11" ht="18" customHeight="1" thickBot="1" x14ac:dyDescent="0.25">
      <c r="A481" s="190" t="s">
        <v>797</v>
      </c>
      <c r="B481" s="1234" t="str">
        <f>IF('Phase Codes'!F39="","",'Phase Codes'!F39)</f>
        <v/>
      </c>
      <c r="C481" s="1234"/>
      <c r="D481" s="404">
        <f t="shared" si="70"/>
        <v>0</v>
      </c>
      <c r="E481" s="405">
        <f t="shared" si="71"/>
        <v>0</v>
      </c>
      <c r="F481" s="405">
        <f t="shared" si="65"/>
        <v>0</v>
      </c>
      <c r="H481" s="121" t="str">
        <f t="shared" si="66"/>
        <v/>
      </c>
      <c r="K481" s="810">
        <f t="shared" si="69"/>
        <v>0</v>
      </c>
    </row>
    <row r="482" spans="1:11" ht="18" customHeight="1" thickBot="1" x14ac:dyDescent="0.25">
      <c r="A482" s="190" t="s">
        <v>798</v>
      </c>
      <c r="B482" s="1234" t="str">
        <f>IF('Phase Codes'!F40="","",'Phase Codes'!F40)</f>
        <v/>
      </c>
      <c r="C482" s="1234"/>
      <c r="D482" s="404">
        <f t="shared" si="70"/>
        <v>0</v>
      </c>
      <c r="E482" s="405">
        <f t="shared" si="71"/>
        <v>0</v>
      </c>
      <c r="F482" s="405">
        <f t="shared" si="65"/>
        <v>0</v>
      </c>
      <c r="H482" s="121" t="str">
        <f t="shared" si="66"/>
        <v/>
      </c>
      <c r="K482" s="810">
        <f t="shared" si="69"/>
        <v>0</v>
      </c>
    </row>
    <row r="483" spans="1:11" ht="18" customHeight="1" thickBot="1" x14ac:dyDescent="0.25">
      <c r="A483" s="190" t="s">
        <v>799</v>
      </c>
      <c r="B483" s="1234" t="str">
        <f>IF('Phase Codes'!F41="","",'Phase Codes'!F41)</f>
        <v>Service</v>
      </c>
      <c r="C483" s="1234"/>
      <c r="D483" s="404">
        <f t="shared" si="70"/>
        <v>0</v>
      </c>
      <c r="E483" s="405">
        <f t="shared" si="71"/>
        <v>0</v>
      </c>
      <c r="F483" s="405">
        <f t="shared" si="65"/>
        <v>0</v>
      </c>
      <c r="G483" t="s">
        <v>1319</v>
      </c>
      <c r="H483" s="121">
        <f t="shared" si="66"/>
        <v>3</v>
      </c>
      <c r="K483" s="810">
        <f t="shared" si="69"/>
        <v>0</v>
      </c>
    </row>
    <row r="484" spans="1:11" ht="18" customHeight="1" thickBot="1" x14ac:dyDescent="0.25">
      <c r="A484" s="190" t="s">
        <v>800</v>
      </c>
      <c r="B484" s="1234" t="str">
        <f>IF('Phase Codes'!F42="","",'Phase Codes'!F42)</f>
        <v/>
      </c>
      <c r="C484" s="1234"/>
      <c r="D484" s="404">
        <f t="shared" si="70"/>
        <v>0</v>
      </c>
      <c r="E484" s="405">
        <f t="shared" si="71"/>
        <v>0</v>
      </c>
      <c r="F484" s="405">
        <f t="shared" si="65"/>
        <v>0</v>
      </c>
      <c r="H484" s="121" t="str">
        <f t="shared" si="66"/>
        <v/>
      </c>
      <c r="K484" s="810">
        <f t="shared" si="69"/>
        <v>0</v>
      </c>
    </row>
    <row r="485" spans="1:11" ht="18" customHeight="1" thickBot="1" x14ac:dyDescent="0.25">
      <c r="A485" s="190" t="s">
        <v>801</v>
      </c>
      <c r="B485" s="1234" t="str">
        <f>IF('Phase Codes'!F43="","",'Phase Codes'!F43)</f>
        <v/>
      </c>
      <c r="C485" s="1234"/>
      <c r="D485" s="404">
        <f t="shared" si="70"/>
        <v>0</v>
      </c>
      <c r="E485" s="405">
        <f t="shared" si="71"/>
        <v>0</v>
      </c>
      <c r="F485" s="405">
        <f t="shared" si="65"/>
        <v>0</v>
      </c>
      <c r="H485" s="121" t="str">
        <f t="shared" si="66"/>
        <v/>
      </c>
      <c r="K485" s="810">
        <f t="shared" si="69"/>
        <v>0</v>
      </c>
    </row>
    <row r="486" spans="1:11" ht="18" customHeight="1" thickBot="1" x14ac:dyDescent="0.25">
      <c r="A486" s="190" t="s">
        <v>802</v>
      </c>
      <c r="B486" s="1234" t="str">
        <f>IF('Phase Codes'!F44="","",'Phase Codes'!F44)</f>
        <v/>
      </c>
      <c r="C486" s="1234"/>
      <c r="D486" s="404">
        <f t="shared" si="70"/>
        <v>0</v>
      </c>
      <c r="E486" s="405">
        <f t="shared" si="71"/>
        <v>0</v>
      </c>
      <c r="F486" s="405">
        <f t="shared" si="65"/>
        <v>0</v>
      </c>
      <c r="H486" s="121" t="str">
        <f t="shared" si="66"/>
        <v/>
      </c>
      <c r="K486" s="810">
        <f t="shared" si="69"/>
        <v>0</v>
      </c>
    </row>
    <row r="487" spans="1:11" ht="18" customHeight="1" thickBot="1" x14ac:dyDescent="0.25">
      <c r="A487" s="190" t="s">
        <v>803</v>
      </c>
      <c r="B487" s="1234" t="str">
        <f>IF('Phase Codes'!F45="","",'Phase Codes'!F45)</f>
        <v/>
      </c>
      <c r="C487" s="1234"/>
      <c r="D487" s="404">
        <f t="shared" si="70"/>
        <v>0</v>
      </c>
      <c r="E487" s="405">
        <f t="shared" si="71"/>
        <v>0</v>
      </c>
      <c r="F487" s="405">
        <f t="shared" si="65"/>
        <v>0</v>
      </c>
      <c r="H487" s="121" t="str">
        <f t="shared" si="66"/>
        <v/>
      </c>
      <c r="K487" s="810">
        <f t="shared" si="69"/>
        <v>0</v>
      </c>
    </row>
    <row r="488" spans="1:11" ht="18" customHeight="1" thickBot="1" x14ac:dyDescent="0.25">
      <c r="A488" s="190" t="s">
        <v>804</v>
      </c>
      <c r="B488" s="1234" t="str">
        <f>IF('Phase Codes'!F46="","",'Phase Codes'!F46)</f>
        <v/>
      </c>
      <c r="C488" s="1234"/>
      <c r="D488" s="404">
        <f t="shared" si="70"/>
        <v>0</v>
      </c>
      <c r="E488" s="405">
        <f t="shared" si="71"/>
        <v>0</v>
      </c>
      <c r="F488" s="405">
        <f t="shared" si="65"/>
        <v>0</v>
      </c>
      <c r="H488" s="121" t="str">
        <f t="shared" si="66"/>
        <v/>
      </c>
      <c r="K488" s="810">
        <f t="shared" si="69"/>
        <v>0</v>
      </c>
    </row>
    <row r="489" spans="1:11" ht="18" customHeight="1" thickBot="1" x14ac:dyDescent="0.25">
      <c r="A489" s="190" t="s">
        <v>805</v>
      </c>
      <c r="B489" s="1234" t="str">
        <f>IF('Phase Codes'!F47="","",'Phase Codes'!F47)</f>
        <v/>
      </c>
      <c r="C489" s="1234"/>
      <c r="D489" s="404">
        <f t="shared" si="70"/>
        <v>0</v>
      </c>
      <c r="E489" s="405">
        <f t="shared" si="71"/>
        <v>0</v>
      </c>
      <c r="F489" s="405">
        <f t="shared" si="65"/>
        <v>0</v>
      </c>
      <c r="H489" s="121" t="str">
        <f t="shared" si="66"/>
        <v/>
      </c>
      <c r="K489" s="810">
        <f t="shared" si="69"/>
        <v>0</v>
      </c>
    </row>
    <row r="490" spans="1:11" ht="18" customHeight="1" thickBot="1" x14ac:dyDescent="0.25">
      <c r="A490" s="190" t="s">
        <v>806</v>
      </c>
      <c r="B490" s="1234" t="str">
        <f>IF('Phase Codes'!F48="","",'Phase Codes'!F48)</f>
        <v/>
      </c>
      <c r="C490" s="1234"/>
      <c r="D490" s="404">
        <f t="shared" si="70"/>
        <v>0</v>
      </c>
      <c r="E490" s="405">
        <f t="shared" si="71"/>
        <v>0</v>
      </c>
      <c r="F490" s="405">
        <f t="shared" si="65"/>
        <v>0</v>
      </c>
      <c r="H490" s="121" t="str">
        <f t="shared" si="66"/>
        <v/>
      </c>
      <c r="K490" s="810">
        <f t="shared" si="69"/>
        <v>0</v>
      </c>
    </row>
    <row r="491" spans="1:11" ht="18" customHeight="1" thickBot="1" x14ac:dyDescent="0.25">
      <c r="A491" s="190" t="s">
        <v>807</v>
      </c>
      <c r="B491" s="1234" t="str">
        <f>IF('Phase Codes'!F49="","",'Phase Codes'!F49)</f>
        <v/>
      </c>
      <c r="C491" s="1234"/>
      <c r="D491" s="404">
        <f t="shared" si="70"/>
        <v>0</v>
      </c>
      <c r="E491" s="405">
        <f t="shared" si="71"/>
        <v>0</v>
      </c>
      <c r="F491" s="405">
        <f t="shared" si="65"/>
        <v>0</v>
      </c>
      <c r="H491" s="121" t="str">
        <f t="shared" si="66"/>
        <v/>
      </c>
      <c r="K491" s="810">
        <f t="shared" si="69"/>
        <v>0</v>
      </c>
    </row>
    <row r="492" spans="1:11" ht="18" customHeight="1" thickBot="1" x14ac:dyDescent="0.25">
      <c r="A492" s="190" t="s">
        <v>808</v>
      </c>
      <c r="B492" s="1234" t="str">
        <f>IF('Phase Codes'!F50="","",'Phase Codes'!F50)</f>
        <v/>
      </c>
      <c r="C492" s="1234"/>
      <c r="D492" s="404">
        <f t="shared" si="70"/>
        <v>0</v>
      </c>
      <c r="E492" s="405">
        <f t="shared" si="71"/>
        <v>0</v>
      </c>
      <c r="F492" s="405">
        <f t="shared" si="65"/>
        <v>0</v>
      </c>
      <c r="H492" s="121" t="str">
        <f t="shared" si="66"/>
        <v/>
      </c>
      <c r="K492" s="810">
        <f t="shared" si="69"/>
        <v>0</v>
      </c>
    </row>
    <row r="493" spans="1:11" ht="18" customHeight="1" thickBot="1" x14ac:dyDescent="0.25">
      <c r="A493" s="190" t="s">
        <v>809</v>
      </c>
      <c r="B493" s="1234" t="str">
        <f>IF('Phase Codes'!F51="","",'Phase Codes'!F51)</f>
        <v/>
      </c>
      <c r="C493" s="1234"/>
      <c r="D493" s="404">
        <f t="shared" si="70"/>
        <v>0</v>
      </c>
      <c r="E493" s="405">
        <f t="shared" si="71"/>
        <v>0</v>
      </c>
      <c r="F493" s="405">
        <f t="shared" si="65"/>
        <v>0</v>
      </c>
      <c r="H493" s="121" t="str">
        <f t="shared" si="66"/>
        <v/>
      </c>
      <c r="K493" s="810">
        <f t="shared" si="69"/>
        <v>0</v>
      </c>
    </row>
    <row r="494" spans="1:11" ht="18" customHeight="1" thickBot="1" x14ac:dyDescent="0.25">
      <c r="A494" s="190" t="s">
        <v>810</v>
      </c>
      <c r="B494" s="1234" t="str">
        <f>IF('Phase Codes'!F52="","",'Phase Codes'!F52)</f>
        <v/>
      </c>
      <c r="C494" s="1234"/>
      <c r="D494" s="404">
        <f t="shared" si="70"/>
        <v>0</v>
      </c>
      <c r="E494" s="405">
        <f t="shared" si="71"/>
        <v>0</v>
      </c>
      <c r="F494" s="405">
        <f t="shared" si="65"/>
        <v>0</v>
      </c>
      <c r="H494" s="121" t="str">
        <f t="shared" si="66"/>
        <v/>
      </c>
      <c r="K494" s="810">
        <f t="shared" si="69"/>
        <v>0</v>
      </c>
    </row>
    <row r="495" spans="1:11" ht="18" customHeight="1" thickBot="1" x14ac:dyDescent="0.25">
      <c r="A495" s="190" t="s">
        <v>811</v>
      </c>
      <c r="B495" s="1234" t="str">
        <f>IF('Phase Codes'!F53="","",'Phase Codes'!F53)</f>
        <v/>
      </c>
      <c r="C495" s="1234"/>
      <c r="D495" s="404">
        <f t="shared" si="70"/>
        <v>0</v>
      </c>
      <c r="E495" s="405">
        <f t="shared" si="71"/>
        <v>0</v>
      </c>
      <c r="F495" s="405">
        <f t="shared" si="65"/>
        <v>0</v>
      </c>
      <c r="H495" s="121" t="str">
        <f t="shared" si="66"/>
        <v/>
      </c>
      <c r="K495" s="810">
        <f t="shared" si="69"/>
        <v>0</v>
      </c>
    </row>
    <row r="496" spans="1:11" ht="18" customHeight="1" thickBot="1" x14ac:dyDescent="0.25">
      <c r="A496" s="190" t="s">
        <v>812</v>
      </c>
      <c r="B496" s="1234" t="str">
        <f>IF('Phase Codes'!F54="","",'Phase Codes'!F54)</f>
        <v/>
      </c>
      <c r="C496" s="1234"/>
      <c r="D496" s="404">
        <f t="shared" si="70"/>
        <v>0</v>
      </c>
      <c r="E496" s="405">
        <f t="shared" si="71"/>
        <v>0</v>
      </c>
      <c r="F496" s="405">
        <f t="shared" si="65"/>
        <v>0</v>
      </c>
      <c r="H496" s="121" t="str">
        <f t="shared" si="66"/>
        <v/>
      </c>
      <c r="K496" s="810">
        <f t="shared" si="69"/>
        <v>0</v>
      </c>
    </row>
    <row r="497" spans="1:11" ht="18" customHeight="1" thickBot="1" x14ac:dyDescent="0.25">
      <c r="A497" s="190" t="s">
        <v>813</v>
      </c>
      <c r="B497" s="1234" t="str">
        <f>IF('Phase Codes'!F55="","",'Phase Codes'!F55)</f>
        <v/>
      </c>
      <c r="C497" s="1234"/>
      <c r="D497" s="404">
        <f t="shared" si="70"/>
        <v>0</v>
      </c>
      <c r="E497" s="405">
        <f t="shared" si="71"/>
        <v>0</v>
      </c>
      <c r="F497" s="405">
        <f t="shared" si="65"/>
        <v>0</v>
      </c>
      <c r="H497" s="121" t="str">
        <f t="shared" si="66"/>
        <v/>
      </c>
      <c r="K497" s="810">
        <f t="shared" si="69"/>
        <v>0</v>
      </c>
    </row>
    <row r="498" spans="1:11" ht="18" customHeight="1" thickBot="1" x14ac:dyDescent="0.25">
      <c r="A498" s="190" t="s">
        <v>814</v>
      </c>
      <c r="B498" s="1234" t="str">
        <f>IF('Phase Codes'!F56="","",'Phase Codes'!F56)</f>
        <v/>
      </c>
      <c r="C498" s="1234"/>
      <c r="D498" s="404">
        <f t="shared" si="70"/>
        <v>0</v>
      </c>
      <c r="E498" s="405">
        <f t="shared" si="71"/>
        <v>0</v>
      </c>
      <c r="F498" s="405">
        <f t="shared" si="65"/>
        <v>0</v>
      </c>
      <c r="H498" s="121" t="str">
        <f t="shared" si="66"/>
        <v/>
      </c>
      <c r="K498" s="810">
        <f t="shared" si="69"/>
        <v>0</v>
      </c>
    </row>
    <row r="499" spans="1:11" ht="18" customHeight="1" thickBot="1" x14ac:dyDescent="0.25">
      <c r="A499" s="190" t="s">
        <v>815</v>
      </c>
      <c r="B499" s="1234" t="str">
        <f>IF('Phase Codes'!F57="","",'Phase Codes'!F57)</f>
        <v/>
      </c>
      <c r="C499" s="1234"/>
      <c r="D499" s="404">
        <f t="shared" si="70"/>
        <v>0</v>
      </c>
      <c r="E499" s="405">
        <f t="shared" si="71"/>
        <v>0</v>
      </c>
      <c r="F499" s="405">
        <f t="shared" si="65"/>
        <v>0</v>
      </c>
      <c r="H499" s="121" t="str">
        <f t="shared" si="66"/>
        <v/>
      </c>
      <c r="K499" s="810">
        <f t="shared" si="69"/>
        <v>0</v>
      </c>
    </row>
    <row r="500" spans="1:11" ht="18" customHeight="1" thickBot="1" x14ac:dyDescent="0.25">
      <c r="A500" s="190" t="s">
        <v>816</v>
      </c>
      <c r="B500" s="1234" t="str">
        <f>IF('Phase Codes'!F58="","",'Phase Codes'!F58)</f>
        <v/>
      </c>
      <c r="C500" s="1234"/>
      <c r="D500" s="404">
        <f t="shared" si="70"/>
        <v>0</v>
      </c>
      <c r="E500" s="405">
        <f t="shared" si="71"/>
        <v>0</v>
      </c>
      <c r="F500" s="405">
        <f t="shared" si="65"/>
        <v>0</v>
      </c>
      <c r="H500" s="121" t="str">
        <f t="shared" si="66"/>
        <v/>
      </c>
      <c r="K500" s="810">
        <f t="shared" si="69"/>
        <v>0</v>
      </c>
    </row>
    <row r="501" spans="1:11" ht="18" customHeight="1" thickBot="1" x14ac:dyDescent="0.25">
      <c r="A501" s="190" t="s">
        <v>817</v>
      </c>
      <c r="B501" s="1234" t="str">
        <f>IF('Phase Codes'!F59="","",'Phase Codes'!F59)</f>
        <v/>
      </c>
      <c r="C501" s="1234"/>
      <c r="D501" s="404">
        <f t="shared" si="70"/>
        <v>0</v>
      </c>
      <c r="E501" s="405">
        <f t="shared" si="71"/>
        <v>0</v>
      </c>
      <c r="F501" s="405">
        <f t="shared" si="65"/>
        <v>0</v>
      </c>
      <c r="H501" s="121" t="str">
        <f t="shared" si="66"/>
        <v/>
      </c>
      <c r="K501" s="810">
        <f t="shared" si="69"/>
        <v>0</v>
      </c>
    </row>
    <row r="502" spans="1:11" ht="18" customHeight="1" thickBot="1" x14ac:dyDescent="0.25">
      <c r="A502" s="190" t="s">
        <v>818</v>
      </c>
      <c r="B502" s="1234" t="str">
        <f>IF('Phase Codes'!F60="","",'Phase Codes'!F60)</f>
        <v/>
      </c>
      <c r="C502" s="1234"/>
      <c r="D502" s="404">
        <f t="shared" si="70"/>
        <v>0</v>
      </c>
      <c r="E502" s="405">
        <f t="shared" si="71"/>
        <v>0</v>
      </c>
      <c r="F502" s="405">
        <f t="shared" si="65"/>
        <v>0</v>
      </c>
      <c r="H502" s="121" t="str">
        <f t="shared" si="66"/>
        <v/>
      </c>
      <c r="K502" s="810">
        <f t="shared" si="69"/>
        <v>0</v>
      </c>
    </row>
    <row r="503" spans="1:11" ht="18" customHeight="1" thickBot="1" x14ac:dyDescent="0.25">
      <c r="A503" s="190" t="s">
        <v>819</v>
      </c>
      <c r="B503" s="1234" t="str">
        <f>IF('Phase Codes'!F61="","",'Phase Codes'!F61)</f>
        <v/>
      </c>
      <c r="C503" s="1234"/>
      <c r="D503" s="404">
        <f t="shared" si="70"/>
        <v>0</v>
      </c>
      <c r="E503" s="405">
        <f t="shared" si="71"/>
        <v>0</v>
      </c>
      <c r="F503" s="405">
        <f t="shared" si="65"/>
        <v>0</v>
      </c>
      <c r="H503" s="121" t="str">
        <f t="shared" si="66"/>
        <v/>
      </c>
      <c r="K503" s="810">
        <f t="shared" si="69"/>
        <v>0</v>
      </c>
    </row>
    <row r="504" spans="1:11" ht="18" customHeight="1" thickBot="1" x14ac:dyDescent="0.25">
      <c r="A504" s="190" t="s">
        <v>820</v>
      </c>
      <c r="B504" s="1234" t="str">
        <f>IF('Phase Codes'!F62="","",'Phase Codes'!F62)</f>
        <v/>
      </c>
      <c r="C504" s="1234"/>
      <c r="D504" s="404">
        <f t="shared" si="70"/>
        <v>0</v>
      </c>
      <c r="E504" s="405">
        <f t="shared" si="71"/>
        <v>0</v>
      </c>
      <c r="F504" s="405">
        <f t="shared" si="65"/>
        <v>0</v>
      </c>
      <c r="H504" s="121" t="str">
        <f t="shared" si="66"/>
        <v/>
      </c>
      <c r="K504" s="810">
        <f t="shared" si="69"/>
        <v>0</v>
      </c>
    </row>
    <row r="505" spans="1:11" ht="18" customHeight="1" thickBot="1" x14ac:dyDescent="0.25">
      <c r="A505" s="190" t="s">
        <v>821</v>
      </c>
      <c r="B505" s="1234" t="str">
        <f>IF('Phase Codes'!F63="","",'Phase Codes'!F63)</f>
        <v/>
      </c>
      <c r="C505" s="1234"/>
      <c r="D505" s="404">
        <f t="shared" si="70"/>
        <v>0</v>
      </c>
      <c r="E505" s="405">
        <f t="shared" si="71"/>
        <v>0</v>
      </c>
      <c r="F505" s="405">
        <f t="shared" si="65"/>
        <v>0</v>
      </c>
      <c r="H505" s="121" t="str">
        <f t="shared" si="66"/>
        <v/>
      </c>
      <c r="K505" s="810">
        <f t="shared" si="69"/>
        <v>0</v>
      </c>
    </row>
    <row r="506" spans="1:11" ht="18" customHeight="1" thickBot="1" x14ac:dyDescent="0.25">
      <c r="A506" s="190" t="s">
        <v>822</v>
      </c>
      <c r="B506" s="1234" t="str">
        <f>IF('Phase Codes'!F64="","",'Phase Codes'!F64)</f>
        <v/>
      </c>
      <c r="C506" s="1234"/>
      <c r="D506" s="404">
        <f t="shared" si="70"/>
        <v>0</v>
      </c>
      <c r="E506" s="405">
        <f t="shared" si="71"/>
        <v>0</v>
      </c>
      <c r="F506" s="405">
        <f t="shared" si="65"/>
        <v>0</v>
      </c>
      <c r="H506" s="121" t="str">
        <f t="shared" si="66"/>
        <v/>
      </c>
      <c r="K506" s="810">
        <f t="shared" si="69"/>
        <v>0</v>
      </c>
    </row>
    <row r="507" spans="1:11" ht="18" customHeight="1" thickBot="1" x14ac:dyDescent="0.25">
      <c r="A507" s="190" t="s">
        <v>823</v>
      </c>
      <c r="B507" s="1234" t="str">
        <f>IF('Phase Codes'!F65="","",'Phase Codes'!F65)</f>
        <v/>
      </c>
      <c r="C507" s="1234"/>
      <c r="D507" s="404">
        <f t="shared" si="70"/>
        <v>0</v>
      </c>
      <c r="E507" s="405">
        <f t="shared" si="71"/>
        <v>0</v>
      </c>
      <c r="F507" s="405">
        <f t="shared" si="65"/>
        <v>0</v>
      </c>
      <c r="H507" s="121" t="str">
        <f t="shared" si="66"/>
        <v/>
      </c>
      <c r="K507" s="810">
        <f t="shared" si="69"/>
        <v>0</v>
      </c>
    </row>
    <row r="508" spans="1:11" ht="18" customHeight="1" thickBot="1" x14ac:dyDescent="0.25">
      <c r="A508" s="190" t="s">
        <v>824</v>
      </c>
      <c r="B508" s="1234" t="str">
        <f>IF('Phase Codes'!F66="","",'Phase Codes'!F66)</f>
        <v/>
      </c>
      <c r="C508" s="1234"/>
      <c r="D508" s="404">
        <f t="shared" si="70"/>
        <v>0</v>
      </c>
      <c r="E508" s="405">
        <f t="shared" si="71"/>
        <v>0</v>
      </c>
      <c r="F508" s="405">
        <f t="shared" si="65"/>
        <v>0</v>
      </c>
      <c r="H508" s="121" t="str">
        <f t="shared" si="66"/>
        <v/>
      </c>
      <c r="K508" s="810">
        <f t="shared" si="69"/>
        <v>0</v>
      </c>
    </row>
    <row r="509" spans="1:11" ht="18" customHeight="1" thickBot="1" x14ac:dyDescent="0.25">
      <c r="A509" s="190" t="s">
        <v>825</v>
      </c>
      <c r="B509" s="1234" t="str">
        <f>IF('Phase Codes'!F67="","",'Phase Codes'!F67)</f>
        <v/>
      </c>
      <c r="C509" s="1234"/>
      <c r="D509" s="404">
        <f t="shared" si="70"/>
        <v>0</v>
      </c>
      <c r="E509" s="405">
        <f t="shared" si="71"/>
        <v>0</v>
      </c>
      <c r="F509" s="405">
        <f t="shared" si="65"/>
        <v>0</v>
      </c>
      <c r="H509" s="121" t="str">
        <f t="shared" si="66"/>
        <v/>
      </c>
      <c r="K509" s="810">
        <f t="shared" si="69"/>
        <v>0</v>
      </c>
    </row>
    <row r="510" spans="1:11" ht="18" customHeight="1" thickBot="1" x14ac:dyDescent="0.25">
      <c r="A510" s="190" t="s">
        <v>826</v>
      </c>
      <c r="B510" s="1234" t="str">
        <f>IF('Phase Codes'!F68="","",'Phase Codes'!F68)</f>
        <v/>
      </c>
      <c r="C510" s="1234"/>
      <c r="D510" s="404">
        <f t="shared" ref="D510:D544" si="72">SUMIFS(SM_FieldLaborColumn,PC_SM_Field,$A510)</f>
        <v>0</v>
      </c>
      <c r="E510" s="405">
        <f t="shared" ref="E510:E544" si="73">SUMIFS(Takeoff_Total_Field_Labor_Cost,PC_SM_Field,$A510)</f>
        <v>0</v>
      </c>
      <c r="F510" s="405">
        <f t="shared" ref="F510:F544" si="74">SUMIFS(SM_MaterialColumn,PC_SM_Material,$A510)</f>
        <v>0</v>
      </c>
      <c r="H510" s="121" t="str">
        <f t="shared" ref="H510:H544" si="75">IF($G510="E",6,IF($G510="M",3,IF($G510="OH","?",IF($G510="OT",7,IF($G510="S",4,"")))))</f>
        <v/>
      </c>
      <c r="K510" s="810">
        <f t="shared" si="69"/>
        <v>0</v>
      </c>
    </row>
    <row r="511" spans="1:11" ht="18" customHeight="1" thickBot="1" x14ac:dyDescent="0.25">
      <c r="A511" s="190" t="s">
        <v>827</v>
      </c>
      <c r="B511" s="1234" t="str">
        <f>IF('Phase Codes'!F69="","",'Phase Codes'!F69)</f>
        <v/>
      </c>
      <c r="C511" s="1234"/>
      <c r="D511" s="404">
        <f t="shared" si="72"/>
        <v>0</v>
      </c>
      <c r="E511" s="405">
        <f t="shared" si="73"/>
        <v>0</v>
      </c>
      <c r="F511" s="405">
        <f t="shared" si="74"/>
        <v>0</v>
      </c>
      <c r="H511" s="121" t="str">
        <f t="shared" si="75"/>
        <v/>
      </c>
      <c r="K511" s="810">
        <f t="shared" ref="K511:K545" si="76">SUM(D511:F511)</f>
        <v>0</v>
      </c>
    </row>
    <row r="512" spans="1:11" ht="18" customHeight="1" thickBot="1" x14ac:dyDescent="0.25">
      <c r="A512" s="190" t="s">
        <v>828</v>
      </c>
      <c r="B512" s="1234" t="str">
        <f>IF('Phase Codes'!F70="","",'Phase Codes'!F70)</f>
        <v/>
      </c>
      <c r="C512" s="1234"/>
      <c r="D512" s="404">
        <f t="shared" si="72"/>
        <v>0</v>
      </c>
      <c r="E512" s="405">
        <f t="shared" si="73"/>
        <v>0</v>
      </c>
      <c r="F512" s="405">
        <f t="shared" si="74"/>
        <v>0</v>
      </c>
      <c r="H512" s="121" t="str">
        <f t="shared" si="75"/>
        <v/>
      </c>
      <c r="K512" s="810">
        <f t="shared" si="76"/>
        <v>0</v>
      </c>
    </row>
    <row r="513" spans="1:11" ht="18" customHeight="1" thickBot="1" x14ac:dyDescent="0.25">
      <c r="A513" s="190" t="s">
        <v>829</v>
      </c>
      <c r="B513" s="1234" t="str">
        <f>IF('Phase Codes'!F71="","",'Phase Codes'!F71)</f>
        <v/>
      </c>
      <c r="C513" s="1234"/>
      <c r="D513" s="404">
        <f t="shared" si="72"/>
        <v>0</v>
      </c>
      <c r="E513" s="405">
        <f t="shared" si="73"/>
        <v>0</v>
      </c>
      <c r="F513" s="405">
        <f t="shared" si="74"/>
        <v>0</v>
      </c>
      <c r="H513" s="121" t="str">
        <f t="shared" si="75"/>
        <v/>
      </c>
      <c r="K513" s="810">
        <f t="shared" si="76"/>
        <v>0</v>
      </c>
    </row>
    <row r="514" spans="1:11" ht="18" customHeight="1" thickBot="1" x14ac:dyDescent="0.25">
      <c r="A514" s="190" t="s">
        <v>830</v>
      </c>
      <c r="B514" s="1234" t="str">
        <f>IF('Phase Codes'!F72="","",'Phase Codes'!F72)</f>
        <v/>
      </c>
      <c r="C514" s="1234"/>
      <c r="D514" s="404">
        <f t="shared" si="72"/>
        <v>0</v>
      </c>
      <c r="E514" s="405">
        <f t="shared" si="73"/>
        <v>0</v>
      </c>
      <c r="F514" s="405">
        <f t="shared" si="74"/>
        <v>0</v>
      </c>
      <c r="H514" s="121" t="str">
        <f t="shared" si="75"/>
        <v/>
      </c>
      <c r="K514" s="810">
        <f t="shared" si="76"/>
        <v>0</v>
      </c>
    </row>
    <row r="515" spans="1:11" ht="18" customHeight="1" thickBot="1" x14ac:dyDescent="0.25">
      <c r="A515" s="190" t="s">
        <v>831</v>
      </c>
      <c r="B515" s="1234" t="str">
        <f>IF('Phase Codes'!F73="","",'Phase Codes'!F73)</f>
        <v/>
      </c>
      <c r="C515" s="1234"/>
      <c r="D515" s="404">
        <f t="shared" si="72"/>
        <v>0</v>
      </c>
      <c r="E515" s="405">
        <f t="shared" si="73"/>
        <v>0</v>
      </c>
      <c r="F515" s="405">
        <f t="shared" si="74"/>
        <v>0</v>
      </c>
      <c r="H515" s="121" t="str">
        <f t="shared" si="75"/>
        <v/>
      </c>
      <c r="K515" s="810">
        <f t="shared" si="76"/>
        <v>0</v>
      </c>
    </row>
    <row r="516" spans="1:11" ht="18" customHeight="1" thickBot="1" x14ac:dyDescent="0.25">
      <c r="A516" s="190" t="s">
        <v>832</v>
      </c>
      <c r="B516" s="1234" t="str">
        <f>IF('Phase Codes'!F74="","",'Phase Codes'!F74)</f>
        <v/>
      </c>
      <c r="C516" s="1234"/>
      <c r="D516" s="404">
        <f t="shared" si="72"/>
        <v>0</v>
      </c>
      <c r="E516" s="405">
        <f t="shared" si="73"/>
        <v>0</v>
      </c>
      <c r="F516" s="405">
        <f t="shared" si="74"/>
        <v>0</v>
      </c>
      <c r="H516" s="121" t="str">
        <f t="shared" si="75"/>
        <v/>
      </c>
      <c r="K516" s="810">
        <f t="shared" si="76"/>
        <v>0</v>
      </c>
    </row>
    <row r="517" spans="1:11" ht="18" customHeight="1" thickBot="1" x14ac:dyDescent="0.25">
      <c r="A517" s="190" t="s">
        <v>833</v>
      </c>
      <c r="B517" s="1234" t="str">
        <f>IF('Phase Codes'!F75="","",'Phase Codes'!F75)</f>
        <v/>
      </c>
      <c r="C517" s="1234"/>
      <c r="D517" s="404">
        <f t="shared" si="72"/>
        <v>0</v>
      </c>
      <c r="E517" s="405">
        <f t="shared" si="73"/>
        <v>0</v>
      </c>
      <c r="F517" s="405">
        <f t="shared" si="74"/>
        <v>0</v>
      </c>
      <c r="H517" s="121" t="str">
        <f t="shared" si="75"/>
        <v/>
      </c>
      <c r="K517" s="810">
        <f t="shared" si="76"/>
        <v>0</v>
      </c>
    </row>
    <row r="518" spans="1:11" ht="18" customHeight="1" thickBot="1" x14ac:dyDescent="0.25">
      <c r="A518" s="190" t="s">
        <v>834</v>
      </c>
      <c r="B518" s="1234" t="str">
        <f>IF('Phase Codes'!F76="","",'Phase Codes'!F76)</f>
        <v/>
      </c>
      <c r="C518" s="1234"/>
      <c r="D518" s="404">
        <f t="shared" si="72"/>
        <v>0</v>
      </c>
      <c r="E518" s="405">
        <f t="shared" si="73"/>
        <v>0</v>
      </c>
      <c r="F518" s="405">
        <f t="shared" si="74"/>
        <v>0</v>
      </c>
      <c r="H518" s="121" t="str">
        <f t="shared" si="75"/>
        <v/>
      </c>
      <c r="K518" s="810">
        <f t="shared" si="76"/>
        <v>0</v>
      </c>
    </row>
    <row r="519" spans="1:11" ht="18" customHeight="1" thickBot="1" x14ac:dyDescent="0.25">
      <c r="A519" s="190" t="s">
        <v>835</v>
      </c>
      <c r="B519" s="1234" t="str">
        <f>IF('Phase Codes'!F77="","",'Phase Codes'!F77)</f>
        <v/>
      </c>
      <c r="C519" s="1234"/>
      <c r="D519" s="404">
        <f t="shared" si="72"/>
        <v>0</v>
      </c>
      <c r="E519" s="405">
        <f t="shared" si="73"/>
        <v>0</v>
      </c>
      <c r="F519" s="405">
        <f t="shared" si="74"/>
        <v>0</v>
      </c>
      <c r="H519" s="121" t="str">
        <f t="shared" si="75"/>
        <v/>
      </c>
      <c r="K519" s="810">
        <f t="shared" si="76"/>
        <v>0</v>
      </c>
    </row>
    <row r="520" spans="1:11" ht="18" customHeight="1" thickBot="1" x14ac:dyDescent="0.25">
      <c r="A520" s="190" t="s">
        <v>836</v>
      </c>
      <c r="B520" s="1234" t="str">
        <f>IF('Phase Codes'!F78="","",'Phase Codes'!F78)</f>
        <v/>
      </c>
      <c r="C520" s="1234"/>
      <c r="D520" s="404">
        <f t="shared" si="72"/>
        <v>0</v>
      </c>
      <c r="E520" s="405">
        <f t="shared" si="73"/>
        <v>0</v>
      </c>
      <c r="F520" s="405">
        <f t="shared" si="74"/>
        <v>0</v>
      </c>
      <c r="H520" s="121" t="str">
        <f t="shared" si="75"/>
        <v/>
      </c>
      <c r="K520" s="810">
        <f t="shared" si="76"/>
        <v>0</v>
      </c>
    </row>
    <row r="521" spans="1:11" ht="18" customHeight="1" thickBot="1" x14ac:dyDescent="0.25">
      <c r="A521" s="190" t="s">
        <v>837</v>
      </c>
      <c r="B521" s="1234" t="str">
        <f>IF('Phase Codes'!F79="","",'Phase Codes'!F79)</f>
        <v/>
      </c>
      <c r="C521" s="1234"/>
      <c r="D521" s="404">
        <f t="shared" si="72"/>
        <v>0</v>
      </c>
      <c r="E521" s="405">
        <f t="shared" si="73"/>
        <v>0</v>
      </c>
      <c r="F521" s="405">
        <f t="shared" si="74"/>
        <v>0</v>
      </c>
      <c r="H521" s="121" t="str">
        <f t="shared" si="75"/>
        <v/>
      </c>
      <c r="K521" s="810">
        <f t="shared" si="76"/>
        <v>0</v>
      </c>
    </row>
    <row r="522" spans="1:11" ht="18" customHeight="1" thickBot="1" x14ac:dyDescent="0.25">
      <c r="A522" s="190" t="s">
        <v>838</v>
      </c>
      <c r="B522" s="1234" t="str">
        <f>IF('Phase Codes'!F80="","",'Phase Codes'!F80)</f>
        <v/>
      </c>
      <c r="C522" s="1234"/>
      <c r="D522" s="404">
        <f t="shared" si="72"/>
        <v>0</v>
      </c>
      <c r="E522" s="405">
        <f t="shared" si="73"/>
        <v>0</v>
      </c>
      <c r="F522" s="405">
        <f t="shared" si="74"/>
        <v>0</v>
      </c>
      <c r="H522" s="121" t="str">
        <f t="shared" si="75"/>
        <v/>
      </c>
      <c r="K522" s="810">
        <f t="shared" si="76"/>
        <v>0</v>
      </c>
    </row>
    <row r="523" spans="1:11" ht="18" customHeight="1" thickBot="1" x14ac:dyDescent="0.25">
      <c r="A523" s="190" t="s">
        <v>839</v>
      </c>
      <c r="B523" s="1234" t="str">
        <f>IF('Phase Codes'!F81="","",'Phase Codes'!F81)</f>
        <v/>
      </c>
      <c r="C523" s="1234"/>
      <c r="D523" s="404">
        <f t="shared" si="72"/>
        <v>0</v>
      </c>
      <c r="E523" s="405">
        <f t="shared" si="73"/>
        <v>0</v>
      </c>
      <c r="F523" s="405">
        <f t="shared" si="74"/>
        <v>0</v>
      </c>
      <c r="H523" s="121" t="str">
        <f t="shared" si="75"/>
        <v/>
      </c>
      <c r="K523" s="810">
        <f t="shared" si="76"/>
        <v>0</v>
      </c>
    </row>
    <row r="524" spans="1:11" ht="18" customHeight="1" thickBot="1" x14ac:dyDescent="0.25">
      <c r="A524" s="190" t="s">
        <v>840</v>
      </c>
      <c r="B524" s="1234" t="str">
        <f>IF('Phase Codes'!F82="","",'Phase Codes'!F82)</f>
        <v/>
      </c>
      <c r="C524" s="1234"/>
      <c r="D524" s="404">
        <f t="shared" si="72"/>
        <v>0</v>
      </c>
      <c r="E524" s="405">
        <f t="shared" si="73"/>
        <v>0</v>
      </c>
      <c r="F524" s="405">
        <f t="shared" si="74"/>
        <v>0</v>
      </c>
      <c r="H524" s="121" t="str">
        <f t="shared" si="75"/>
        <v/>
      </c>
      <c r="K524" s="810">
        <f t="shared" si="76"/>
        <v>0</v>
      </c>
    </row>
    <row r="525" spans="1:11" ht="18" customHeight="1" thickBot="1" x14ac:dyDescent="0.25">
      <c r="A525" s="190" t="s">
        <v>841</v>
      </c>
      <c r="B525" s="1234" t="str">
        <f>IF('Phase Codes'!F83="","",'Phase Codes'!F83)</f>
        <v/>
      </c>
      <c r="C525" s="1234"/>
      <c r="D525" s="404">
        <f t="shared" si="72"/>
        <v>0</v>
      </c>
      <c r="E525" s="405">
        <f t="shared" si="73"/>
        <v>0</v>
      </c>
      <c r="F525" s="405">
        <f t="shared" si="74"/>
        <v>0</v>
      </c>
      <c r="H525" s="121" t="str">
        <f t="shared" si="75"/>
        <v/>
      </c>
      <c r="K525" s="810">
        <f t="shared" si="76"/>
        <v>0</v>
      </c>
    </row>
    <row r="526" spans="1:11" ht="18" customHeight="1" thickBot="1" x14ac:dyDescent="0.25">
      <c r="A526" s="190" t="s">
        <v>842</v>
      </c>
      <c r="B526" s="1234" t="str">
        <f>IF('Phase Codes'!F84="","",'Phase Codes'!F84)</f>
        <v/>
      </c>
      <c r="C526" s="1234"/>
      <c r="D526" s="404">
        <f t="shared" si="72"/>
        <v>0</v>
      </c>
      <c r="E526" s="405">
        <f t="shared" si="73"/>
        <v>0</v>
      </c>
      <c r="F526" s="405">
        <f t="shared" si="74"/>
        <v>0</v>
      </c>
      <c r="H526" s="121" t="str">
        <f t="shared" si="75"/>
        <v/>
      </c>
      <c r="K526" s="810">
        <f t="shared" si="76"/>
        <v>0</v>
      </c>
    </row>
    <row r="527" spans="1:11" ht="18" customHeight="1" thickBot="1" x14ac:dyDescent="0.25">
      <c r="A527" s="190" t="s">
        <v>843</v>
      </c>
      <c r="B527" s="1234" t="str">
        <f>IF('Phase Codes'!F85="","",'Phase Codes'!F85)</f>
        <v/>
      </c>
      <c r="C527" s="1234"/>
      <c r="D527" s="404">
        <f t="shared" si="72"/>
        <v>0</v>
      </c>
      <c r="E527" s="405">
        <f t="shared" si="73"/>
        <v>0</v>
      </c>
      <c r="F527" s="405">
        <f t="shared" si="74"/>
        <v>0</v>
      </c>
      <c r="H527" s="121" t="str">
        <f t="shared" si="75"/>
        <v/>
      </c>
      <c r="K527" s="810">
        <f t="shared" si="76"/>
        <v>0</v>
      </c>
    </row>
    <row r="528" spans="1:11" ht="18" customHeight="1" thickBot="1" x14ac:dyDescent="0.25">
      <c r="A528" s="190" t="s">
        <v>844</v>
      </c>
      <c r="B528" s="1234" t="str">
        <f>IF('Phase Codes'!F86="","",'Phase Codes'!F86)</f>
        <v/>
      </c>
      <c r="C528" s="1234"/>
      <c r="D528" s="404">
        <f t="shared" si="72"/>
        <v>0</v>
      </c>
      <c r="E528" s="405">
        <f t="shared" si="73"/>
        <v>0</v>
      </c>
      <c r="F528" s="405">
        <f t="shared" si="74"/>
        <v>0</v>
      </c>
      <c r="H528" s="121" t="str">
        <f t="shared" si="75"/>
        <v/>
      </c>
      <c r="K528" s="810">
        <f t="shared" si="76"/>
        <v>0</v>
      </c>
    </row>
    <row r="529" spans="1:11" ht="18" customHeight="1" thickBot="1" x14ac:dyDescent="0.25">
      <c r="A529" s="190" t="s">
        <v>845</v>
      </c>
      <c r="B529" s="1234" t="str">
        <f>IF('Phase Codes'!F87="","",'Phase Codes'!F87)</f>
        <v/>
      </c>
      <c r="C529" s="1234"/>
      <c r="D529" s="404">
        <f t="shared" si="72"/>
        <v>0</v>
      </c>
      <c r="E529" s="405">
        <f t="shared" si="73"/>
        <v>0</v>
      </c>
      <c r="F529" s="405">
        <f t="shared" si="74"/>
        <v>0</v>
      </c>
      <c r="H529" s="121" t="str">
        <f t="shared" si="75"/>
        <v/>
      </c>
      <c r="K529" s="810">
        <f t="shared" si="76"/>
        <v>0</v>
      </c>
    </row>
    <row r="530" spans="1:11" ht="18" customHeight="1" thickBot="1" x14ac:dyDescent="0.25">
      <c r="A530" s="190" t="s">
        <v>846</v>
      </c>
      <c r="B530" s="1234" t="str">
        <f>IF('Phase Codes'!F88="","",'Phase Codes'!F88)</f>
        <v/>
      </c>
      <c r="C530" s="1234"/>
      <c r="D530" s="404">
        <f t="shared" si="72"/>
        <v>0</v>
      </c>
      <c r="E530" s="405">
        <f t="shared" si="73"/>
        <v>0</v>
      </c>
      <c r="F530" s="405">
        <f t="shared" si="74"/>
        <v>0</v>
      </c>
      <c r="H530" s="121" t="str">
        <f t="shared" si="75"/>
        <v/>
      </c>
      <c r="K530" s="810">
        <f t="shared" si="76"/>
        <v>0</v>
      </c>
    </row>
    <row r="531" spans="1:11" ht="18" customHeight="1" thickBot="1" x14ac:dyDescent="0.25">
      <c r="A531" s="190" t="s">
        <v>847</v>
      </c>
      <c r="B531" s="1234" t="str">
        <f>IF('Phase Codes'!F89="","",'Phase Codes'!F89)</f>
        <v/>
      </c>
      <c r="C531" s="1234"/>
      <c r="D531" s="404">
        <f t="shared" si="72"/>
        <v>0</v>
      </c>
      <c r="E531" s="405">
        <f t="shared" si="73"/>
        <v>0</v>
      </c>
      <c r="F531" s="405">
        <f t="shared" si="74"/>
        <v>0</v>
      </c>
      <c r="H531" s="121" t="str">
        <f t="shared" si="75"/>
        <v/>
      </c>
      <c r="K531" s="810">
        <f t="shared" si="76"/>
        <v>0</v>
      </c>
    </row>
    <row r="532" spans="1:11" ht="18" customHeight="1" thickBot="1" x14ac:dyDescent="0.25">
      <c r="A532" s="190" t="s">
        <v>848</v>
      </c>
      <c r="B532" s="1234" t="str">
        <f>IF('Phase Codes'!F90="","",'Phase Codes'!F90)</f>
        <v/>
      </c>
      <c r="C532" s="1234"/>
      <c r="D532" s="404">
        <f t="shared" si="72"/>
        <v>0</v>
      </c>
      <c r="E532" s="405">
        <f t="shared" si="73"/>
        <v>0</v>
      </c>
      <c r="F532" s="405">
        <f t="shared" si="74"/>
        <v>0</v>
      </c>
      <c r="H532" s="121" t="str">
        <f t="shared" si="75"/>
        <v/>
      </c>
      <c r="K532" s="810">
        <f t="shared" si="76"/>
        <v>0</v>
      </c>
    </row>
    <row r="533" spans="1:11" ht="18" customHeight="1" thickBot="1" x14ac:dyDescent="0.25">
      <c r="A533" s="190" t="s">
        <v>849</v>
      </c>
      <c r="B533" s="1234" t="str">
        <f>IF('Phase Codes'!F91="","",'Phase Codes'!F91)</f>
        <v/>
      </c>
      <c r="C533" s="1234"/>
      <c r="D533" s="404">
        <f t="shared" si="72"/>
        <v>0</v>
      </c>
      <c r="E533" s="405">
        <f t="shared" si="73"/>
        <v>0</v>
      </c>
      <c r="F533" s="405">
        <f t="shared" si="74"/>
        <v>0</v>
      </c>
      <c r="H533" s="121" t="str">
        <f t="shared" si="75"/>
        <v/>
      </c>
      <c r="K533" s="810">
        <f t="shared" si="76"/>
        <v>0</v>
      </c>
    </row>
    <row r="534" spans="1:11" ht="18" customHeight="1" thickBot="1" x14ac:dyDescent="0.25">
      <c r="A534" s="190" t="s">
        <v>850</v>
      </c>
      <c r="B534" s="1234" t="str">
        <f>IF('Phase Codes'!F92="","",'Phase Codes'!F92)</f>
        <v/>
      </c>
      <c r="C534" s="1234"/>
      <c r="D534" s="404">
        <f t="shared" si="72"/>
        <v>0</v>
      </c>
      <c r="E534" s="405">
        <f t="shared" si="73"/>
        <v>0</v>
      </c>
      <c r="F534" s="405">
        <f t="shared" si="74"/>
        <v>0</v>
      </c>
      <c r="H534" s="121" t="str">
        <f t="shared" si="75"/>
        <v/>
      </c>
      <c r="K534" s="810">
        <f t="shared" si="76"/>
        <v>0</v>
      </c>
    </row>
    <row r="535" spans="1:11" ht="18" customHeight="1" thickBot="1" x14ac:dyDescent="0.25">
      <c r="A535" s="190" t="s">
        <v>851</v>
      </c>
      <c r="B535" s="1234" t="str">
        <f>IF('Phase Codes'!F93="","",'Phase Codes'!F93)</f>
        <v/>
      </c>
      <c r="C535" s="1234"/>
      <c r="D535" s="404">
        <f t="shared" si="72"/>
        <v>0</v>
      </c>
      <c r="E535" s="405">
        <f t="shared" si="73"/>
        <v>0</v>
      </c>
      <c r="F535" s="405">
        <f t="shared" si="74"/>
        <v>0</v>
      </c>
      <c r="H535" s="121" t="str">
        <f t="shared" si="75"/>
        <v/>
      </c>
      <c r="K535" s="810">
        <f t="shared" si="76"/>
        <v>0</v>
      </c>
    </row>
    <row r="536" spans="1:11" ht="18" customHeight="1" thickBot="1" x14ac:dyDescent="0.25">
      <c r="A536" s="190" t="s">
        <v>852</v>
      </c>
      <c r="B536" s="1234" t="str">
        <f>IF('Phase Codes'!F94="","",'Phase Codes'!F94)</f>
        <v/>
      </c>
      <c r="C536" s="1234"/>
      <c r="D536" s="404">
        <f t="shared" si="72"/>
        <v>0</v>
      </c>
      <c r="E536" s="405">
        <f t="shared" si="73"/>
        <v>0</v>
      </c>
      <c r="F536" s="405">
        <f t="shared" si="74"/>
        <v>0</v>
      </c>
      <c r="H536" s="121" t="str">
        <f t="shared" si="75"/>
        <v/>
      </c>
      <c r="K536" s="810">
        <f t="shared" si="76"/>
        <v>0</v>
      </c>
    </row>
    <row r="537" spans="1:11" ht="18" customHeight="1" thickBot="1" x14ac:dyDescent="0.25">
      <c r="A537" s="190" t="s">
        <v>853</v>
      </c>
      <c r="B537" s="1234" t="str">
        <f>IF('Phase Codes'!F95="","",'Phase Codes'!F95)</f>
        <v/>
      </c>
      <c r="C537" s="1234"/>
      <c r="D537" s="404">
        <f t="shared" si="72"/>
        <v>0</v>
      </c>
      <c r="E537" s="405">
        <f t="shared" si="73"/>
        <v>0</v>
      </c>
      <c r="F537" s="405">
        <f t="shared" si="74"/>
        <v>0</v>
      </c>
      <c r="H537" s="121" t="str">
        <f t="shared" si="75"/>
        <v/>
      </c>
      <c r="K537" s="810">
        <f t="shared" si="76"/>
        <v>0</v>
      </c>
    </row>
    <row r="538" spans="1:11" ht="18" customHeight="1" thickBot="1" x14ac:dyDescent="0.25">
      <c r="A538" s="190" t="s">
        <v>854</v>
      </c>
      <c r="B538" s="1234" t="str">
        <f>IF('Phase Codes'!F96="","",'Phase Codes'!F96)</f>
        <v/>
      </c>
      <c r="C538" s="1234"/>
      <c r="D538" s="404">
        <f t="shared" si="72"/>
        <v>0</v>
      </c>
      <c r="E538" s="405">
        <f t="shared" si="73"/>
        <v>0</v>
      </c>
      <c r="F538" s="405">
        <f t="shared" si="74"/>
        <v>0</v>
      </c>
      <c r="H538" s="121" t="str">
        <f t="shared" si="75"/>
        <v/>
      </c>
      <c r="K538" s="810">
        <f t="shared" si="76"/>
        <v>0</v>
      </c>
    </row>
    <row r="539" spans="1:11" ht="18" customHeight="1" thickBot="1" x14ac:dyDescent="0.25">
      <c r="A539" s="190" t="s">
        <v>855</v>
      </c>
      <c r="B539" s="1234" t="str">
        <f>IF('Phase Codes'!F97="","",'Phase Codes'!F97)</f>
        <v/>
      </c>
      <c r="C539" s="1234"/>
      <c r="D539" s="404">
        <f t="shared" si="72"/>
        <v>0</v>
      </c>
      <c r="E539" s="405">
        <f t="shared" si="73"/>
        <v>0</v>
      </c>
      <c r="F539" s="405">
        <f t="shared" si="74"/>
        <v>0</v>
      </c>
      <c r="H539" s="121" t="str">
        <f t="shared" si="75"/>
        <v/>
      </c>
      <c r="K539" s="810">
        <f t="shared" si="76"/>
        <v>0</v>
      </c>
    </row>
    <row r="540" spans="1:11" ht="18" customHeight="1" thickBot="1" x14ac:dyDescent="0.25">
      <c r="A540" s="190" t="s">
        <v>856</v>
      </c>
      <c r="B540" s="1234" t="str">
        <f>IF('Phase Codes'!F98="","",'Phase Codes'!F98)</f>
        <v/>
      </c>
      <c r="C540" s="1234"/>
      <c r="D540" s="404">
        <f t="shared" si="72"/>
        <v>0</v>
      </c>
      <c r="E540" s="405">
        <f t="shared" si="73"/>
        <v>0</v>
      </c>
      <c r="F540" s="405">
        <f t="shared" si="74"/>
        <v>0</v>
      </c>
      <c r="H540" s="121" t="str">
        <f t="shared" si="75"/>
        <v/>
      </c>
      <c r="K540" s="810">
        <f t="shared" si="76"/>
        <v>0</v>
      </c>
    </row>
    <row r="541" spans="1:11" ht="18" customHeight="1" thickBot="1" x14ac:dyDescent="0.25">
      <c r="A541" s="190" t="s">
        <v>857</v>
      </c>
      <c r="B541" s="1234" t="str">
        <f>IF('Phase Codes'!F99="","",'Phase Codes'!F99)</f>
        <v/>
      </c>
      <c r="C541" s="1234"/>
      <c r="D541" s="404">
        <f t="shared" si="72"/>
        <v>0</v>
      </c>
      <c r="E541" s="405">
        <f t="shared" si="73"/>
        <v>0</v>
      </c>
      <c r="F541" s="405">
        <f t="shared" si="74"/>
        <v>0</v>
      </c>
      <c r="H541" s="121" t="str">
        <f t="shared" si="75"/>
        <v/>
      </c>
      <c r="K541" s="810">
        <f t="shared" si="76"/>
        <v>0</v>
      </c>
    </row>
    <row r="542" spans="1:11" ht="18" customHeight="1" thickBot="1" x14ac:dyDescent="0.25">
      <c r="A542" s="190" t="s">
        <v>858</v>
      </c>
      <c r="B542" s="1234" t="str">
        <f>IF('Phase Codes'!F100="","",'Phase Codes'!F100)</f>
        <v/>
      </c>
      <c r="C542" s="1234"/>
      <c r="D542" s="404">
        <f t="shared" si="72"/>
        <v>0</v>
      </c>
      <c r="E542" s="405">
        <f t="shared" si="73"/>
        <v>0</v>
      </c>
      <c r="F542" s="405">
        <f t="shared" si="74"/>
        <v>0</v>
      </c>
      <c r="H542" s="121" t="str">
        <f t="shared" si="75"/>
        <v/>
      </c>
      <c r="K542" s="810">
        <f t="shared" si="76"/>
        <v>0</v>
      </c>
    </row>
    <row r="543" spans="1:11" ht="18" customHeight="1" thickBot="1" x14ac:dyDescent="0.25">
      <c r="A543" s="190" t="s">
        <v>859</v>
      </c>
      <c r="B543" s="1234" t="str">
        <f>IF('Phase Codes'!F101="","",'Phase Codes'!F101)</f>
        <v/>
      </c>
      <c r="C543" s="1234"/>
      <c r="D543" s="404">
        <f t="shared" si="72"/>
        <v>0</v>
      </c>
      <c r="E543" s="405">
        <f t="shared" si="73"/>
        <v>0</v>
      </c>
      <c r="F543" s="405">
        <f t="shared" si="74"/>
        <v>0</v>
      </c>
      <c r="H543" s="121" t="str">
        <f t="shared" si="75"/>
        <v/>
      </c>
      <c r="K543" s="810">
        <f t="shared" si="76"/>
        <v>0</v>
      </c>
    </row>
    <row r="544" spans="1:11" ht="18" customHeight="1" thickBot="1" x14ac:dyDescent="0.25">
      <c r="A544" s="190" t="s">
        <v>860</v>
      </c>
      <c r="B544" s="1234" t="str">
        <f>IF('Phase Codes'!F102="","",'Phase Codes'!F102)</f>
        <v/>
      </c>
      <c r="C544" s="1234"/>
      <c r="D544" s="404">
        <f t="shared" si="72"/>
        <v>0</v>
      </c>
      <c r="E544" s="405">
        <f t="shared" si="73"/>
        <v>0</v>
      </c>
      <c r="F544" s="405">
        <f t="shared" si="74"/>
        <v>0</v>
      </c>
      <c r="H544" s="121" t="str">
        <f t="shared" si="75"/>
        <v/>
      </c>
      <c r="K544" s="810">
        <f t="shared" si="76"/>
        <v>0</v>
      </c>
    </row>
    <row r="545" spans="1:11" ht="18" customHeight="1" thickBot="1" x14ac:dyDescent="0.25">
      <c r="A545" s="165" t="s">
        <v>8</v>
      </c>
      <c r="B545" s="1235" t="s">
        <v>336</v>
      </c>
      <c r="C545" s="1236"/>
      <c r="D545" s="210">
        <f t="shared" ref="D545:F545" si="77">SUM(D446:D544)</f>
        <v>0</v>
      </c>
      <c r="E545" s="191">
        <f t="shared" si="77"/>
        <v>0</v>
      </c>
      <c r="F545" s="191">
        <f t="shared" si="77"/>
        <v>0</v>
      </c>
      <c r="H545" s="121"/>
      <c r="K545" s="810">
        <f t="shared" si="76"/>
        <v>0</v>
      </c>
    </row>
    <row r="546" spans="1:11" ht="15" customHeight="1" x14ac:dyDescent="0.2">
      <c r="H546" s="121"/>
      <c r="K546" s="810">
        <f>K545</f>
        <v>0</v>
      </c>
    </row>
    <row r="547" spans="1:11" ht="15" customHeight="1" x14ac:dyDescent="0.2">
      <c r="C547" s="250" t="s">
        <v>1398</v>
      </c>
      <c r="D547" s="549">
        <f>D441+D545</f>
        <v>2367.91</v>
      </c>
      <c r="E547" s="550">
        <f>E441+E545</f>
        <v>247407.62160000001</v>
      </c>
      <c r="F547" s="550">
        <f>F441+F545</f>
        <v>15926.76</v>
      </c>
      <c r="H547" s="121"/>
      <c r="K547" s="810">
        <f>K545</f>
        <v>0</v>
      </c>
    </row>
    <row r="548" spans="1:11" ht="15" customHeight="1" thickBot="1" x14ac:dyDescent="0.3">
      <c r="A548" s="160"/>
      <c r="B548" s="160"/>
      <c r="C548" s="160"/>
      <c r="E548" s="158"/>
      <c r="F548" s="158"/>
      <c r="H548" s="121"/>
      <c r="K548" s="810">
        <f>K651</f>
        <v>0</v>
      </c>
    </row>
    <row r="549" spans="1:11" ht="16.5" thickBot="1" x14ac:dyDescent="0.3">
      <c r="A549" s="83"/>
      <c r="B549" s="1237" t="s">
        <v>324</v>
      </c>
      <c r="C549" s="1238"/>
      <c r="H549" s="121"/>
      <c r="K549" s="810">
        <f>K651</f>
        <v>0</v>
      </c>
    </row>
    <row r="550" spans="1:11" ht="26.25" thickBot="1" x14ac:dyDescent="0.25">
      <c r="A550" s="162" t="s">
        <v>325</v>
      </c>
      <c r="B550" s="1239" t="s">
        <v>0</v>
      </c>
      <c r="C550" s="1240"/>
      <c r="D550" s="163" t="s">
        <v>326</v>
      </c>
      <c r="E550" s="163" t="s">
        <v>327</v>
      </c>
      <c r="F550" s="163" t="s">
        <v>328</v>
      </c>
      <c r="G550" s="163" t="s">
        <v>1323</v>
      </c>
      <c r="H550" s="163" t="s">
        <v>1317</v>
      </c>
      <c r="K550" s="810">
        <f>K651</f>
        <v>0</v>
      </c>
    </row>
    <row r="551" spans="1:11" ht="17.100000000000001" customHeight="1" thickBot="1" x14ac:dyDescent="0.3">
      <c r="A551" s="164" t="s">
        <v>337</v>
      </c>
      <c r="B551" s="164"/>
      <c r="H551" s="121"/>
      <c r="K551" s="810">
        <f>K651</f>
        <v>0</v>
      </c>
    </row>
    <row r="552" spans="1:11" ht="18" customHeight="1" thickBot="1" x14ac:dyDescent="0.25">
      <c r="A552" s="190" t="s">
        <v>233</v>
      </c>
      <c r="B552" s="1234" t="str">
        <f>IF('Phase Codes'!G4="","",'Phase Codes'!G4)</f>
        <v>Supervision</v>
      </c>
      <c r="C552" s="1234"/>
      <c r="D552" s="404">
        <f>SUMIFS(SM_FieldLaborColumn,PC_SM_Field,$A552)+'MCAA RECAP'!F50</f>
        <v>0</v>
      </c>
      <c r="E552" s="405">
        <f>SUMIFS(Takeoff_Total_Field_Labor_Cost,PC_SM_Field,$A552)+'MCAA RECAP'!H50</f>
        <v>0</v>
      </c>
      <c r="F552" s="405">
        <f t="shared" ref="F552:F615" si="78">SUMIFS(SM_MaterialColumn,PC_SM_Material,$A552)</f>
        <v>0</v>
      </c>
      <c r="G552" t="s">
        <v>1319</v>
      </c>
      <c r="H552" s="121">
        <f t="shared" ref="H552:H615" si="79">IF($G552="E",6,IF($G552="M",3,IF($G552="OH","?",IF($G552="OT",7,IF($G552="S",4,"")))))</f>
        <v>3</v>
      </c>
      <c r="K552" s="810">
        <f>SUM(D552:F552)</f>
        <v>0</v>
      </c>
    </row>
    <row r="553" spans="1:11" ht="18" customHeight="1" thickBot="1" x14ac:dyDescent="0.25">
      <c r="A553" s="190" t="s">
        <v>861</v>
      </c>
      <c r="B553" s="1234" t="str">
        <f>IF('Phase Codes'!G5="","",'Phase Codes'!G5)</f>
        <v>Hangers</v>
      </c>
      <c r="C553" s="1234"/>
      <c r="D553" s="404">
        <f t="shared" ref="D553:D583" si="80">SUMIFS(SM_FieldLaborColumn,PC_SM_Field,$A553)</f>
        <v>0</v>
      </c>
      <c r="E553" s="405">
        <f t="shared" ref="E553:E583" si="81">SUMIFS(Takeoff_Total_Field_Labor_Cost,PC_SM_Field,$A553)</f>
        <v>0</v>
      </c>
      <c r="F553" s="405">
        <f t="shared" si="78"/>
        <v>0</v>
      </c>
      <c r="G553" t="s">
        <v>1319</v>
      </c>
      <c r="H553" s="121">
        <f t="shared" si="79"/>
        <v>3</v>
      </c>
      <c r="K553" s="810">
        <f t="shared" ref="K553:K616" si="82">SUM(D553:F553)</f>
        <v>0</v>
      </c>
    </row>
    <row r="554" spans="1:11" ht="18" customHeight="1" thickBot="1" x14ac:dyDescent="0.25">
      <c r="A554" s="190" t="s">
        <v>862</v>
      </c>
      <c r="B554" s="1234" t="str">
        <f>IF('Phase Codes'!G6="","",'Phase Codes'!G6)</f>
        <v>Floor Supports</v>
      </c>
      <c r="C554" s="1234"/>
      <c r="D554" s="404">
        <f t="shared" si="80"/>
        <v>0</v>
      </c>
      <c r="E554" s="405">
        <f t="shared" si="81"/>
        <v>0</v>
      </c>
      <c r="F554" s="405">
        <f t="shared" si="78"/>
        <v>0</v>
      </c>
      <c r="G554" t="s">
        <v>1319</v>
      </c>
      <c r="H554" s="121">
        <f t="shared" si="79"/>
        <v>3</v>
      </c>
      <c r="K554" s="810">
        <f t="shared" si="82"/>
        <v>0</v>
      </c>
    </row>
    <row r="555" spans="1:11" ht="18" customHeight="1" thickBot="1" x14ac:dyDescent="0.25">
      <c r="A555" s="190" t="s">
        <v>863</v>
      </c>
      <c r="B555" s="1234" t="str">
        <f>IF('Phase Codes'!G7="","",'Phase Codes'!G7)</f>
        <v xml:space="preserve">QA/QC </v>
      </c>
      <c r="C555" s="1234"/>
      <c r="D555" s="404">
        <f>SUMIFS(SM_FieldLaborColumn,PC_SM_Field,$A555)+'MCAA RECAP'!F15</f>
        <v>0</v>
      </c>
      <c r="E555" s="405">
        <f>SUMIFS(Takeoff_Total_Field_Labor_Cost,PC_SM_Field,$A555)+('MCAA RECAP'!F15*CrewRate_Pipe)</f>
        <v>0</v>
      </c>
      <c r="F555" s="405">
        <f t="shared" si="78"/>
        <v>0</v>
      </c>
      <c r="G555" t="s">
        <v>1319</v>
      </c>
      <c r="H555" s="121">
        <f t="shared" si="79"/>
        <v>3</v>
      </c>
      <c r="K555" s="810">
        <f t="shared" si="82"/>
        <v>0</v>
      </c>
    </row>
    <row r="556" spans="1:11" ht="18" customHeight="1" thickBot="1" x14ac:dyDescent="0.25">
      <c r="A556" s="190" t="s">
        <v>864</v>
      </c>
      <c r="B556" s="1234" t="str">
        <f>IF('Phase Codes'!G8="","",'Phase Codes'!G8)</f>
        <v>Detailing</v>
      </c>
      <c r="C556" s="1234"/>
      <c r="D556" s="404">
        <f t="shared" si="80"/>
        <v>0</v>
      </c>
      <c r="E556" s="405">
        <f t="shared" si="81"/>
        <v>0</v>
      </c>
      <c r="F556" s="405">
        <f t="shared" si="78"/>
        <v>0</v>
      </c>
      <c r="G556" t="s">
        <v>1319</v>
      </c>
      <c r="H556" s="121">
        <f t="shared" si="79"/>
        <v>3</v>
      </c>
      <c r="K556" s="810">
        <f t="shared" si="82"/>
        <v>0</v>
      </c>
    </row>
    <row r="557" spans="1:11" ht="18" customHeight="1" thickBot="1" x14ac:dyDescent="0.25">
      <c r="A557" s="190" t="s">
        <v>865</v>
      </c>
      <c r="B557" s="1234" t="str">
        <f>IF('Phase Codes'!G9="","",'Phase Codes'!G9)</f>
        <v>Material Handling</v>
      </c>
      <c r="C557" s="1234"/>
      <c r="D557" s="404">
        <f>SUMIFS(SM_FieldLaborColumn,PC_SM_Field,$A557)+'MCAA RECAP'!F16</f>
        <v>0</v>
      </c>
      <c r="E557" s="405">
        <f>SUMIFS(Takeoff_Total_Field_Labor_Cost,PC_SM_Field,$A557)+('MCAA RECAP'!F16*CrewRate_Pipe)</f>
        <v>0</v>
      </c>
      <c r="F557" s="405">
        <f t="shared" si="78"/>
        <v>0</v>
      </c>
      <c r="G557" t="s">
        <v>1319</v>
      </c>
      <c r="H557" s="121">
        <f t="shared" si="79"/>
        <v>3</v>
      </c>
      <c r="K557" s="810">
        <f t="shared" si="82"/>
        <v>0</v>
      </c>
    </row>
    <row r="558" spans="1:11" ht="18" customHeight="1" thickBot="1" x14ac:dyDescent="0.25">
      <c r="A558" s="190" t="s">
        <v>866</v>
      </c>
      <c r="B558" s="1234" t="str">
        <f>IF('Phase Codes'!G10="","",'Phase Codes'!G10)</f>
        <v>Miscellaneous</v>
      </c>
      <c r="C558" s="1234"/>
      <c r="D558" s="404">
        <f t="shared" si="80"/>
        <v>0</v>
      </c>
      <c r="E558" s="405">
        <f t="shared" si="81"/>
        <v>0</v>
      </c>
      <c r="F558" s="405">
        <f t="shared" si="78"/>
        <v>0</v>
      </c>
      <c r="G558" t="s">
        <v>1319</v>
      </c>
      <c r="H558" s="121">
        <f t="shared" si="79"/>
        <v>3</v>
      </c>
      <c r="K558" s="810">
        <f t="shared" si="82"/>
        <v>0</v>
      </c>
    </row>
    <row r="559" spans="1:11" ht="18" customHeight="1" thickBot="1" x14ac:dyDescent="0.25">
      <c r="A559" s="190" t="s">
        <v>867</v>
      </c>
      <c r="B559" s="1234" t="str">
        <f>IF('Phase Codes'!G11="","",'Phase Codes'!G11)</f>
        <v>Ind Advancement Program - Loc290</v>
      </c>
      <c r="C559" s="1234"/>
      <c r="D559" s="404">
        <f t="shared" si="80"/>
        <v>0</v>
      </c>
      <c r="E559" s="405">
        <f>SUMIFS(Takeoff_Total_Field_Labor_Cost,PC_SM_Field,$A559)+(ABS('Work Recovery'!H12)*-1)</f>
        <v>0</v>
      </c>
      <c r="F559" s="405">
        <f t="shared" si="78"/>
        <v>0</v>
      </c>
      <c r="G559" t="s">
        <v>1322</v>
      </c>
      <c r="H559" s="121" t="s">
        <v>1828</v>
      </c>
      <c r="K559" s="810">
        <f t="shared" si="82"/>
        <v>0</v>
      </c>
    </row>
    <row r="560" spans="1:11" ht="18" customHeight="1" thickBot="1" x14ac:dyDescent="0.25">
      <c r="A560" s="190" t="s">
        <v>868</v>
      </c>
      <c r="B560" s="1234" t="str">
        <f>IF('Phase Codes'!G12="","",'Phase Codes'!G12)</f>
        <v>Safety Time</v>
      </c>
      <c r="C560" s="1234"/>
      <c r="D560" s="404">
        <f>SUMIFS(SM_FieldLaborColumn,PC_SM_Field,$A560)+'MCAA RECAP'!F14</f>
        <v>0</v>
      </c>
      <c r="E560" s="405">
        <f>SUMIFS(Takeoff_Total_Field_Labor_Cost,PC_SM_Field,$A560)+('MCAA RECAP'!F14*CrewRate_Pipe)</f>
        <v>0</v>
      </c>
      <c r="F560" s="405">
        <f t="shared" si="78"/>
        <v>0</v>
      </c>
      <c r="G560" t="s">
        <v>1319</v>
      </c>
      <c r="H560" s="121">
        <f t="shared" si="79"/>
        <v>3</v>
      </c>
      <c r="K560" s="810">
        <f t="shared" si="82"/>
        <v>0</v>
      </c>
    </row>
    <row r="561" spans="1:11" ht="18" customHeight="1" thickBot="1" x14ac:dyDescent="0.25">
      <c r="A561" s="190" t="s">
        <v>869</v>
      </c>
      <c r="B561" s="1234" t="str">
        <f>IF('Phase Codes'!G13="","",'Phase Codes'!G13)</f>
        <v>Testing</v>
      </c>
      <c r="C561" s="1234"/>
      <c r="D561" s="404">
        <f>SUMIFS(SM_FieldLaborColumn,PC_SM_Field,$A561)+'MCAA RECAP'!F13</f>
        <v>0</v>
      </c>
      <c r="E561" s="405">
        <f>SUMIFS(Takeoff_Total_Field_Labor_Cost,PC_SM_Field,$A561)+('MCAA RECAP'!F13*CrewRate_Pipe)</f>
        <v>0</v>
      </c>
      <c r="F561" s="405">
        <f t="shared" si="78"/>
        <v>0</v>
      </c>
      <c r="G561" t="s">
        <v>1319</v>
      </c>
      <c r="H561" s="121">
        <f t="shared" si="79"/>
        <v>3</v>
      </c>
      <c r="K561" s="810">
        <f t="shared" si="82"/>
        <v>0</v>
      </c>
    </row>
    <row r="562" spans="1:11" ht="18" customHeight="1" thickBot="1" x14ac:dyDescent="0.25">
      <c r="A562" s="190" t="s">
        <v>870</v>
      </c>
      <c r="B562" s="1234" t="str">
        <f>IF('Phase Codes'!G14="","",'Phase Codes'!G14)</f>
        <v>Training and Orientation</v>
      </c>
      <c r="C562" s="1234"/>
      <c r="D562" s="404">
        <f t="shared" si="80"/>
        <v>0</v>
      </c>
      <c r="E562" s="405">
        <f t="shared" si="81"/>
        <v>0</v>
      </c>
      <c r="F562" s="405">
        <f t="shared" si="78"/>
        <v>0</v>
      </c>
      <c r="G562" t="s">
        <v>1319</v>
      </c>
      <c r="H562" s="121">
        <f t="shared" si="79"/>
        <v>3</v>
      </c>
      <c r="K562" s="810">
        <f t="shared" si="82"/>
        <v>0</v>
      </c>
    </row>
    <row r="563" spans="1:11" ht="18" customHeight="1" thickBot="1" x14ac:dyDescent="0.25">
      <c r="A563" s="190" t="s">
        <v>871</v>
      </c>
      <c r="B563" s="1234" t="str">
        <f>IF('Phase Codes'!G15="","",'Phase Codes'!G15)</f>
        <v>Welded Ferrous Steel Systems</v>
      </c>
      <c r="C563" s="1234"/>
      <c r="D563" s="404">
        <f t="shared" si="80"/>
        <v>0</v>
      </c>
      <c r="E563" s="405">
        <f t="shared" si="81"/>
        <v>0</v>
      </c>
      <c r="F563" s="405">
        <f t="shared" si="78"/>
        <v>0</v>
      </c>
      <c r="G563" t="s">
        <v>1319</v>
      </c>
      <c r="H563" s="121">
        <f t="shared" si="79"/>
        <v>3</v>
      </c>
      <c r="K563" s="810">
        <f t="shared" si="82"/>
        <v>0</v>
      </c>
    </row>
    <row r="564" spans="1:11" ht="18" customHeight="1" thickBot="1" x14ac:dyDescent="0.25">
      <c r="A564" s="190" t="s">
        <v>872</v>
      </c>
      <c r="B564" s="1234" t="str">
        <f>IF('Phase Codes'!G16="","",'Phase Codes'!G16)</f>
        <v>Welded SS Alloy Systems</v>
      </c>
      <c r="C564" s="1234"/>
      <c r="D564" s="404">
        <f t="shared" si="80"/>
        <v>0</v>
      </c>
      <c r="E564" s="405">
        <f t="shared" si="81"/>
        <v>0</v>
      </c>
      <c r="F564" s="405">
        <f t="shared" si="78"/>
        <v>0</v>
      </c>
      <c r="G564" t="s">
        <v>1319</v>
      </c>
      <c r="H564" s="121">
        <f t="shared" si="79"/>
        <v>3</v>
      </c>
      <c r="K564" s="810">
        <f t="shared" si="82"/>
        <v>0</v>
      </c>
    </row>
    <row r="565" spans="1:11" ht="18" customHeight="1" thickBot="1" x14ac:dyDescent="0.25">
      <c r="A565" s="190" t="s">
        <v>873</v>
      </c>
      <c r="B565" s="1234" t="str">
        <f>IF('Phase Codes'!G17="","",'Phase Codes'!G17)</f>
        <v>Threaded and Coupled Systems</v>
      </c>
      <c r="C565" s="1234"/>
      <c r="D565" s="404">
        <f t="shared" si="80"/>
        <v>0</v>
      </c>
      <c r="E565" s="405">
        <f t="shared" si="81"/>
        <v>0</v>
      </c>
      <c r="F565" s="405">
        <f t="shared" si="78"/>
        <v>0</v>
      </c>
      <c r="G565" t="s">
        <v>1319</v>
      </c>
      <c r="H565" s="121">
        <f t="shared" si="79"/>
        <v>3</v>
      </c>
      <c r="K565" s="810">
        <f t="shared" si="82"/>
        <v>0</v>
      </c>
    </row>
    <row r="566" spans="1:11" ht="18" customHeight="1" thickBot="1" x14ac:dyDescent="0.25">
      <c r="A566" s="190" t="s">
        <v>874</v>
      </c>
      <c r="B566" s="1234" t="str">
        <f>IF('Phase Codes'!G18="","",'Phase Codes'!G18)</f>
        <v>Grooved Systems</v>
      </c>
      <c r="C566" s="1234"/>
      <c r="D566" s="404">
        <f t="shared" si="80"/>
        <v>0</v>
      </c>
      <c r="E566" s="405">
        <f t="shared" si="81"/>
        <v>0</v>
      </c>
      <c r="F566" s="405">
        <f t="shared" si="78"/>
        <v>0</v>
      </c>
      <c r="G566" t="s">
        <v>1319</v>
      </c>
      <c r="H566" s="121">
        <f t="shared" si="79"/>
        <v>3</v>
      </c>
      <c r="K566" s="810">
        <f t="shared" si="82"/>
        <v>0</v>
      </c>
    </row>
    <row r="567" spans="1:11" ht="18" customHeight="1" thickBot="1" x14ac:dyDescent="0.25">
      <c r="A567" s="190" t="s">
        <v>875</v>
      </c>
      <c r="B567" s="1234" t="str">
        <f>IF('Phase Codes'!G19="","",'Phase Codes'!G19)</f>
        <v>Copper Systems</v>
      </c>
      <c r="C567" s="1234"/>
      <c r="D567" s="404">
        <f t="shared" si="80"/>
        <v>0</v>
      </c>
      <c r="E567" s="405">
        <f t="shared" si="81"/>
        <v>0</v>
      </c>
      <c r="F567" s="405">
        <f t="shared" si="78"/>
        <v>0</v>
      </c>
      <c r="G567" t="s">
        <v>1319</v>
      </c>
      <c r="H567" s="121">
        <f t="shared" si="79"/>
        <v>3</v>
      </c>
      <c r="K567" s="810">
        <f t="shared" si="82"/>
        <v>0</v>
      </c>
    </row>
    <row r="568" spans="1:11" ht="18" customHeight="1" thickBot="1" x14ac:dyDescent="0.25">
      <c r="A568" s="190" t="s">
        <v>876</v>
      </c>
      <c r="B568" s="1234" t="str">
        <f>IF('Phase Codes'!G20="","",'Phase Codes'!G20)</f>
        <v>High Purity/Med Systems</v>
      </c>
      <c r="C568" s="1234"/>
      <c r="D568" s="404">
        <f t="shared" si="80"/>
        <v>0</v>
      </c>
      <c r="E568" s="405">
        <f t="shared" si="81"/>
        <v>0</v>
      </c>
      <c r="F568" s="405">
        <f t="shared" si="78"/>
        <v>0</v>
      </c>
      <c r="G568" t="s">
        <v>1319</v>
      </c>
      <c r="H568" s="121">
        <f t="shared" si="79"/>
        <v>3</v>
      </c>
      <c r="K568" s="810">
        <f t="shared" si="82"/>
        <v>0</v>
      </c>
    </row>
    <row r="569" spans="1:11" ht="18" customHeight="1" thickBot="1" x14ac:dyDescent="0.25">
      <c r="A569" s="190" t="s">
        <v>877</v>
      </c>
      <c r="B569" s="1234" t="str">
        <f>IF('Phase Codes'!G21="","",'Phase Codes'!G21)</f>
        <v>Cemented Plastic Systems</v>
      </c>
      <c r="C569" s="1234"/>
      <c r="D569" s="404">
        <f t="shared" si="80"/>
        <v>0</v>
      </c>
      <c r="E569" s="405">
        <f t="shared" si="81"/>
        <v>0</v>
      </c>
      <c r="F569" s="405">
        <f t="shared" si="78"/>
        <v>0</v>
      </c>
      <c r="G569" t="s">
        <v>1319</v>
      </c>
      <c r="H569" s="121">
        <f t="shared" si="79"/>
        <v>3</v>
      </c>
      <c r="K569" s="810">
        <f t="shared" si="82"/>
        <v>0</v>
      </c>
    </row>
    <row r="570" spans="1:11" ht="18" customHeight="1" thickBot="1" x14ac:dyDescent="0.25">
      <c r="A570" s="190" t="s">
        <v>878</v>
      </c>
      <c r="B570" s="1234" t="str">
        <f>IF('Phase Codes'!G22="","",'Phase Codes'!G22)</f>
        <v>Thermoplastic Systems</v>
      </c>
      <c r="C570" s="1234"/>
      <c r="D570" s="404">
        <f t="shared" si="80"/>
        <v>0</v>
      </c>
      <c r="E570" s="405">
        <f t="shared" si="81"/>
        <v>0</v>
      </c>
      <c r="F570" s="405">
        <f t="shared" si="78"/>
        <v>0</v>
      </c>
      <c r="G570" t="s">
        <v>1319</v>
      </c>
      <c r="H570" s="121">
        <f t="shared" si="79"/>
        <v>3</v>
      </c>
      <c r="K570" s="810">
        <f t="shared" si="82"/>
        <v>0</v>
      </c>
    </row>
    <row r="571" spans="1:11" ht="18" customHeight="1" thickBot="1" x14ac:dyDescent="0.25">
      <c r="A571" s="190" t="s">
        <v>879</v>
      </c>
      <c r="B571" s="1234" t="str">
        <f>IF('Phase Codes'!G23="","",'Phase Codes'!G23)</f>
        <v>Assemblies and Batteries</v>
      </c>
      <c r="C571" s="1234"/>
      <c r="D571" s="404">
        <f t="shared" si="80"/>
        <v>0</v>
      </c>
      <c r="E571" s="405">
        <f t="shared" si="81"/>
        <v>0</v>
      </c>
      <c r="F571" s="405">
        <f t="shared" si="78"/>
        <v>0</v>
      </c>
      <c r="G571" t="s">
        <v>1319</v>
      </c>
      <c r="H571" s="121">
        <f t="shared" si="79"/>
        <v>3</v>
      </c>
      <c r="K571" s="810">
        <f t="shared" si="82"/>
        <v>0</v>
      </c>
    </row>
    <row r="572" spans="1:11" ht="18" customHeight="1" thickBot="1" x14ac:dyDescent="0.25">
      <c r="A572" s="190" t="s">
        <v>880</v>
      </c>
      <c r="B572" s="1234" t="str">
        <f>IF('Phase Codes'!G24="","",'Phase Codes'!G24)</f>
        <v>Process Drains AG</v>
      </c>
      <c r="C572" s="1234"/>
      <c r="D572" s="404">
        <f t="shared" si="80"/>
        <v>0</v>
      </c>
      <c r="E572" s="405">
        <f t="shared" si="81"/>
        <v>0</v>
      </c>
      <c r="F572" s="405">
        <f t="shared" si="78"/>
        <v>0</v>
      </c>
      <c r="G572" t="s">
        <v>1319</v>
      </c>
      <c r="H572" s="121">
        <f t="shared" si="79"/>
        <v>3</v>
      </c>
      <c r="K572" s="810">
        <f t="shared" si="82"/>
        <v>0</v>
      </c>
    </row>
    <row r="573" spans="1:11" ht="18" customHeight="1" thickBot="1" x14ac:dyDescent="0.25">
      <c r="A573" s="190" t="s">
        <v>881</v>
      </c>
      <c r="B573" s="1234" t="str">
        <f>IF('Phase Codes'!G25="","",'Phase Codes'!G25)</f>
        <v>Process Drains BG</v>
      </c>
      <c r="C573" s="1234"/>
      <c r="D573" s="404">
        <f t="shared" si="80"/>
        <v>0</v>
      </c>
      <c r="E573" s="405">
        <f t="shared" si="81"/>
        <v>0</v>
      </c>
      <c r="F573" s="405">
        <f t="shared" si="78"/>
        <v>0</v>
      </c>
      <c r="G573" t="s">
        <v>1319</v>
      </c>
      <c r="H573" s="121">
        <f t="shared" si="79"/>
        <v>3</v>
      </c>
      <c r="K573" s="810">
        <f t="shared" si="82"/>
        <v>0</v>
      </c>
    </row>
    <row r="574" spans="1:11" ht="18" customHeight="1" thickBot="1" x14ac:dyDescent="0.25">
      <c r="A574" s="190" t="s">
        <v>882</v>
      </c>
      <c r="B574" s="1234" t="str">
        <f>IF('Phase Codes'!G26="","",'Phase Codes'!G26)</f>
        <v>Tubing Systems</v>
      </c>
      <c r="C574" s="1234"/>
      <c r="D574" s="404">
        <f t="shared" si="80"/>
        <v>0</v>
      </c>
      <c r="E574" s="405">
        <f t="shared" si="81"/>
        <v>0</v>
      </c>
      <c r="F574" s="405">
        <f t="shared" si="78"/>
        <v>0</v>
      </c>
      <c r="G574" t="s">
        <v>1319</v>
      </c>
      <c r="H574" s="121">
        <f t="shared" si="79"/>
        <v>3</v>
      </c>
      <c r="K574" s="810">
        <f t="shared" si="82"/>
        <v>0</v>
      </c>
    </row>
    <row r="575" spans="1:11" ht="18" customHeight="1" thickBot="1" x14ac:dyDescent="0.25">
      <c r="A575" s="190" t="s">
        <v>883</v>
      </c>
      <c r="B575" s="1234" t="str">
        <f>IF('Phase Codes'!G27="","",'Phase Codes'!G27)</f>
        <v xml:space="preserve">Double Contained Piping </v>
      </c>
      <c r="C575" s="1234"/>
      <c r="D575" s="404">
        <f t="shared" si="80"/>
        <v>0</v>
      </c>
      <c r="E575" s="405">
        <f t="shared" si="81"/>
        <v>0</v>
      </c>
      <c r="F575" s="405">
        <f t="shared" si="78"/>
        <v>0</v>
      </c>
      <c r="G575" t="s">
        <v>1319</v>
      </c>
      <c r="H575" s="121">
        <f t="shared" si="79"/>
        <v>3</v>
      </c>
      <c r="K575" s="810">
        <f t="shared" si="82"/>
        <v>0</v>
      </c>
    </row>
    <row r="576" spans="1:11" ht="18" customHeight="1" thickBot="1" x14ac:dyDescent="0.25">
      <c r="A576" s="190" t="s">
        <v>884</v>
      </c>
      <c r="B576" s="1234" t="str">
        <f>IF('Phase Codes'!G28="","",'Phase Codes'!G28)</f>
        <v>Excavation and Backfill</v>
      </c>
      <c r="C576" s="1234"/>
      <c r="D576" s="404">
        <f t="shared" si="80"/>
        <v>0</v>
      </c>
      <c r="E576" s="405">
        <f t="shared" si="81"/>
        <v>0</v>
      </c>
      <c r="F576" s="405">
        <f t="shared" si="78"/>
        <v>0</v>
      </c>
      <c r="G576" t="s">
        <v>1319</v>
      </c>
      <c r="H576" s="121">
        <f t="shared" si="79"/>
        <v>3</v>
      </c>
      <c r="K576" s="810">
        <f t="shared" si="82"/>
        <v>0</v>
      </c>
    </row>
    <row r="577" spans="1:14" ht="18" customHeight="1" thickBot="1" x14ac:dyDescent="0.25">
      <c r="A577" s="190" t="s">
        <v>885</v>
      </c>
      <c r="B577" s="1234" t="str">
        <f>IF('Phase Codes'!G29="","",'Phase Codes'!G29)</f>
        <v>Process Equipment Installation</v>
      </c>
      <c r="C577" s="1234"/>
      <c r="D577" s="404">
        <f t="shared" si="80"/>
        <v>0</v>
      </c>
      <c r="E577" s="405">
        <f t="shared" si="81"/>
        <v>0</v>
      </c>
      <c r="F577" s="405">
        <f t="shared" si="78"/>
        <v>0</v>
      </c>
      <c r="G577" t="s">
        <v>1319</v>
      </c>
      <c r="H577" s="121">
        <f t="shared" si="79"/>
        <v>3</v>
      </c>
      <c r="K577" s="810">
        <f t="shared" si="82"/>
        <v>0</v>
      </c>
    </row>
    <row r="578" spans="1:14" ht="18" customHeight="1" thickBot="1" x14ac:dyDescent="0.25">
      <c r="A578" s="190" t="s">
        <v>886</v>
      </c>
      <c r="B578" s="1234" t="str">
        <f>IF('Phase Codes'!G30="","",'Phase Codes'!G30)</f>
        <v>Structural and Primary Steel</v>
      </c>
      <c r="C578" s="1234"/>
      <c r="D578" s="404">
        <f t="shared" si="80"/>
        <v>0</v>
      </c>
      <c r="E578" s="405">
        <f t="shared" si="81"/>
        <v>0</v>
      </c>
      <c r="F578" s="405">
        <f t="shared" si="78"/>
        <v>0</v>
      </c>
      <c r="G578" t="s">
        <v>1319</v>
      </c>
      <c r="H578" s="121">
        <f t="shared" si="79"/>
        <v>3</v>
      </c>
      <c r="K578" s="810">
        <f t="shared" si="82"/>
        <v>0</v>
      </c>
      <c r="N578" s="494"/>
    </row>
    <row r="579" spans="1:14" ht="18" customHeight="1" thickBot="1" x14ac:dyDescent="0.25">
      <c r="A579" s="190" t="s">
        <v>887</v>
      </c>
      <c r="B579" s="1234" t="str">
        <f>IF('Phase Codes'!G31="","",'Phase Codes'!G31)</f>
        <v>Labels and ID</v>
      </c>
      <c r="C579" s="1234"/>
      <c r="D579" s="404">
        <f t="shared" si="80"/>
        <v>0</v>
      </c>
      <c r="E579" s="405">
        <f t="shared" si="81"/>
        <v>0</v>
      </c>
      <c r="F579" s="405">
        <f t="shared" si="78"/>
        <v>0</v>
      </c>
      <c r="G579" t="s">
        <v>1319</v>
      </c>
      <c r="H579" s="121">
        <f t="shared" si="79"/>
        <v>3</v>
      </c>
      <c r="K579" s="810">
        <f t="shared" si="82"/>
        <v>0</v>
      </c>
      <c r="N579" s="494"/>
    </row>
    <row r="580" spans="1:14" ht="18" customHeight="1" thickBot="1" x14ac:dyDescent="0.25">
      <c r="A580" s="190" t="s">
        <v>888</v>
      </c>
      <c r="B580" s="1234" t="str">
        <f>IF('Phase Codes'!G32="","",'Phase Codes'!G32)</f>
        <v>Access Doors</v>
      </c>
      <c r="C580" s="1234"/>
      <c r="D580" s="404">
        <f t="shared" si="80"/>
        <v>0</v>
      </c>
      <c r="E580" s="405">
        <f t="shared" si="81"/>
        <v>0</v>
      </c>
      <c r="F580" s="405">
        <f t="shared" si="78"/>
        <v>0</v>
      </c>
      <c r="G580" t="s">
        <v>1319</v>
      </c>
      <c r="H580" s="121">
        <f t="shared" si="79"/>
        <v>3</v>
      </c>
      <c r="K580" s="810">
        <f t="shared" si="82"/>
        <v>0</v>
      </c>
      <c r="N580" s="494"/>
    </row>
    <row r="581" spans="1:14" ht="18" customHeight="1" thickBot="1" x14ac:dyDescent="0.25">
      <c r="A581" s="190" t="s">
        <v>889</v>
      </c>
      <c r="B581" s="1234" t="str">
        <f>IF('Phase Codes'!G33="","",'Phase Codes'!G33)</f>
        <v>Demolition</v>
      </c>
      <c r="C581" s="1234"/>
      <c r="D581" s="404">
        <f t="shared" si="80"/>
        <v>0</v>
      </c>
      <c r="E581" s="405">
        <f t="shared" si="81"/>
        <v>0</v>
      </c>
      <c r="F581" s="405">
        <f t="shared" si="78"/>
        <v>0</v>
      </c>
      <c r="G581" t="s">
        <v>1319</v>
      </c>
      <c r="H581" s="121">
        <f t="shared" si="79"/>
        <v>3</v>
      </c>
      <c r="K581" s="810">
        <f t="shared" si="82"/>
        <v>0</v>
      </c>
      <c r="N581" s="494"/>
    </row>
    <row r="582" spans="1:14" ht="18" customHeight="1" thickBot="1" x14ac:dyDescent="0.25">
      <c r="A582" s="190" t="s">
        <v>890</v>
      </c>
      <c r="B582" s="1234" t="str">
        <f>IF('Phase Codes'!G34="","",'Phase Codes'!G34)</f>
        <v>Equipment Installation</v>
      </c>
      <c r="C582" s="1234"/>
      <c r="D582" s="404">
        <f t="shared" si="80"/>
        <v>0</v>
      </c>
      <c r="E582" s="405">
        <f t="shared" si="81"/>
        <v>0</v>
      </c>
      <c r="F582" s="405">
        <f t="shared" si="78"/>
        <v>0</v>
      </c>
      <c r="G582" t="s">
        <v>1319</v>
      </c>
      <c r="H582" s="121">
        <f t="shared" si="79"/>
        <v>3</v>
      </c>
      <c r="K582" s="810">
        <f t="shared" si="82"/>
        <v>0</v>
      </c>
      <c r="N582" s="494"/>
    </row>
    <row r="583" spans="1:14" ht="18" customHeight="1" thickBot="1" x14ac:dyDescent="0.25">
      <c r="A583" s="190" t="s">
        <v>891</v>
      </c>
      <c r="B583" s="1234" t="str">
        <f>IF('Phase Codes'!G35="","",'Phase Codes'!G35)</f>
        <v>Seismic Restraints</v>
      </c>
      <c r="C583" s="1234"/>
      <c r="D583" s="404">
        <f t="shared" si="80"/>
        <v>0</v>
      </c>
      <c r="E583" s="405">
        <f t="shared" si="81"/>
        <v>0</v>
      </c>
      <c r="F583" s="405">
        <f t="shared" si="78"/>
        <v>0</v>
      </c>
      <c r="G583" t="s">
        <v>1319</v>
      </c>
      <c r="H583" s="121">
        <f t="shared" si="79"/>
        <v>3</v>
      </c>
      <c r="K583" s="810">
        <f t="shared" si="82"/>
        <v>0</v>
      </c>
      <c r="N583" s="494"/>
    </row>
    <row r="584" spans="1:14" ht="18" customHeight="1" thickBot="1" x14ac:dyDescent="0.25">
      <c r="A584" s="190" t="s">
        <v>892</v>
      </c>
      <c r="B584" s="1234" t="str">
        <f>IF('Phase Codes'!G36="","",'Phase Codes'!G36)</f>
        <v>Sealants and Fire Caulking</v>
      </c>
      <c r="C584" s="1234"/>
      <c r="D584" s="404">
        <f t="shared" ref="D584:D615" si="83">SUMIFS(SM_FieldLaborColumn,PC_SM_Field,$A584)</f>
        <v>0</v>
      </c>
      <c r="E584" s="405">
        <f t="shared" ref="E584:E615" si="84">SUMIFS(Takeoff_Total_Field_Labor_Cost,PC_SM_Field,$A584)</f>
        <v>0</v>
      </c>
      <c r="F584" s="405">
        <f t="shared" si="78"/>
        <v>0</v>
      </c>
      <c r="G584" t="s">
        <v>1319</v>
      </c>
      <c r="H584" s="121">
        <f t="shared" si="79"/>
        <v>3</v>
      </c>
      <c r="K584" s="810">
        <f t="shared" si="82"/>
        <v>0</v>
      </c>
      <c r="N584" s="494"/>
    </row>
    <row r="585" spans="1:14" ht="18" customHeight="1" thickBot="1" x14ac:dyDescent="0.25">
      <c r="A585" s="190" t="s">
        <v>893</v>
      </c>
      <c r="B585" s="1234" t="str">
        <f>IF('Phase Codes'!G37="","",'Phase Codes'!G37)</f>
        <v>Startup and Commissioning</v>
      </c>
      <c r="C585" s="1234"/>
      <c r="D585" s="404">
        <f t="shared" si="83"/>
        <v>0</v>
      </c>
      <c r="E585" s="405">
        <f t="shared" si="84"/>
        <v>0</v>
      </c>
      <c r="F585" s="405">
        <f t="shared" si="78"/>
        <v>0</v>
      </c>
      <c r="G585" t="s">
        <v>1319</v>
      </c>
      <c r="H585" s="121">
        <f t="shared" si="79"/>
        <v>3</v>
      </c>
      <c r="K585" s="810">
        <f t="shared" si="82"/>
        <v>0</v>
      </c>
      <c r="N585" s="494"/>
    </row>
    <row r="586" spans="1:14" ht="18" customHeight="1" thickBot="1" x14ac:dyDescent="0.25">
      <c r="A586" s="190" t="s">
        <v>894</v>
      </c>
      <c r="B586" s="1234" t="str">
        <f>IF('Phase Codes'!G38="","",'Phase Codes'!G38)</f>
        <v>Non-Chargeable</v>
      </c>
      <c r="C586" s="1234"/>
      <c r="D586" s="404">
        <f t="shared" si="83"/>
        <v>0</v>
      </c>
      <c r="E586" s="405">
        <f t="shared" si="84"/>
        <v>0</v>
      </c>
      <c r="F586" s="405">
        <f t="shared" si="78"/>
        <v>0</v>
      </c>
      <c r="G586" t="s">
        <v>1319</v>
      </c>
      <c r="H586" s="121">
        <f t="shared" si="79"/>
        <v>3</v>
      </c>
      <c r="K586" s="810">
        <f t="shared" si="82"/>
        <v>0</v>
      </c>
      <c r="N586" s="494"/>
    </row>
    <row r="587" spans="1:14" ht="18" customHeight="1" thickBot="1" x14ac:dyDescent="0.25">
      <c r="A587" s="190" t="s">
        <v>895</v>
      </c>
      <c r="B587" s="1234" t="str">
        <f>IF('Phase Codes'!G39="","",'Phase Codes'!G39)</f>
        <v/>
      </c>
      <c r="C587" s="1234"/>
      <c r="D587" s="404">
        <f t="shared" si="83"/>
        <v>0</v>
      </c>
      <c r="E587" s="405">
        <f t="shared" si="84"/>
        <v>0</v>
      </c>
      <c r="F587" s="405">
        <f t="shared" si="78"/>
        <v>0</v>
      </c>
      <c r="H587" s="121" t="str">
        <f t="shared" si="79"/>
        <v/>
      </c>
      <c r="K587" s="810">
        <f t="shared" si="82"/>
        <v>0</v>
      </c>
      <c r="N587" s="494"/>
    </row>
    <row r="588" spans="1:14" ht="18" customHeight="1" thickBot="1" x14ac:dyDescent="0.25">
      <c r="A588" s="190" t="s">
        <v>896</v>
      </c>
      <c r="B588" s="1234" t="str">
        <f>IF('Phase Codes'!G40="","",'Phase Codes'!G40)</f>
        <v/>
      </c>
      <c r="C588" s="1234"/>
      <c r="D588" s="404">
        <f t="shared" si="83"/>
        <v>0</v>
      </c>
      <c r="E588" s="405">
        <f t="shared" si="84"/>
        <v>0</v>
      </c>
      <c r="F588" s="405">
        <f t="shared" si="78"/>
        <v>0</v>
      </c>
      <c r="H588" s="121" t="str">
        <f t="shared" si="79"/>
        <v/>
      </c>
      <c r="K588" s="810">
        <f t="shared" si="82"/>
        <v>0</v>
      </c>
      <c r="N588" s="494"/>
    </row>
    <row r="589" spans="1:14" ht="18" customHeight="1" thickBot="1" x14ac:dyDescent="0.25">
      <c r="A589" s="190" t="s">
        <v>897</v>
      </c>
      <c r="B589" s="1234" t="str">
        <f>IF('Phase Codes'!G41="","",'Phase Codes'!G41)</f>
        <v>Service</v>
      </c>
      <c r="C589" s="1234"/>
      <c r="D589" s="404">
        <f t="shared" si="83"/>
        <v>0</v>
      </c>
      <c r="E589" s="405">
        <f t="shared" si="84"/>
        <v>0</v>
      </c>
      <c r="F589" s="405">
        <f t="shared" si="78"/>
        <v>0</v>
      </c>
      <c r="G589" t="s">
        <v>1319</v>
      </c>
      <c r="H589" s="121">
        <f t="shared" si="79"/>
        <v>3</v>
      </c>
      <c r="K589" s="810">
        <f t="shared" si="82"/>
        <v>0</v>
      </c>
      <c r="N589" s="494"/>
    </row>
    <row r="590" spans="1:14" ht="18" customHeight="1" thickBot="1" x14ac:dyDescent="0.25">
      <c r="A590" s="190" t="s">
        <v>898</v>
      </c>
      <c r="B590" s="1234" t="str">
        <f>IF('Phase Codes'!G42="","",'Phase Codes'!G42)</f>
        <v/>
      </c>
      <c r="C590" s="1234"/>
      <c r="D590" s="404">
        <f t="shared" si="83"/>
        <v>0</v>
      </c>
      <c r="E590" s="405">
        <f t="shared" si="84"/>
        <v>0</v>
      </c>
      <c r="F590" s="405">
        <f t="shared" si="78"/>
        <v>0</v>
      </c>
      <c r="H590" s="121" t="str">
        <f t="shared" si="79"/>
        <v/>
      </c>
      <c r="K590" s="810">
        <f t="shared" si="82"/>
        <v>0</v>
      </c>
      <c r="N590" s="494"/>
    </row>
    <row r="591" spans="1:14" ht="18" customHeight="1" thickBot="1" x14ac:dyDescent="0.25">
      <c r="A591" s="190" t="s">
        <v>899</v>
      </c>
      <c r="B591" s="1234" t="str">
        <f>IF('Phase Codes'!G43="","",'Phase Codes'!G43)</f>
        <v/>
      </c>
      <c r="C591" s="1234"/>
      <c r="D591" s="404">
        <f t="shared" si="83"/>
        <v>0</v>
      </c>
      <c r="E591" s="405">
        <f t="shared" si="84"/>
        <v>0</v>
      </c>
      <c r="F591" s="405">
        <f t="shared" si="78"/>
        <v>0</v>
      </c>
      <c r="H591" s="121" t="str">
        <f t="shared" si="79"/>
        <v/>
      </c>
      <c r="K591" s="810">
        <f t="shared" si="82"/>
        <v>0</v>
      </c>
      <c r="N591" s="494"/>
    </row>
    <row r="592" spans="1:14" ht="18" customHeight="1" thickBot="1" x14ac:dyDescent="0.25">
      <c r="A592" s="190" t="s">
        <v>900</v>
      </c>
      <c r="B592" s="1234" t="str">
        <f>IF('Phase Codes'!G44="","",'Phase Codes'!G44)</f>
        <v/>
      </c>
      <c r="C592" s="1234"/>
      <c r="D592" s="404">
        <f t="shared" si="83"/>
        <v>0</v>
      </c>
      <c r="E592" s="405">
        <f t="shared" si="84"/>
        <v>0</v>
      </c>
      <c r="F592" s="405">
        <f t="shared" si="78"/>
        <v>0</v>
      </c>
      <c r="H592" s="121" t="str">
        <f t="shared" si="79"/>
        <v/>
      </c>
      <c r="K592" s="810">
        <f t="shared" si="82"/>
        <v>0</v>
      </c>
      <c r="N592" s="494"/>
    </row>
    <row r="593" spans="1:14" ht="18" customHeight="1" thickBot="1" x14ac:dyDescent="0.25">
      <c r="A593" s="190" t="s">
        <v>901</v>
      </c>
      <c r="B593" s="1234" t="str">
        <f>IF('Phase Codes'!G45="","",'Phase Codes'!G45)</f>
        <v/>
      </c>
      <c r="C593" s="1234"/>
      <c r="D593" s="404">
        <f t="shared" si="83"/>
        <v>0</v>
      </c>
      <c r="E593" s="405">
        <f t="shared" si="84"/>
        <v>0</v>
      </c>
      <c r="F593" s="405">
        <f t="shared" si="78"/>
        <v>0</v>
      </c>
      <c r="H593" s="121" t="str">
        <f t="shared" si="79"/>
        <v/>
      </c>
      <c r="K593" s="810">
        <f t="shared" si="82"/>
        <v>0</v>
      </c>
      <c r="N593" s="494"/>
    </row>
    <row r="594" spans="1:14" ht="18" customHeight="1" thickBot="1" x14ac:dyDescent="0.25">
      <c r="A594" s="190" t="s">
        <v>902</v>
      </c>
      <c r="B594" s="1234" t="str">
        <f>IF('Phase Codes'!G46="","",'Phase Codes'!G46)</f>
        <v/>
      </c>
      <c r="C594" s="1234"/>
      <c r="D594" s="404">
        <f t="shared" si="83"/>
        <v>0</v>
      </c>
      <c r="E594" s="405">
        <f t="shared" si="84"/>
        <v>0</v>
      </c>
      <c r="F594" s="405">
        <f t="shared" si="78"/>
        <v>0</v>
      </c>
      <c r="H594" s="121" t="str">
        <f t="shared" si="79"/>
        <v/>
      </c>
      <c r="K594" s="810">
        <f t="shared" si="82"/>
        <v>0</v>
      </c>
      <c r="N594" s="494"/>
    </row>
    <row r="595" spans="1:14" ht="18" customHeight="1" thickBot="1" x14ac:dyDescent="0.25">
      <c r="A595" s="190" t="s">
        <v>903</v>
      </c>
      <c r="B595" s="1234" t="str">
        <f>IF('Phase Codes'!G47="","",'Phase Codes'!G47)</f>
        <v/>
      </c>
      <c r="C595" s="1234"/>
      <c r="D595" s="404">
        <f t="shared" si="83"/>
        <v>0</v>
      </c>
      <c r="E595" s="405">
        <f t="shared" si="84"/>
        <v>0</v>
      </c>
      <c r="F595" s="405">
        <f t="shared" si="78"/>
        <v>0</v>
      </c>
      <c r="H595" s="121" t="str">
        <f t="shared" si="79"/>
        <v/>
      </c>
      <c r="K595" s="810">
        <f t="shared" si="82"/>
        <v>0</v>
      </c>
      <c r="N595" s="494"/>
    </row>
    <row r="596" spans="1:14" ht="18" customHeight="1" thickBot="1" x14ac:dyDescent="0.25">
      <c r="A596" s="190" t="s">
        <v>904</v>
      </c>
      <c r="B596" s="1234" t="str">
        <f>IF('Phase Codes'!G48="","",'Phase Codes'!G48)</f>
        <v/>
      </c>
      <c r="C596" s="1234"/>
      <c r="D596" s="404">
        <f t="shared" si="83"/>
        <v>0</v>
      </c>
      <c r="E596" s="405">
        <f t="shared" si="84"/>
        <v>0</v>
      </c>
      <c r="F596" s="405">
        <f t="shared" si="78"/>
        <v>0</v>
      </c>
      <c r="H596" s="121" t="str">
        <f t="shared" si="79"/>
        <v/>
      </c>
      <c r="K596" s="810">
        <f t="shared" si="82"/>
        <v>0</v>
      </c>
      <c r="N596" s="494"/>
    </row>
    <row r="597" spans="1:14" ht="18" customHeight="1" thickBot="1" x14ac:dyDescent="0.25">
      <c r="A597" s="190" t="s">
        <v>905</v>
      </c>
      <c r="B597" s="1234" t="str">
        <f>IF('Phase Codes'!G49="","",'Phase Codes'!G49)</f>
        <v/>
      </c>
      <c r="C597" s="1234"/>
      <c r="D597" s="404">
        <f t="shared" si="83"/>
        <v>0</v>
      </c>
      <c r="E597" s="405">
        <f t="shared" si="84"/>
        <v>0</v>
      </c>
      <c r="F597" s="405">
        <f t="shared" si="78"/>
        <v>0</v>
      </c>
      <c r="H597" s="121" t="str">
        <f t="shared" si="79"/>
        <v/>
      </c>
      <c r="K597" s="810">
        <f t="shared" si="82"/>
        <v>0</v>
      </c>
      <c r="N597" s="494"/>
    </row>
    <row r="598" spans="1:14" ht="18" customHeight="1" thickBot="1" x14ac:dyDescent="0.25">
      <c r="A598" s="190" t="s">
        <v>906</v>
      </c>
      <c r="B598" s="1234" t="str">
        <f>IF('Phase Codes'!G50="","",'Phase Codes'!G50)</f>
        <v/>
      </c>
      <c r="C598" s="1234"/>
      <c r="D598" s="404">
        <f t="shared" si="83"/>
        <v>0</v>
      </c>
      <c r="E598" s="405">
        <f t="shared" si="84"/>
        <v>0</v>
      </c>
      <c r="F598" s="405">
        <f t="shared" si="78"/>
        <v>0</v>
      </c>
      <c r="H598" s="121" t="str">
        <f t="shared" si="79"/>
        <v/>
      </c>
      <c r="K598" s="810">
        <f t="shared" si="82"/>
        <v>0</v>
      </c>
      <c r="N598" s="494"/>
    </row>
    <row r="599" spans="1:14" ht="18" customHeight="1" thickBot="1" x14ac:dyDescent="0.25">
      <c r="A599" s="190" t="s">
        <v>907</v>
      </c>
      <c r="B599" s="1234" t="str">
        <f>IF('Phase Codes'!G51="","",'Phase Codes'!G51)</f>
        <v/>
      </c>
      <c r="C599" s="1234"/>
      <c r="D599" s="404">
        <f t="shared" si="83"/>
        <v>0</v>
      </c>
      <c r="E599" s="405">
        <f t="shared" si="84"/>
        <v>0</v>
      </c>
      <c r="F599" s="405">
        <f t="shared" si="78"/>
        <v>0</v>
      </c>
      <c r="H599" s="121" t="str">
        <f t="shared" si="79"/>
        <v/>
      </c>
      <c r="K599" s="810">
        <f t="shared" si="82"/>
        <v>0</v>
      </c>
      <c r="N599" s="494"/>
    </row>
    <row r="600" spans="1:14" ht="18" customHeight="1" thickBot="1" x14ac:dyDescent="0.25">
      <c r="A600" s="190" t="s">
        <v>908</v>
      </c>
      <c r="B600" s="1234" t="str">
        <f>IF('Phase Codes'!G52="","",'Phase Codes'!G52)</f>
        <v/>
      </c>
      <c r="C600" s="1234"/>
      <c r="D600" s="404">
        <f t="shared" si="83"/>
        <v>0</v>
      </c>
      <c r="E600" s="405">
        <f t="shared" si="84"/>
        <v>0</v>
      </c>
      <c r="F600" s="405">
        <f t="shared" si="78"/>
        <v>0</v>
      </c>
      <c r="H600" s="121" t="str">
        <f t="shared" si="79"/>
        <v/>
      </c>
      <c r="K600" s="810">
        <f t="shared" si="82"/>
        <v>0</v>
      </c>
      <c r="N600" s="494"/>
    </row>
    <row r="601" spans="1:14" ht="18" customHeight="1" thickBot="1" x14ac:dyDescent="0.25">
      <c r="A601" s="190" t="s">
        <v>909</v>
      </c>
      <c r="B601" s="1234" t="str">
        <f>IF('Phase Codes'!G53="","",'Phase Codes'!G53)</f>
        <v/>
      </c>
      <c r="C601" s="1234"/>
      <c r="D601" s="404">
        <f t="shared" si="83"/>
        <v>0</v>
      </c>
      <c r="E601" s="405">
        <f t="shared" si="84"/>
        <v>0</v>
      </c>
      <c r="F601" s="405">
        <f t="shared" si="78"/>
        <v>0</v>
      </c>
      <c r="H601" s="121" t="str">
        <f t="shared" si="79"/>
        <v/>
      </c>
      <c r="K601" s="810">
        <f t="shared" si="82"/>
        <v>0</v>
      </c>
      <c r="N601" s="494"/>
    </row>
    <row r="602" spans="1:14" ht="18" customHeight="1" thickBot="1" x14ac:dyDescent="0.25">
      <c r="A602" s="190" t="s">
        <v>910</v>
      </c>
      <c r="B602" s="1234" t="str">
        <f>IF('Phase Codes'!G54="","",'Phase Codes'!G54)</f>
        <v/>
      </c>
      <c r="C602" s="1234"/>
      <c r="D602" s="404">
        <f t="shared" si="83"/>
        <v>0</v>
      </c>
      <c r="E602" s="405">
        <f t="shared" si="84"/>
        <v>0</v>
      </c>
      <c r="F602" s="405">
        <f t="shared" si="78"/>
        <v>0</v>
      </c>
      <c r="H602" s="121" t="str">
        <f t="shared" si="79"/>
        <v/>
      </c>
      <c r="K602" s="810">
        <f t="shared" si="82"/>
        <v>0</v>
      </c>
      <c r="N602" s="494"/>
    </row>
    <row r="603" spans="1:14" ht="18" customHeight="1" thickBot="1" x14ac:dyDescent="0.25">
      <c r="A603" s="190" t="s">
        <v>911</v>
      </c>
      <c r="B603" s="1234" t="str">
        <f>IF('Phase Codes'!G55="","",'Phase Codes'!G55)</f>
        <v/>
      </c>
      <c r="C603" s="1234"/>
      <c r="D603" s="404">
        <f t="shared" si="83"/>
        <v>0</v>
      </c>
      <c r="E603" s="405">
        <f t="shared" si="84"/>
        <v>0</v>
      </c>
      <c r="F603" s="405">
        <f t="shared" si="78"/>
        <v>0</v>
      </c>
      <c r="H603" s="121" t="str">
        <f t="shared" si="79"/>
        <v/>
      </c>
      <c r="K603" s="810">
        <f t="shared" si="82"/>
        <v>0</v>
      </c>
      <c r="N603" s="494"/>
    </row>
    <row r="604" spans="1:14" ht="18" customHeight="1" thickBot="1" x14ac:dyDescent="0.25">
      <c r="A604" s="190" t="s">
        <v>912</v>
      </c>
      <c r="B604" s="1234" t="str">
        <f>IF('Phase Codes'!G56="","",'Phase Codes'!G56)</f>
        <v/>
      </c>
      <c r="C604" s="1234"/>
      <c r="D604" s="404">
        <f t="shared" si="83"/>
        <v>0</v>
      </c>
      <c r="E604" s="405">
        <f t="shared" si="84"/>
        <v>0</v>
      </c>
      <c r="F604" s="405">
        <f t="shared" si="78"/>
        <v>0</v>
      </c>
      <c r="H604" s="121" t="str">
        <f t="shared" si="79"/>
        <v/>
      </c>
      <c r="K604" s="810">
        <f t="shared" si="82"/>
        <v>0</v>
      </c>
      <c r="N604" s="494"/>
    </row>
    <row r="605" spans="1:14" ht="18" customHeight="1" thickBot="1" x14ac:dyDescent="0.25">
      <c r="A605" s="190" t="s">
        <v>913</v>
      </c>
      <c r="B605" s="1234" t="str">
        <f>IF('Phase Codes'!G57="","",'Phase Codes'!G57)</f>
        <v/>
      </c>
      <c r="C605" s="1234"/>
      <c r="D605" s="404">
        <f t="shared" si="83"/>
        <v>0</v>
      </c>
      <c r="E605" s="405">
        <f t="shared" si="84"/>
        <v>0</v>
      </c>
      <c r="F605" s="405">
        <f t="shared" si="78"/>
        <v>0</v>
      </c>
      <c r="H605" s="121" t="str">
        <f t="shared" si="79"/>
        <v/>
      </c>
      <c r="K605" s="810">
        <f t="shared" si="82"/>
        <v>0</v>
      </c>
      <c r="N605" s="494"/>
    </row>
    <row r="606" spans="1:14" ht="18" customHeight="1" thickBot="1" x14ac:dyDescent="0.25">
      <c r="A606" s="190" t="s">
        <v>914</v>
      </c>
      <c r="B606" s="1234" t="str">
        <f>IF('Phase Codes'!G58="","",'Phase Codes'!G58)</f>
        <v/>
      </c>
      <c r="C606" s="1234"/>
      <c r="D606" s="404">
        <f t="shared" si="83"/>
        <v>0</v>
      </c>
      <c r="E606" s="405">
        <f t="shared" si="84"/>
        <v>0</v>
      </c>
      <c r="F606" s="405">
        <f t="shared" si="78"/>
        <v>0</v>
      </c>
      <c r="H606" s="121" t="str">
        <f t="shared" si="79"/>
        <v/>
      </c>
      <c r="K606" s="810">
        <f t="shared" si="82"/>
        <v>0</v>
      </c>
      <c r="N606" s="494"/>
    </row>
    <row r="607" spans="1:14" ht="18" customHeight="1" thickBot="1" x14ac:dyDescent="0.25">
      <c r="A607" s="190" t="s">
        <v>915</v>
      </c>
      <c r="B607" s="1234" t="str">
        <f>IF('Phase Codes'!G59="","",'Phase Codes'!G59)</f>
        <v/>
      </c>
      <c r="C607" s="1234"/>
      <c r="D607" s="404">
        <f t="shared" si="83"/>
        <v>0</v>
      </c>
      <c r="E607" s="405">
        <f t="shared" si="84"/>
        <v>0</v>
      </c>
      <c r="F607" s="405">
        <f t="shared" si="78"/>
        <v>0</v>
      </c>
      <c r="H607" s="121" t="str">
        <f t="shared" si="79"/>
        <v/>
      </c>
      <c r="K607" s="810">
        <f t="shared" si="82"/>
        <v>0</v>
      </c>
      <c r="N607" s="494"/>
    </row>
    <row r="608" spans="1:14" ht="18" customHeight="1" thickBot="1" x14ac:dyDescent="0.25">
      <c r="A608" s="190" t="s">
        <v>916</v>
      </c>
      <c r="B608" s="1234" t="str">
        <f>IF('Phase Codes'!G60="","",'Phase Codes'!G60)</f>
        <v/>
      </c>
      <c r="C608" s="1234"/>
      <c r="D608" s="404">
        <f t="shared" si="83"/>
        <v>0</v>
      </c>
      <c r="E608" s="405">
        <f t="shared" si="84"/>
        <v>0</v>
      </c>
      <c r="F608" s="405">
        <f t="shared" si="78"/>
        <v>0</v>
      </c>
      <c r="H608" s="121" t="str">
        <f t="shared" si="79"/>
        <v/>
      </c>
      <c r="K608" s="810">
        <f t="shared" si="82"/>
        <v>0</v>
      </c>
      <c r="N608" s="494"/>
    </row>
    <row r="609" spans="1:14" ht="18" customHeight="1" thickBot="1" x14ac:dyDescent="0.25">
      <c r="A609" s="190" t="s">
        <v>917</v>
      </c>
      <c r="B609" s="1234" t="str">
        <f>IF('Phase Codes'!G61="","",'Phase Codes'!G61)</f>
        <v/>
      </c>
      <c r="C609" s="1234"/>
      <c r="D609" s="404">
        <f t="shared" si="83"/>
        <v>0</v>
      </c>
      <c r="E609" s="405">
        <f t="shared" si="84"/>
        <v>0</v>
      </c>
      <c r="F609" s="405">
        <f t="shared" si="78"/>
        <v>0</v>
      </c>
      <c r="H609" s="121" t="str">
        <f t="shared" si="79"/>
        <v/>
      </c>
      <c r="K609" s="810">
        <f t="shared" si="82"/>
        <v>0</v>
      </c>
      <c r="N609" s="494"/>
    </row>
    <row r="610" spans="1:14" ht="18" customHeight="1" thickBot="1" x14ac:dyDescent="0.25">
      <c r="A610" s="190" t="s">
        <v>918</v>
      </c>
      <c r="B610" s="1234" t="str">
        <f>IF('Phase Codes'!G62="","",'Phase Codes'!G62)</f>
        <v/>
      </c>
      <c r="C610" s="1234"/>
      <c r="D610" s="404">
        <f t="shared" si="83"/>
        <v>0</v>
      </c>
      <c r="E610" s="405">
        <f t="shared" si="84"/>
        <v>0</v>
      </c>
      <c r="F610" s="405">
        <f t="shared" si="78"/>
        <v>0</v>
      </c>
      <c r="H610" s="121" t="str">
        <f t="shared" si="79"/>
        <v/>
      </c>
      <c r="K610" s="810">
        <f t="shared" si="82"/>
        <v>0</v>
      </c>
      <c r="N610" s="494"/>
    </row>
    <row r="611" spans="1:14" ht="18" customHeight="1" thickBot="1" x14ac:dyDescent="0.25">
      <c r="A611" s="190" t="s">
        <v>919</v>
      </c>
      <c r="B611" s="1234" t="str">
        <f>IF('Phase Codes'!G63="","",'Phase Codes'!G63)</f>
        <v/>
      </c>
      <c r="C611" s="1234"/>
      <c r="D611" s="404">
        <f t="shared" si="83"/>
        <v>0</v>
      </c>
      <c r="E611" s="405">
        <f t="shared" si="84"/>
        <v>0</v>
      </c>
      <c r="F611" s="405">
        <f t="shared" si="78"/>
        <v>0</v>
      </c>
      <c r="H611" s="121" t="str">
        <f t="shared" si="79"/>
        <v/>
      </c>
      <c r="K611" s="810">
        <f t="shared" si="82"/>
        <v>0</v>
      </c>
      <c r="N611" s="494"/>
    </row>
    <row r="612" spans="1:14" ht="18" customHeight="1" thickBot="1" x14ac:dyDescent="0.25">
      <c r="A612" s="190" t="s">
        <v>920</v>
      </c>
      <c r="B612" s="1234" t="str">
        <f>IF('Phase Codes'!G64="","",'Phase Codes'!G64)</f>
        <v/>
      </c>
      <c r="C612" s="1234"/>
      <c r="D612" s="404">
        <f t="shared" si="83"/>
        <v>0</v>
      </c>
      <c r="E612" s="405">
        <f t="shared" si="84"/>
        <v>0</v>
      </c>
      <c r="F612" s="405">
        <f t="shared" si="78"/>
        <v>0</v>
      </c>
      <c r="H612" s="121" t="str">
        <f t="shared" si="79"/>
        <v/>
      </c>
      <c r="K612" s="810">
        <f t="shared" si="82"/>
        <v>0</v>
      </c>
      <c r="N612" s="494"/>
    </row>
    <row r="613" spans="1:14" ht="18" customHeight="1" thickBot="1" x14ac:dyDescent="0.25">
      <c r="A613" s="190" t="s">
        <v>921</v>
      </c>
      <c r="B613" s="1234" t="str">
        <f>IF('Phase Codes'!G65="","",'Phase Codes'!G65)</f>
        <v/>
      </c>
      <c r="C613" s="1234"/>
      <c r="D613" s="404">
        <f t="shared" si="83"/>
        <v>0</v>
      </c>
      <c r="E613" s="405">
        <f t="shared" si="84"/>
        <v>0</v>
      </c>
      <c r="F613" s="405">
        <f t="shared" si="78"/>
        <v>0</v>
      </c>
      <c r="H613" s="121" t="str">
        <f t="shared" si="79"/>
        <v/>
      </c>
      <c r="K613" s="810">
        <f t="shared" si="82"/>
        <v>0</v>
      </c>
      <c r="N613" s="494"/>
    </row>
    <row r="614" spans="1:14" ht="18" customHeight="1" thickBot="1" x14ac:dyDescent="0.25">
      <c r="A614" s="190" t="s">
        <v>922</v>
      </c>
      <c r="B614" s="1234" t="str">
        <f>IF('Phase Codes'!G66="","",'Phase Codes'!G66)</f>
        <v/>
      </c>
      <c r="C614" s="1234"/>
      <c r="D614" s="404">
        <f t="shared" si="83"/>
        <v>0</v>
      </c>
      <c r="E614" s="405">
        <f t="shared" si="84"/>
        <v>0</v>
      </c>
      <c r="F614" s="405">
        <f t="shared" si="78"/>
        <v>0</v>
      </c>
      <c r="H614" s="121" t="str">
        <f t="shared" si="79"/>
        <v/>
      </c>
      <c r="K614" s="810">
        <f t="shared" si="82"/>
        <v>0</v>
      </c>
      <c r="N614" s="494"/>
    </row>
    <row r="615" spans="1:14" ht="18" customHeight="1" thickBot="1" x14ac:dyDescent="0.25">
      <c r="A615" s="190" t="s">
        <v>923</v>
      </c>
      <c r="B615" s="1234" t="str">
        <f>IF('Phase Codes'!G67="","",'Phase Codes'!G67)</f>
        <v/>
      </c>
      <c r="C615" s="1234"/>
      <c r="D615" s="404">
        <f t="shared" si="83"/>
        <v>0</v>
      </c>
      <c r="E615" s="405">
        <f t="shared" si="84"/>
        <v>0</v>
      </c>
      <c r="F615" s="405">
        <f t="shared" si="78"/>
        <v>0</v>
      </c>
      <c r="H615" s="121" t="str">
        <f t="shared" si="79"/>
        <v/>
      </c>
      <c r="K615" s="810">
        <f t="shared" si="82"/>
        <v>0</v>
      </c>
      <c r="N615" s="494"/>
    </row>
    <row r="616" spans="1:14" ht="18" customHeight="1" thickBot="1" x14ac:dyDescent="0.25">
      <c r="A616" s="190" t="s">
        <v>924</v>
      </c>
      <c r="B616" s="1234" t="str">
        <f>IF('Phase Codes'!G68="","",'Phase Codes'!G68)</f>
        <v/>
      </c>
      <c r="C616" s="1234"/>
      <c r="D616" s="404">
        <f t="shared" ref="D616:D650" si="85">SUMIFS(SM_FieldLaborColumn,PC_SM_Field,$A616)</f>
        <v>0</v>
      </c>
      <c r="E616" s="405">
        <f t="shared" ref="E616:E650" si="86">SUMIFS(Takeoff_Total_Field_Labor_Cost,PC_SM_Field,$A616)</f>
        <v>0</v>
      </c>
      <c r="F616" s="405">
        <f t="shared" ref="F616:F649" si="87">SUMIFS(SM_MaterialColumn,PC_SM_Material,$A616)</f>
        <v>0</v>
      </c>
      <c r="H616" s="121" t="str">
        <f t="shared" ref="H616:H650" si="88">IF($G616="E",6,IF($G616="M",3,IF($G616="OH","?",IF($G616="OT",7,IF($G616="S",4,"")))))</f>
        <v/>
      </c>
      <c r="K616" s="810">
        <f t="shared" si="82"/>
        <v>0</v>
      </c>
      <c r="N616" s="494"/>
    </row>
    <row r="617" spans="1:14" ht="18" customHeight="1" thickBot="1" x14ac:dyDescent="0.25">
      <c r="A617" s="190" t="s">
        <v>925</v>
      </c>
      <c r="B617" s="1234" t="str">
        <f>IF('Phase Codes'!G69="","",'Phase Codes'!G69)</f>
        <v/>
      </c>
      <c r="C617" s="1234"/>
      <c r="D617" s="404">
        <f t="shared" si="85"/>
        <v>0</v>
      </c>
      <c r="E617" s="405">
        <f t="shared" si="86"/>
        <v>0</v>
      </c>
      <c r="F617" s="405">
        <f t="shared" si="87"/>
        <v>0</v>
      </c>
      <c r="H617" s="121" t="str">
        <f t="shared" si="88"/>
        <v/>
      </c>
      <c r="K617" s="810">
        <f t="shared" ref="K617:K651" si="89">SUM(D617:F617)</f>
        <v>0</v>
      </c>
      <c r="N617" s="494"/>
    </row>
    <row r="618" spans="1:14" ht="18" customHeight="1" thickBot="1" x14ac:dyDescent="0.25">
      <c r="A618" s="190" t="s">
        <v>926</v>
      </c>
      <c r="B618" s="1234" t="str">
        <f>IF('Phase Codes'!G70="","",'Phase Codes'!G70)</f>
        <v/>
      </c>
      <c r="C618" s="1234"/>
      <c r="D618" s="404">
        <f t="shared" si="85"/>
        <v>0</v>
      </c>
      <c r="E618" s="405">
        <f t="shared" si="86"/>
        <v>0</v>
      </c>
      <c r="F618" s="405">
        <f t="shared" si="87"/>
        <v>0</v>
      </c>
      <c r="H618" s="121" t="str">
        <f t="shared" si="88"/>
        <v/>
      </c>
      <c r="K618" s="810">
        <f t="shared" si="89"/>
        <v>0</v>
      </c>
      <c r="N618" s="494"/>
    </row>
    <row r="619" spans="1:14" ht="18" customHeight="1" thickBot="1" x14ac:dyDescent="0.25">
      <c r="A619" s="190" t="s">
        <v>927</v>
      </c>
      <c r="B619" s="1234" t="str">
        <f>IF('Phase Codes'!G71="","",'Phase Codes'!G71)</f>
        <v/>
      </c>
      <c r="C619" s="1234"/>
      <c r="D619" s="404">
        <f t="shared" si="85"/>
        <v>0</v>
      </c>
      <c r="E619" s="405">
        <f t="shared" si="86"/>
        <v>0</v>
      </c>
      <c r="F619" s="405">
        <f t="shared" si="87"/>
        <v>0</v>
      </c>
      <c r="H619" s="121" t="str">
        <f t="shared" si="88"/>
        <v/>
      </c>
      <c r="K619" s="810">
        <f t="shared" si="89"/>
        <v>0</v>
      </c>
      <c r="N619" s="494"/>
    </row>
    <row r="620" spans="1:14" ht="18" customHeight="1" thickBot="1" x14ac:dyDescent="0.25">
      <c r="A620" s="190" t="s">
        <v>928</v>
      </c>
      <c r="B620" s="1234" t="str">
        <f>IF('Phase Codes'!G72="","",'Phase Codes'!G72)</f>
        <v/>
      </c>
      <c r="C620" s="1234"/>
      <c r="D620" s="404">
        <f t="shared" si="85"/>
        <v>0</v>
      </c>
      <c r="E620" s="405">
        <f t="shared" si="86"/>
        <v>0</v>
      </c>
      <c r="F620" s="405">
        <f t="shared" si="87"/>
        <v>0</v>
      </c>
      <c r="H620" s="121" t="str">
        <f t="shared" si="88"/>
        <v/>
      </c>
      <c r="K620" s="810">
        <f t="shared" si="89"/>
        <v>0</v>
      </c>
      <c r="N620" s="494"/>
    </row>
    <row r="621" spans="1:14" ht="18" customHeight="1" thickBot="1" x14ac:dyDescent="0.25">
      <c r="A621" s="190" t="s">
        <v>929</v>
      </c>
      <c r="B621" s="1234" t="str">
        <f>IF('Phase Codes'!G73="","",'Phase Codes'!G73)</f>
        <v/>
      </c>
      <c r="C621" s="1234"/>
      <c r="D621" s="404">
        <f t="shared" si="85"/>
        <v>0</v>
      </c>
      <c r="E621" s="405">
        <f t="shared" si="86"/>
        <v>0</v>
      </c>
      <c r="F621" s="405">
        <f t="shared" si="87"/>
        <v>0</v>
      </c>
      <c r="H621" s="121" t="str">
        <f t="shared" si="88"/>
        <v/>
      </c>
      <c r="K621" s="810">
        <f t="shared" si="89"/>
        <v>0</v>
      </c>
      <c r="N621" s="494"/>
    </row>
    <row r="622" spans="1:14" ht="18" customHeight="1" thickBot="1" x14ac:dyDescent="0.25">
      <c r="A622" s="190" t="s">
        <v>930</v>
      </c>
      <c r="B622" s="1234" t="str">
        <f>IF('Phase Codes'!G74="","",'Phase Codes'!G74)</f>
        <v/>
      </c>
      <c r="C622" s="1234"/>
      <c r="D622" s="404">
        <f t="shared" si="85"/>
        <v>0</v>
      </c>
      <c r="E622" s="405">
        <f t="shared" si="86"/>
        <v>0</v>
      </c>
      <c r="F622" s="405">
        <f t="shared" si="87"/>
        <v>0</v>
      </c>
      <c r="H622" s="121" t="str">
        <f t="shared" si="88"/>
        <v/>
      </c>
      <c r="K622" s="810">
        <f t="shared" si="89"/>
        <v>0</v>
      </c>
      <c r="N622" s="494"/>
    </row>
    <row r="623" spans="1:14" ht="18" customHeight="1" thickBot="1" x14ac:dyDescent="0.25">
      <c r="A623" s="190" t="s">
        <v>931</v>
      </c>
      <c r="B623" s="1234" t="str">
        <f>IF('Phase Codes'!G75="","",'Phase Codes'!G75)</f>
        <v/>
      </c>
      <c r="C623" s="1234"/>
      <c r="D623" s="404">
        <f t="shared" si="85"/>
        <v>0</v>
      </c>
      <c r="E623" s="405">
        <f t="shared" si="86"/>
        <v>0</v>
      </c>
      <c r="F623" s="405">
        <f t="shared" si="87"/>
        <v>0</v>
      </c>
      <c r="H623" s="121" t="str">
        <f t="shared" si="88"/>
        <v/>
      </c>
      <c r="K623" s="810">
        <f t="shared" si="89"/>
        <v>0</v>
      </c>
      <c r="N623" s="494"/>
    </row>
    <row r="624" spans="1:14" ht="18" customHeight="1" thickBot="1" x14ac:dyDescent="0.25">
      <c r="A624" s="190" t="s">
        <v>932</v>
      </c>
      <c r="B624" s="1234" t="str">
        <f>IF('Phase Codes'!G76="","",'Phase Codes'!G76)</f>
        <v/>
      </c>
      <c r="C624" s="1234"/>
      <c r="D624" s="404">
        <f t="shared" si="85"/>
        <v>0</v>
      </c>
      <c r="E624" s="405">
        <f t="shared" si="86"/>
        <v>0</v>
      </c>
      <c r="F624" s="405">
        <f t="shared" si="87"/>
        <v>0</v>
      </c>
      <c r="H624" s="121" t="str">
        <f t="shared" si="88"/>
        <v/>
      </c>
      <c r="K624" s="810">
        <f t="shared" si="89"/>
        <v>0</v>
      </c>
      <c r="N624" s="494"/>
    </row>
    <row r="625" spans="1:14" ht="18" customHeight="1" thickBot="1" x14ac:dyDescent="0.25">
      <c r="A625" s="190" t="s">
        <v>933</v>
      </c>
      <c r="B625" s="1234" t="str">
        <f>IF('Phase Codes'!G77="","",'Phase Codes'!G77)</f>
        <v/>
      </c>
      <c r="C625" s="1234"/>
      <c r="D625" s="404">
        <f t="shared" si="85"/>
        <v>0</v>
      </c>
      <c r="E625" s="405">
        <f t="shared" si="86"/>
        <v>0</v>
      </c>
      <c r="F625" s="405">
        <f t="shared" si="87"/>
        <v>0</v>
      </c>
      <c r="H625" s="121" t="str">
        <f t="shared" si="88"/>
        <v/>
      </c>
      <c r="K625" s="810">
        <f t="shared" si="89"/>
        <v>0</v>
      </c>
      <c r="N625" s="494"/>
    </row>
    <row r="626" spans="1:14" ht="18" customHeight="1" thickBot="1" x14ac:dyDescent="0.25">
      <c r="A626" s="190" t="s">
        <v>934</v>
      </c>
      <c r="B626" s="1234" t="str">
        <f>IF('Phase Codes'!G78="","",'Phase Codes'!G78)</f>
        <v/>
      </c>
      <c r="C626" s="1234"/>
      <c r="D626" s="404">
        <f t="shared" si="85"/>
        <v>0</v>
      </c>
      <c r="E626" s="405">
        <f t="shared" si="86"/>
        <v>0</v>
      </c>
      <c r="F626" s="405">
        <f t="shared" si="87"/>
        <v>0</v>
      </c>
      <c r="H626" s="121" t="str">
        <f t="shared" si="88"/>
        <v/>
      </c>
      <c r="K626" s="810">
        <f t="shared" si="89"/>
        <v>0</v>
      </c>
      <c r="N626" s="494"/>
    </row>
    <row r="627" spans="1:14" ht="18" customHeight="1" thickBot="1" x14ac:dyDescent="0.25">
      <c r="A627" s="190" t="s">
        <v>935</v>
      </c>
      <c r="B627" s="1234" t="str">
        <f>IF('Phase Codes'!G79="","",'Phase Codes'!G79)</f>
        <v/>
      </c>
      <c r="C627" s="1234"/>
      <c r="D627" s="404">
        <f t="shared" si="85"/>
        <v>0</v>
      </c>
      <c r="E627" s="405">
        <f t="shared" si="86"/>
        <v>0</v>
      </c>
      <c r="F627" s="405">
        <f t="shared" si="87"/>
        <v>0</v>
      </c>
      <c r="H627" s="121" t="str">
        <f t="shared" si="88"/>
        <v/>
      </c>
      <c r="K627" s="810">
        <f t="shared" si="89"/>
        <v>0</v>
      </c>
      <c r="N627" s="494"/>
    </row>
    <row r="628" spans="1:14" ht="18" customHeight="1" thickBot="1" x14ac:dyDescent="0.25">
      <c r="A628" s="190" t="s">
        <v>936</v>
      </c>
      <c r="B628" s="1234" t="str">
        <f>IF('Phase Codes'!G80="","",'Phase Codes'!G80)</f>
        <v/>
      </c>
      <c r="C628" s="1234"/>
      <c r="D628" s="404">
        <f t="shared" si="85"/>
        <v>0</v>
      </c>
      <c r="E628" s="405">
        <f t="shared" si="86"/>
        <v>0</v>
      </c>
      <c r="F628" s="405">
        <f t="shared" si="87"/>
        <v>0</v>
      </c>
      <c r="H628" s="121" t="str">
        <f t="shared" si="88"/>
        <v/>
      </c>
      <c r="K628" s="810">
        <f t="shared" si="89"/>
        <v>0</v>
      </c>
      <c r="N628" s="494"/>
    </row>
    <row r="629" spans="1:14" ht="18" customHeight="1" thickBot="1" x14ac:dyDescent="0.25">
      <c r="A629" s="190" t="s">
        <v>937</v>
      </c>
      <c r="B629" s="1234" t="str">
        <f>IF('Phase Codes'!G81="","",'Phase Codes'!G81)</f>
        <v/>
      </c>
      <c r="C629" s="1234"/>
      <c r="D629" s="404">
        <f t="shared" si="85"/>
        <v>0</v>
      </c>
      <c r="E629" s="405">
        <f t="shared" si="86"/>
        <v>0</v>
      </c>
      <c r="F629" s="405">
        <f t="shared" si="87"/>
        <v>0</v>
      </c>
      <c r="H629" s="121" t="str">
        <f t="shared" si="88"/>
        <v/>
      </c>
      <c r="K629" s="810">
        <f t="shared" si="89"/>
        <v>0</v>
      </c>
      <c r="N629" s="494"/>
    </row>
    <row r="630" spans="1:14" ht="18" customHeight="1" thickBot="1" x14ac:dyDescent="0.25">
      <c r="A630" s="190" t="s">
        <v>938</v>
      </c>
      <c r="B630" s="1234" t="str">
        <f>IF('Phase Codes'!G82="","",'Phase Codes'!G82)</f>
        <v/>
      </c>
      <c r="C630" s="1234"/>
      <c r="D630" s="404">
        <f t="shared" si="85"/>
        <v>0</v>
      </c>
      <c r="E630" s="405">
        <f t="shared" si="86"/>
        <v>0</v>
      </c>
      <c r="F630" s="405">
        <f t="shared" si="87"/>
        <v>0</v>
      </c>
      <c r="H630" s="121" t="str">
        <f t="shared" si="88"/>
        <v/>
      </c>
      <c r="K630" s="810">
        <f t="shared" si="89"/>
        <v>0</v>
      </c>
      <c r="N630" s="494"/>
    </row>
    <row r="631" spans="1:14" ht="18" customHeight="1" thickBot="1" x14ac:dyDescent="0.25">
      <c r="A631" s="190" t="s">
        <v>939</v>
      </c>
      <c r="B631" s="1234" t="str">
        <f>IF('Phase Codes'!G83="","",'Phase Codes'!G83)</f>
        <v/>
      </c>
      <c r="C631" s="1234"/>
      <c r="D631" s="404">
        <f t="shared" si="85"/>
        <v>0</v>
      </c>
      <c r="E631" s="405">
        <f t="shared" si="86"/>
        <v>0</v>
      </c>
      <c r="F631" s="405">
        <f t="shared" si="87"/>
        <v>0</v>
      </c>
      <c r="H631" s="121" t="str">
        <f t="shared" si="88"/>
        <v/>
      </c>
      <c r="K631" s="810">
        <f t="shared" si="89"/>
        <v>0</v>
      </c>
      <c r="N631" s="494"/>
    </row>
    <row r="632" spans="1:14" ht="18" customHeight="1" thickBot="1" x14ac:dyDescent="0.25">
      <c r="A632" s="190" t="s">
        <v>940</v>
      </c>
      <c r="B632" s="1234" t="str">
        <f>IF('Phase Codes'!G84="","",'Phase Codes'!G84)</f>
        <v/>
      </c>
      <c r="C632" s="1234"/>
      <c r="D632" s="404">
        <f t="shared" si="85"/>
        <v>0</v>
      </c>
      <c r="E632" s="405">
        <f t="shared" si="86"/>
        <v>0</v>
      </c>
      <c r="F632" s="405">
        <f t="shared" si="87"/>
        <v>0</v>
      </c>
      <c r="H632" s="121" t="str">
        <f t="shared" si="88"/>
        <v/>
      </c>
      <c r="K632" s="810">
        <f t="shared" si="89"/>
        <v>0</v>
      </c>
      <c r="N632" s="494"/>
    </row>
    <row r="633" spans="1:14" ht="18" customHeight="1" thickBot="1" x14ac:dyDescent="0.25">
      <c r="A633" s="190" t="s">
        <v>941</v>
      </c>
      <c r="B633" s="1234" t="str">
        <f>IF('Phase Codes'!G85="","",'Phase Codes'!G85)</f>
        <v/>
      </c>
      <c r="C633" s="1234"/>
      <c r="D633" s="404">
        <f t="shared" si="85"/>
        <v>0</v>
      </c>
      <c r="E633" s="405">
        <f t="shared" si="86"/>
        <v>0</v>
      </c>
      <c r="F633" s="405">
        <f t="shared" si="87"/>
        <v>0</v>
      </c>
      <c r="H633" s="121" t="str">
        <f t="shared" si="88"/>
        <v/>
      </c>
      <c r="K633" s="810">
        <f t="shared" si="89"/>
        <v>0</v>
      </c>
      <c r="N633" s="494"/>
    </row>
    <row r="634" spans="1:14" ht="18" customHeight="1" thickBot="1" x14ac:dyDescent="0.25">
      <c r="A634" s="190" t="s">
        <v>942</v>
      </c>
      <c r="B634" s="1234" t="str">
        <f>IF('Phase Codes'!G86="","",'Phase Codes'!G86)</f>
        <v/>
      </c>
      <c r="C634" s="1234"/>
      <c r="D634" s="404">
        <f t="shared" si="85"/>
        <v>0</v>
      </c>
      <c r="E634" s="405">
        <f t="shared" si="86"/>
        <v>0</v>
      </c>
      <c r="F634" s="405">
        <f t="shared" si="87"/>
        <v>0</v>
      </c>
      <c r="H634" s="121" t="str">
        <f t="shared" si="88"/>
        <v/>
      </c>
      <c r="K634" s="810">
        <f t="shared" si="89"/>
        <v>0</v>
      </c>
      <c r="N634" s="494"/>
    </row>
    <row r="635" spans="1:14" ht="18" customHeight="1" thickBot="1" x14ac:dyDescent="0.25">
      <c r="A635" s="190" t="s">
        <v>943</v>
      </c>
      <c r="B635" s="1234" t="str">
        <f>IF('Phase Codes'!G87="","",'Phase Codes'!G87)</f>
        <v/>
      </c>
      <c r="C635" s="1234"/>
      <c r="D635" s="404">
        <f t="shared" si="85"/>
        <v>0</v>
      </c>
      <c r="E635" s="405">
        <f t="shared" si="86"/>
        <v>0</v>
      </c>
      <c r="F635" s="405">
        <f t="shared" si="87"/>
        <v>0</v>
      </c>
      <c r="H635" s="121" t="str">
        <f t="shared" si="88"/>
        <v/>
      </c>
      <c r="K635" s="810">
        <f t="shared" si="89"/>
        <v>0</v>
      </c>
      <c r="N635" s="494"/>
    </row>
    <row r="636" spans="1:14" ht="18" customHeight="1" thickBot="1" x14ac:dyDescent="0.25">
      <c r="A636" s="190" t="s">
        <v>944</v>
      </c>
      <c r="B636" s="1234" t="str">
        <f>IF('Phase Codes'!G88="","",'Phase Codes'!G88)</f>
        <v/>
      </c>
      <c r="C636" s="1234"/>
      <c r="D636" s="404">
        <f t="shared" si="85"/>
        <v>0</v>
      </c>
      <c r="E636" s="405">
        <f t="shared" si="86"/>
        <v>0</v>
      </c>
      <c r="F636" s="405">
        <f t="shared" si="87"/>
        <v>0</v>
      </c>
      <c r="H636" s="121" t="str">
        <f t="shared" si="88"/>
        <v/>
      </c>
      <c r="K636" s="810">
        <f t="shared" si="89"/>
        <v>0</v>
      </c>
      <c r="N636" s="494"/>
    </row>
    <row r="637" spans="1:14" ht="18" customHeight="1" thickBot="1" x14ac:dyDescent="0.25">
      <c r="A637" s="190" t="s">
        <v>945</v>
      </c>
      <c r="B637" s="1234" t="str">
        <f>IF('Phase Codes'!G89="","",'Phase Codes'!G89)</f>
        <v/>
      </c>
      <c r="C637" s="1234"/>
      <c r="D637" s="404">
        <f t="shared" si="85"/>
        <v>0</v>
      </c>
      <c r="E637" s="405">
        <f t="shared" si="86"/>
        <v>0</v>
      </c>
      <c r="F637" s="405">
        <f t="shared" si="87"/>
        <v>0</v>
      </c>
      <c r="H637" s="121" t="str">
        <f t="shared" si="88"/>
        <v/>
      </c>
      <c r="K637" s="810">
        <f t="shared" si="89"/>
        <v>0</v>
      </c>
      <c r="N637" s="494"/>
    </row>
    <row r="638" spans="1:14" ht="18" customHeight="1" thickBot="1" x14ac:dyDescent="0.25">
      <c r="A638" s="190" t="s">
        <v>946</v>
      </c>
      <c r="B638" s="1234" t="str">
        <f>IF('Phase Codes'!G90="","",'Phase Codes'!G90)</f>
        <v/>
      </c>
      <c r="C638" s="1234"/>
      <c r="D638" s="404">
        <f t="shared" si="85"/>
        <v>0</v>
      </c>
      <c r="E638" s="405">
        <f t="shared" si="86"/>
        <v>0</v>
      </c>
      <c r="F638" s="405">
        <f t="shared" si="87"/>
        <v>0</v>
      </c>
      <c r="H638" s="121" t="str">
        <f t="shared" si="88"/>
        <v/>
      </c>
      <c r="K638" s="810">
        <f t="shared" si="89"/>
        <v>0</v>
      </c>
      <c r="N638" s="494"/>
    </row>
    <row r="639" spans="1:14" ht="18" customHeight="1" thickBot="1" x14ac:dyDescent="0.25">
      <c r="A639" s="190" t="s">
        <v>947</v>
      </c>
      <c r="B639" s="1234" t="str">
        <f>IF('Phase Codes'!G91="","",'Phase Codes'!G91)</f>
        <v/>
      </c>
      <c r="C639" s="1234"/>
      <c r="D639" s="404">
        <f t="shared" si="85"/>
        <v>0</v>
      </c>
      <c r="E639" s="405">
        <f t="shared" si="86"/>
        <v>0</v>
      </c>
      <c r="F639" s="405">
        <f t="shared" si="87"/>
        <v>0</v>
      </c>
      <c r="H639" s="121" t="str">
        <f t="shared" si="88"/>
        <v/>
      </c>
      <c r="K639" s="810">
        <f t="shared" si="89"/>
        <v>0</v>
      </c>
      <c r="N639" s="494"/>
    </row>
    <row r="640" spans="1:14" ht="18" customHeight="1" thickBot="1" x14ac:dyDescent="0.25">
      <c r="A640" s="190" t="s">
        <v>948</v>
      </c>
      <c r="B640" s="1234" t="str">
        <f>IF('Phase Codes'!G92="","",'Phase Codes'!G92)</f>
        <v/>
      </c>
      <c r="C640" s="1234"/>
      <c r="D640" s="404">
        <f t="shared" si="85"/>
        <v>0</v>
      </c>
      <c r="E640" s="405">
        <f t="shared" si="86"/>
        <v>0</v>
      </c>
      <c r="F640" s="405">
        <f t="shared" si="87"/>
        <v>0</v>
      </c>
      <c r="H640" s="121" t="str">
        <f t="shared" si="88"/>
        <v/>
      </c>
      <c r="K640" s="810">
        <f t="shared" si="89"/>
        <v>0</v>
      </c>
      <c r="N640" s="494"/>
    </row>
    <row r="641" spans="1:14" ht="18" customHeight="1" thickBot="1" x14ac:dyDescent="0.25">
      <c r="A641" s="190" t="s">
        <v>949</v>
      </c>
      <c r="B641" s="1234" t="str">
        <f>IF('Phase Codes'!G93="","",'Phase Codes'!G93)</f>
        <v/>
      </c>
      <c r="C641" s="1234"/>
      <c r="D641" s="404">
        <f t="shared" si="85"/>
        <v>0</v>
      </c>
      <c r="E641" s="405">
        <f t="shared" si="86"/>
        <v>0</v>
      </c>
      <c r="F641" s="405">
        <f t="shared" si="87"/>
        <v>0</v>
      </c>
      <c r="H641" s="121" t="str">
        <f t="shared" si="88"/>
        <v/>
      </c>
      <c r="K641" s="810">
        <f t="shared" si="89"/>
        <v>0</v>
      </c>
      <c r="N641" s="494"/>
    </row>
    <row r="642" spans="1:14" ht="18" customHeight="1" thickBot="1" x14ac:dyDescent="0.25">
      <c r="A642" s="190" t="s">
        <v>950</v>
      </c>
      <c r="B642" s="1234" t="str">
        <f>IF('Phase Codes'!G94="","",'Phase Codes'!G94)</f>
        <v/>
      </c>
      <c r="C642" s="1234"/>
      <c r="D642" s="404">
        <f t="shared" si="85"/>
        <v>0</v>
      </c>
      <c r="E642" s="405">
        <f t="shared" si="86"/>
        <v>0</v>
      </c>
      <c r="F642" s="405">
        <f t="shared" si="87"/>
        <v>0</v>
      </c>
      <c r="H642" s="121" t="str">
        <f t="shared" si="88"/>
        <v/>
      </c>
      <c r="K642" s="810">
        <f t="shared" si="89"/>
        <v>0</v>
      </c>
      <c r="N642" s="494"/>
    </row>
    <row r="643" spans="1:14" ht="18" customHeight="1" thickBot="1" x14ac:dyDescent="0.25">
      <c r="A643" s="190" t="s">
        <v>951</v>
      </c>
      <c r="B643" s="1234" t="str">
        <f>IF('Phase Codes'!G95="","",'Phase Codes'!G95)</f>
        <v/>
      </c>
      <c r="C643" s="1234"/>
      <c r="D643" s="404">
        <f t="shared" si="85"/>
        <v>0</v>
      </c>
      <c r="E643" s="405">
        <f t="shared" si="86"/>
        <v>0</v>
      </c>
      <c r="F643" s="405">
        <f t="shared" si="87"/>
        <v>0</v>
      </c>
      <c r="H643" s="121" t="str">
        <f t="shared" si="88"/>
        <v/>
      </c>
      <c r="K643" s="810">
        <f t="shared" si="89"/>
        <v>0</v>
      </c>
      <c r="N643" s="494"/>
    </row>
    <row r="644" spans="1:14" ht="18" customHeight="1" thickBot="1" x14ac:dyDescent="0.25">
      <c r="A644" s="190" t="s">
        <v>952</v>
      </c>
      <c r="B644" s="1234" t="str">
        <f>IF('Phase Codes'!G96="","",'Phase Codes'!G96)</f>
        <v/>
      </c>
      <c r="C644" s="1234"/>
      <c r="D644" s="404">
        <f t="shared" si="85"/>
        <v>0</v>
      </c>
      <c r="E644" s="405">
        <f t="shared" si="86"/>
        <v>0</v>
      </c>
      <c r="F644" s="405">
        <f t="shared" si="87"/>
        <v>0</v>
      </c>
      <c r="H644" s="121" t="str">
        <f t="shared" si="88"/>
        <v/>
      </c>
      <c r="K644" s="810">
        <f t="shared" si="89"/>
        <v>0</v>
      </c>
      <c r="N644" s="494"/>
    </row>
    <row r="645" spans="1:14" ht="18" customHeight="1" thickBot="1" x14ac:dyDescent="0.25">
      <c r="A645" s="190" t="s">
        <v>953</v>
      </c>
      <c r="B645" s="1234" t="str">
        <f>IF('Phase Codes'!G97="","",'Phase Codes'!G97)</f>
        <v/>
      </c>
      <c r="C645" s="1234"/>
      <c r="D645" s="404">
        <f t="shared" si="85"/>
        <v>0</v>
      </c>
      <c r="E645" s="405">
        <f t="shared" si="86"/>
        <v>0</v>
      </c>
      <c r="F645" s="405">
        <f t="shared" si="87"/>
        <v>0</v>
      </c>
      <c r="H645" s="121" t="str">
        <f t="shared" si="88"/>
        <v/>
      </c>
      <c r="K645" s="810">
        <f t="shared" si="89"/>
        <v>0</v>
      </c>
      <c r="N645" s="494"/>
    </row>
    <row r="646" spans="1:14" ht="18" customHeight="1" thickBot="1" x14ac:dyDescent="0.25">
      <c r="A646" s="190" t="s">
        <v>954</v>
      </c>
      <c r="B646" s="1234" t="str">
        <f>IF('Phase Codes'!G98="","",'Phase Codes'!G98)</f>
        <v/>
      </c>
      <c r="C646" s="1234"/>
      <c r="D646" s="404">
        <f t="shared" si="85"/>
        <v>0</v>
      </c>
      <c r="E646" s="405">
        <f t="shared" si="86"/>
        <v>0</v>
      </c>
      <c r="F646" s="405">
        <f t="shared" si="87"/>
        <v>0</v>
      </c>
      <c r="H646" s="121" t="str">
        <f t="shared" si="88"/>
        <v/>
      </c>
      <c r="K646" s="810">
        <f t="shared" si="89"/>
        <v>0</v>
      </c>
      <c r="N646" s="494"/>
    </row>
    <row r="647" spans="1:14" ht="18" customHeight="1" thickBot="1" x14ac:dyDescent="0.25">
      <c r="A647" s="190" t="s">
        <v>955</v>
      </c>
      <c r="B647" s="1234" t="str">
        <f>IF('Phase Codes'!G99="","",'Phase Codes'!G99)</f>
        <v/>
      </c>
      <c r="C647" s="1234"/>
      <c r="D647" s="404">
        <f t="shared" si="85"/>
        <v>0</v>
      </c>
      <c r="E647" s="405">
        <f t="shared" si="86"/>
        <v>0</v>
      </c>
      <c r="F647" s="405">
        <f t="shared" si="87"/>
        <v>0</v>
      </c>
      <c r="H647" s="121" t="str">
        <f t="shared" si="88"/>
        <v/>
      </c>
      <c r="K647" s="810">
        <f t="shared" si="89"/>
        <v>0</v>
      </c>
      <c r="N647" s="494"/>
    </row>
    <row r="648" spans="1:14" ht="18" customHeight="1" thickBot="1" x14ac:dyDescent="0.25">
      <c r="A648" s="190" t="s">
        <v>956</v>
      </c>
      <c r="B648" s="1234" t="str">
        <f>IF('Phase Codes'!G100="","",'Phase Codes'!G100)</f>
        <v/>
      </c>
      <c r="C648" s="1234"/>
      <c r="D648" s="404">
        <f t="shared" si="85"/>
        <v>0</v>
      </c>
      <c r="E648" s="405">
        <f t="shared" si="86"/>
        <v>0</v>
      </c>
      <c r="F648" s="405">
        <f t="shared" si="87"/>
        <v>0</v>
      </c>
      <c r="H648" s="121" t="str">
        <f t="shared" si="88"/>
        <v/>
      </c>
      <c r="K648" s="810">
        <f t="shared" si="89"/>
        <v>0</v>
      </c>
      <c r="N648" s="494"/>
    </row>
    <row r="649" spans="1:14" ht="18" customHeight="1" thickBot="1" x14ac:dyDescent="0.25">
      <c r="A649" s="190" t="s">
        <v>957</v>
      </c>
      <c r="B649" s="1234" t="str">
        <f>IF('Phase Codes'!G101="","",'Phase Codes'!G101)</f>
        <v/>
      </c>
      <c r="C649" s="1234"/>
      <c r="D649" s="404">
        <f t="shared" si="85"/>
        <v>0</v>
      </c>
      <c r="E649" s="405">
        <f t="shared" si="86"/>
        <v>0</v>
      </c>
      <c r="F649" s="405">
        <f t="shared" si="87"/>
        <v>0</v>
      </c>
      <c r="H649" s="121" t="str">
        <f t="shared" si="88"/>
        <v/>
      </c>
      <c r="K649" s="810">
        <f t="shared" si="89"/>
        <v>0</v>
      </c>
      <c r="N649" s="494"/>
    </row>
    <row r="650" spans="1:14" ht="18" customHeight="1" thickBot="1" x14ac:dyDescent="0.25">
      <c r="A650" s="190" t="s">
        <v>958</v>
      </c>
      <c r="B650" s="1234" t="str">
        <f>IF('Phase Codes'!G102="","",'Phase Codes'!G102)</f>
        <v/>
      </c>
      <c r="C650" s="1234"/>
      <c r="D650" s="404">
        <f t="shared" si="85"/>
        <v>0</v>
      </c>
      <c r="E650" s="405">
        <f t="shared" si="86"/>
        <v>0</v>
      </c>
      <c r="F650" s="405">
        <f>SUMIFS(SM_MaterialColumn,PC_SM_Material,$A650)</f>
        <v>0</v>
      </c>
      <c r="H650" s="121" t="str">
        <f t="shared" si="88"/>
        <v/>
      </c>
      <c r="K650" s="810">
        <f t="shared" si="89"/>
        <v>0</v>
      </c>
      <c r="N650" s="494"/>
    </row>
    <row r="651" spans="1:14" ht="18" customHeight="1" thickBot="1" x14ac:dyDescent="0.25">
      <c r="A651" s="165" t="s">
        <v>8</v>
      </c>
      <c r="B651" s="1235" t="s">
        <v>338</v>
      </c>
      <c r="C651" s="1236"/>
      <c r="D651" s="210">
        <f t="shared" ref="D651:F651" si="90">SUM(D552:D650)</f>
        <v>0</v>
      </c>
      <c r="E651" s="191">
        <f t="shared" si="90"/>
        <v>0</v>
      </c>
      <c r="F651" s="191">
        <f t="shared" si="90"/>
        <v>0</v>
      </c>
      <c r="H651" s="121"/>
      <c r="K651" s="810">
        <f t="shared" si="89"/>
        <v>0</v>
      </c>
      <c r="N651" s="494"/>
    </row>
    <row r="652" spans="1:14" ht="15" customHeight="1" x14ac:dyDescent="0.2">
      <c r="H652" s="121"/>
      <c r="K652" s="810">
        <f>K651</f>
        <v>0</v>
      </c>
      <c r="N652" s="494"/>
    </row>
    <row r="653" spans="1:14" ht="15" customHeight="1" x14ac:dyDescent="0.2">
      <c r="C653" s="250" t="s">
        <v>1398</v>
      </c>
      <c r="D653" s="549">
        <f>D547+D651</f>
        <v>2367.91</v>
      </c>
      <c r="E653" s="550">
        <f>E547+E651</f>
        <v>247407.62160000001</v>
      </c>
      <c r="F653" s="550">
        <f>F547+F651</f>
        <v>15926.76</v>
      </c>
      <c r="H653" s="121"/>
      <c r="K653" s="810">
        <f>K651</f>
        <v>0</v>
      </c>
      <c r="N653" s="494"/>
    </row>
    <row r="654" spans="1:14" ht="15" customHeight="1" thickBot="1" x14ac:dyDescent="0.3">
      <c r="A654" s="160"/>
      <c r="B654" s="160"/>
      <c r="C654" s="160"/>
      <c r="E654" s="158"/>
      <c r="F654" s="158"/>
      <c r="H654" s="121"/>
      <c r="K654" s="810">
        <f>K757</f>
        <v>0</v>
      </c>
      <c r="N654" s="494"/>
    </row>
    <row r="655" spans="1:14" ht="16.5" thickBot="1" x14ac:dyDescent="0.3">
      <c r="A655" s="83"/>
      <c r="B655" s="1237" t="s">
        <v>324</v>
      </c>
      <c r="C655" s="1238"/>
      <c r="H655" s="121"/>
      <c r="K655" s="810">
        <f>K757</f>
        <v>0</v>
      </c>
      <c r="N655" s="494"/>
    </row>
    <row r="656" spans="1:14" ht="26.25" thickBot="1" x14ac:dyDescent="0.25">
      <c r="A656" s="162" t="s">
        <v>325</v>
      </c>
      <c r="B656" s="1239" t="s">
        <v>0</v>
      </c>
      <c r="C656" s="1240"/>
      <c r="D656" s="163" t="s">
        <v>326</v>
      </c>
      <c r="E656" s="163" t="s">
        <v>327</v>
      </c>
      <c r="F656" s="163" t="s">
        <v>328</v>
      </c>
      <c r="G656" s="163" t="s">
        <v>1323</v>
      </c>
      <c r="H656" s="163" t="s">
        <v>1317</v>
      </c>
      <c r="K656" s="810">
        <f>K757</f>
        <v>0</v>
      </c>
      <c r="N656" s="494"/>
    </row>
    <row r="657" spans="1:14" ht="17.100000000000001" customHeight="1" thickBot="1" x14ac:dyDescent="0.3">
      <c r="A657" s="164" t="s">
        <v>339</v>
      </c>
      <c r="B657" s="164"/>
      <c r="H657" s="121"/>
      <c r="K657" s="810">
        <f>K757</f>
        <v>0</v>
      </c>
      <c r="N657" s="494"/>
    </row>
    <row r="658" spans="1:14" ht="18" customHeight="1" thickBot="1" x14ac:dyDescent="0.25">
      <c r="A658" s="190" t="s">
        <v>222</v>
      </c>
      <c r="B658" s="1234" t="str">
        <f>IF('Phase Codes'!H4="","",'Phase Codes'!H4)</f>
        <v>Test and Balance</v>
      </c>
      <c r="C658" s="1234"/>
      <c r="D658" s="404">
        <f t="shared" ref="D658:D689" si="91">SUMIFS(SM_FieldLaborColumn,PC_SM_Field,$A658)</f>
        <v>0</v>
      </c>
      <c r="E658" s="405">
        <f t="shared" ref="E658:E689" si="92">SUMIFS(Takeoff_Total_Field_Labor_Cost,PC_SM_Field,$A658)</f>
        <v>0</v>
      </c>
      <c r="F658" s="405">
        <f>SUMIFS(SM_MaterialColumn,PC_SM_Material,$A658)+SUMIF('MCAA RECAP'!$A$36:$A$44,A658,'MCAA RECAP'!$J$36:$J$44)+SUMIF('MCAA RECAP'!$A$114:$A$129,A658,'MCAA RECAP'!$J$114:$J$129)</f>
        <v>0</v>
      </c>
      <c r="G658" t="s">
        <v>1324</v>
      </c>
      <c r="H658" s="121">
        <f t="shared" ref="H658:H721" si="93">IF($G658="E",6,IF($G658="M",3,IF($G658="OH","?",IF($G658="OT",7,IF($G658="S",4,"")))))</f>
        <v>4</v>
      </c>
      <c r="K658" s="810">
        <f>SUM(D658:F658)</f>
        <v>0</v>
      </c>
      <c r="N658" s="494"/>
    </row>
    <row r="659" spans="1:14" ht="18" customHeight="1" thickBot="1" x14ac:dyDescent="0.25">
      <c r="A659" s="190" t="s">
        <v>226</v>
      </c>
      <c r="B659" s="1234" t="str">
        <f>IF('Phase Codes'!H5="","",'Phase Codes'!H5)</f>
        <v>Instrumentation and Control</v>
      </c>
      <c r="C659" s="1234"/>
      <c r="D659" s="404">
        <f t="shared" si="91"/>
        <v>0</v>
      </c>
      <c r="E659" s="405">
        <f t="shared" si="92"/>
        <v>0</v>
      </c>
      <c r="F659" s="405">
        <f>SUMIFS(SM_MaterialColumn,PC_SM_Material,$A659)+SUMIF('MCAA RECAP'!$A$36:$A$44,A659,'MCAA RECAP'!$J$36:$J$44)+SUMIF('MCAA RECAP'!$A$114:$A$129,A659,'MCAA RECAP'!$J$114:$J$129)</f>
        <v>0</v>
      </c>
      <c r="G659" t="s">
        <v>1324</v>
      </c>
      <c r="H659" s="121">
        <f t="shared" si="93"/>
        <v>4</v>
      </c>
      <c r="K659" s="810">
        <f t="shared" ref="K659:K722" si="94">SUM(D659:F659)</f>
        <v>0</v>
      </c>
      <c r="N659" s="494"/>
    </row>
    <row r="660" spans="1:14" ht="18" customHeight="1" thickBot="1" x14ac:dyDescent="0.25">
      <c r="A660" s="190" t="s">
        <v>223</v>
      </c>
      <c r="B660" s="1234" t="str">
        <f>IF('Phase Codes'!H6="","",'Phase Codes'!H6)</f>
        <v>Insulation and Lagging</v>
      </c>
      <c r="C660" s="1234"/>
      <c r="D660" s="404">
        <f t="shared" si="91"/>
        <v>0</v>
      </c>
      <c r="E660" s="405">
        <f t="shared" si="92"/>
        <v>0</v>
      </c>
      <c r="F660" s="405">
        <f>SUMIFS(SM_MaterialColumn,PC_SM_Material,$A660)+SUMIF('MCAA RECAP'!$A$36:$A$44,A660,'MCAA RECAP'!$J$36:$J$44)+SUMIF('MCAA RECAP'!$A$114:$A$129,A660,'MCAA RECAP'!$J$114:$J$129)</f>
        <v>0</v>
      </c>
      <c r="G660" t="s">
        <v>1324</v>
      </c>
      <c r="H660" s="121">
        <f t="shared" si="93"/>
        <v>4</v>
      </c>
      <c r="K660" s="810">
        <f t="shared" si="94"/>
        <v>0</v>
      </c>
      <c r="N660" s="494"/>
    </row>
    <row r="661" spans="1:14" ht="18" customHeight="1" thickBot="1" x14ac:dyDescent="0.25">
      <c r="A661" s="190" t="s">
        <v>959</v>
      </c>
      <c r="B661" s="1234" t="str">
        <f>IF('Phase Codes'!H7="","",'Phase Codes'!H7)</f>
        <v>Refrigeration and Startup</v>
      </c>
      <c r="C661" s="1234"/>
      <c r="D661" s="404">
        <f t="shared" si="91"/>
        <v>0</v>
      </c>
      <c r="E661" s="405">
        <f t="shared" si="92"/>
        <v>0</v>
      </c>
      <c r="F661" s="405">
        <f>SUMIFS(SM_MaterialColumn,PC_SM_Material,$A661)+SUMIF('MCAA RECAP'!$A$36:$A$44,A661,'MCAA RECAP'!$J$36:$J$44)+SUMIF('MCAA RECAP'!$A$114:$A$129,A661,'MCAA RECAP'!$J$114:$J$129)</f>
        <v>0</v>
      </c>
      <c r="G661" t="s">
        <v>1324</v>
      </c>
      <c r="H661" s="121">
        <f t="shared" si="93"/>
        <v>4</v>
      </c>
      <c r="K661" s="810">
        <f t="shared" si="94"/>
        <v>0</v>
      </c>
      <c r="N661" s="494"/>
    </row>
    <row r="662" spans="1:14" ht="18" customHeight="1" thickBot="1" x14ac:dyDescent="0.25">
      <c r="A662" s="190" t="s">
        <v>960</v>
      </c>
      <c r="B662" s="1234" t="str">
        <f>IF('Phase Codes'!H8="","",'Phase Codes'!H8)</f>
        <v>Scaffolding</v>
      </c>
      <c r="C662" s="1234"/>
      <c r="D662" s="404">
        <f t="shared" si="91"/>
        <v>0</v>
      </c>
      <c r="E662" s="405">
        <f t="shared" si="92"/>
        <v>0</v>
      </c>
      <c r="F662" s="405">
        <f>SUMIFS(SM_MaterialColumn,PC_SM_Material,$A662)+SUMIF('MCAA RECAP'!$A$36:$A$44,A662,'MCAA RECAP'!$J$36:$J$44)+SUMIF('MCAA RECAP'!$A$114:$A$129,A662,'MCAA RECAP'!$J$114:$J$129)</f>
        <v>0</v>
      </c>
      <c r="G662" t="s">
        <v>1324</v>
      </c>
      <c r="H662" s="121">
        <f t="shared" si="93"/>
        <v>4</v>
      </c>
      <c r="K662" s="810">
        <f t="shared" si="94"/>
        <v>0</v>
      </c>
      <c r="N662" s="494"/>
    </row>
    <row r="663" spans="1:14" ht="18" customHeight="1" thickBot="1" x14ac:dyDescent="0.25">
      <c r="A663" s="190" t="s">
        <v>961</v>
      </c>
      <c r="B663" s="1234" t="str">
        <f>IF('Phase Codes'!H9="","",'Phase Codes'!H9)</f>
        <v>Fire Protection</v>
      </c>
      <c r="C663" s="1234"/>
      <c r="D663" s="404">
        <f t="shared" si="91"/>
        <v>0</v>
      </c>
      <c r="E663" s="405">
        <f t="shared" si="92"/>
        <v>0</v>
      </c>
      <c r="F663" s="405">
        <f>SUMIFS(SM_MaterialColumn,PC_SM_Material,$A663)+SUMIF('MCAA RECAP'!$A$36:$A$44,A663,'MCAA RECAP'!$J$36:$J$44)+SUMIF('MCAA RECAP'!$A$114:$A$129,A663,'MCAA RECAP'!$J$114:$J$129)</f>
        <v>0</v>
      </c>
      <c r="G663" t="s">
        <v>1324</v>
      </c>
      <c r="H663" s="121">
        <f t="shared" si="93"/>
        <v>4</v>
      </c>
      <c r="K663" s="810">
        <f t="shared" si="94"/>
        <v>0</v>
      </c>
      <c r="N663" s="494"/>
    </row>
    <row r="664" spans="1:14" ht="18" customHeight="1" thickBot="1" x14ac:dyDescent="0.25">
      <c r="A664" s="190" t="s">
        <v>227</v>
      </c>
      <c r="B664" s="1234" t="str">
        <f>IF('Phase Codes'!H10="","",'Phase Codes'!H10)</f>
        <v>Engineering</v>
      </c>
      <c r="C664" s="1234"/>
      <c r="D664" s="404">
        <f t="shared" si="91"/>
        <v>0</v>
      </c>
      <c r="E664" s="405">
        <f t="shared" si="92"/>
        <v>0</v>
      </c>
      <c r="F664" s="405">
        <f>SUMIFS(SM_MaterialColumn,PC_SM_Material,$A664)+SUMIF('MCAA RECAP'!$A$36:$A$44,A664,'MCAA RECAP'!$J$36:$J$44)+SUMIF('MCAA RECAP'!$A$114:$A$129,A664,'MCAA RECAP'!$J$114:$J$129)</f>
        <v>0</v>
      </c>
      <c r="G664" t="s">
        <v>1324</v>
      </c>
      <c r="H664" s="121">
        <f t="shared" si="93"/>
        <v>4</v>
      </c>
      <c r="K664" s="810">
        <f t="shared" si="94"/>
        <v>0</v>
      </c>
      <c r="N664" s="494"/>
    </row>
    <row r="665" spans="1:14" ht="18" customHeight="1" thickBot="1" x14ac:dyDescent="0.25">
      <c r="A665" s="190" t="s">
        <v>229</v>
      </c>
      <c r="B665" s="1234" t="str">
        <f>IF('Phase Codes'!H11="","",'Phase Codes'!H11)</f>
        <v>Water Treatment</v>
      </c>
      <c r="C665" s="1234"/>
      <c r="D665" s="404">
        <f t="shared" si="91"/>
        <v>0</v>
      </c>
      <c r="E665" s="405">
        <f t="shared" si="92"/>
        <v>0</v>
      </c>
      <c r="F665" s="405">
        <f>SUMIFS(SM_MaterialColumn,PC_SM_Material,$A665)+SUMIF('MCAA RECAP'!$A$36:$A$44,A665,'MCAA RECAP'!$J$36:$J$44)+SUMIF('MCAA RECAP'!$A$114:$A$129,A665,'MCAA RECAP'!$J$114:$J$129)</f>
        <v>0</v>
      </c>
      <c r="G665" t="s">
        <v>1324</v>
      </c>
      <c r="H665" s="121">
        <f t="shared" si="93"/>
        <v>4</v>
      </c>
      <c r="K665" s="810">
        <f t="shared" si="94"/>
        <v>0</v>
      </c>
      <c r="N665" s="494"/>
    </row>
    <row r="666" spans="1:14" ht="18" customHeight="1" thickBot="1" x14ac:dyDescent="0.25">
      <c r="A666" s="190" t="s">
        <v>962</v>
      </c>
      <c r="B666" s="1234" t="str">
        <f>IF('Phase Codes'!H12="","",'Phase Codes'!H12)</f>
        <v>Demolition</v>
      </c>
      <c r="C666" s="1234"/>
      <c r="D666" s="404">
        <f t="shared" si="91"/>
        <v>0</v>
      </c>
      <c r="E666" s="405">
        <f t="shared" si="92"/>
        <v>0</v>
      </c>
      <c r="F666" s="405">
        <f>SUMIFS(SM_MaterialColumn,PC_SM_Material,$A666)+SUMIF('MCAA RECAP'!$A$36:$A$44,A666,'MCAA RECAP'!$J$36:$J$44)+SUMIF('MCAA RECAP'!$A$114:$A$129,A666,'MCAA RECAP'!$J$114:$J$129)</f>
        <v>0</v>
      </c>
      <c r="G666" t="s">
        <v>1324</v>
      </c>
      <c r="H666" s="121">
        <f t="shared" si="93"/>
        <v>4</v>
      </c>
      <c r="K666" s="810">
        <f t="shared" si="94"/>
        <v>0</v>
      </c>
      <c r="N666" s="494"/>
    </row>
    <row r="667" spans="1:14" ht="18" customHeight="1" thickBot="1" x14ac:dyDescent="0.25">
      <c r="A667" s="190" t="s">
        <v>963</v>
      </c>
      <c r="B667" s="1234" t="str">
        <f>IF('Phase Codes'!H13="","",'Phase Codes'!H13)</f>
        <v>Painting</v>
      </c>
      <c r="C667" s="1234"/>
      <c r="D667" s="404">
        <f t="shared" si="91"/>
        <v>0</v>
      </c>
      <c r="E667" s="405">
        <f t="shared" si="92"/>
        <v>0</v>
      </c>
      <c r="F667" s="405">
        <f>SUMIFS(SM_MaterialColumn,PC_SM_Material,$A667)+SUMIF('MCAA RECAP'!$A$36:$A$44,A667,'MCAA RECAP'!$J$36:$J$44)+SUMIF('MCAA RECAP'!$A$114:$A$129,A667,'MCAA RECAP'!$J$114:$J$129)</f>
        <v>0</v>
      </c>
      <c r="G667" t="s">
        <v>1324</v>
      </c>
      <c r="H667" s="121">
        <f t="shared" si="93"/>
        <v>4</v>
      </c>
      <c r="K667" s="810">
        <f t="shared" si="94"/>
        <v>0</v>
      </c>
      <c r="N667" s="494"/>
    </row>
    <row r="668" spans="1:14" ht="18" customHeight="1" thickBot="1" x14ac:dyDescent="0.25">
      <c r="A668" s="190" t="s">
        <v>225</v>
      </c>
      <c r="B668" s="1234" t="str">
        <f>IF('Phase Codes'!H14="","",'Phase Codes'!H14)</f>
        <v>Excavation and Backfill</v>
      </c>
      <c r="C668" s="1234"/>
      <c r="D668" s="404">
        <f t="shared" si="91"/>
        <v>0</v>
      </c>
      <c r="E668" s="405">
        <f t="shared" si="92"/>
        <v>0</v>
      </c>
      <c r="F668" s="405">
        <f>SUMIFS(SM_MaterialColumn,PC_SM_Material,$A668)+SUMIF('MCAA RECAP'!$A$36:$A$44,A668,'MCAA RECAP'!$J$36:$J$44)+SUMIF('MCAA RECAP'!$A$114:$A$129,A668,'MCAA RECAP'!$J$114:$J$129)</f>
        <v>0</v>
      </c>
      <c r="G668" t="s">
        <v>1324</v>
      </c>
      <c r="H668" s="121">
        <f t="shared" si="93"/>
        <v>4</v>
      </c>
      <c r="K668" s="810">
        <f t="shared" si="94"/>
        <v>0</v>
      </c>
      <c r="N668" s="494"/>
    </row>
    <row r="669" spans="1:14" ht="18" customHeight="1" thickBot="1" x14ac:dyDescent="0.25">
      <c r="A669" s="190" t="s">
        <v>224</v>
      </c>
      <c r="B669" s="1234" t="str">
        <f>IF('Phase Codes'!H15="","",'Phase Codes'!H15)</f>
        <v>Concrete Work</v>
      </c>
      <c r="C669" s="1234"/>
      <c r="D669" s="404">
        <f t="shared" si="91"/>
        <v>0</v>
      </c>
      <c r="E669" s="405">
        <f t="shared" si="92"/>
        <v>0</v>
      </c>
      <c r="F669" s="405">
        <f>SUMIFS(SM_MaterialColumn,PC_SM_Material,$A669)+SUMIF('MCAA RECAP'!$A$36:$A$44,A669,'MCAA RECAP'!$J$36:$J$44)+SUMIF('MCAA RECAP'!$A$114:$A$129,A669,'MCAA RECAP'!$J$114:$J$129)</f>
        <v>0</v>
      </c>
      <c r="G669" t="s">
        <v>1324</v>
      </c>
      <c r="H669" s="121">
        <f t="shared" si="93"/>
        <v>4</v>
      </c>
      <c r="K669" s="810">
        <f t="shared" si="94"/>
        <v>0</v>
      </c>
      <c r="N669" s="494"/>
    </row>
    <row r="670" spans="1:14" ht="18" customHeight="1" thickBot="1" x14ac:dyDescent="0.25">
      <c r="A670" s="190" t="s">
        <v>964</v>
      </c>
      <c r="B670" s="1234" t="str">
        <f>IF('Phase Codes'!H16="","",'Phase Codes'!H16)</f>
        <v>Electrical Work</v>
      </c>
      <c r="C670" s="1234"/>
      <c r="D670" s="404">
        <f t="shared" si="91"/>
        <v>0</v>
      </c>
      <c r="E670" s="405">
        <f t="shared" si="92"/>
        <v>0</v>
      </c>
      <c r="F670" s="405">
        <f>SUMIFS(SM_MaterialColumn,PC_SM_Material,$A670)+SUMIF('MCAA RECAP'!$A$36:$A$44,A670,'MCAA RECAP'!$J$36:$J$44)+SUMIF('MCAA RECAP'!$A$114:$A$129,A670,'MCAA RECAP'!$J$114:$J$129)</f>
        <v>0</v>
      </c>
      <c r="G670" t="s">
        <v>1324</v>
      </c>
      <c r="H670" s="121">
        <f t="shared" si="93"/>
        <v>4</v>
      </c>
      <c r="K670" s="810">
        <f t="shared" si="94"/>
        <v>0</v>
      </c>
      <c r="N670" s="494"/>
    </row>
    <row r="671" spans="1:14" ht="18" customHeight="1" thickBot="1" x14ac:dyDescent="0.25">
      <c r="A671" s="190" t="s">
        <v>965</v>
      </c>
      <c r="B671" s="1234" t="str">
        <f>IF('Phase Codes'!H17="","",'Phase Codes'!H17)</f>
        <v>Heavy Hauling</v>
      </c>
      <c r="C671" s="1234"/>
      <c r="D671" s="404">
        <f t="shared" si="91"/>
        <v>0</v>
      </c>
      <c r="E671" s="405">
        <f t="shared" si="92"/>
        <v>0</v>
      </c>
      <c r="F671" s="405">
        <f>SUMIFS(SM_MaterialColumn,PC_SM_Material,$A671)+SUMIF('MCAA RECAP'!$A$36:$A$44,A671,'MCAA RECAP'!$J$36:$J$44)+SUMIF('MCAA RECAP'!$A$114:$A$129,A671,'MCAA RECAP'!$J$114:$J$129)</f>
        <v>0</v>
      </c>
      <c r="G671" t="s">
        <v>1324</v>
      </c>
      <c r="H671" s="121">
        <f t="shared" si="93"/>
        <v>4</v>
      </c>
      <c r="K671" s="810">
        <f t="shared" si="94"/>
        <v>0</v>
      </c>
      <c r="N671" s="494"/>
    </row>
    <row r="672" spans="1:14" ht="18" customHeight="1" thickBot="1" x14ac:dyDescent="0.25">
      <c r="A672" s="190" t="s">
        <v>228</v>
      </c>
      <c r="B672" s="1234" t="str">
        <f>IF('Phase Codes'!H18="","",'Phase Codes'!H18)</f>
        <v>Crane and Hoisting</v>
      </c>
      <c r="C672" s="1234"/>
      <c r="D672" s="404">
        <f t="shared" si="91"/>
        <v>0</v>
      </c>
      <c r="E672" s="405">
        <f t="shared" si="92"/>
        <v>0</v>
      </c>
      <c r="F672" s="405">
        <f>SUMIFS(SM_MaterialColumn,PC_SM_Material,$A672)+SUMIF('MCAA RECAP'!$A$36:$A$44,A672,'MCAA RECAP'!$J$36:$J$44)+SUMIF('MCAA RECAP'!$A$114:$A$129,A672,'MCAA RECAP'!$J$114:$J$129)</f>
        <v>0</v>
      </c>
      <c r="G672" t="s">
        <v>1324</v>
      </c>
      <c r="H672" s="121">
        <f t="shared" si="93"/>
        <v>4</v>
      </c>
      <c r="K672" s="810">
        <f t="shared" si="94"/>
        <v>0</v>
      </c>
      <c r="N672" s="494"/>
    </row>
    <row r="673" spans="1:14" ht="18" customHeight="1" thickBot="1" x14ac:dyDescent="0.25">
      <c r="A673" s="190" t="s">
        <v>230</v>
      </c>
      <c r="B673" s="1234" t="str">
        <f>IF('Phase Codes'!H19="","",'Phase Codes'!H19)</f>
        <v>Chlorination</v>
      </c>
      <c r="C673" s="1234"/>
      <c r="D673" s="404">
        <f t="shared" si="91"/>
        <v>0</v>
      </c>
      <c r="E673" s="405">
        <f t="shared" si="92"/>
        <v>0</v>
      </c>
      <c r="F673" s="405">
        <f>SUMIFS(SM_MaterialColumn,PC_SM_Material,$A673)+SUMIF('MCAA RECAP'!$A$36:$A$44,A673,'MCAA RECAP'!$J$36:$J$44)+SUMIF('MCAA RECAP'!$A$114:$A$129,A673,'MCAA RECAP'!$J$114:$J$129)</f>
        <v>0</v>
      </c>
      <c r="G673" t="s">
        <v>1324</v>
      </c>
      <c r="H673" s="121">
        <f t="shared" si="93"/>
        <v>4</v>
      </c>
      <c r="K673" s="810">
        <f t="shared" si="94"/>
        <v>0</v>
      </c>
      <c r="N673" s="494"/>
    </row>
    <row r="674" spans="1:14" ht="18" customHeight="1" thickBot="1" x14ac:dyDescent="0.25">
      <c r="A674" s="190" t="s">
        <v>966</v>
      </c>
      <c r="B674" s="1234" t="str">
        <f>IF('Phase Codes'!H20="","",'Phase Codes'!H20)</f>
        <v>Duct Cleaning/Cleanup</v>
      </c>
      <c r="C674" s="1234"/>
      <c r="D674" s="404">
        <f t="shared" si="91"/>
        <v>0</v>
      </c>
      <c r="E674" s="405">
        <f t="shared" si="92"/>
        <v>0</v>
      </c>
      <c r="F674" s="405">
        <f>SUMIFS(SM_MaterialColumn,PC_SM_Material,$A674)+SUMIF('MCAA RECAP'!$A$36:$A$44,A674,'MCAA RECAP'!$J$36:$J$44)+SUMIF('MCAA RECAP'!$A$114:$A$129,A674,'MCAA RECAP'!$J$114:$J$129)</f>
        <v>0</v>
      </c>
      <c r="G674" t="s">
        <v>1324</v>
      </c>
      <c r="H674" s="121">
        <f t="shared" si="93"/>
        <v>4</v>
      </c>
      <c r="K674" s="810">
        <f t="shared" si="94"/>
        <v>0</v>
      </c>
      <c r="N674" s="494"/>
    </row>
    <row r="675" spans="1:14" ht="18" customHeight="1" thickBot="1" x14ac:dyDescent="0.25">
      <c r="A675" s="190" t="s">
        <v>967</v>
      </c>
      <c r="B675" s="1234" t="str">
        <f>IF('Phase Codes'!H21="","",'Phase Codes'!H21)</f>
        <v>Weather Barrier (Architectural)</v>
      </c>
      <c r="C675" s="1234"/>
      <c r="D675" s="404">
        <f t="shared" si="91"/>
        <v>0</v>
      </c>
      <c r="E675" s="405">
        <f t="shared" si="92"/>
        <v>0</v>
      </c>
      <c r="F675" s="405">
        <f>SUMIFS(SM_MaterialColumn,PC_SM_Material,$A675)+SUMIF('MCAA RECAP'!$A$36:$A$44,A675,'MCAA RECAP'!$J$36:$J$44)+SUMIF('MCAA RECAP'!$A$114:$A$129,A675,'MCAA RECAP'!$J$114:$J$129)</f>
        <v>0</v>
      </c>
      <c r="G675" t="s">
        <v>1324</v>
      </c>
      <c r="H675" s="121">
        <f t="shared" si="93"/>
        <v>4</v>
      </c>
      <c r="K675" s="810">
        <f t="shared" si="94"/>
        <v>0</v>
      </c>
      <c r="N675" s="494"/>
    </row>
    <row r="676" spans="1:14" ht="18" customHeight="1" thickBot="1" x14ac:dyDescent="0.25">
      <c r="A676" s="190" t="s">
        <v>968</v>
      </c>
      <c r="B676" s="1234" t="str">
        <f>IF('Phase Codes'!H22="","",'Phase Codes'!H22)</f>
        <v/>
      </c>
      <c r="C676" s="1234"/>
      <c r="D676" s="404">
        <f t="shared" si="91"/>
        <v>0</v>
      </c>
      <c r="E676" s="405">
        <f t="shared" si="92"/>
        <v>0</v>
      </c>
      <c r="F676" s="405">
        <f>SUMIFS(SM_MaterialColumn,PC_SM_Material,$A676)+SUMIF('MCAA RECAP'!$A$36:$A$44,A676,'MCAA RECAP'!$J$36:$J$44)+SUMIF('MCAA RECAP'!$A$114:$A$129,A676,'MCAA RECAP'!$J$114:$J$129)</f>
        <v>0</v>
      </c>
      <c r="G676" t="s">
        <v>1324</v>
      </c>
      <c r="H676" s="121">
        <f t="shared" si="93"/>
        <v>4</v>
      </c>
      <c r="K676" s="810">
        <f t="shared" si="94"/>
        <v>0</v>
      </c>
      <c r="N676" s="494"/>
    </row>
    <row r="677" spans="1:14" ht="18" customHeight="1" thickBot="1" x14ac:dyDescent="0.25">
      <c r="A677" s="190" t="s">
        <v>969</v>
      </c>
      <c r="B677" s="1234" t="str">
        <f>IF('Phase Codes'!H23="","",'Phase Codes'!H23)</f>
        <v/>
      </c>
      <c r="C677" s="1234"/>
      <c r="D677" s="404">
        <f t="shared" si="91"/>
        <v>0</v>
      </c>
      <c r="E677" s="405">
        <f t="shared" si="92"/>
        <v>0</v>
      </c>
      <c r="F677" s="405">
        <f>SUMIFS(SM_MaterialColumn,PC_SM_Material,$A677)+SUMIF('MCAA RECAP'!$A$36:$A$44,A677,'MCAA RECAP'!$J$36:$J$44)+SUMIF('MCAA RECAP'!$A$114:$A$129,A677,'MCAA RECAP'!$J$114:$J$129)</f>
        <v>0</v>
      </c>
      <c r="G677" t="s">
        <v>1324</v>
      </c>
      <c r="H677" s="121">
        <f t="shared" si="93"/>
        <v>4</v>
      </c>
      <c r="K677" s="810">
        <f t="shared" si="94"/>
        <v>0</v>
      </c>
    </row>
    <row r="678" spans="1:14" ht="18" customHeight="1" thickBot="1" x14ac:dyDescent="0.25">
      <c r="A678" s="190" t="s">
        <v>970</v>
      </c>
      <c r="B678" s="1234" t="str">
        <f>IF('Phase Codes'!H24="","",'Phase Codes'!H24)</f>
        <v/>
      </c>
      <c r="C678" s="1234"/>
      <c r="D678" s="404">
        <f t="shared" si="91"/>
        <v>0</v>
      </c>
      <c r="E678" s="405">
        <f t="shared" si="92"/>
        <v>0</v>
      </c>
      <c r="F678" s="405">
        <f>SUMIFS(SM_MaterialColumn,PC_SM_Material,$A678)+SUMIF('MCAA RECAP'!$A$36:$A$44,A678,'MCAA RECAP'!$J$36:$J$44)+SUMIF('MCAA RECAP'!$A$114:$A$129,A678,'MCAA RECAP'!$J$114:$J$129)</f>
        <v>0</v>
      </c>
      <c r="G678" t="s">
        <v>1324</v>
      </c>
      <c r="H678" s="121">
        <f t="shared" si="93"/>
        <v>4</v>
      </c>
      <c r="K678" s="810">
        <f t="shared" si="94"/>
        <v>0</v>
      </c>
    </row>
    <row r="679" spans="1:14" ht="18" customHeight="1" thickBot="1" x14ac:dyDescent="0.25">
      <c r="A679" s="190" t="s">
        <v>971</v>
      </c>
      <c r="B679" s="1234" t="str">
        <f>IF('Phase Codes'!H25="","",'Phase Codes'!H25)</f>
        <v/>
      </c>
      <c r="C679" s="1234"/>
      <c r="D679" s="404">
        <f t="shared" si="91"/>
        <v>0</v>
      </c>
      <c r="E679" s="405">
        <f t="shared" si="92"/>
        <v>0</v>
      </c>
      <c r="F679" s="405">
        <f>SUMIFS(SM_MaterialColumn,PC_SM_Material,$A679)+SUMIF('MCAA RECAP'!$A$36:$A$44,A679,'MCAA RECAP'!$J$36:$J$44)+SUMIF('MCAA RECAP'!$A$114:$A$129,A679,'MCAA RECAP'!$J$114:$J$129)</f>
        <v>0</v>
      </c>
      <c r="G679" t="s">
        <v>1324</v>
      </c>
      <c r="H679" s="121">
        <f t="shared" si="93"/>
        <v>4</v>
      </c>
      <c r="K679" s="810">
        <f t="shared" si="94"/>
        <v>0</v>
      </c>
    </row>
    <row r="680" spans="1:14" ht="18" customHeight="1" thickBot="1" x14ac:dyDescent="0.25">
      <c r="A680" s="190" t="s">
        <v>972</v>
      </c>
      <c r="B680" s="1234" t="str">
        <f>IF('Phase Codes'!H26="","",'Phase Codes'!H26)</f>
        <v/>
      </c>
      <c r="C680" s="1234"/>
      <c r="D680" s="404">
        <f t="shared" si="91"/>
        <v>0</v>
      </c>
      <c r="E680" s="405">
        <f t="shared" si="92"/>
        <v>0</v>
      </c>
      <c r="F680" s="405">
        <f>SUMIFS(SM_MaterialColumn,PC_SM_Material,$A680)+SUMIF('MCAA RECAP'!$A$36:$A$44,A680,'MCAA RECAP'!$J$36:$J$44)+SUMIF('MCAA RECAP'!$A$114:$A$129,A680,'MCAA RECAP'!$J$114:$J$129)</f>
        <v>0</v>
      </c>
      <c r="G680" t="s">
        <v>1324</v>
      </c>
      <c r="H680" s="121">
        <f t="shared" si="93"/>
        <v>4</v>
      </c>
      <c r="K680" s="810">
        <f t="shared" si="94"/>
        <v>0</v>
      </c>
    </row>
    <row r="681" spans="1:14" ht="18" customHeight="1" thickBot="1" x14ac:dyDescent="0.25">
      <c r="A681" s="190" t="s">
        <v>973</v>
      </c>
      <c r="B681" s="1234" t="str">
        <f>IF('Phase Codes'!H27="","",'Phase Codes'!H27)</f>
        <v/>
      </c>
      <c r="C681" s="1234"/>
      <c r="D681" s="404">
        <f t="shared" si="91"/>
        <v>0</v>
      </c>
      <c r="E681" s="405">
        <f t="shared" si="92"/>
        <v>0</v>
      </c>
      <c r="F681" s="405">
        <f>SUMIFS(SM_MaterialColumn,PC_SM_Material,$A681)+SUMIF('MCAA RECAP'!$A$36:$A$44,A681,'MCAA RECAP'!$J$36:$J$44)+SUMIF('MCAA RECAP'!$A$114:$A$129,A681,'MCAA RECAP'!$J$114:$J$129)</f>
        <v>0</v>
      </c>
      <c r="G681" t="s">
        <v>1324</v>
      </c>
      <c r="H681" s="121">
        <f t="shared" si="93"/>
        <v>4</v>
      </c>
      <c r="K681" s="810">
        <f t="shared" si="94"/>
        <v>0</v>
      </c>
    </row>
    <row r="682" spans="1:14" ht="18" customHeight="1" thickBot="1" x14ac:dyDescent="0.25">
      <c r="A682" s="190" t="s">
        <v>974</v>
      </c>
      <c r="B682" s="1234" t="str">
        <f>IF('Phase Codes'!H28="","",'Phase Codes'!H28)</f>
        <v/>
      </c>
      <c r="C682" s="1234"/>
      <c r="D682" s="404">
        <f t="shared" si="91"/>
        <v>0</v>
      </c>
      <c r="E682" s="405">
        <f t="shared" si="92"/>
        <v>0</v>
      </c>
      <c r="F682" s="405">
        <f>SUMIFS(SM_MaterialColumn,PC_SM_Material,$A682)+SUMIF('MCAA RECAP'!$A$36:$A$44,A682,'MCAA RECAP'!$J$36:$J$44)+SUMIF('MCAA RECAP'!$A$114:$A$129,A682,'MCAA RECAP'!$J$114:$J$129)</f>
        <v>0</v>
      </c>
      <c r="G682" t="s">
        <v>1324</v>
      </c>
      <c r="H682" s="121">
        <f t="shared" si="93"/>
        <v>4</v>
      </c>
      <c r="K682" s="810">
        <f t="shared" si="94"/>
        <v>0</v>
      </c>
    </row>
    <row r="683" spans="1:14" ht="18" customHeight="1" thickBot="1" x14ac:dyDescent="0.25">
      <c r="A683" s="190" t="s">
        <v>975</v>
      </c>
      <c r="B683" s="1234" t="str">
        <f>IF('Phase Codes'!H29="","",'Phase Codes'!H29)</f>
        <v/>
      </c>
      <c r="C683" s="1234"/>
      <c r="D683" s="404">
        <f t="shared" si="91"/>
        <v>0</v>
      </c>
      <c r="E683" s="405">
        <f t="shared" si="92"/>
        <v>0</v>
      </c>
      <c r="F683" s="405">
        <f>SUMIFS(SM_MaterialColumn,PC_SM_Material,$A683)+SUMIF('MCAA RECAP'!$A$36:$A$44,A683,'MCAA RECAP'!$J$36:$J$44)+SUMIF('MCAA RECAP'!$A$114:$A$129,A683,'MCAA RECAP'!$J$114:$J$129)</f>
        <v>0</v>
      </c>
      <c r="G683" t="s">
        <v>1324</v>
      </c>
      <c r="H683" s="121">
        <f t="shared" si="93"/>
        <v>4</v>
      </c>
      <c r="K683" s="810">
        <f t="shared" si="94"/>
        <v>0</v>
      </c>
    </row>
    <row r="684" spans="1:14" ht="18" customHeight="1" thickBot="1" x14ac:dyDescent="0.25">
      <c r="A684" s="190" t="s">
        <v>976</v>
      </c>
      <c r="B684" s="1234" t="str">
        <f>IF('Phase Codes'!H30="","",'Phase Codes'!H30)</f>
        <v/>
      </c>
      <c r="C684" s="1234"/>
      <c r="D684" s="404">
        <f t="shared" si="91"/>
        <v>0</v>
      </c>
      <c r="E684" s="405">
        <f t="shared" si="92"/>
        <v>0</v>
      </c>
      <c r="F684" s="405">
        <f>SUMIFS(SM_MaterialColumn,PC_SM_Material,$A684)+SUMIF('MCAA RECAP'!$A$36:$A$44,A684,'MCAA RECAP'!$J$36:$J$44)+SUMIF('MCAA RECAP'!$A$114:$A$129,A684,'MCAA RECAP'!$J$114:$J$129)</f>
        <v>0</v>
      </c>
      <c r="G684" t="s">
        <v>1324</v>
      </c>
      <c r="H684" s="121">
        <f t="shared" si="93"/>
        <v>4</v>
      </c>
      <c r="K684" s="810">
        <f t="shared" si="94"/>
        <v>0</v>
      </c>
    </row>
    <row r="685" spans="1:14" ht="18" customHeight="1" thickBot="1" x14ac:dyDescent="0.25">
      <c r="A685" s="190" t="s">
        <v>977</v>
      </c>
      <c r="B685" s="1234" t="str">
        <f>IF('Phase Codes'!H31="","",'Phase Codes'!H31)</f>
        <v/>
      </c>
      <c r="C685" s="1234"/>
      <c r="D685" s="404">
        <f t="shared" si="91"/>
        <v>0</v>
      </c>
      <c r="E685" s="405">
        <f t="shared" si="92"/>
        <v>0</v>
      </c>
      <c r="F685" s="405">
        <f>SUMIFS(SM_MaterialColumn,PC_SM_Material,$A685)+SUMIF('MCAA RECAP'!$A$36:$A$44,A685,'MCAA RECAP'!$J$36:$J$44)+SUMIF('MCAA RECAP'!$A$114:$A$129,A685,'MCAA RECAP'!$J$114:$J$129)</f>
        <v>0</v>
      </c>
      <c r="G685" t="s">
        <v>1324</v>
      </c>
      <c r="H685" s="121">
        <f t="shared" si="93"/>
        <v>4</v>
      </c>
      <c r="K685" s="810">
        <f t="shared" si="94"/>
        <v>0</v>
      </c>
    </row>
    <row r="686" spans="1:14" ht="18" customHeight="1" thickBot="1" x14ac:dyDescent="0.25">
      <c r="A686" s="190" t="s">
        <v>978</v>
      </c>
      <c r="B686" s="1234" t="str">
        <f>IF('Phase Codes'!H32="","",'Phase Codes'!H32)</f>
        <v/>
      </c>
      <c r="C686" s="1234"/>
      <c r="D686" s="404">
        <f t="shared" si="91"/>
        <v>0</v>
      </c>
      <c r="E686" s="405">
        <f t="shared" si="92"/>
        <v>0</v>
      </c>
      <c r="F686" s="405">
        <f>SUMIFS(SM_MaterialColumn,PC_SM_Material,$A686)+SUMIF('MCAA RECAP'!$A$36:$A$44,A686,'MCAA RECAP'!$J$36:$J$44)+SUMIF('MCAA RECAP'!$A$114:$A$129,A686,'MCAA RECAP'!$J$114:$J$129)</f>
        <v>0</v>
      </c>
      <c r="G686" t="s">
        <v>1324</v>
      </c>
      <c r="H686" s="121">
        <f t="shared" si="93"/>
        <v>4</v>
      </c>
      <c r="K686" s="810">
        <f t="shared" si="94"/>
        <v>0</v>
      </c>
    </row>
    <row r="687" spans="1:14" ht="18" customHeight="1" thickBot="1" x14ac:dyDescent="0.25">
      <c r="A687" s="190" t="s">
        <v>979</v>
      </c>
      <c r="B687" s="1234" t="str">
        <f>IF('Phase Codes'!H33="","",'Phase Codes'!H33)</f>
        <v/>
      </c>
      <c r="C687" s="1234"/>
      <c r="D687" s="404">
        <f t="shared" si="91"/>
        <v>0</v>
      </c>
      <c r="E687" s="405">
        <f t="shared" si="92"/>
        <v>0</v>
      </c>
      <c r="F687" s="405">
        <f>SUMIFS(SM_MaterialColumn,PC_SM_Material,$A687)+SUMIF('MCAA RECAP'!$A$36:$A$44,A687,'MCAA RECAP'!$J$36:$J$44)+SUMIF('MCAA RECAP'!$A$114:$A$129,A687,'MCAA RECAP'!$J$114:$J$129)</f>
        <v>0</v>
      </c>
      <c r="G687" t="s">
        <v>1324</v>
      </c>
      <c r="H687" s="121">
        <f t="shared" si="93"/>
        <v>4</v>
      </c>
      <c r="K687" s="810">
        <f t="shared" si="94"/>
        <v>0</v>
      </c>
    </row>
    <row r="688" spans="1:14" ht="18" customHeight="1" thickBot="1" x14ac:dyDescent="0.25">
      <c r="A688" s="190" t="s">
        <v>980</v>
      </c>
      <c r="B688" s="1234" t="str">
        <f>IF('Phase Codes'!H34="","",'Phase Codes'!H34)</f>
        <v/>
      </c>
      <c r="C688" s="1234"/>
      <c r="D688" s="404">
        <f t="shared" si="91"/>
        <v>0</v>
      </c>
      <c r="E688" s="405">
        <f t="shared" si="92"/>
        <v>0</v>
      </c>
      <c r="F688" s="405">
        <f>SUMIFS(SM_MaterialColumn,PC_SM_Material,$A688)+SUMIF('MCAA RECAP'!$A$36:$A$44,A688,'MCAA RECAP'!$J$36:$J$44)+SUMIF('MCAA RECAP'!$A$114:$A$129,A688,'MCAA RECAP'!$J$114:$J$129)</f>
        <v>0</v>
      </c>
      <c r="G688" t="s">
        <v>1324</v>
      </c>
      <c r="H688" s="121">
        <f t="shared" si="93"/>
        <v>4</v>
      </c>
      <c r="K688" s="810">
        <f t="shared" si="94"/>
        <v>0</v>
      </c>
    </row>
    <row r="689" spans="1:11" ht="18" customHeight="1" thickBot="1" x14ac:dyDescent="0.25">
      <c r="A689" s="190" t="s">
        <v>981</v>
      </c>
      <c r="B689" s="1234" t="str">
        <f>IF('Phase Codes'!H35="","",'Phase Codes'!H35)</f>
        <v/>
      </c>
      <c r="C689" s="1234"/>
      <c r="D689" s="404">
        <f t="shared" si="91"/>
        <v>0</v>
      </c>
      <c r="E689" s="405">
        <f t="shared" si="92"/>
        <v>0</v>
      </c>
      <c r="F689" s="405">
        <f>SUMIFS(SM_MaterialColumn,PC_SM_Material,$A689)+SUMIF('MCAA RECAP'!$A$36:$A$44,A689,'MCAA RECAP'!$J$36:$J$44)+SUMIF('MCAA RECAP'!$A$114:$A$129,A689,'MCAA RECAP'!$J$114:$J$129)</f>
        <v>0</v>
      </c>
      <c r="G689" t="s">
        <v>1324</v>
      </c>
      <c r="H689" s="121">
        <f t="shared" si="93"/>
        <v>4</v>
      </c>
      <c r="K689" s="810">
        <f t="shared" si="94"/>
        <v>0</v>
      </c>
    </row>
    <row r="690" spans="1:11" ht="18" customHeight="1" thickBot="1" x14ac:dyDescent="0.25">
      <c r="A690" s="190" t="s">
        <v>982</v>
      </c>
      <c r="B690" s="1234" t="str">
        <f>IF('Phase Codes'!H36="","",'Phase Codes'!H36)</f>
        <v>Caulking (Architectural)</v>
      </c>
      <c r="C690" s="1234"/>
      <c r="D690" s="404">
        <f t="shared" ref="D690:D721" si="95">SUMIFS(SM_FieldLaborColumn,PC_SM_Field,$A690)</f>
        <v>0</v>
      </c>
      <c r="E690" s="405">
        <f t="shared" ref="E690:E721" si="96">SUMIFS(Takeoff_Total_Field_Labor_Cost,PC_SM_Field,$A690)</f>
        <v>0</v>
      </c>
      <c r="F690" s="405">
        <f>SUMIFS(SM_MaterialColumn,PC_SM_Material,$A690)+SUMIF('MCAA RECAP'!$A$36:$A$44,A690,'MCAA RECAP'!$J$36:$J$44)+SUMIF('MCAA RECAP'!$A$114:$A$129,A690,'MCAA RECAP'!$J$114:$J$129)</f>
        <v>0</v>
      </c>
      <c r="G690" t="s">
        <v>1324</v>
      </c>
      <c r="H690" s="121">
        <f t="shared" si="93"/>
        <v>4</v>
      </c>
      <c r="K690" s="810">
        <f t="shared" si="94"/>
        <v>0</v>
      </c>
    </row>
    <row r="691" spans="1:11" ht="18" customHeight="1" thickBot="1" x14ac:dyDescent="0.25">
      <c r="A691" s="190" t="s">
        <v>983</v>
      </c>
      <c r="B691" s="1234" t="str">
        <f>IF('Phase Codes'!H37="","",'Phase Codes'!H37)</f>
        <v/>
      </c>
      <c r="C691" s="1234"/>
      <c r="D691" s="404">
        <f t="shared" si="95"/>
        <v>0</v>
      </c>
      <c r="E691" s="405">
        <f t="shared" si="96"/>
        <v>0</v>
      </c>
      <c r="F691" s="405">
        <f>SUMIFS(SM_MaterialColumn,PC_SM_Material,$A691)+SUMIF('MCAA RECAP'!$A$36:$A$44,A691,'MCAA RECAP'!$J$36:$J$44)+SUMIF('MCAA RECAP'!$A$114:$A$129,A691,'MCAA RECAP'!$J$114:$J$129)</f>
        <v>0</v>
      </c>
      <c r="G691" t="s">
        <v>1324</v>
      </c>
      <c r="H691" s="121">
        <f t="shared" si="93"/>
        <v>4</v>
      </c>
      <c r="K691" s="810">
        <f t="shared" si="94"/>
        <v>0</v>
      </c>
    </row>
    <row r="692" spans="1:11" ht="18" customHeight="1" thickBot="1" x14ac:dyDescent="0.25">
      <c r="A692" s="190" t="s">
        <v>984</v>
      </c>
      <c r="B692" s="1234" t="str">
        <f>IF('Phase Codes'!H38="","",'Phase Codes'!H38)</f>
        <v/>
      </c>
      <c r="C692" s="1234"/>
      <c r="D692" s="404">
        <f t="shared" si="95"/>
        <v>0</v>
      </c>
      <c r="E692" s="405">
        <f t="shared" si="96"/>
        <v>0</v>
      </c>
      <c r="F692" s="405">
        <f>SUMIFS(SM_MaterialColumn,PC_SM_Material,$A692)+SUMIF('MCAA RECAP'!$A$36:$A$44,A692,'MCAA RECAP'!$J$36:$J$44)+SUMIF('MCAA RECAP'!$A$114:$A$129,A692,'MCAA RECAP'!$J$114:$J$129)</f>
        <v>0</v>
      </c>
      <c r="G692" t="s">
        <v>1324</v>
      </c>
      <c r="H692" s="121">
        <f t="shared" si="93"/>
        <v>4</v>
      </c>
      <c r="K692" s="810">
        <f t="shared" si="94"/>
        <v>0</v>
      </c>
    </row>
    <row r="693" spans="1:11" ht="18" customHeight="1" thickBot="1" x14ac:dyDescent="0.25">
      <c r="A693" s="190" t="s">
        <v>985</v>
      </c>
      <c r="B693" s="1234" t="str">
        <f>IF('Phase Codes'!H39="","",'Phase Codes'!H39)</f>
        <v/>
      </c>
      <c r="C693" s="1234"/>
      <c r="D693" s="404">
        <f t="shared" si="95"/>
        <v>0</v>
      </c>
      <c r="E693" s="405">
        <f t="shared" si="96"/>
        <v>0</v>
      </c>
      <c r="F693" s="405">
        <f>SUMIFS(SM_MaterialColumn,PC_SM_Material,$A693)+SUMIF('MCAA RECAP'!$A$36:$A$44,A693,'MCAA RECAP'!$J$36:$J$44)+SUMIF('MCAA RECAP'!$A$114:$A$129,A693,'MCAA RECAP'!$J$114:$J$129)</f>
        <v>0</v>
      </c>
      <c r="G693" t="s">
        <v>1324</v>
      </c>
      <c r="H693" s="121">
        <f t="shared" si="93"/>
        <v>4</v>
      </c>
      <c r="K693" s="810">
        <f t="shared" si="94"/>
        <v>0</v>
      </c>
    </row>
    <row r="694" spans="1:11" ht="18" customHeight="1" thickBot="1" x14ac:dyDescent="0.25">
      <c r="A694" s="190" t="s">
        <v>986</v>
      </c>
      <c r="B694" s="1234" t="str">
        <f>IF('Phase Codes'!H40="","",'Phase Codes'!H40)</f>
        <v/>
      </c>
      <c r="C694" s="1234"/>
      <c r="D694" s="404">
        <f t="shared" si="95"/>
        <v>0</v>
      </c>
      <c r="E694" s="405">
        <f t="shared" si="96"/>
        <v>0</v>
      </c>
      <c r="F694" s="405">
        <f>SUMIFS(SM_MaterialColumn,PC_SM_Material,$A694)+SUMIF('MCAA RECAP'!$A$36:$A$44,A694,'MCAA RECAP'!$J$36:$J$44)+SUMIF('MCAA RECAP'!$A$114:$A$129,A694,'MCAA RECAP'!$J$114:$J$129)</f>
        <v>0</v>
      </c>
      <c r="G694" t="s">
        <v>1324</v>
      </c>
      <c r="H694" s="121">
        <f t="shared" si="93"/>
        <v>4</v>
      </c>
      <c r="K694" s="810">
        <f t="shared" si="94"/>
        <v>0</v>
      </c>
    </row>
    <row r="695" spans="1:11" ht="18" customHeight="1" thickBot="1" x14ac:dyDescent="0.25">
      <c r="A695" s="190" t="s">
        <v>987</v>
      </c>
      <c r="B695" s="1234" t="str">
        <f>IF('Phase Codes'!H41="","",'Phase Codes'!H41)</f>
        <v>Service</v>
      </c>
      <c r="C695" s="1234"/>
      <c r="D695" s="404">
        <f t="shared" si="95"/>
        <v>0</v>
      </c>
      <c r="E695" s="405">
        <f t="shared" si="96"/>
        <v>0</v>
      </c>
      <c r="F695" s="405">
        <f>SUMIFS(SM_MaterialColumn,PC_SM_Material,$A695)+SUMIF('MCAA RECAP'!$A$36:$A$44,A695,'MCAA RECAP'!$J$36:$J$44)+SUMIF('MCAA RECAP'!$A$114:$A$129,A695,'MCAA RECAP'!$J$114:$J$129)</f>
        <v>0</v>
      </c>
      <c r="G695" t="s">
        <v>1324</v>
      </c>
      <c r="H695" s="121">
        <f t="shared" si="93"/>
        <v>4</v>
      </c>
      <c r="K695" s="810">
        <f t="shared" si="94"/>
        <v>0</v>
      </c>
    </row>
    <row r="696" spans="1:11" ht="18" customHeight="1" thickBot="1" x14ac:dyDescent="0.25">
      <c r="A696" s="190" t="s">
        <v>988</v>
      </c>
      <c r="B696" s="1234" t="str">
        <f>IF('Phase Codes'!H42="","",'Phase Codes'!H42)</f>
        <v/>
      </c>
      <c r="C696" s="1234"/>
      <c r="D696" s="404">
        <f t="shared" si="95"/>
        <v>0</v>
      </c>
      <c r="E696" s="405">
        <f t="shared" si="96"/>
        <v>0</v>
      </c>
      <c r="F696" s="405">
        <f>SUMIFS(SM_MaterialColumn,PC_SM_Material,$A696)+SUMIF('MCAA RECAP'!$A$36:$A$44,A696,'MCAA RECAP'!$J$36:$J$44)+SUMIF('MCAA RECAP'!$A$114:$A$129,A696,'MCAA RECAP'!$J$114:$J$129)</f>
        <v>0</v>
      </c>
      <c r="G696" t="s">
        <v>1324</v>
      </c>
      <c r="H696" s="121">
        <f t="shared" si="93"/>
        <v>4</v>
      </c>
      <c r="K696" s="810">
        <f t="shared" si="94"/>
        <v>0</v>
      </c>
    </row>
    <row r="697" spans="1:11" ht="18" customHeight="1" thickBot="1" x14ac:dyDescent="0.25">
      <c r="A697" s="190" t="s">
        <v>989</v>
      </c>
      <c r="B697" s="1234" t="str">
        <f>IF('Phase Codes'!H43="","",'Phase Codes'!H43)</f>
        <v/>
      </c>
      <c r="C697" s="1234"/>
      <c r="D697" s="404">
        <f t="shared" si="95"/>
        <v>0</v>
      </c>
      <c r="E697" s="405">
        <f t="shared" si="96"/>
        <v>0</v>
      </c>
      <c r="F697" s="405">
        <f>SUMIFS(SM_MaterialColumn,PC_SM_Material,$A697)+SUMIF('MCAA RECAP'!$A$36:$A$44,A697,'MCAA RECAP'!$J$36:$J$44)+SUMIF('MCAA RECAP'!$A$114:$A$129,A697,'MCAA RECAP'!$J$114:$J$129)</f>
        <v>0</v>
      </c>
      <c r="G697" t="s">
        <v>1324</v>
      </c>
      <c r="H697" s="121">
        <f t="shared" si="93"/>
        <v>4</v>
      </c>
      <c r="K697" s="810">
        <f t="shared" si="94"/>
        <v>0</v>
      </c>
    </row>
    <row r="698" spans="1:11" ht="18" customHeight="1" thickBot="1" x14ac:dyDescent="0.25">
      <c r="A698" s="190" t="s">
        <v>990</v>
      </c>
      <c r="B698" s="1234" t="str">
        <f>IF('Phase Codes'!H44="","",'Phase Codes'!H44)</f>
        <v/>
      </c>
      <c r="C698" s="1234"/>
      <c r="D698" s="404">
        <f t="shared" si="95"/>
        <v>0</v>
      </c>
      <c r="E698" s="405">
        <f t="shared" si="96"/>
        <v>0</v>
      </c>
      <c r="F698" s="405">
        <f>SUMIFS(SM_MaterialColumn,PC_SM_Material,$A698)+SUMIF('MCAA RECAP'!$A$36:$A$44,A698,'MCAA RECAP'!$J$36:$J$44)+SUMIF('MCAA RECAP'!$A$114:$A$129,A698,'MCAA RECAP'!$J$114:$J$129)</f>
        <v>0</v>
      </c>
      <c r="G698" t="s">
        <v>1324</v>
      </c>
      <c r="H698" s="121">
        <f t="shared" si="93"/>
        <v>4</v>
      </c>
      <c r="K698" s="810">
        <f t="shared" si="94"/>
        <v>0</v>
      </c>
    </row>
    <row r="699" spans="1:11" ht="18" customHeight="1" thickBot="1" x14ac:dyDescent="0.25">
      <c r="A699" s="190" t="s">
        <v>991</v>
      </c>
      <c r="B699" s="1234" t="str">
        <f>IF('Phase Codes'!H45="","",'Phase Codes'!H45)</f>
        <v/>
      </c>
      <c r="C699" s="1234"/>
      <c r="D699" s="404">
        <f t="shared" si="95"/>
        <v>0</v>
      </c>
      <c r="E699" s="405">
        <f t="shared" si="96"/>
        <v>0</v>
      </c>
      <c r="F699" s="405">
        <f>SUMIFS(SM_MaterialColumn,PC_SM_Material,$A699)+SUMIF('MCAA RECAP'!$A$36:$A$44,A699,'MCAA RECAP'!$J$36:$J$44)+SUMIF('MCAA RECAP'!$A$114:$A$129,A699,'MCAA RECAP'!$J$114:$J$129)</f>
        <v>0</v>
      </c>
      <c r="G699" t="s">
        <v>1324</v>
      </c>
      <c r="H699" s="121">
        <f t="shared" si="93"/>
        <v>4</v>
      </c>
      <c r="K699" s="810">
        <f t="shared" si="94"/>
        <v>0</v>
      </c>
    </row>
    <row r="700" spans="1:11" ht="18" customHeight="1" thickBot="1" x14ac:dyDescent="0.25">
      <c r="A700" s="190" t="s">
        <v>992</v>
      </c>
      <c r="B700" s="1234" t="str">
        <f>IF('Phase Codes'!H46="","",'Phase Codes'!H46)</f>
        <v/>
      </c>
      <c r="C700" s="1234"/>
      <c r="D700" s="404">
        <f t="shared" si="95"/>
        <v>0</v>
      </c>
      <c r="E700" s="405">
        <f t="shared" si="96"/>
        <v>0</v>
      </c>
      <c r="F700" s="405">
        <f>SUMIFS(SM_MaterialColumn,PC_SM_Material,$A700)+SUMIF('MCAA RECAP'!$A$36:$A$44,A700,'MCAA RECAP'!$J$36:$J$44)+SUMIF('MCAA RECAP'!$A$114:$A$129,A700,'MCAA RECAP'!$J$114:$J$129)</f>
        <v>0</v>
      </c>
      <c r="G700" t="s">
        <v>1324</v>
      </c>
      <c r="H700" s="121">
        <f t="shared" si="93"/>
        <v>4</v>
      </c>
      <c r="K700" s="810">
        <f t="shared" si="94"/>
        <v>0</v>
      </c>
    </row>
    <row r="701" spans="1:11" ht="18" customHeight="1" thickBot="1" x14ac:dyDescent="0.25">
      <c r="A701" s="190" t="s">
        <v>993</v>
      </c>
      <c r="B701" s="1234" t="str">
        <f>IF('Phase Codes'!H47="","",'Phase Codes'!H47)</f>
        <v/>
      </c>
      <c r="C701" s="1234"/>
      <c r="D701" s="404">
        <f t="shared" si="95"/>
        <v>0</v>
      </c>
      <c r="E701" s="405">
        <f t="shared" si="96"/>
        <v>0</v>
      </c>
      <c r="F701" s="405">
        <f>SUMIFS(SM_MaterialColumn,PC_SM_Material,$A701)+SUMIF('MCAA RECAP'!$A$36:$A$44,A701,'MCAA RECAP'!$J$36:$J$44)+SUMIF('MCAA RECAP'!$A$114:$A$129,A701,'MCAA RECAP'!$J$114:$J$129)</f>
        <v>0</v>
      </c>
      <c r="G701" t="s">
        <v>1324</v>
      </c>
      <c r="H701" s="121">
        <f t="shared" si="93"/>
        <v>4</v>
      </c>
      <c r="K701" s="810">
        <f t="shared" si="94"/>
        <v>0</v>
      </c>
    </row>
    <row r="702" spans="1:11" ht="18" customHeight="1" thickBot="1" x14ac:dyDescent="0.25">
      <c r="A702" s="190" t="s">
        <v>994</v>
      </c>
      <c r="B702" s="1234" t="str">
        <f>IF('Phase Codes'!H48="","",'Phase Codes'!H48)</f>
        <v/>
      </c>
      <c r="C702" s="1234"/>
      <c r="D702" s="404">
        <f t="shared" si="95"/>
        <v>0</v>
      </c>
      <c r="E702" s="405">
        <f t="shared" si="96"/>
        <v>0</v>
      </c>
      <c r="F702" s="405">
        <f>SUMIFS(SM_MaterialColumn,PC_SM_Material,$A702)+SUMIF('MCAA RECAP'!$A$36:$A$44,A702,'MCAA RECAP'!$J$36:$J$44)+SUMIF('MCAA RECAP'!$A$114:$A$129,A702,'MCAA RECAP'!$J$114:$J$129)</f>
        <v>0</v>
      </c>
      <c r="G702" t="s">
        <v>1324</v>
      </c>
      <c r="H702" s="121">
        <f t="shared" si="93"/>
        <v>4</v>
      </c>
      <c r="K702" s="810">
        <f t="shared" si="94"/>
        <v>0</v>
      </c>
    </row>
    <row r="703" spans="1:11" ht="18" customHeight="1" thickBot="1" x14ac:dyDescent="0.25">
      <c r="A703" s="190" t="s">
        <v>995</v>
      </c>
      <c r="B703" s="1234" t="str">
        <f>IF('Phase Codes'!H49="","",'Phase Codes'!H49)</f>
        <v/>
      </c>
      <c r="C703" s="1234"/>
      <c r="D703" s="404">
        <f t="shared" si="95"/>
        <v>0</v>
      </c>
      <c r="E703" s="405">
        <f t="shared" si="96"/>
        <v>0</v>
      </c>
      <c r="F703" s="405">
        <f>SUMIFS(SM_MaterialColumn,PC_SM_Material,$A703)+SUMIF('MCAA RECAP'!$A$36:$A$44,A703,'MCAA RECAP'!$J$36:$J$44)+SUMIF('MCAA RECAP'!$A$114:$A$129,A703,'MCAA RECAP'!$J$114:$J$129)</f>
        <v>0</v>
      </c>
      <c r="G703" t="s">
        <v>1324</v>
      </c>
      <c r="H703" s="121">
        <f t="shared" si="93"/>
        <v>4</v>
      </c>
      <c r="K703" s="810">
        <f t="shared" si="94"/>
        <v>0</v>
      </c>
    </row>
    <row r="704" spans="1:11" ht="18" customHeight="1" thickBot="1" x14ac:dyDescent="0.25">
      <c r="A704" s="190" t="s">
        <v>996</v>
      </c>
      <c r="B704" s="1234" t="str">
        <f>IF('Phase Codes'!H50="","",'Phase Codes'!H50)</f>
        <v/>
      </c>
      <c r="C704" s="1234"/>
      <c r="D704" s="404">
        <f t="shared" si="95"/>
        <v>0</v>
      </c>
      <c r="E704" s="405">
        <f t="shared" si="96"/>
        <v>0</v>
      </c>
      <c r="F704" s="405">
        <f>SUMIFS(SM_MaterialColumn,PC_SM_Material,$A704)+SUMIF('MCAA RECAP'!$A$36:$A$44,A704,'MCAA RECAP'!$J$36:$J$44)+SUMIF('MCAA RECAP'!$A$114:$A$129,A704,'MCAA RECAP'!$J$114:$J$129)</f>
        <v>0</v>
      </c>
      <c r="G704" t="s">
        <v>1324</v>
      </c>
      <c r="H704" s="121">
        <f t="shared" si="93"/>
        <v>4</v>
      </c>
      <c r="K704" s="810">
        <f t="shared" si="94"/>
        <v>0</v>
      </c>
    </row>
    <row r="705" spans="1:11" ht="18" customHeight="1" thickBot="1" x14ac:dyDescent="0.25">
      <c r="A705" s="190" t="s">
        <v>997</v>
      </c>
      <c r="B705" s="1234" t="str">
        <f>IF('Phase Codes'!H51="","",'Phase Codes'!H51)</f>
        <v/>
      </c>
      <c r="C705" s="1234"/>
      <c r="D705" s="404">
        <f t="shared" si="95"/>
        <v>0</v>
      </c>
      <c r="E705" s="405">
        <f t="shared" si="96"/>
        <v>0</v>
      </c>
      <c r="F705" s="405">
        <f>SUMIFS(SM_MaterialColumn,PC_SM_Material,$A705)+SUMIF('MCAA RECAP'!$A$36:$A$44,A705,'MCAA RECAP'!$J$36:$J$44)+SUMIF('MCAA RECAP'!$A$114:$A$129,A705,'MCAA RECAP'!$J$114:$J$129)</f>
        <v>0</v>
      </c>
      <c r="G705" t="s">
        <v>1324</v>
      </c>
      <c r="H705" s="121">
        <f t="shared" si="93"/>
        <v>4</v>
      </c>
      <c r="K705" s="810">
        <f t="shared" si="94"/>
        <v>0</v>
      </c>
    </row>
    <row r="706" spans="1:11" ht="18" customHeight="1" thickBot="1" x14ac:dyDescent="0.25">
      <c r="A706" s="190" t="s">
        <v>998</v>
      </c>
      <c r="B706" s="1234" t="str">
        <f>IF('Phase Codes'!H52="","",'Phase Codes'!H52)</f>
        <v/>
      </c>
      <c r="C706" s="1234"/>
      <c r="D706" s="404">
        <f t="shared" si="95"/>
        <v>0</v>
      </c>
      <c r="E706" s="405">
        <f t="shared" si="96"/>
        <v>0</v>
      </c>
      <c r="F706" s="405">
        <f>SUMIFS(SM_MaterialColumn,PC_SM_Material,$A706)+SUMIF('MCAA RECAP'!$A$36:$A$44,A706,'MCAA RECAP'!$J$36:$J$44)+SUMIF('MCAA RECAP'!$A$114:$A$129,A706,'MCAA RECAP'!$J$114:$J$129)</f>
        <v>0</v>
      </c>
      <c r="G706" t="s">
        <v>1324</v>
      </c>
      <c r="H706" s="121">
        <f t="shared" si="93"/>
        <v>4</v>
      </c>
      <c r="K706" s="810">
        <f t="shared" si="94"/>
        <v>0</v>
      </c>
    </row>
    <row r="707" spans="1:11" ht="18" customHeight="1" thickBot="1" x14ac:dyDescent="0.25">
      <c r="A707" s="190" t="s">
        <v>999</v>
      </c>
      <c r="B707" s="1234" t="str">
        <f>IF('Phase Codes'!H53="","",'Phase Codes'!H53)</f>
        <v/>
      </c>
      <c r="C707" s="1234"/>
      <c r="D707" s="404">
        <f t="shared" si="95"/>
        <v>0</v>
      </c>
      <c r="E707" s="405">
        <f t="shared" si="96"/>
        <v>0</v>
      </c>
      <c r="F707" s="405">
        <f>SUMIFS(SM_MaterialColumn,PC_SM_Material,$A707)+SUMIF('MCAA RECAP'!$A$36:$A$44,A707,'MCAA RECAP'!$J$36:$J$44)+SUMIF('MCAA RECAP'!$A$114:$A$129,A707,'MCAA RECAP'!$J$114:$J$129)</f>
        <v>0</v>
      </c>
      <c r="G707" t="s">
        <v>1324</v>
      </c>
      <c r="H707" s="121">
        <f t="shared" si="93"/>
        <v>4</v>
      </c>
      <c r="K707" s="810">
        <f t="shared" si="94"/>
        <v>0</v>
      </c>
    </row>
    <row r="708" spans="1:11" ht="18" customHeight="1" thickBot="1" x14ac:dyDescent="0.25">
      <c r="A708" s="190" t="s">
        <v>1000</v>
      </c>
      <c r="B708" s="1234" t="str">
        <f>IF('Phase Codes'!H54="","",'Phase Codes'!H54)</f>
        <v/>
      </c>
      <c r="C708" s="1234"/>
      <c r="D708" s="404">
        <f t="shared" si="95"/>
        <v>0</v>
      </c>
      <c r="E708" s="405">
        <f t="shared" si="96"/>
        <v>0</v>
      </c>
      <c r="F708" s="405">
        <f>SUMIFS(SM_MaterialColumn,PC_SM_Material,$A708)+SUMIF('MCAA RECAP'!$A$36:$A$44,A708,'MCAA RECAP'!$J$36:$J$44)+SUMIF('MCAA RECAP'!$A$114:$A$129,A708,'MCAA RECAP'!$J$114:$J$129)</f>
        <v>0</v>
      </c>
      <c r="G708" t="s">
        <v>1324</v>
      </c>
      <c r="H708" s="121">
        <f t="shared" si="93"/>
        <v>4</v>
      </c>
      <c r="K708" s="810">
        <f t="shared" si="94"/>
        <v>0</v>
      </c>
    </row>
    <row r="709" spans="1:11" ht="18" customHeight="1" thickBot="1" x14ac:dyDescent="0.25">
      <c r="A709" s="190" t="s">
        <v>1001</v>
      </c>
      <c r="B709" s="1234" t="str">
        <f>IF('Phase Codes'!H55="","",'Phase Codes'!H55)</f>
        <v/>
      </c>
      <c r="C709" s="1234"/>
      <c r="D709" s="404">
        <f t="shared" si="95"/>
        <v>0</v>
      </c>
      <c r="E709" s="405">
        <f t="shared" si="96"/>
        <v>0</v>
      </c>
      <c r="F709" s="405">
        <f>SUMIFS(SM_MaterialColumn,PC_SM_Material,$A709)+SUMIF('MCAA RECAP'!$A$36:$A$44,A709,'MCAA RECAP'!$J$36:$J$44)+SUMIF('MCAA RECAP'!$A$114:$A$129,A709,'MCAA RECAP'!$J$114:$J$129)</f>
        <v>0</v>
      </c>
      <c r="G709" t="s">
        <v>1324</v>
      </c>
      <c r="H709" s="121">
        <f t="shared" si="93"/>
        <v>4</v>
      </c>
      <c r="K709" s="810">
        <f t="shared" si="94"/>
        <v>0</v>
      </c>
    </row>
    <row r="710" spans="1:11" ht="18" customHeight="1" thickBot="1" x14ac:dyDescent="0.25">
      <c r="A710" s="190" t="s">
        <v>1002</v>
      </c>
      <c r="B710" s="1234" t="str">
        <f>IF('Phase Codes'!H56="","",'Phase Codes'!H56)</f>
        <v/>
      </c>
      <c r="C710" s="1234"/>
      <c r="D710" s="404">
        <f t="shared" si="95"/>
        <v>0</v>
      </c>
      <c r="E710" s="405">
        <f t="shared" si="96"/>
        <v>0</v>
      </c>
      <c r="F710" s="405">
        <f>SUMIFS(SM_MaterialColumn,PC_SM_Material,$A710)+SUMIF('MCAA RECAP'!$A$36:$A$44,A710,'MCAA RECAP'!$J$36:$J$44)+SUMIF('MCAA RECAP'!$A$114:$A$129,A710,'MCAA RECAP'!$J$114:$J$129)</f>
        <v>0</v>
      </c>
      <c r="G710" t="s">
        <v>1324</v>
      </c>
      <c r="H710" s="121">
        <f t="shared" si="93"/>
        <v>4</v>
      </c>
      <c r="K710" s="810">
        <f t="shared" si="94"/>
        <v>0</v>
      </c>
    </row>
    <row r="711" spans="1:11" ht="18" customHeight="1" thickBot="1" x14ac:dyDescent="0.25">
      <c r="A711" s="190" t="s">
        <v>1003</v>
      </c>
      <c r="B711" s="1234" t="str">
        <f>IF('Phase Codes'!H57="","",'Phase Codes'!H57)</f>
        <v/>
      </c>
      <c r="C711" s="1234"/>
      <c r="D711" s="404">
        <f t="shared" si="95"/>
        <v>0</v>
      </c>
      <c r="E711" s="405">
        <f t="shared" si="96"/>
        <v>0</v>
      </c>
      <c r="F711" s="405">
        <f>SUMIFS(SM_MaterialColumn,PC_SM_Material,$A711)+SUMIF('MCAA RECAP'!$A$36:$A$44,A711,'MCAA RECAP'!$J$36:$J$44)+SUMIF('MCAA RECAP'!$A$114:$A$129,A711,'MCAA RECAP'!$J$114:$J$129)</f>
        <v>0</v>
      </c>
      <c r="G711" t="s">
        <v>1324</v>
      </c>
      <c r="H711" s="121">
        <f t="shared" si="93"/>
        <v>4</v>
      </c>
      <c r="K711" s="810">
        <f t="shared" si="94"/>
        <v>0</v>
      </c>
    </row>
    <row r="712" spans="1:11" ht="18" customHeight="1" thickBot="1" x14ac:dyDescent="0.25">
      <c r="A712" s="190" t="s">
        <v>1004</v>
      </c>
      <c r="B712" s="1234" t="str">
        <f>IF('Phase Codes'!H58="","",'Phase Codes'!H58)</f>
        <v/>
      </c>
      <c r="C712" s="1234"/>
      <c r="D712" s="404">
        <f t="shared" si="95"/>
        <v>0</v>
      </c>
      <c r="E712" s="405">
        <f t="shared" si="96"/>
        <v>0</v>
      </c>
      <c r="F712" s="405">
        <f>SUMIFS(SM_MaterialColumn,PC_SM_Material,$A712)+SUMIF('MCAA RECAP'!$A$36:$A$44,A712,'MCAA RECAP'!$J$36:$J$44)+SUMIF('MCAA RECAP'!$A$114:$A$129,A712,'MCAA RECAP'!$J$114:$J$129)</f>
        <v>0</v>
      </c>
      <c r="G712" t="s">
        <v>1324</v>
      </c>
      <c r="H712" s="121">
        <f t="shared" si="93"/>
        <v>4</v>
      </c>
      <c r="K712" s="810">
        <f t="shared" si="94"/>
        <v>0</v>
      </c>
    </row>
    <row r="713" spans="1:11" ht="18" customHeight="1" thickBot="1" x14ac:dyDescent="0.25">
      <c r="A713" s="190" t="s">
        <v>1005</v>
      </c>
      <c r="B713" s="1234" t="str">
        <f>IF('Phase Codes'!H59="","",'Phase Codes'!H59)</f>
        <v/>
      </c>
      <c r="C713" s="1234"/>
      <c r="D713" s="404">
        <f t="shared" si="95"/>
        <v>0</v>
      </c>
      <c r="E713" s="405">
        <f t="shared" si="96"/>
        <v>0</v>
      </c>
      <c r="F713" s="405">
        <f>SUMIFS(SM_MaterialColumn,PC_SM_Material,$A713)+SUMIF('MCAA RECAP'!$A$36:$A$44,A713,'MCAA RECAP'!$J$36:$J$44)+SUMIF('MCAA RECAP'!$A$114:$A$129,A713,'MCAA RECAP'!$J$114:$J$129)</f>
        <v>0</v>
      </c>
      <c r="G713" t="s">
        <v>1324</v>
      </c>
      <c r="H713" s="121">
        <f t="shared" si="93"/>
        <v>4</v>
      </c>
      <c r="K713" s="810">
        <f t="shared" si="94"/>
        <v>0</v>
      </c>
    </row>
    <row r="714" spans="1:11" ht="18" customHeight="1" thickBot="1" x14ac:dyDescent="0.25">
      <c r="A714" s="190" t="s">
        <v>1006</v>
      </c>
      <c r="B714" s="1234" t="str">
        <f>IF('Phase Codes'!H60="","",'Phase Codes'!H60)</f>
        <v/>
      </c>
      <c r="C714" s="1234"/>
      <c r="D714" s="404">
        <f t="shared" si="95"/>
        <v>0</v>
      </c>
      <c r="E714" s="405">
        <f t="shared" si="96"/>
        <v>0</v>
      </c>
      <c r="F714" s="405">
        <f>SUMIFS(SM_MaterialColumn,PC_SM_Material,$A714)+SUMIF('MCAA RECAP'!$A$36:$A$44,A714,'MCAA RECAP'!$J$36:$J$44)+SUMIF('MCAA RECAP'!$A$114:$A$129,A714,'MCAA RECAP'!$J$114:$J$129)</f>
        <v>0</v>
      </c>
      <c r="G714" t="s">
        <v>1324</v>
      </c>
      <c r="H714" s="121">
        <f t="shared" si="93"/>
        <v>4</v>
      </c>
      <c r="K714" s="810">
        <f t="shared" si="94"/>
        <v>0</v>
      </c>
    </row>
    <row r="715" spans="1:11" ht="18" customHeight="1" thickBot="1" x14ac:dyDescent="0.25">
      <c r="A715" s="190" t="s">
        <v>1007</v>
      </c>
      <c r="B715" s="1234" t="str">
        <f>IF('Phase Codes'!H61="","",'Phase Codes'!H61)</f>
        <v/>
      </c>
      <c r="C715" s="1234"/>
      <c r="D715" s="404">
        <f t="shared" si="95"/>
        <v>0</v>
      </c>
      <c r="E715" s="405">
        <f t="shared" si="96"/>
        <v>0</v>
      </c>
      <c r="F715" s="405">
        <f>SUMIFS(SM_MaterialColumn,PC_SM_Material,$A715)+SUMIF('MCAA RECAP'!$A$36:$A$44,A715,'MCAA RECAP'!$J$36:$J$44)+SUMIF('MCAA RECAP'!$A$114:$A$129,A715,'MCAA RECAP'!$J$114:$J$129)</f>
        <v>0</v>
      </c>
      <c r="G715" t="s">
        <v>1324</v>
      </c>
      <c r="H715" s="121">
        <f t="shared" si="93"/>
        <v>4</v>
      </c>
      <c r="K715" s="810">
        <f t="shared" si="94"/>
        <v>0</v>
      </c>
    </row>
    <row r="716" spans="1:11" ht="18" customHeight="1" thickBot="1" x14ac:dyDescent="0.25">
      <c r="A716" s="190" t="s">
        <v>1008</v>
      </c>
      <c r="B716" s="1234" t="str">
        <f>IF('Phase Codes'!H62="","",'Phase Codes'!H62)</f>
        <v/>
      </c>
      <c r="C716" s="1234"/>
      <c r="D716" s="404">
        <f t="shared" si="95"/>
        <v>0</v>
      </c>
      <c r="E716" s="405">
        <f t="shared" si="96"/>
        <v>0</v>
      </c>
      <c r="F716" s="405">
        <f>SUMIFS(SM_MaterialColumn,PC_SM_Material,$A716)+SUMIF('MCAA RECAP'!$A$36:$A$44,A716,'MCAA RECAP'!$J$36:$J$44)+SUMIF('MCAA RECAP'!$A$114:$A$129,A716,'MCAA RECAP'!$J$114:$J$129)</f>
        <v>0</v>
      </c>
      <c r="G716" t="s">
        <v>1324</v>
      </c>
      <c r="H716" s="121">
        <f t="shared" si="93"/>
        <v>4</v>
      </c>
      <c r="K716" s="810">
        <f t="shared" si="94"/>
        <v>0</v>
      </c>
    </row>
    <row r="717" spans="1:11" ht="18" customHeight="1" thickBot="1" x14ac:dyDescent="0.25">
      <c r="A717" s="190" t="s">
        <v>1009</v>
      </c>
      <c r="B717" s="1234" t="str">
        <f>IF('Phase Codes'!H63="","",'Phase Codes'!H63)</f>
        <v/>
      </c>
      <c r="C717" s="1234"/>
      <c r="D717" s="404">
        <f t="shared" si="95"/>
        <v>0</v>
      </c>
      <c r="E717" s="405">
        <f t="shared" si="96"/>
        <v>0</v>
      </c>
      <c r="F717" s="405">
        <f>SUMIFS(SM_MaterialColumn,PC_SM_Material,$A717)+SUMIF('MCAA RECAP'!$A$36:$A$44,A717,'MCAA RECAP'!$J$36:$J$44)+SUMIF('MCAA RECAP'!$A$114:$A$129,A717,'MCAA RECAP'!$J$114:$J$129)</f>
        <v>0</v>
      </c>
      <c r="G717" t="s">
        <v>1324</v>
      </c>
      <c r="H717" s="121">
        <f t="shared" si="93"/>
        <v>4</v>
      </c>
      <c r="K717" s="810">
        <f t="shared" si="94"/>
        <v>0</v>
      </c>
    </row>
    <row r="718" spans="1:11" ht="18" customHeight="1" thickBot="1" x14ac:dyDescent="0.25">
      <c r="A718" s="190" t="s">
        <v>1010</v>
      </c>
      <c r="B718" s="1234" t="str">
        <f>IF('Phase Codes'!H64="","",'Phase Codes'!H64)</f>
        <v/>
      </c>
      <c r="C718" s="1234"/>
      <c r="D718" s="404">
        <f t="shared" si="95"/>
        <v>0</v>
      </c>
      <c r="E718" s="405">
        <f t="shared" si="96"/>
        <v>0</v>
      </c>
      <c r="F718" s="405">
        <f>SUMIFS(SM_MaterialColumn,PC_SM_Material,$A718)+SUMIF('MCAA RECAP'!$A$36:$A$44,A718,'MCAA RECAP'!$J$36:$J$44)+SUMIF('MCAA RECAP'!$A$114:$A$129,A718,'MCAA RECAP'!$J$114:$J$129)</f>
        <v>0</v>
      </c>
      <c r="G718" t="s">
        <v>1324</v>
      </c>
      <c r="H718" s="121">
        <f t="shared" si="93"/>
        <v>4</v>
      </c>
      <c r="K718" s="810">
        <f t="shared" si="94"/>
        <v>0</v>
      </c>
    </row>
    <row r="719" spans="1:11" ht="18" customHeight="1" thickBot="1" x14ac:dyDescent="0.25">
      <c r="A719" s="190" t="s">
        <v>1011</v>
      </c>
      <c r="B719" s="1234" t="str">
        <f>IF('Phase Codes'!H65="","",'Phase Codes'!H65)</f>
        <v/>
      </c>
      <c r="C719" s="1234"/>
      <c r="D719" s="404">
        <f t="shared" si="95"/>
        <v>0</v>
      </c>
      <c r="E719" s="405">
        <f t="shared" si="96"/>
        <v>0</v>
      </c>
      <c r="F719" s="405">
        <f>SUMIFS(SM_MaterialColumn,PC_SM_Material,$A719)+SUMIF('MCAA RECAP'!$A$36:$A$44,A719,'MCAA RECAP'!$J$36:$J$44)+SUMIF('MCAA RECAP'!$A$114:$A$129,A719,'MCAA RECAP'!$J$114:$J$129)</f>
        <v>0</v>
      </c>
      <c r="G719" t="s">
        <v>1324</v>
      </c>
      <c r="H719" s="121">
        <f t="shared" si="93"/>
        <v>4</v>
      </c>
      <c r="K719" s="810">
        <f t="shared" si="94"/>
        <v>0</v>
      </c>
    </row>
    <row r="720" spans="1:11" ht="18" customHeight="1" thickBot="1" x14ac:dyDescent="0.25">
      <c r="A720" s="190" t="s">
        <v>1012</v>
      </c>
      <c r="B720" s="1234" t="str">
        <f>IF('Phase Codes'!H66="","",'Phase Codes'!H66)</f>
        <v/>
      </c>
      <c r="C720" s="1234"/>
      <c r="D720" s="404">
        <f t="shared" si="95"/>
        <v>0</v>
      </c>
      <c r="E720" s="405">
        <f t="shared" si="96"/>
        <v>0</v>
      </c>
      <c r="F720" s="405">
        <f>SUMIFS(SM_MaterialColumn,PC_SM_Material,$A720)+SUMIF('MCAA RECAP'!$A$36:$A$44,A720,'MCAA RECAP'!$J$36:$J$44)+SUMIF('MCAA RECAP'!$A$114:$A$129,A720,'MCAA RECAP'!$J$114:$J$129)</f>
        <v>0</v>
      </c>
      <c r="G720" t="s">
        <v>1324</v>
      </c>
      <c r="H720" s="121">
        <f t="shared" si="93"/>
        <v>4</v>
      </c>
      <c r="K720" s="810">
        <f t="shared" si="94"/>
        <v>0</v>
      </c>
    </row>
    <row r="721" spans="1:11" ht="18" customHeight="1" thickBot="1" x14ac:dyDescent="0.25">
      <c r="A721" s="190" t="s">
        <v>1013</v>
      </c>
      <c r="B721" s="1234" t="str">
        <f>IF('Phase Codes'!H67="","",'Phase Codes'!H67)</f>
        <v/>
      </c>
      <c r="C721" s="1234"/>
      <c r="D721" s="404">
        <f t="shared" si="95"/>
        <v>0</v>
      </c>
      <c r="E721" s="405">
        <f t="shared" si="96"/>
        <v>0</v>
      </c>
      <c r="F721" s="405">
        <f>SUMIFS(SM_MaterialColumn,PC_SM_Material,$A721)+SUMIF('MCAA RECAP'!$A$36:$A$44,A721,'MCAA RECAP'!$J$36:$J$44)+SUMIF('MCAA RECAP'!$A$114:$A$129,A721,'MCAA RECAP'!$J$114:$J$129)</f>
        <v>0</v>
      </c>
      <c r="G721" t="s">
        <v>1324</v>
      </c>
      <c r="H721" s="121">
        <f t="shared" si="93"/>
        <v>4</v>
      </c>
      <c r="K721" s="810">
        <f t="shared" si="94"/>
        <v>0</v>
      </c>
    </row>
    <row r="722" spans="1:11" ht="18" customHeight="1" thickBot="1" x14ac:dyDescent="0.25">
      <c r="A722" s="190" t="s">
        <v>1014</v>
      </c>
      <c r="B722" s="1234" t="str">
        <f>IF('Phase Codes'!H68="","",'Phase Codes'!H68)</f>
        <v/>
      </c>
      <c r="C722" s="1234"/>
      <c r="D722" s="404">
        <f t="shared" ref="D722:D756" si="97">SUMIFS(SM_FieldLaborColumn,PC_SM_Field,$A722)</f>
        <v>0</v>
      </c>
      <c r="E722" s="405">
        <f t="shared" ref="E722:E756" si="98">SUMIFS(Takeoff_Total_Field_Labor_Cost,PC_SM_Field,$A722)</f>
        <v>0</v>
      </c>
      <c r="F722" s="405">
        <f>SUMIFS(SM_MaterialColumn,PC_SM_Material,$A722)+SUMIF('MCAA RECAP'!$A$36:$A$44,A722,'MCAA RECAP'!$J$36:$J$44)+SUMIF('MCAA RECAP'!$A$114:$A$129,A722,'MCAA RECAP'!$J$114:$J$129)</f>
        <v>0</v>
      </c>
      <c r="G722" t="s">
        <v>1324</v>
      </c>
      <c r="H722" s="121">
        <f t="shared" ref="H722:H756" si="99">IF($G722="E",6,IF($G722="M",3,IF($G722="OH","?",IF($G722="OT",7,IF($G722="S",4,"")))))</f>
        <v>4</v>
      </c>
      <c r="K722" s="810">
        <f t="shared" si="94"/>
        <v>0</v>
      </c>
    </row>
    <row r="723" spans="1:11" ht="18" customHeight="1" thickBot="1" x14ac:dyDescent="0.25">
      <c r="A723" s="190" t="s">
        <v>1015</v>
      </c>
      <c r="B723" s="1234" t="str">
        <f>IF('Phase Codes'!H69="","",'Phase Codes'!H69)</f>
        <v/>
      </c>
      <c r="C723" s="1234"/>
      <c r="D723" s="404">
        <f t="shared" si="97"/>
        <v>0</v>
      </c>
      <c r="E723" s="405">
        <f t="shared" si="98"/>
        <v>0</v>
      </c>
      <c r="F723" s="405">
        <f>SUMIFS(SM_MaterialColumn,PC_SM_Material,$A723)+SUMIF('MCAA RECAP'!$A$36:$A$44,A723,'MCAA RECAP'!$J$36:$J$44)+SUMIF('MCAA RECAP'!$A$114:$A$129,A723,'MCAA RECAP'!$J$114:$J$129)</f>
        <v>0</v>
      </c>
      <c r="G723" t="s">
        <v>1324</v>
      </c>
      <c r="H723" s="121">
        <f t="shared" si="99"/>
        <v>4</v>
      </c>
      <c r="K723" s="810">
        <f t="shared" ref="K723:K757" si="100">SUM(D723:F723)</f>
        <v>0</v>
      </c>
    </row>
    <row r="724" spans="1:11" ht="18" customHeight="1" thickBot="1" x14ac:dyDescent="0.25">
      <c r="A724" s="190" t="s">
        <v>1016</v>
      </c>
      <c r="B724" s="1234" t="str">
        <f>IF('Phase Codes'!H70="","",'Phase Codes'!H70)</f>
        <v/>
      </c>
      <c r="C724" s="1234"/>
      <c r="D724" s="404">
        <f t="shared" si="97"/>
        <v>0</v>
      </c>
      <c r="E724" s="405">
        <f t="shared" si="98"/>
        <v>0</v>
      </c>
      <c r="F724" s="405">
        <f>SUMIFS(SM_MaterialColumn,PC_SM_Material,$A724)+SUMIF('MCAA RECAP'!$A$36:$A$44,A724,'MCAA RECAP'!$J$36:$J$44)+SUMIF('MCAA RECAP'!$A$114:$A$129,A724,'MCAA RECAP'!$J$114:$J$129)</f>
        <v>0</v>
      </c>
      <c r="G724" t="s">
        <v>1324</v>
      </c>
      <c r="H724" s="121">
        <f t="shared" si="99"/>
        <v>4</v>
      </c>
      <c r="K724" s="810">
        <f t="shared" si="100"/>
        <v>0</v>
      </c>
    </row>
    <row r="725" spans="1:11" ht="18" customHeight="1" thickBot="1" x14ac:dyDescent="0.25">
      <c r="A725" s="190" t="s">
        <v>1017</v>
      </c>
      <c r="B725" s="1234" t="str">
        <f>IF('Phase Codes'!H71="","",'Phase Codes'!H71)</f>
        <v/>
      </c>
      <c r="C725" s="1234"/>
      <c r="D725" s="404">
        <f t="shared" si="97"/>
        <v>0</v>
      </c>
      <c r="E725" s="405">
        <f t="shared" si="98"/>
        <v>0</v>
      </c>
      <c r="F725" s="405">
        <f>SUMIFS(SM_MaterialColumn,PC_SM_Material,$A725)+SUMIF('MCAA RECAP'!$A$36:$A$44,A725,'MCAA RECAP'!$J$36:$J$44)+SUMIF('MCAA RECAP'!$A$114:$A$129,A725,'MCAA RECAP'!$J$114:$J$129)</f>
        <v>0</v>
      </c>
      <c r="G725" t="s">
        <v>1324</v>
      </c>
      <c r="H725" s="121">
        <f t="shared" si="99"/>
        <v>4</v>
      </c>
      <c r="K725" s="810">
        <f t="shared" si="100"/>
        <v>0</v>
      </c>
    </row>
    <row r="726" spans="1:11" ht="18" customHeight="1" thickBot="1" x14ac:dyDescent="0.25">
      <c r="A726" s="190" t="s">
        <v>1018</v>
      </c>
      <c r="B726" s="1234" t="str">
        <f>IF('Phase Codes'!H72="","",'Phase Codes'!H72)</f>
        <v/>
      </c>
      <c r="C726" s="1234"/>
      <c r="D726" s="404">
        <f t="shared" si="97"/>
        <v>0</v>
      </c>
      <c r="E726" s="405">
        <f t="shared" si="98"/>
        <v>0</v>
      </c>
      <c r="F726" s="405">
        <f>SUMIFS(SM_MaterialColumn,PC_SM_Material,$A726)+SUMIF('MCAA RECAP'!$A$36:$A$44,A726,'MCAA RECAP'!$J$36:$J$44)+SUMIF('MCAA RECAP'!$A$114:$A$129,A726,'MCAA RECAP'!$J$114:$J$129)</f>
        <v>0</v>
      </c>
      <c r="G726" t="s">
        <v>1324</v>
      </c>
      <c r="H726" s="121">
        <f t="shared" si="99"/>
        <v>4</v>
      </c>
      <c r="K726" s="810">
        <f t="shared" si="100"/>
        <v>0</v>
      </c>
    </row>
    <row r="727" spans="1:11" ht="18" customHeight="1" thickBot="1" x14ac:dyDescent="0.25">
      <c r="A727" s="190" t="s">
        <v>1019</v>
      </c>
      <c r="B727" s="1234" t="str">
        <f>IF('Phase Codes'!H73="","",'Phase Codes'!H73)</f>
        <v/>
      </c>
      <c r="C727" s="1234"/>
      <c r="D727" s="404">
        <f t="shared" si="97"/>
        <v>0</v>
      </c>
      <c r="E727" s="405">
        <f t="shared" si="98"/>
        <v>0</v>
      </c>
      <c r="F727" s="405">
        <f>SUMIFS(SM_MaterialColumn,PC_SM_Material,$A727)+SUMIF('MCAA RECAP'!$A$36:$A$44,A727,'MCAA RECAP'!$J$36:$J$44)+SUMIF('MCAA RECAP'!$A$114:$A$129,A727,'MCAA RECAP'!$J$114:$J$129)</f>
        <v>0</v>
      </c>
      <c r="G727" t="s">
        <v>1324</v>
      </c>
      <c r="H727" s="121">
        <f t="shared" si="99"/>
        <v>4</v>
      </c>
      <c r="K727" s="810">
        <f t="shared" si="100"/>
        <v>0</v>
      </c>
    </row>
    <row r="728" spans="1:11" ht="18" customHeight="1" thickBot="1" x14ac:dyDescent="0.25">
      <c r="A728" s="190" t="s">
        <v>1020</v>
      </c>
      <c r="B728" s="1234" t="str">
        <f>IF('Phase Codes'!H74="","",'Phase Codes'!H74)</f>
        <v/>
      </c>
      <c r="C728" s="1234"/>
      <c r="D728" s="404">
        <f t="shared" si="97"/>
        <v>0</v>
      </c>
      <c r="E728" s="405">
        <f t="shared" si="98"/>
        <v>0</v>
      </c>
      <c r="F728" s="405">
        <f>SUMIFS(SM_MaterialColumn,PC_SM_Material,$A728)+SUMIF('MCAA RECAP'!$A$36:$A$44,A728,'MCAA RECAP'!$J$36:$J$44)+SUMIF('MCAA RECAP'!$A$114:$A$129,A728,'MCAA RECAP'!$J$114:$J$129)</f>
        <v>0</v>
      </c>
      <c r="G728" t="s">
        <v>1324</v>
      </c>
      <c r="H728" s="121">
        <f t="shared" si="99"/>
        <v>4</v>
      </c>
      <c r="K728" s="810">
        <f t="shared" si="100"/>
        <v>0</v>
      </c>
    </row>
    <row r="729" spans="1:11" ht="18" customHeight="1" thickBot="1" x14ac:dyDescent="0.25">
      <c r="A729" s="190" t="s">
        <v>1021</v>
      </c>
      <c r="B729" s="1234" t="str">
        <f>IF('Phase Codes'!H75="","",'Phase Codes'!H75)</f>
        <v/>
      </c>
      <c r="C729" s="1234"/>
      <c r="D729" s="404">
        <f t="shared" si="97"/>
        <v>0</v>
      </c>
      <c r="E729" s="405">
        <f t="shared" si="98"/>
        <v>0</v>
      </c>
      <c r="F729" s="405">
        <f>SUMIFS(SM_MaterialColumn,PC_SM_Material,$A729)+SUMIF('MCAA RECAP'!$A$36:$A$44,A729,'MCAA RECAP'!$J$36:$J$44)+SUMIF('MCAA RECAP'!$A$114:$A$129,A729,'MCAA RECAP'!$J$114:$J$129)</f>
        <v>0</v>
      </c>
      <c r="G729" t="s">
        <v>1324</v>
      </c>
      <c r="H729" s="121">
        <f t="shared" si="99"/>
        <v>4</v>
      </c>
      <c r="K729" s="810">
        <f t="shared" si="100"/>
        <v>0</v>
      </c>
    </row>
    <row r="730" spans="1:11" ht="18" customHeight="1" thickBot="1" x14ac:dyDescent="0.25">
      <c r="A730" s="190" t="s">
        <v>1022</v>
      </c>
      <c r="B730" s="1234" t="str">
        <f>IF('Phase Codes'!H76="","",'Phase Codes'!H76)</f>
        <v/>
      </c>
      <c r="C730" s="1234"/>
      <c r="D730" s="404">
        <f t="shared" si="97"/>
        <v>0</v>
      </c>
      <c r="E730" s="405">
        <f t="shared" si="98"/>
        <v>0</v>
      </c>
      <c r="F730" s="405">
        <f>SUMIFS(SM_MaterialColumn,PC_SM_Material,$A730)+SUMIF('MCAA RECAP'!$A$36:$A$44,A730,'MCAA RECAP'!$J$36:$J$44)+SUMIF('MCAA RECAP'!$A$114:$A$129,A730,'MCAA RECAP'!$J$114:$J$129)</f>
        <v>0</v>
      </c>
      <c r="G730" t="s">
        <v>1324</v>
      </c>
      <c r="H730" s="121">
        <f t="shared" si="99"/>
        <v>4</v>
      </c>
      <c r="K730" s="810">
        <f t="shared" si="100"/>
        <v>0</v>
      </c>
    </row>
    <row r="731" spans="1:11" ht="18" customHeight="1" thickBot="1" x14ac:dyDescent="0.25">
      <c r="A731" s="190" t="s">
        <v>1023</v>
      </c>
      <c r="B731" s="1234" t="str">
        <f>IF('Phase Codes'!H77="","",'Phase Codes'!H77)</f>
        <v/>
      </c>
      <c r="C731" s="1234"/>
      <c r="D731" s="404">
        <f t="shared" si="97"/>
        <v>0</v>
      </c>
      <c r="E731" s="405">
        <f t="shared" si="98"/>
        <v>0</v>
      </c>
      <c r="F731" s="405">
        <f>SUMIFS(SM_MaterialColumn,PC_SM_Material,$A731)+SUMIF('MCAA RECAP'!$A$36:$A$44,A731,'MCAA RECAP'!$J$36:$J$44)+SUMIF('MCAA RECAP'!$A$114:$A$129,A731,'MCAA RECAP'!$J$114:$J$129)</f>
        <v>0</v>
      </c>
      <c r="G731" t="s">
        <v>1324</v>
      </c>
      <c r="H731" s="121">
        <f t="shared" si="99"/>
        <v>4</v>
      </c>
      <c r="K731" s="810">
        <f t="shared" si="100"/>
        <v>0</v>
      </c>
    </row>
    <row r="732" spans="1:11" ht="18" customHeight="1" thickBot="1" x14ac:dyDescent="0.25">
      <c r="A732" s="190" t="s">
        <v>1024</v>
      </c>
      <c r="B732" s="1234" t="str">
        <f>IF('Phase Codes'!H78="","",'Phase Codes'!H78)</f>
        <v/>
      </c>
      <c r="C732" s="1234"/>
      <c r="D732" s="404">
        <f t="shared" si="97"/>
        <v>0</v>
      </c>
      <c r="E732" s="405">
        <f t="shared" si="98"/>
        <v>0</v>
      </c>
      <c r="F732" s="405">
        <f>SUMIFS(SM_MaterialColumn,PC_SM_Material,$A732)+SUMIF('MCAA RECAP'!$A$36:$A$44,A732,'MCAA RECAP'!$J$36:$J$44)+SUMIF('MCAA RECAP'!$A$114:$A$129,A732,'MCAA RECAP'!$J$114:$J$129)</f>
        <v>0</v>
      </c>
      <c r="G732" t="s">
        <v>1324</v>
      </c>
      <c r="H732" s="121">
        <f t="shared" si="99"/>
        <v>4</v>
      </c>
      <c r="K732" s="810">
        <f t="shared" si="100"/>
        <v>0</v>
      </c>
    </row>
    <row r="733" spans="1:11" ht="18" customHeight="1" thickBot="1" x14ac:dyDescent="0.25">
      <c r="A733" s="190" t="s">
        <v>1025</v>
      </c>
      <c r="B733" s="1234" t="str">
        <f>IF('Phase Codes'!H79="","",'Phase Codes'!H79)</f>
        <v/>
      </c>
      <c r="C733" s="1234"/>
      <c r="D733" s="404">
        <f t="shared" si="97"/>
        <v>0</v>
      </c>
      <c r="E733" s="405">
        <f t="shared" si="98"/>
        <v>0</v>
      </c>
      <c r="F733" s="405">
        <f>SUMIFS(SM_MaterialColumn,PC_SM_Material,$A733)+SUMIF('MCAA RECAP'!$A$36:$A$44,A733,'MCAA RECAP'!$J$36:$J$44)+SUMIF('MCAA RECAP'!$A$114:$A$129,A733,'MCAA RECAP'!$J$114:$J$129)</f>
        <v>0</v>
      </c>
      <c r="G733" t="s">
        <v>1324</v>
      </c>
      <c r="H733" s="121">
        <f t="shared" si="99"/>
        <v>4</v>
      </c>
      <c r="K733" s="810">
        <f t="shared" si="100"/>
        <v>0</v>
      </c>
    </row>
    <row r="734" spans="1:11" ht="18" customHeight="1" thickBot="1" x14ac:dyDescent="0.25">
      <c r="A734" s="190" t="s">
        <v>1026</v>
      </c>
      <c r="B734" s="1234" t="str">
        <f>IF('Phase Codes'!H80="","",'Phase Codes'!H80)</f>
        <v/>
      </c>
      <c r="C734" s="1234"/>
      <c r="D734" s="404">
        <f t="shared" si="97"/>
        <v>0</v>
      </c>
      <c r="E734" s="405">
        <f t="shared" si="98"/>
        <v>0</v>
      </c>
      <c r="F734" s="405">
        <f>SUMIFS(SM_MaterialColumn,PC_SM_Material,$A734)+SUMIF('MCAA RECAP'!$A$36:$A$44,A734,'MCAA RECAP'!$J$36:$J$44)+SUMIF('MCAA RECAP'!$A$114:$A$129,A734,'MCAA RECAP'!$J$114:$J$129)</f>
        <v>0</v>
      </c>
      <c r="G734" t="s">
        <v>1324</v>
      </c>
      <c r="H734" s="121">
        <f t="shared" si="99"/>
        <v>4</v>
      </c>
      <c r="K734" s="810">
        <f t="shared" si="100"/>
        <v>0</v>
      </c>
    </row>
    <row r="735" spans="1:11" ht="18" customHeight="1" thickBot="1" x14ac:dyDescent="0.25">
      <c r="A735" s="190" t="s">
        <v>1027</v>
      </c>
      <c r="B735" s="1234" t="str">
        <f>IF('Phase Codes'!H81="","",'Phase Codes'!H81)</f>
        <v/>
      </c>
      <c r="C735" s="1234"/>
      <c r="D735" s="404">
        <f t="shared" si="97"/>
        <v>0</v>
      </c>
      <c r="E735" s="405">
        <f t="shared" si="98"/>
        <v>0</v>
      </c>
      <c r="F735" s="405">
        <f>SUMIFS(SM_MaterialColumn,PC_SM_Material,$A735)+SUMIF('MCAA RECAP'!$A$36:$A$44,A735,'MCAA RECAP'!$J$36:$J$44)+SUMIF('MCAA RECAP'!$A$114:$A$129,A735,'MCAA RECAP'!$J$114:$J$129)</f>
        <v>0</v>
      </c>
      <c r="G735" t="s">
        <v>1324</v>
      </c>
      <c r="H735" s="121">
        <f t="shared" si="99"/>
        <v>4</v>
      </c>
      <c r="K735" s="810">
        <f t="shared" si="100"/>
        <v>0</v>
      </c>
    </row>
    <row r="736" spans="1:11" ht="18" customHeight="1" thickBot="1" x14ac:dyDescent="0.25">
      <c r="A736" s="190" t="s">
        <v>1028</v>
      </c>
      <c r="B736" s="1234" t="str">
        <f>IF('Phase Codes'!H82="","",'Phase Codes'!H82)</f>
        <v/>
      </c>
      <c r="C736" s="1234"/>
      <c r="D736" s="404">
        <f t="shared" si="97"/>
        <v>0</v>
      </c>
      <c r="E736" s="405">
        <f t="shared" si="98"/>
        <v>0</v>
      </c>
      <c r="F736" s="405">
        <f>SUMIFS(SM_MaterialColumn,PC_SM_Material,$A736)+SUMIF('MCAA RECAP'!$A$36:$A$44,A736,'MCAA RECAP'!$J$36:$J$44)+SUMIF('MCAA RECAP'!$A$114:$A$129,A736,'MCAA RECAP'!$J$114:$J$129)</f>
        <v>0</v>
      </c>
      <c r="G736" t="s">
        <v>1324</v>
      </c>
      <c r="H736" s="121">
        <f t="shared" si="99"/>
        <v>4</v>
      </c>
      <c r="K736" s="810">
        <f t="shared" si="100"/>
        <v>0</v>
      </c>
    </row>
    <row r="737" spans="1:11" ht="18" customHeight="1" thickBot="1" x14ac:dyDescent="0.25">
      <c r="A737" s="190" t="s">
        <v>1029</v>
      </c>
      <c r="B737" s="1234" t="str">
        <f>IF('Phase Codes'!H83="","",'Phase Codes'!H83)</f>
        <v/>
      </c>
      <c r="C737" s="1234"/>
      <c r="D737" s="404">
        <f t="shared" si="97"/>
        <v>0</v>
      </c>
      <c r="E737" s="405">
        <f t="shared" si="98"/>
        <v>0</v>
      </c>
      <c r="F737" s="405">
        <f>SUMIFS(SM_MaterialColumn,PC_SM_Material,$A737)+SUMIF('MCAA RECAP'!$A$36:$A$44,A737,'MCAA RECAP'!$J$36:$J$44)+SUMIF('MCAA RECAP'!$A$114:$A$129,A737,'MCAA RECAP'!$J$114:$J$129)</f>
        <v>0</v>
      </c>
      <c r="G737" t="s">
        <v>1324</v>
      </c>
      <c r="H737" s="121">
        <f t="shared" si="99"/>
        <v>4</v>
      </c>
      <c r="K737" s="810">
        <f t="shared" si="100"/>
        <v>0</v>
      </c>
    </row>
    <row r="738" spans="1:11" ht="18" customHeight="1" thickBot="1" x14ac:dyDescent="0.25">
      <c r="A738" s="190" t="s">
        <v>1030</v>
      </c>
      <c r="B738" s="1234" t="str">
        <f>IF('Phase Codes'!H84="","",'Phase Codes'!H84)</f>
        <v/>
      </c>
      <c r="C738" s="1234"/>
      <c r="D738" s="404">
        <f t="shared" si="97"/>
        <v>0</v>
      </c>
      <c r="E738" s="405">
        <f t="shared" si="98"/>
        <v>0</v>
      </c>
      <c r="F738" s="405">
        <f>SUMIFS(SM_MaterialColumn,PC_SM_Material,$A738)+SUMIF('MCAA RECAP'!$A$36:$A$44,A738,'MCAA RECAP'!$J$36:$J$44)+SUMIF('MCAA RECAP'!$A$114:$A$129,A738,'MCAA RECAP'!$J$114:$J$129)</f>
        <v>0</v>
      </c>
      <c r="G738" t="s">
        <v>1324</v>
      </c>
      <c r="H738" s="121">
        <f t="shared" si="99"/>
        <v>4</v>
      </c>
      <c r="K738" s="810">
        <f t="shared" si="100"/>
        <v>0</v>
      </c>
    </row>
    <row r="739" spans="1:11" ht="18" customHeight="1" thickBot="1" x14ac:dyDescent="0.25">
      <c r="A739" s="190" t="s">
        <v>1031</v>
      </c>
      <c r="B739" s="1234" t="str">
        <f>IF('Phase Codes'!H85="","",'Phase Codes'!H85)</f>
        <v/>
      </c>
      <c r="C739" s="1234"/>
      <c r="D739" s="404">
        <f t="shared" si="97"/>
        <v>0</v>
      </c>
      <c r="E739" s="405">
        <f t="shared" si="98"/>
        <v>0</v>
      </c>
      <c r="F739" s="405">
        <f>SUMIFS(SM_MaterialColumn,PC_SM_Material,$A739)+SUMIF('MCAA RECAP'!$A$36:$A$44,A739,'MCAA RECAP'!$J$36:$J$44)+SUMIF('MCAA RECAP'!$A$114:$A$129,A739,'MCAA RECAP'!$J$114:$J$129)</f>
        <v>0</v>
      </c>
      <c r="G739" t="s">
        <v>1324</v>
      </c>
      <c r="H739" s="121">
        <f t="shared" si="99"/>
        <v>4</v>
      </c>
      <c r="K739" s="810">
        <f t="shared" si="100"/>
        <v>0</v>
      </c>
    </row>
    <row r="740" spans="1:11" ht="18" customHeight="1" thickBot="1" x14ac:dyDescent="0.25">
      <c r="A740" s="190" t="s">
        <v>1032</v>
      </c>
      <c r="B740" s="1234" t="str">
        <f>IF('Phase Codes'!H86="","",'Phase Codes'!H86)</f>
        <v/>
      </c>
      <c r="C740" s="1234"/>
      <c r="D740" s="404">
        <f t="shared" si="97"/>
        <v>0</v>
      </c>
      <c r="E740" s="405">
        <f t="shared" si="98"/>
        <v>0</v>
      </c>
      <c r="F740" s="405">
        <f>SUMIFS(SM_MaterialColumn,PC_SM_Material,$A740)+SUMIF('MCAA RECAP'!$A$36:$A$44,A740,'MCAA RECAP'!$J$36:$J$44)+SUMIF('MCAA RECAP'!$A$114:$A$129,A740,'MCAA RECAP'!$J$114:$J$129)</f>
        <v>0</v>
      </c>
      <c r="G740" t="s">
        <v>1324</v>
      </c>
      <c r="H740" s="121">
        <f t="shared" si="99"/>
        <v>4</v>
      </c>
      <c r="K740" s="810">
        <f t="shared" si="100"/>
        <v>0</v>
      </c>
    </row>
    <row r="741" spans="1:11" ht="18" customHeight="1" thickBot="1" x14ac:dyDescent="0.25">
      <c r="A741" s="190" t="s">
        <v>1033</v>
      </c>
      <c r="B741" s="1234" t="str">
        <f>IF('Phase Codes'!H87="","",'Phase Codes'!H87)</f>
        <v/>
      </c>
      <c r="C741" s="1234"/>
      <c r="D741" s="404">
        <f t="shared" si="97"/>
        <v>0</v>
      </c>
      <c r="E741" s="405">
        <f t="shared" si="98"/>
        <v>0</v>
      </c>
      <c r="F741" s="405">
        <f>SUMIFS(SM_MaterialColumn,PC_SM_Material,$A741)+SUMIF('MCAA RECAP'!$A$36:$A$44,A741,'MCAA RECAP'!$J$36:$J$44)+SUMIF('MCAA RECAP'!$A$114:$A$129,A741,'MCAA RECAP'!$J$114:$J$129)</f>
        <v>0</v>
      </c>
      <c r="G741" t="s">
        <v>1324</v>
      </c>
      <c r="H741" s="121">
        <f t="shared" si="99"/>
        <v>4</v>
      </c>
      <c r="K741" s="810">
        <f t="shared" si="100"/>
        <v>0</v>
      </c>
    </row>
    <row r="742" spans="1:11" ht="18" customHeight="1" thickBot="1" x14ac:dyDescent="0.25">
      <c r="A742" s="190" t="s">
        <v>1034</v>
      </c>
      <c r="B742" s="1234" t="str">
        <f>IF('Phase Codes'!H88="","",'Phase Codes'!H88)</f>
        <v/>
      </c>
      <c r="C742" s="1234"/>
      <c r="D742" s="404">
        <f t="shared" si="97"/>
        <v>0</v>
      </c>
      <c r="E742" s="405">
        <f t="shared" si="98"/>
        <v>0</v>
      </c>
      <c r="F742" s="405">
        <f>SUMIFS(SM_MaterialColumn,PC_SM_Material,$A742)+SUMIF('MCAA RECAP'!$A$36:$A$44,A742,'MCAA RECAP'!$J$36:$J$44)+SUMIF('MCAA RECAP'!$A$114:$A$129,A742,'MCAA RECAP'!$J$114:$J$129)</f>
        <v>0</v>
      </c>
      <c r="G742" t="s">
        <v>1324</v>
      </c>
      <c r="H742" s="121">
        <f t="shared" si="99"/>
        <v>4</v>
      </c>
      <c r="K742" s="810">
        <f t="shared" si="100"/>
        <v>0</v>
      </c>
    </row>
    <row r="743" spans="1:11" ht="18" customHeight="1" thickBot="1" x14ac:dyDescent="0.25">
      <c r="A743" s="190" t="s">
        <v>1035</v>
      </c>
      <c r="B743" s="1234" t="str">
        <f>IF('Phase Codes'!H89="","",'Phase Codes'!H89)</f>
        <v/>
      </c>
      <c r="C743" s="1234"/>
      <c r="D743" s="404">
        <f t="shared" si="97"/>
        <v>0</v>
      </c>
      <c r="E743" s="405">
        <f t="shared" si="98"/>
        <v>0</v>
      </c>
      <c r="F743" s="405">
        <f>SUMIFS(SM_MaterialColumn,PC_SM_Material,$A743)+SUMIF('MCAA RECAP'!$A$36:$A$44,A743,'MCAA RECAP'!$J$36:$J$44)+SUMIF('MCAA RECAP'!$A$114:$A$129,A743,'MCAA RECAP'!$J$114:$J$129)</f>
        <v>0</v>
      </c>
      <c r="G743" t="s">
        <v>1324</v>
      </c>
      <c r="H743" s="121">
        <f t="shared" si="99"/>
        <v>4</v>
      </c>
      <c r="K743" s="810">
        <f t="shared" si="100"/>
        <v>0</v>
      </c>
    </row>
    <row r="744" spans="1:11" ht="18" customHeight="1" thickBot="1" x14ac:dyDescent="0.25">
      <c r="A744" s="190" t="s">
        <v>1036</v>
      </c>
      <c r="B744" s="1234" t="str">
        <f>IF('Phase Codes'!H90="","",'Phase Codes'!H90)</f>
        <v/>
      </c>
      <c r="C744" s="1234"/>
      <c r="D744" s="404">
        <f t="shared" si="97"/>
        <v>0</v>
      </c>
      <c r="E744" s="405">
        <f t="shared" si="98"/>
        <v>0</v>
      </c>
      <c r="F744" s="405">
        <f>SUMIFS(SM_MaterialColumn,PC_SM_Material,$A744)+SUMIF('MCAA RECAP'!$A$36:$A$44,A744,'MCAA RECAP'!$J$36:$J$44)+SUMIF('MCAA RECAP'!$A$114:$A$129,A744,'MCAA RECAP'!$J$114:$J$129)</f>
        <v>0</v>
      </c>
      <c r="G744" t="s">
        <v>1324</v>
      </c>
      <c r="H744" s="121">
        <f t="shared" si="99"/>
        <v>4</v>
      </c>
      <c r="K744" s="810">
        <f t="shared" si="100"/>
        <v>0</v>
      </c>
    </row>
    <row r="745" spans="1:11" ht="18" customHeight="1" thickBot="1" x14ac:dyDescent="0.25">
      <c r="A745" s="190" t="s">
        <v>1037</v>
      </c>
      <c r="B745" s="1234" t="str">
        <f>IF('Phase Codes'!H91="","",'Phase Codes'!H91)</f>
        <v/>
      </c>
      <c r="C745" s="1234"/>
      <c r="D745" s="404">
        <f t="shared" si="97"/>
        <v>0</v>
      </c>
      <c r="E745" s="405">
        <f t="shared" si="98"/>
        <v>0</v>
      </c>
      <c r="F745" s="405">
        <f>SUMIFS(SM_MaterialColumn,PC_SM_Material,$A745)+SUMIF('MCAA RECAP'!$A$36:$A$44,A745,'MCAA RECAP'!$J$36:$J$44)+SUMIF('MCAA RECAP'!$A$114:$A$129,A745,'MCAA RECAP'!$J$114:$J$129)</f>
        <v>0</v>
      </c>
      <c r="G745" t="s">
        <v>1324</v>
      </c>
      <c r="H745" s="121">
        <f t="shared" si="99"/>
        <v>4</v>
      </c>
      <c r="K745" s="810">
        <f t="shared" si="100"/>
        <v>0</v>
      </c>
    </row>
    <row r="746" spans="1:11" ht="18" customHeight="1" thickBot="1" x14ac:dyDescent="0.25">
      <c r="A746" s="190" t="s">
        <v>1038</v>
      </c>
      <c r="B746" s="1234" t="str">
        <f>IF('Phase Codes'!H92="","",'Phase Codes'!H92)</f>
        <v/>
      </c>
      <c r="C746" s="1234"/>
      <c r="D746" s="404">
        <f t="shared" si="97"/>
        <v>0</v>
      </c>
      <c r="E746" s="405">
        <f t="shared" si="98"/>
        <v>0</v>
      </c>
      <c r="F746" s="405">
        <f>SUMIFS(SM_MaterialColumn,PC_SM_Material,$A746)+SUMIF('MCAA RECAP'!$A$36:$A$44,A746,'MCAA RECAP'!$J$36:$J$44)+SUMIF('MCAA RECAP'!$A$114:$A$129,A746,'MCAA RECAP'!$J$114:$J$129)</f>
        <v>0</v>
      </c>
      <c r="G746" t="s">
        <v>1324</v>
      </c>
      <c r="H746" s="121">
        <f t="shared" si="99"/>
        <v>4</v>
      </c>
      <c r="K746" s="810">
        <f t="shared" si="100"/>
        <v>0</v>
      </c>
    </row>
    <row r="747" spans="1:11" ht="18" customHeight="1" thickBot="1" x14ac:dyDescent="0.25">
      <c r="A747" s="190" t="s">
        <v>1039</v>
      </c>
      <c r="B747" s="1234" t="str">
        <f>IF('Phase Codes'!H93="","",'Phase Codes'!H93)</f>
        <v/>
      </c>
      <c r="C747" s="1234"/>
      <c r="D747" s="404">
        <f t="shared" si="97"/>
        <v>0</v>
      </c>
      <c r="E747" s="405">
        <f t="shared" si="98"/>
        <v>0</v>
      </c>
      <c r="F747" s="405">
        <f>SUMIFS(SM_MaterialColumn,PC_SM_Material,$A747)+SUMIF('MCAA RECAP'!$A$36:$A$44,A747,'MCAA RECAP'!$J$36:$J$44)+SUMIF('MCAA RECAP'!$A$114:$A$129,A747,'MCAA RECAP'!$J$114:$J$129)</f>
        <v>0</v>
      </c>
      <c r="G747" t="s">
        <v>1324</v>
      </c>
      <c r="H747" s="121">
        <f t="shared" si="99"/>
        <v>4</v>
      </c>
      <c r="K747" s="810">
        <f t="shared" si="100"/>
        <v>0</v>
      </c>
    </row>
    <row r="748" spans="1:11" ht="18" customHeight="1" thickBot="1" x14ac:dyDescent="0.25">
      <c r="A748" s="190" t="s">
        <v>1040</v>
      </c>
      <c r="B748" s="1234" t="str">
        <f>IF('Phase Codes'!H94="","",'Phase Codes'!H94)</f>
        <v/>
      </c>
      <c r="C748" s="1234"/>
      <c r="D748" s="404">
        <f t="shared" si="97"/>
        <v>0</v>
      </c>
      <c r="E748" s="405">
        <f t="shared" si="98"/>
        <v>0</v>
      </c>
      <c r="F748" s="405">
        <f>SUMIFS(SM_MaterialColumn,PC_SM_Material,$A748)+SUMIF('MCAA RECAP'!$A$36:$A$44,A748,'MCAA RECAP'!$J$36:$J$44)+SUMIF('MCAA RECAP'!$A$114:$A$129,A748,'MCAA RECAP'!$J$114:$J$129)</f>
        <v>0</v>
      </c>
      <c r="G748" t="s">
        <v>1324</v>
      </c>
      <c r="H748" s="121">
        <f t="shared" si="99"/>
        <v>4</v>
      </c>
      <c r="K748" s="810">
        <f t="shared" si="100"/>
        <v>0</v>
      </c>
    </row>
    <row r="749" spans="1:11" ht="18" customHeight="1" thickBot="1" x14ac:dyDescent="0.25">
      <c r="A749" s="190" t="s">
        <v>1041</v>
      </c>
      <c r="B749" s="1234" t="str">
        <f>IF('Phase Codes'!H95="","",'Phase Codes'!H95)</f>
        <v/>
      </c>
      <c r="C749" s="1234"/>
      <c r="D749" s="404">
        <f t="shared" si="97"/>
        <v>0</v>
      </c>
      <c r="E749" s="405">
        <f t="shared" si="98"/>
        <v>0</v>
      </c>
      <c r="F749" s="405">
        <f>SUMIFS(SM_MaterialColumn,PC_SM_Material,$A749)+SUMIF('MCAA RECAP'!$A$36:$A$44,A749,'MCAA RECAP'!$J$36:$J$44)+SUMIF('MCAA RECAP'!$A$114:$A$129,A749,'MCAA RECAP'!$J$114:$J$129)</f>
        <v>0</v>
      </c>
      <c r="G749" t="s">
        <v>1324</v>
      </c>
      <c r="H749" s="121">
        <f t="shared" si="99"/>
        <v>4</v>
      </c>
      <c r="K749" s="810">
        <f t="shared" si="100"/>
        <v>0</v>
      </c>
    </row>
    <row r="750" spans="1:11" ht="18" customHeight="1" thickBot="1" x14ac:dyDescent="0.25">
      <c r="A750" s="190" t="s">
        <v>1042</v>
      </c>
      <c r="B750" s="1234" t="str">
        <f>IF('Phase Codes'!H96="","",'Phase Codes'!H96)</f>
        <v/>
      </c>
      <c r="C750" s="1234"/>
      <c r="D750" s="404">
        <f t="shared" si="97"/>
        <v>0</v>
      </c>
      <c r="E750" s="405">
        <f t="shared" si="98"/>
        <v>0</v>
      </c>
      <c r="F750" s="405">
        <f>SUMIFS(SM_MaterialColumn,PC_SM_Material,$A750)+SUMIF('MCAA RECAP'!$A$36:$A$44,A750,'MCAA RECAP'!$J$36:$J$44)+SUMIF('MCAA RECAP'!$A$114:$A$129,A750,'MCAA RECAP'!$J$114:$J$129)</f>
        <v>0</v>
      </c>
      <c r="G750" t="s">
        <v>1324</v>
      </c>
      <c r="H750" s="121">
        <f t="shared" si="99"/>
        <v>4</v>
      </c>
      <c r="K750" s="810">
        <f t="shared" si="100"/>
        <v>0</v>
      </c>
    </row>
    <row r="751" spans="1:11" ht="18" customHeight="1" thickBot="1" x14ac:dyDescent="0.25">
      <c r="A751" s="190" t="s">
        <v>1043</v>
      </c>
      <c r="B751" s="1234" t="str">
        <f>IF('Phase Codes'!H97="","",'Phase Codes'!H97)</f>
        <v/>
      </c>
      <c r="C751" s="1234"/>
      <c r="D751" s="404">
        <f t="shared" si="97"/>
        <v>0</v>
      </c>
      <c r="E751" s="405">
        <f t="shared" si="98"/>
        <v>0</v>
      </c>
      <c r="F751" s="405">
        <f>SUMIFS(SM_MaterialColumn,PC_SM_Material,$A751)+SUMIF('MCAA RECAP'!$A$36:$A$44,A751,'MCAA RECAP'!$J$36:$J$44)+SUMIF('MCAA RECAP'!$A$114:$A$129,A751,'MCAA RECAP'!$J$114:$J$129)</f>
        <v>0</v>
      </c>
      <c r="G751" t="s">
        <v>1324</v>
      </c>
      <c r="H751" s="121">
        <f t="shared" si="99"/>
        <v>4</v>
      </c>
      <c r="K751" s="810">
        <f t="shared" si="100"/>
        <v>0</v>
      </c>
    </row>
    <row r="752" spans="1:11" ht="18" customHeight="1" thickBot="1" x14ac:dyDescent="0.25">
      <c r="A752" s="190" t="s">
        <v>1044</v>
      </c>
      <c r="B752" s="1234" t="str">
        <f>IF('Phase Codes'!H98="","",'Phase Codes'!H98)</f>
        <v/>
      </c>
      <c r="C752" s="1234"/>
      <c r="D752" s="404">
        <f t="shared" si="97"/>
        <v>0</v>
      </c>
      <c r="E752" s="405">
        <f t="shared" si="98"/>
        <v>0</v>
      </c>
      <c r="F752" s="405">
        <f>SUMIFS(SM_MaterialColumn,PC_SM_Material,$A752)+SUMIF('MCAA RECAP'!$A$36:$A$44,A752,'MCAA RECAP'!$J$36:$J$44)+SUMIF('MCAA RECAP'!$A$114:$A$129,A752,'MCAA RECAP'!$J$114:$J$129)</f>
        <v>0</v>
      </c>
      <c r="G752" t="s">
        <v>1324</v>
      </c>
      <c r="H752" s="121">
        <f t="shared" si="99"/>
        <v>4</v>
      </c>
      <c r="K752" s="810">
        <f t="shared" si="100"/>
        <v>0</v>
      </c>
    </row>
    <row r="753" spans="1:13" ht="18" customHeight="1" thickBot="1" x14ac:dyDescent="0.25">
      <c r="A753" s="190" t="s">
        <v>1045</v>
      </c>
      <c r="B753" s="1234" t="str">
        <f>IF('Phase Codes'!H99="","",'Phase Codes'!H99)</f>
        <v/>
      </c>
      <c r="C753" s="1234"/>
      <c r="D753" s="404">
        <f t="shared" si="97"/>
        <v>0</v>
      </c>
      <c r="E753" s="405">
        <f t="shared" si="98"/>
        <v>0</v>
      </c>
      <c r="F753" s="405">
        <f>SUMIFS(SM_MaterialColumn,PC_SM_Material,$A753)+SUMIF('MCAA RECAP'!$A$36:$A$44,A753,'MCAA RECAP'!$J$36:$J$44)+SUMIF('MCAA RECAP'!$A$114:$A$129,A753,'MCAA RECAP'!$J$114:$J$129)</f>
        <v>0</v>
      </c>
      <c r="G753" t="s">
        <v>1324</v>
      </c>
      <c r="H753" s="121">
        <f t="shared" si="99"/>
        <v>4</v>
      </c>
      <c r="K753" s="810">
        <f t="shared" si="100"/>
        <v>0</v>
      </c>
    </row>
    <row r="754" spans="1:13" ht="18" customHeight="1" thickBot="1" x14ac:dyDescent="0.25">
      <c r="A754" s="190" t="s">
        <v>1046</v>
      </c>
      <c r="B754" s="1234" t="str">
        <f>IF('Phase Codes'!H100="","",'Phase Codes'!H100)</f>
        <v/>
      </c>
      <c r="C754" s="1234"/>
      <c r="D754" s="404">
        <f t="shared" si="97"/>
        <v>0</v>
      </c>
      <c r="E754" s="405">
        <f t="shared" si="98"/>
        <v>0</v>
      </c>
      <c r="F754" s="405">
        <f>SUMIFS(SM_MaterialColumn,PC_SM_Material,$A754)+SUMIF('MCAA RECAP'!$A$36:$A$44,A754,'MCAA RECAP'!$J$36:$J$44)+SUMIF('MCAA RECAP'!$A$114:$A$129,A754,'MCAA RECAP'!$J$114:$J$129)</f>
        <v>0</v>
      </c>
      <c r="G754" t="s">
        <v>1324</v>
      </c>
      <c r="H754" s="121">
        <f t="shared" si="99"/>
        <v>4</v>
      </c>
      <c r="K754" s="810">
        <f t="shared" si="100"/>
        <v>0</v>
      </c>
    </row>
    <row r="755" spans="1:13" ht="18" customHeight="1" thickBot="1" x14ac:dyDescent="0.25">
      <c r="A755" s="190" t="s">
        <v>1047</v>
      </c>
      <c r="B755" s="1234" t="str">
        <f>IF('Phase Codes'!H101="","",'Phase Codes'!H101)</f>
        <v/>
      </c>
      <c r="C755" s="1234"/>
      <c r="D755" s="404">
        <f t="shared" si="97"/>
        <v>0</v>
      </c>
      <c r="E755" s="405">
        <f t="shared" si="98"/>
        <v>0</v>
      </c>
      <c r="F755" s="405">
        <f>SUMIFS(SM_MaterialColumn,PC_SM_Material,$A755)+SUMIF('MCAA RECAP'!$A$36:$A$44,A755,'MCAA RECAP'!$J$36:$J$44)+SUMIF('MCAA RECAP'!$A$114:$A$129,A755,'MCAA RECAP'!$J$114:$J$129)</f>
        <v>0</v>
      </c>
      <c r="G755" t="s">
        <v>1324</v>
      </c>
      <c r="H755" s="121">
        <f t="shared" si="99"/>
        <v>4</v>
      </c>
      <c r="K755" s="810">
        <f t="shared" si="100"/>
        <v>0</v>
      </c>
    </row>
    <row r="756" spans="1:13" ht="18" customHeight="1" thickBot="1" x14ac:dyDescent="0.25">
      <c r="A756" s="190" t="s">
        <v>1048</v>
      </c>
      <c r="B756" s="1234" t="str">
        <f>IF('Phase Codes'!H102="","",'Phase Codes'!H102)</f>
        <v>MWESB Subcontractor</v>
      </c>
      <c r="C756" s="1234"/>
      <c r="D756" s="404">
        <f t="shared" si="97"/>
        <v>0</v>
      </c>
      <c r="E756" s="405">
        <f t="shared" si="98"/>
        <v>0</v>
      </c>
      <c r="F756" s="405">
        <f>SUMIFS(SM_MaterialColumn,PC_SM_Material,$A756)+SUMIF('MCAA RECAP'!$A$36:$A$44,A756,'MCAA RECAP'!$J$36:$J$44)+SUMIF('MCAA RECAP'!$A$114:$A$129,A756,'MCAA RECAP'!$J$114:$J$129)</f>
        <v>0</v>
      </c>
      <c r="G756" t="s">
        <v>1324</v>
      </c>
      <c r="H756" s="121">
        <f t="shared" si="99"/>
        <v>4</v>
      </c>
      <c r="K756" s="810">
        <f t="shared" si="100"/>
        <v>0</v>
      </c>
    </row>
    <row r="757" spans="1:13" ht="18" customHeight="1" thickBot="1" x14ac:dyDescent="0.25">
      <c r="A757" s="165" t="s">
        <v>8</v>
      </c>
      <c r="B757" s="1235" t="s">
        <v>1049</v>
      </c>
      <c r="C757" s="1236"/>
      <c r="D757" s="210">
        <f t="shared" ref="D757:F757" si="101">SUM(D658:D756)</f>
        <v>0</v>
      </c>
      <c r="E757" s="191">
        <f t="shared" si="101"/>
        <v>0</v>
      </c>
      <c r="F757" s="191">
        <f t="shared" si="101"/>
        <v>0</v>
      </c>
      <c r="K757" s="810">
        <f t="shared" si="100"/>
        <v>0</v>
      </c>
    </row>
    <row r="758" spans="1:13" ht="15" customHeight="1" x14ac:dyDescent="0.2">
      <c r="H758" s="121"/>
      <c r="K758" s="810">
        <f>K757</f>
        <v>0</v>
      </c>
    </row>
    <row r="759" spans="1:13" ht="15" customHeight="1" x14ac:dyDescent="0.2">
      <c r="C759" s="250" t="s">
        <v>1398</v>
      </c>
      <c r="D759" s="549">
        <f>D653+D757</f>
        <v>2367.91</v>
      </c>
      <c r="E759" s="550">
        <f>E653+E757</f>
        <v>247407.62160000001</v>
      </c>
      <c r="F759" s="550">
        <f>F653+F757</f>
        <v>15926.76</v>
      </c>
      <c r="H759" s="121"/>
      <c r="K759" s="810">
        <f>K757</f>
        <v>0</v>
      </c>
    </row>
    <row r="760" spans="1:13" ht="15" customHeight="1" thickBot="1" x14ac:dyDescent="0.3">
      <c r="A760" s="160"/>
      <c r="B760" s="160"/>
      <c r="C760" s="160"/>
      <c r="E760" s="158"/>
      <c r="F760" s="158"/>
      <c r="H760" s="121"/>
      <c r="K760" s="810">
        <f>K863</f>
        <v>0</v>
      </c>
    </row>
    <row r="761" spans="1:13" ht="16.5" thickBot="1" x14ac:dyDescent="0.3">
      <c r="A761" s="83"/>
      <c r="B761" s="1237" t="s">
        <v>324</v>
      </c>
      <c r="C761" s="1238"/>
      <c r="H761" s="121"/>
      <c r="K761" s="810">
        <f>K863</f>
        <v>0</v>
      </c>
    </row>
    <row r="762" spans="1:13" ht="26.25" thickBot="1" x14ac:dyDescent="0.25">
      <c r="A762" s="162" t="s">
        <v>325</v>
      </c>
      <c r="B762" s="1239" t="s">
        <v>0</v>
      </c>
      <c r="C762" s="1240"/>
      <c r="D762" s="163" t="s">
        <v>326</v>
      </c>
      <c r="E762" s="163" t="s">
        <v>327</v>
      </c>
      <c r="F762" s="163" t="s">
        <v>328</v>
      </c>
      <c r="G762" s="163" t="s">
        <v>1323</v>
      </c>
      <c r="H762" s="163" t="s">
        <v>1317</v>
      </c>
      <c r="K762" s="810">
        <f>K863</f>
        <v>0</v>
      </c>
    </row>
    <row r="763" spans="1:13" ht="17.100000000000001" customHeight="1" thickBot="1" x14ac:dyDescent="0.3">
      <c r="A763" s="164" t="s">
        <v>1408</v>
      </c>
      <c r="B763" s="164"/>
      <c r="H763" s="121"/>
      <c r="K763" s="810">
        <f>K863</f>
        <v>0</v>
      </c>
      <c r="M763" s="83"/>
    </row>
    <row r="764" spans="1:13" ht="18" customHeight="1" thickBot="1" x14ac:dyDescent="0.25">
      <c r="A764" s="190" t="s">
        <v>1409</v>
      </c>
      <c r="B764" s="1234" t="str">
        <f>IF('Phase Codes'!I4="","",'Phase Codes'!I4)</f>
        <v>Supervision</v>
      </c>
      <c r="C764" s="1234"/>
      <c r="D764" s="404">
        <f>SUMIFS(SM_FieldLaborColumn,PC_SM_Field,$A764)+'MCAA RECAP'!F51</f>
        <v>0</v>
      </c>
      <c r="E764" s="405">
        <f>SUMIFS(Takeoff_Total_Field_Labor_Cost,PC_SM_Field,$A764)+'MCAA RECAP'!H51</f>
        <v>0</v>
      </c>
      <c r="F764" s="405">
        <f t="shared" ref="F764:F827" si="102">SUMIFS(SM_MaterialColumn,PC_SM_Material,$A764)</f>
        <v>0</v>
      </c>
      <c r="G764" t="s">
        <v>1319</v>
      </c>
      <c r="H764" s="121">
        <f t="shared" ref="H764:H827" si="103">IF($G764="E",6,IF($G764="M",3,IF($G764="OH","?",IF($G764="OT",7,IF($G764="S",4,"")))))</f>
        <v>3</v>
      </c>
      <c r="K764" s="810">
        <f>SUM(D764:F764)</f>
        <v>0</v>
      </c>
    </row>
    <row r="765" spans="1:13" ht="18" customHeight="1" thickBot="1" x14ac:dyDescent="0.25">
      <c r="A765" s="190" t="s">
        <v>1410</v>
      </c>
      <c r="B765" s="1234" t="str">
        <f>IF('Phase Codes'!I5="","",'Phase Codes'!I5)</f>
        <v>Supports/Furring</v>
      </c>
      <c r="C765" s="1234"/>
      <c r="D765" s="404">
        <f t="shared" ref="D765:D778" si="104">SUMIFS(SM_FieldLaborColumn,PC_SM_Field,$A765)</f>
        <v>0</v>
      </c>
      <c r="E765" s="405">
        <f t="shared" ref="E765:E778" si="105">SUMIFS(Takeoff_Total_Field_Labor_Cost,PC_SM_Field,$A765)</f>
        <v>0</v>
      </c>
      <c r="F765" s="405">
        <f t="shared" si="102"/>
        <v>0</v>
      </c>
      <c r="G765" t="s">
        <v>1319</v>
      </c>
      <c r="H765" s="121">
        <f t="shared" si="103"/>
        <v>3</v>
      </c>
      <c r="K765" s="810">
        <f t="shared" ref="K765:K828" si="106">SUM(D765:F765)</f>
        <v>0</v>
      </c>
    </row>
    <row r="766" spans="1:13" ht="18" customHeight="1" thickBot="1" x14ac:dyDescent="0.25">
      <c r="A766" s="190" t="s">
        <v>1411</v>
      </c>
      <c r="B766" s="1234" t="str">
        <f>IF('Phase Codes'!I6="","",'Phase Codes'!I6)</f>
        <v>Insulation</v>
      </c>
      <c r="C766" s="1234"/>
      <c r="D766" s="404">
        <f t="shared" si="104"/>
        <v>0</v>
      </c>
      <c r="E766" s="405">
        <f t="shared" si="105"/>
        <v>0</v>
      </c>
      <c r="F766" s="405">
        <f t="shared" si="102"/>
        <v>0</v>
      </c>
      <c r="G766" t="s">
        <v>1319</v>
      </c>
      <c r="H766" s="121">
        <f t="shared" si="103"/>
        <v>3</v>
      </c>
      <c r="K766" s="810">
        <f t="shared" si="106"/>
        <v>0</v>
      </c>
    </row>
    <row r="767" spans="1:13" ht="18" customHeight="1" thickBot="1" x14ac:dyDescent="0.25">
      <c r="A767" s="190" t="s">
        <v>1412</v>
      </c>
      <c r="B767" s="1234" t="str">
        <f>IF('Phase Codes'!I7="","",'Phase Codes'!I7)</f>
        <v>Vapor/Moisture Barrier</v>
      </c>
      <c r="C767" s="1234"/>
      <c r="D767" s="404">
        <f t="shared" si="104"/>
        <v>0</v>
      </c>
      <c r="E767" s="405">
        <f t="shared" si="105"/>
        <v>0</v>
      </c>
      <c r="F767" s="405">
        <f t="shared" si="102"/>
        <v>0</v>
      </c>
      <c r="G767" t="s">
        <v>1319</v>
      </c>
      <c r="H767" s="121">
        <f t="shared" si="103"/>
        <v>3</v>
      </c>
      <c r="K767" s="810">
        <f t="shared" si="106"/>
        <v>0</v>
      </c>
    </row>
    <row r="768" spans="1:13" ht="18" customHeight="1" thickBot="1" x14ac:dyDescent="0.25">
      <c r="A768" s="190" t="s">
        <v>1413</v>
      </c>
      <c r="B768" s="1234" t="str">
        <f>IF('Phase Codes'!I8="","",'Phase Codes'!I8)</f>
        <v>Metal Siding</v>
      </c>
      <c r="C768" s="1234"/>
      <c r="D768" s="404">
        <f t="shared" si="104"/>
        <v>0</v>
      </c>
      <c r="E768" s="405">
        <f t="shared" si="105"/>
        <v>0</v>
      </c>
      <c r="F768" s="405">
        <f t="shared" si="102"/>
        <v>0</v>
      </c>
      <c r="G768" t="s">
        <v>1319</v>
      </c>
      <c r="H768" s="121">
        <f t="shared" si="103"/>
        <v>3</v>
      </c>
      <c r="K768" s="810">
        <f t="shared" si="106"/>
        <v>0</v>
      </c>
    </row>
    <row r="769" spans="1:11" ht="18" customHeight="1" thickBot="1" x14ac:dyDescent="0.25">
      <c r="A769" s="190" t="s">
        <v>1414</v>
      </c>
      <c r="B769" s="1234" t="str">
        <f>IF('Phase Codes'!I9="","",'Phase Codes'!I9)</f>
        <v>ACM Metal Panels</v>
      </c>
      <c r="C769" s="1234"/>
      <c r="D769" s="404">
        <f t="shared" si="104"/>
        <v>0</v>
      </c>
      <c r="E769" s="405">
        <f t="shared" si="105"/>
        <v>0</v>
      </c>
      <c r="F769" s="405">
        <f t="shared" si="102"/>
        <v>0</v>
      </c>
      <c r="G769" t="s">
        <v>1319</v>
      </c>
      <c r="H769" s="121">
        <f t="shared" si="103"/>
        <v>3</v>
      </c>
      <c r="K769" s="810">
        <f t="shared" si="106"/>
        <v>0</v>
      </c>
    </row>
    <row r="770" spans="1:11" ht="18" customHeight="1" thickBot="1" x14ac:dyDescent="0.25">
      <c r="A770" s="190" t="s">
        <v>1415</v>
      </c>
      <c r="B770" s="1234" t="str">
        <f>IF('Phase Codes'!I10="","",'Phase Codes'!I10)</f>
        <v>Insulated Metal Panels</v>
      </c>
      <c r="C770" s="1234"/>
      <c r="D770" s="404">
        <f t="shared" si="104"/>
        <v>0</v>
      </c>
      <c r="E770" s="405">
        <f t="shared" si="105"/>
        <v>0</v>
      </c>
      <c r="F770" s="405">
        <f t="shared" si="102"/>
        <v>0</v>
      </c>
      <c r="G770" t="s">
        <v>1319</v>
      </c>
      <c r="H770" s="121">
        <f t="shared" si="103"/>
        <v>3</v>
      </c>
      <c r="K770" s="810">
        <f t="shared" si="106"/>
        <v>0</v>
      </c>
    </row>
    <row r="771" spans="1:11" ht="18" customHeight="1" thickBot="1" x14ac:dyDescent="0.25">
      <c r="A771" s="190" t="s">
        <v>1416</v>
      </c>
      <c r="B771" s="1234" t="str">
        <f>IF('Phase Codes'!I11="","",'Phase Codes'!I11)</f>
        <v>Fibrous Cement Panels</v>
      </c>
      <c r="C771" s="1234"/>
      <c r="D771" s="404">
        <f t="shared" si="104"/>
        <v>0</v>
      </c>
      <c r="E771" s="405">
        <f t="shared" si="105"/>
        <v>0</v>
      </c>
      <c r="F771" s="405">
        <f t="shared" si="102"/>
        <v>0</v>
      </c>
      <c r="G771" t="s">
        <v>1319</v>
      </c>
      <c r="H771" s="121">
        <f t="shared" si="103"/>
        <v>3</v>
      </c>
      <c r="K771" s="810">
        <f t="shared" si="106"/>
        <v>0</v>
      </c>
    </row>
    <row r="772" spans="1:11" ht="18" customHeight="1" thickBot="1" x14ac:dyDescent="0.25">
      <c r="A772" s="190" t="s">
        <v>1417</v>
      </c>
      <c r="B772" s="1234" t="str">
        <f>IF('Phase Codes'!I12="","",'Phase Codes'!I12)</f>
        <v>Soffit Panels</v>
      </c>
      <c r="C772" s="1234"/>
      <c r="D772" s="404">
        <f t="shared" si="104"/>
        <v>0</v>
      </c>
      <c r="E772" s="405">
        <f t="shared" si="105"/>
        <v>0</v>
      </c>
      <c r="F772" s="405">
        <f t="shared" si="102"/>
        <v>0</v>
      </c>
      <c r="G772" t="s">
        <v>1319</v>
      </c>
      <c r="H772" s="121">
        <f t="shared" si="103"/>
        <v>3</v>
      </c>
      <c r="K772" s="810">
        <f t="shared" si="106"/>
        <v>0</v>
      </c>
    </row>
    <row r="773" spans="1:11" ht="18" customHeight="1" thickBot="1" x14ac:dyDescent="0.25">
      <c r="A773" s="190" t="s">
        <v>1418</v>
      </c>
      <c r="B773" s="1234" t="str">
        <f>IF('Phase Codes'!I13="","",'Phase Codes'!I13)</f>
        <v>Coping Systems</v>
      </c>
      <c r="C773" s="1234"/>
      <c r="D773" s="404">
        <f t="shared" si="104"/>
        <v>0</v>
      </c>
      <c r="E773" s="405">
        <f t="shared" si="105"/>
        <v>0</v>
      </c>
      <c r="F773" s="405">
        <f t="shared" si="102"/>
        <v>0</v>
      </c>
      <c r="G773" t="s">
        <v>1319</v>
      </c>
      <c r="H773" s="121">
        <f t="shared" si="103"/>
        <v>3</v>
      </c>
      <c r="K773" s="810">
        <f t="shared" si="106"/>
        <v>0</v>
      </c>
    </row>
    <row r="774" spans="1:11" ht="18" customHeight="1" thickBot="1" x14ac:dyDescent="0.25">
      <c r="A774" s="190" t="s">
        <v>1419</v>
      </c>
      <c r="B774" s="1234" t="str">
        <f>IF('Phase Codes'!I14="","",'Phase Codes'!I14)</f>
        <v>Flashing Systems</v>
      </c>
      <c r="C774" s="1234"/>
      <c r="D774" s="404">
        <f t="shared" si="104"/>
        <v>0</v>
      </c>
      <c r="E774" s="405">
        <f t="shared" si="105"/>
        <v>0</v>
      </c>
      <c r="F774" s="405">
        <f t="shared" si="102"/>
        <v>0</v>
      </c>
      <c r="G774" t="s">
        <v>1319</v>
      </c>
      <c r="H774" s="121">
        <f t="shared" si="103"/>
        <v>3</v>
      </c>
      <c r="K774" s="810">
        <f t="shared" si="106"/>
        <v>0</v>
      </c>
    </row>
    <row r="775" spans="1:11" ht="18" customHeight="1" thickBot="1" x14ac:dyDescent="0.25">
      <c r="A775" s="190" t="s">
        <v>1420</v>
      </c>
      <c r="B775" s="1234" t="str">
        <f>IF('Phase Codes'!I15="","",'Phase Codes'!I15)</f>
        <v>Brick Ledger Flashing Systems</v>
      </c>
      <c r="C775" s="1234"/>
      <c r="D775" s="404">
        <f t="shared" si="104"/>
        <v>0</v>
      </c>
      <c r="E775" s="405">
        <f t="shared" si="105"/>
        <v>0</v>
      </c>
      <c r="F775" s="405">
        <f t="shared" si="102"/>
        <v>0</v>
      </c>
      <c r="G775" t="s">
        <v>1319</v>
      </c>
      <c r="H775" s="121">
        <f t="shared" si="103"/>
        <v>3</v>
      </c>
      <c r="K775" s="810">
        <f t="shared" si="106"/>
        <v>0</v>
      </c>
    </row>
    <row r="776" spans="1:11" ht="18" customHeight="1" thickBot="1" x14ac:dyDescent="0.25">
      <c r="A776" s="190" t="s">
        <v>1421</v>
      </c>
      <c r="B776" s="1234" t="str">
        <f>IF('Phase Codes'!I16="","",'Phase Codes'!I16)</f>
        <v>Roofing Systems</v>
      </c>
      <c r="C776" s="1234"/>
      <c r="D776" s="404">
        <f t="shared" si="104"/>
        <v>0</v>
      </c>
      <c r="E776" s="405">
        <f t="shared" si="105"/>
        <v>0</v>
      </c>
      <c r="F776" s="405">
        <f t="shared" si="102"/>
        <v>0</v>
      </c>
      <c r="G776" t="s">
        <v>1319</v>
      </c>
      <c r="H776" s="121">
        <f t="shared" si="103"/>
        <v>3</v>
      </c>
      <c r="K776" s="810">
        <f t="shared" si="106"/>
        <v>0</v>
      </c>
    </row>
    <row r="777" spans="1:11" ht="18" customHeight="1" thickBot="1" x14ac:dyDescent="0.25">
      <c r="A777" s="190" t="s">
        <v>1422</v>
      </c>
      <c r="B777" s="1234" t="str">
        <f>IF('Phase Codes'!I17="","",'Phase Codes'!I17)</f>
        <v>Cornice</v>
      </c>
      <c r="C777" s="1234"/>
      <c r="D777" s="404">
        <f t="shared" si="104"/>
        <v>0</v>
      </c>
      <c r="E777" s="405">
        <f t="shared" si="105"/>
        <v>0</v>
      </c>
      <c r="F777" s="405">
        <f t="shared" si="102"/>
        <v>0</v>
      </c>
      <c r="G777" t="s">
        <v>1319</v>
      </c>
      <c r="H777" s="121">
        <f t="shared" si="103"/>
        <v>3</v>
      </c>
      <c r="K777" s="810">
        <f t="shared" si="106"/>
        <v>0</v>
      </c>
    </row>
    <row r="778" spans="1:11" ht="18" customHeight="1" thickBot="1" x14ac:dyDescent="0.25">
      <c r="A778" s="190" t="s">
        <v>1423</v>
      </c>
      <c r="B778" s="1234" t="str">
        <f>IF('Phase Codes'!I18="","",'Phase Codes'!I18)</f>
        <v>Fascia</v>
      </c>
      <c r="C778" s="1234"/>
      <c r="D778" s="404">
        <f t="shared" si="104"/>
        <v>0</v>
      </c>
      <c r="E778" s="405">
        <f t="shared" si="105"/>
        <v>0</v>
      </c>
      <c r="F778" s="405">
        <f t="shared" si="102"/>
        <v>0</v>
      </c>
      <c r="G778" t="s">
        <v>1319</v>
      </c>
      <c r="H778" s="121">
        <f t="shared" si="103"/>
        <v>3</v>
      </c>
      <c r="K778" s="810">
        <f t="shared" si="106"/>
        <v>0</v>
      </c>
    </row>
    <row r="779" spans="1:11" ht="18" customHeight="1" thickBot="1" x14ac:dyDescent="0.25">
      <c r="A779" s="190" t="s">
        <v>1424</v>
      </c>
      <c r="B779" s="1234" t="str">
        <f>IF('Phase Codes'!I19="","",'Phase Codes'!I19)</f>
        <v>Testing and Mockups</v>
      </c>
      <c r="C779" s="1234"/>
      <c r="D779" s="404">
        <f t="shared" ref="D779:D786" si="107">SUMIFS(SM_FieldLaborColumn,PC_SM_Field,$A779)</f>
        <v>0</v>
      </c>
      <c r="E779" s="405">
        <f>SUMIFS(Takeoff_Total_Field_Labor_Cost,PC_SM_Field,$A779)</f>
        <v>0</v>
      </c>
      <c r="F779" s="405">
        <f t="shared" si="102"/>
        <v>0</v>
      </c>
      <c r="G779" t="s">
        <v>1319</v>
      </c>
      <c r="H779" s="121">
        <f t="shared" si="103"/>
        <v>3</v>
      </c>
      <c r="K779" s="810">
        <f t="shared" si="106"/>
        <v>0</v>
      </c>
    </row>
    <row r="780" spans="1:11" ht="18" customHeight="1" thickBot="1" x14ac:dyDescent="0.25">
      <c r="A780" s="190" t="s">
        <v>1425</v>
      </c>
      <c r="B780" s="1234" t="str">
        <f>IF('Phase Codes'!I20="","",'Phase Codes'!I20)</f>
        <v>Louver Installation</v>
      </c>
      <c r="C780" s="1234"/>
      <c r="D780" s="404">
        <f t="shared" si="107"/>
        <v>0</v>
      </c>
      <c r="E780" s="405">
        <f>SUMIFS(Takeoff_Total_Field_Labor_Cost,PC_SM_Field,$A780)</f>
        <v>0</v>
      </c>
      <c r="F780" s="405">
        <f t="shared" si="102"/>
        <v>0</v>
      </c>
      <c r="G780" t="s">
        <v>1319</v>
      </c>
      <c r="H780" s="121">
        <f t="shared" si="103"/>
        <v>3</v>
      </c>
      <c r="K780" s="810">
        <f t="shared" si="106"/>
        <v>0</v>
      </c>
    </row>
    <row r="781" spans="1:11" ht="18" customHeight="1" thickBot="1" x14ac:dyDescent="0.25">
      <c r="A781" s="190" t="s">
        <v>1426</v>
      </c>
      <c r="B781" s="1234" t="str">
        <f>IF('Phase Codes'!I21="","",'Phase Codes'!I21)</f>
        <v xml:space="preserve">QA/QC </v>
      </c>
      <c r="C781" s="1234"/>
      <c r="D781" s="404">
        <f t="shared" si="107"/>
        <v>0</v>
      </c>
      <c r="E781" s="405">
        <f>SUMIFS(Takeoff_Total_Field_Labor_Cost,PC_SM_Field,$A781)</f>
        <v>0</v>
      </c>
      <c r="F781" s="405">
        <f t="shared" si="102"/>
        <v>0</v>
      </c>
      <c r="G781" t="s">
        <v>1319</v>
      </c>
      <c r="H781" s="121">
        <f t="shared" si="103"/>
        <v>3</v>
      </c>
      <c r="K781" s="810">
        <f t="shared" si="106"/>
        <v>0</v>
      </c>
    </row>
    <row r="782" spans="1:11" ht="18" customHeight="1" thickBot="1" x14ac:dyDescent="0.25">
      <c r="A782" s="190" t="s">
        <v>1427</v>
      </c>
      <c r="B782" s="1234" t="str">
        <f>IF('Phase Codes'!I22="","",'Phase Codes'!I22)</f>
        <v>Material Handling</v>
      </c>
      <c r="C782" s="1234"/>
      <c r="D782" s="404">
        <f t="shared" si="107"/>
        <v>0</v>
      </c>
      <c r="E782" s="405">
        <f>SUMIFS(Takeoff_Total_Field_Labor_Cost,PC_SM_Field,$A782)</f>
        <v>0</v>
      </c>
      <c r="F782" s="405">
        <f t="shared" si="102"/>
        <v>0</v>
      </c>
      <c r="G782" t="s">
        <v>1319</v>
      </c>
      <c r="H782" s="121">
        <f t="shared" si="103"/>
        <v>3</v>
      </c>
      <c r="K782" s="810">
        <f t="shared" si="106"/>
        <v>0</v>
      </c>
    </row>
    <row r="783" spans="1:11" ht="18" customHeight="1" thickBot="1" x14ac:dyDescent="0.25">
      <c r="A783" s="190" t="s">
        <v>1428</v>
      </c>
      <c r="B783" s="1234" t="str">
        <f>IF('Phase Codes'!I23="","",'Phase Codes'!I23)</f>
        <v>Equity Fund</v>
      </c>
      <c r="C783" s="1234"/>
      <c r="D783" s="404">
        <f t="shared" si="107"/>
        <v>0</v>
      </c>
      <c r="E783" s="405">
        <f>SUMIFS(Takeoff_Total_Field_Labor_Cost,PC_SM_Field,$A783)+(ABS(WorkRecovery_Arch)*-1)</f>
        <v>0</v>
      </c>
      <c r="F783" s="405">
        <f t="shared" si="102"/>
        <v>0</v>
      </c>
      <c r="G783" t="s">
        <v>1322</v>
      </c>
      <c r="H783" s="121" t="s">
        <v>1828</v>
      </c>
      <c r="K783" s="810">
        <f t="shared" si="106"/>
        <v>0</v>
      </c>
    </row>
    <row r="784" spans="1:11" ht="18" customHeight="1" thickBot="1" x14ac:dyDescent="0.25">
      <c r="A784" s="190" t="s">
        <v>1429</v>
      </c>
      <c r="B784" s="1234" t="str">
        <f>IF('Phase Codes'!I24="","",'Phase Codes'!I24)</f>
        <v>Scope Allowance</v>
      </c>
      <c r="C784" s="1234"/>
      <c r="D784" s="404">
        <f t="shared" si="107"/>
        <v>0</v>
      </c>
      <c r="E784" s="405">
        <f t="shared" ref="E784:E814" si="108">SUMIFS(Takeoff_Total_Field_Labor_Cost,PC_SM_Field,$A784)</f>
        <v>0</v>
      </c>
      <c r="F784" s="405">
        <f t="shared" si="102"/>
        <v>0</v>
      </c>
      <c r="G784" t="s">
        <v>1319</v>
      </c>
      <c r="H784" s="121">
        <f t="shared" si="103"/>
        <v>3</v>
      </c>
      <c r="K784" s="810">
        <f t="shared" si="106"/>
        <v>0</v>
      </c>
    </row>
    <row r="785" spans="1:11" ht="18" customHeight="1" thickBot="1" x14ac:dyDescent="0.25">
      <c r="A785" s="190" t="s">
        <v>1430</v>
      </c>
      <c r="B785" s="1234" t="str">
        <f>IF('Phase Codes'!I25="","",'Phase Codes'!I25)</f>
        <v>Small Tools and Consumeables</v>
      </c>
      <c r="C785" s="1234"/>
      <c r="D785" s="404">
        <f t="shared" si="107"/>
        <v>0</v>
      </c>
      <c r="E785" s="405">
        <f t="shared" si="108"/>
        <v>0</v>
      </c>
      <c r="F785" s="405">
        <f t="shared" si="102"/>
        <v>0</v>
      </c>
      <c r="G785" t="s">
        <v>1319</v>
      </c>
      <c r="H785" s="121">
        <f t="shared" si="103"/>
        <v>3</v>
      </c>
      <c r="K785" s="810">
        <f t="shared" si="106"/>
        <v>0</v>
      </c>
    </row>
    <row r="786" spans="1:11" ht="18" customHeight="1" thickBot="1" x14ac:dyDescent="0.25">
      <c r="A786" s="190" t="s">
        <v>1431</v>
      </c>
      <c r="B786" s="1234" t="str">
        <f>IF('Phase Codes'!I26="","",'Phase Codes'!I26)</f>
        <v>Safety Time and Special Supplies</v>
      </c>
      <c r="C786" s="1234"/>
      <c r="D786" s="404">
        <f t="shared" si="107"/>
        <v>0</v>
      </c>
      <c r="E786" s="405">
        <f>SUMIFS(Takeoff_Total_Field_Labor_Cost,PC_SM_Field,$A786)</f>
        <v>0</v>
      </c>
      <c r="F786" s="405">
        <f t="shared" si="102"/>
        <v>0</v>
      </c>
      <c r="G786" t="s">
        <v>1319</v>
      </c>
      <c r="H786" s="121">
        <f t="shared" si="103"/>
        <v>3</v>
      </c>
      <c r="K786" s="810">
        <f t="shared" si="106"/>
        <v>0</v>
      </c>
    </row>
    <row r="787" spans="1:11" ht="18" customHeight="1" thickBot="1" x14ac:dyDescent="0.25">
      <c r="A787" s="190" t="s">
        <v>1432</v>
      </c>
      <c r="B787" s="1234" t="str">
        <f>IF('Phase Codes'!I27="","",'Phase Codes'!I27)</f>
        <v>Material Handling</v>
      </c>
      <c r="C787" s="1234"/>
      <c r="D787" s="404">
        <f t="shared" ref="D787:D818" si="109">SUMIFS(SM_FieldLaborColumn,PC_SM_Field,$A787)</f>
        <v>0</v>
      </c>
      <c r="E787" s="405">
        <f t="shared" si="108"/>
        <v>0</v>
      </c>
      <c r="F787" s="405">
        <f t="shared" si="102"/>
        <v>0</v>
      </c>
      <c r="G787" t="s">
        <v>1319</v>
      </c>
      <c r="H787" s="121">
        <f t="shared" si="103"/>
        <v>3</v>
      </c>
      <c r="K787" s="810">
        <f t="shared" si="106"/>
        <v>0</v>
      </c>
    </row>
    <row r="788" spans="1:11" ht="18" customHeight="1" thickBot="1" x14ac:dyDescent="0.25">
      <c r="A788" s="190" t="s">
        <v>1433</v>
      </c>
      <c r="B788" s="1234" t="str">
        <f>IF('Phase Codes'!I28="","",'Phase Codes'!I28)</f>
        <v>Specialty Rental Equipment</v>
      </c>
      <c r="C788" s="1234"/>
      <c r="D788" s="404">
        <f t="shared" si="109"/>
        <v>0</v>
      </c>
      <c r="E788" s="405">
        <f t="shared" si="108"/>
        <v>0</v>
      </c>
      <c r="F788" s="405">
        <f t="shared" si="102"/>
        <v>0</v>
      </c>
      <c r="H788" s="121" t="str">
        <f t="shared" si="103"/>
        <v/>
      </c>
      <c r="K788" s="810">
        <f t="shared" si="106"/>
        <v>0</v>
      </c>
    </row>
    <row r="789" spans="1:11" ht="18" customHeight="1" thickBot="1" x14ac:dyDescent="0.25">
      <c r="A789" s="190" t="s">
        <v>1434</v>
      </c>
      <c r="B789" s="1234" t="str">
        <f>IF('Phase Codes'!I29="","",'Phase Codes'!I29)</f>
        <v/>
      </c>
      <c r="C789" s="1234"/>
      <c r="D789" s="404">
        <f t="shared" si="109"/>
        <v>0</v>
      </c>
      <c r="E789" s="405">
        <f t="shared" si="108"/>
        <v>0</v>
      </c>
      <c r="F789" s="405">
        <f t="shared" si="102"/>
        <v>0</v>
      </c>
      <c r="H789" s="121" t="str">
        <f t="shared" si="103"/>
        <v/>
      </c>
      <c r="K789" s="810">
        <f t="shared" si="106"/>
        <v>0</v>
      </c>
    </row>
    <row r="790" spans="1:11" ht="18" customHeight="1" thickBot="1" x14ac:dyDescent="0.25">
      <c r="A790" s="190" t="s">
        <v>1435</v>
      </c>
      <c r="B790" s="1234" t="str">
        <f>IF('Phase Codes'!I30="","",'Phase Codes'!I30)</f>
        <v/>
      </c>
      <c r="C790" s="1234"/>
      <c r="D790" s="404">
        <f t="shared" si="109"/>
        <v>0</v>
      </c>
      <c r="E790" s="405">
        <f t="shared" si="108"/>
        <v>0</v>
      </c>
      <c r="F790" s="405">
        <f t="shared" si="102"/>
        <v>0</v>
      </c>
      <c r="H790" s="121" t="str">
        <f t="shared" si="103"/>
        <v/>
      </c>
      <c r="K790" s="810">
        <f t="shared" si="106"/>
        <v>0</v>
      </c>
    </row>
    <row r="791" spans="1:11" ht="18" customHeight="1" thickBot="1" x14ac:dyDescent="0.25">
      <c r="A791" s="190" t="s">
        <v>1436</v>
      </c>
      <c r="B791" s="1234" t="str">
        <f>IF('Phase Codes'!I31="","",'Phase Codes'!I31)</f>
        <v/>
      </c>
      <c r="C791" s="1234"/>
      <c r="D791" s="404">
        <f t="shared" si="109"/>
        <v>0</v>
      </c>
      <c r="E791" s="405">
        <f t="shared" si="108"/>
        <v>0</v>
      </c>
      <c r="F791" s="405">
        <f t="shared" si="102"/>
        <v>0</v>
      </c>
      <c r="H791" s="121" t="str">
        <f t="shared" si="103"/>
        <v/>
      </c>
      <c r="K791" s="810">
        <f t="shared" si="106"/>
        <v>0</v>
      </c>
    </row>
    <row r="792" spans="1:11" ht="18" customHeight="1" thickBot="1" x14ac:dyDescent="0.25">
      <c r="A792" s="190" t="s">
        <v>1437</v>
      </c>
      <c r="B792" s="1234" t="str">
        <f>IF('Phase Codes'!I32="","",'Phase Codes'!I32)</f>
        <v/>
      </c>
      <c r="C792" s="1234"/>
      <c r="D792" s="404">
        <f t="shared" si="109"/>
        <v>0</v>
      </c>
      <c r="E792" s="405">
        <f t="shared" si="108"/>
        <v>0</v>
      </c>
      <c r="F792" s="405">
        <f t="shared" si="102"/>
        <v>0</v>
      </c>
      <c r="H792" s="121" t="str">
        <f t="shared" si="103"/>
        <v/>
      </c>
      <c r="K792" s="810">
        <f t="shared" si="106"/>
        <v>0</v>
      </c>
    </row>
    <row r="793" spans="1:11" ht="18" customHeight="1" thickBot="1" x14ac:dyDescent="0.25">
      <c r="A793" s="190" t="s">
        <v>1438</v>
      </c>
      <c r="B793" s="1234" t="str">
        <f>IF('Phase Codes'!I33="","",'Phase Codes'!I33)</f>
        <v/>
      </c>
      <c r="C793" s="1234"/>
      <c r="D793" s="404">
        <f t="shared" si="109"/>
        <v>0</v>
      </c>
      <c r="E793" s="405">
        <f t="shared" si="108"/>
        <v>0</v>
      </c>
      <c r="F793" s="405">
        <f t="shared" si="102"/>
        <v>0</v>
      </c>
      <c r="H793" s="121" t="str">
        <f t="shared" si="103"/>
        <v/>
      </c>
      <c r="K793" s="810">
        <f t="shared" si="106"/>
        <v>0</v>
      </c>
    </row>
    <row r="794" spans="1:11" ht="18" customHeight="1" thickBot="1" x14ac:dyDescent="0.25">
      <c r="A794" s="190" t="s">
        <v>1439</v>
      </c>
      <c r="B794" s="1234" t="str">
        <f>IF('Phase Codes'!I34="","",'Phase Codes'!I34)</f>
        <v/>
      </c>
      <c r="C794" s="1234"/>
      <c r="D794" s="404">
        <f t="shared" si="109"/>
        <v>0</v>
      </c>
      <c r="E794" s="405">
        <f t="shared" si="108"/>
        <v>0</v>
      </c>
      <c r="F794" s="405">
        <f t="shared" si="102"/>
        <v>0</v>
      </c>
      <c r="H794" s="121" t="str">
        <f t="shared" si="103"/>
        <v/>
      </c>
      <c r="K794" s="810">
        <f t="shared" si="106"/>
        <v>0</v>
      </c>
    </row>
    <row r="795" spans="1:11" ht="18" customHeight="1" thickBot="1" x14ac:dyDescent="0.25">
      <c r="A795" s="190" t="s">
        <v>1440</v>
      </c>
      <c r="B795" s="1234" t="str">
        <f>IF('Phase Codes'!I35="","",'Phase Codes'!I35)</f>
        <v/>
      </c>
      <c r="C795" s="1234"/>
      <c r="D795" s="404">
        <f t="shared" si="109"/>
        <v>0</v>
      </c>
      <c r="E795" s="405">
        <f t="shared" si="108"/>
        <v>0</v>
      </c>
      <c r="F795" s="405">
        <f t="shared" si="102"/>
        <v>0</v>
      </c>
      <c r="H795" s="121" t="str">
        <f t="shared" si="103"/>
        <v/>
      </c>
      <c r="K795" s="810">
        <f t="shared" si="106"/>
        <v>0</v>
      </c>
    </row>
    <row r="796" spans="1:11" ht="18" customHeight="1" thickBot="1" x14ac:dyDescent="0.25">
      <c r="A796" s="190" t="s">
        <v>1441</v>
      </c>
      <c r="B796" s="1234" t="str">
        <f>IF('Phase Codes'!I36="","",'Phase Codes'!I36)</f>
        <v/>
      </c>
      <c r="C796" s="1234"/>
      <c r="D796" s="404">
        <f t="shared" si="109"/>
        <v>0</v>
      </c>
      <c r="E796" s="405">
        <f t="shared" si="108"/>
        <v>0</v>
      </c>
      <c r="F796" s="405">
        <f t="shared" si="102"/>
        <v>0</v>
      </c>
      <c r="H796" s="121" t="str">
        <f t="shared" si="103"/>
        <v/>
      </c>
      <c r="K796" s="810">
        <f t="shared" si="106"/>
        <v>0</v>
      </c>
    </row>
    <row r="797" spans="1:11" ht="18" customHeight="1" thickBot="1" x14ac:dyDescent="0.25">
      <c r="A797" s="190" t="s">
        <v>1442</v>
      </c>
      <c r="B797" s="1234" t="str">
        <f>IF('Phase Codes'!I37="","",'Phase Codes'!I37)</f>
        <v/>
      </c>
      <c r="C797" s="1234"/>
      <c r="D797" s="404">
        <f t="shared" si="109"/>
        <v>0</v>
      </c>
      <c r="E797" s="405">
        <f t="shared" si="108"/>
        <v>0</v>
      </c>
      <c r="F797" s="405">
        <f t="shared" si="102"/>
        <v>0</v>
      </c>
      <c r="H797" s="121" t="str">
        <f t="shared" si="103"/>
        <v/>
      </c>
      <c r="K797" s="810">
        <f t="shared" si="106"/>
        <v>0</v>
      </c>
    </row>
    <row r="798" spans="1:11" ht="18" customHeight="1" thickBot="1" x14ac:dyDescent="0.25">
      <c r="A798" s="190" t="s">
        <v>1443</v>
      </c>
      <c r="B798" s="1234" t="str">
        <f>IF('Phase Codes'!I38="","",'Phase Codes'!I38)</f>
        <v/>
      </c>
      <c r="C798" s="1234"/>
      <c r="D798" s="404">
        <f t="shared" si="109"/>
        <v>0</v>
      </c>
      <c r="E798" s="405">
        <f t="shared" si="108"/>
        <v>0</v>
      </c>
      <c r="F798" s="405">
        <f t="shared" si="102"/>
        <v>0</v>
      </c>
      <c r="H798" s="121" t="str">
        <f t="shared" si="103"/>
        <v/>
      </c>
      <c r="K798" s="810">
        <f t="shared" si="106"/>
        <v>0</v>
      </c>
    </row>
    <row r="799" spans="1:11" ht="18" customHeight="1" thickBot="1" x14ac:dyDescent="0.25">
      <c r="A799" s="190" t="s">
        <v>1444</v>
      </c>
      <c r="B799" s="1234" t="str">
        <f>IF('Phase Codes'!I39="","",'Phase Codes'!I39)</f>
        <v/>
      </c>
      <c r="C799" s="1234"/>
      <c r="D799" s="404">
        <f t="shared" si="109"/>
        <v>0</v>
      </c>
      <c r="E799" s="405">
        <f t="shared" si="108"/>
        <v>0</v>
      </c>
      <c r="F799" s="405">
        <f t="shared" si="102"/>
        <v>0</v>
      </c>
      <c r="H799" s="121" t="str">
        <f t="shared" si="103"/>
        <v/>
      </c>
      <c r="K799" s="810">
        <f t="shared" si="106"/>
        <v>0</v>
      </c>
    </row>
    <row r="800" spans="1:11" ht="18" customHeight="1" thickBot="1" x14ac:dyDescent="0.25">
      <c r="A800" s="190" t="s">
        <v>1445</v>
      </c>
      <c r="B800" s="1234" t="str">
        <f>IF('Phase Codes'!I40="","",'Phase Codes'!I40)</f>
        <v/>
      </c>
      <c r="C800" s="1234"/>
      <c r="D800" s="404">
        <f t="shared" si="109"/>
        <v>0</v>
      </c>
      <c r="E800" s="405">
        <f t="shared" si="108"/>
        <v>0</v>
      </c>
      <c r="F800" s="405">
        <f t="shared" si="102"/>
        <v>0</v>
      </c>
      <c r="H800" s="121" t="str">
        <f t="shared" si="103"/>
        <v/>
      </c>
      <c r="K800" s="810">
        <f t="shared" si="106"/>
        <v>0</v>
      </c>
    </row>
    <row r="801" spans="1:11" ht="18" customHeight="1" thickBot="1" x14ac:dyDescent="0.25">
      <c r="A801" s="190" t="s">
        <v>1446</v>
      </c>
      <c r="B801" s="1234" t="str">
        <f>IF('Phase Codes'!I41="","",'Phase Codes'!I41)</f>
        <v/>
      </c>
      <c r="C801" s="1234"/>
      <c r="D801" s="404">
        <f t="shared" si="109"/>
        <v>0</v>
      </c>
      <c r="E801" s="405">
        <f t="shared" si="108"/>
        <v>0</v>
      </c>
      <c r="F801" s="405">
        <f t="shared" si="102"/>
        <v>0</v>
      </c>
      <c r="H801" s="121" t="str">
        <f t="shared" si="103"/>
        <v/>
      </c>
      <c r="K801" s="810">
        <f t="shared" si="106"/>
        <v>0</v>
      </c>
    </row>
    <row r="802" spans="1:11" ht="18" customHeight="1" thickBot="1" x14ac:dyDescent="0.25">
      <c r="A802" s="190" t="s">
        <v>1447</v>
      </c>
      <c r="B802" s="1234" t="str">
        <f>IF('Phase Codes'!I42="","",'Phase Codes'!I42)</f>
        <v/>
      </c>
      <c r="C802" s="1234"/>
      <c r="D802" s="404">
        <f t="shared" si="109"/>
        <v>0</v>
      </c>
      <c r="E802" s="405">
        <f t="shared" si="108"/>
        <v>0</v>
      </c>
      <c r="F802" s="405">
        <f t="shared" si="102"/>
        <v>0</v>
      </c>
      <c r="H802" s="121" t="str">
        <f t="shared" si="103"/>
        <v/>
      </c>
      <c r="K802" s="810">
        <f t="shared" si="106"/>
        <v>0</v>
      </c>
    </row>
    <row r="803" spans="1:11" ht="18" customHeight="1" thickBot="1" x14ac:dyDescent="0.25">
      <c r="A803" s="190" t="s">
        <v>1448</v>
      </c>
      <c r="B803" s="1234" t="str">
        <f>IF('Phase Codes'!I43="","",'Phase Codes'!I43)</f>
        <v/>
      </c>
      <c r="C803" s="1234"/>
      <c r="D803" s="404">
        <f t="shared" si="109"/>
        <v>0</v>
      </c>
      <c r="E803" s="405">
        <f t="shared" si="108"/>
        <v>0</v>
      </c>
      <c r="F803" s="405">
        <f t="shared" si="102"/>
        <v>0</v>
      </c>
      <c r="H803" s="121" t="str">
        <f t="shared" si="103"/>
        <v/>
      </c>
      <c r="K803" s="810">
        <f t="shared" si="106"/>
        <v>0</v>
      </c>
    </row>
    <row r="804" spans="1:11" ht="18" customHeight="1" thickBot="1" x14ac:dyDescent="0.25">
      <c r="A804" s="190" t="s">
        <v>1449</v>
      </c>
      <c r="B804" s="1234" t="str">
        <f>IF('Phase Codes'!I44="","",'Phase Codes'!I44)</f>
        <v/>
      </c>
      <c r="C804" s="1234"/>
      <c r="D804" s="404">
        <f t="shared" si="109"/>
        <v>0</v>
      </c>
      <c r="E804" s="405">
        <f t="shared" si="108"/>
        <v>0</v>
      </c>
      <c r="F804" s="405">
        <f t="shared" si="102"/>
        <v>0</v>
      </c>
      <c r="H804" s="121" t="str">
        <f t="shared" si="103"/>
        <v/>
      </c>
      <c r="K804" s="810">
        <f t="shared" si="106"/>
        <v>0</v>
      </c>
    </row>
    <row r="805" spans="1:11" ht="18" customHeight="1" thickBot="1" x14ac:dyDescent="0.25">
      <c r="A805" s="190" t="s">
        <v>1450</v>
      </c>
      <c r="B805" s="1234" t="str">
        <f>IF('Phase Codes'!I45="","",'Phase Codes'!I45)</f>
        <v/>
      </c>
      <c r="C805" s="1234"/>
      <c r="D805" s="404">
        <f t="shared" si="109"/>
        <v>0</v>
      </c>
      <c r="E805" s="405">
        <f t="shared" si="108"/>
        <v>0</v>
      </c>
      <c r="F805" s="405">
        <f t="shared" si="102"/>
        <v>0</v>
      </c>
      <c r="H805" s="121" t="str">
        <f t="shared" si="103"/>
        <v/>
      </c>
      <c r="K805" s="810">
        <f t="shared" si="106"/>
        <v>0</v>
      </c>
    </row>
    <row r="806" spans="1:11" ht="18" customHeight="1" thickBot="1" x14ac:dyDescent="0.25">
      <c r="A806" s="190" t="s">
        <v>1451</v>
      </c>
      <c r="B806" s="1234" t="str">
        <f>IF('Phase Codes'!I46="","",'Phase Codes'!I46)</f>
        <v/>
      </c>
      <c r="C806" s="1234"/>
      <c r="D806" s="404">
        <f t="shared" si="109"/>
        <v>0</v>
      </c>
      <c r="E806" s="405">
        <f t="shared" si="108"/>
        <v>0</v>
      </c>
      <c r="F806" s="405">
        <f t="shared" si="102"/>
        <v>0</v>
      </c>
      <c r="H806" s="121" t="str">
        <f t="shared" si="103"/>
        <v/>
      </c>
      <c r="K806" s="810">
        <f t="shared" si="106"/>
        <v>0</v>
      </c>
    </row>
    <row r="807" spans="1:11" ht="18" customHeight="1" thickBot="1" x14ac:dyDescent="0.25">
      <c r="A807" s="190" t="s">
        <v>1452</v>
      </c>
      <c r="B807" s="1234" t="str">
        <f>IF('Phase Codes'!I47="","",'Phase Codes'!I47)</f>
        <v/>
      </c>
      <c r="C807" s="1234"/>
      <c r="D807" s="404">
        <f t="shared" si="109"/>
        <v>0</v>
      </c>
      <c r="E807" s="405">
        <f t="shared" si="108"/>
        <v>0</v>
      </c>
      <c r="F807" s="405">
        <f t="shared" si="102"/>
        <v>0</v>
      </c>
      <c r="H807" s="121" t="str">
        <f t="shared" si="103"/>
        <v/>
      </c>
      <c r="K807" s="810">
        <f t="shared" si="106"/>
        <v>0</v>
      </c>
    </row>
    <row r="808" spans="1:11" ht="18" customHeight="1" thickBot="1" x14ac:dyDescent="0.25">
      <c r="A808" s="190" t="s">
        <v>1453</v>
      </c>
      <c r="B808" s="1234" t="str">
        <f>IF('Phase Codes'!I48="","",'Phase Codes'!I48)</f>
        <v/>
      </c>
      <c r="C808" s="1234"/>
      <c r="D808" s="404">
        <f t="shared" si="109"/>
        <v>0</v>
      </c>
      <c r="E808" s="405">
        <f t="shared" si="108"/>
        <v>0</v>
      </c>
      <c r="F808" s="405">
        <f t="shared" si="102"/>
        <v>0</v>
      </c>
      <c r="H808" s="121" t="str">
        <f t="shared" si="103"/>
        <v/>
      </c>
      <c r="K808" s="810">
        <f t="shared" si="106"/>
        <v>0</v>
      </c>
    </row>
    <row r="809" spans="1:11" ht="18" customHeight="1" thickBot="1" x14ac:dyDescent="0.25">
      <c r="A809" s="190" t="s">
        <v>1454</v>
      </c>
      <c r="B809" s="1234" t="str">
        <f>IF('Phase Codes'!I49="","",'Phase Codes'!I49)</f>
        <v/>
      </c>
      <c r="C809" s="1234"/>
      <c r="D809" s="404">
        <f t="shared" si="109"/>
        <v>0</v>
      </c>
      <c r="E809" s="405">
        <f t="shared" si="108"/>
        <v>0</v>
      </c>
      <c r="F809" s="405">
        <f t="shared" si="102"/>
        <v>0</v>
      </c>
      <c r="H809" s="121" t="str">
        <f t="shared" si="103"/>
        <v/>
      </c>
      <c r="K809" s="810">
        <f t="shared" si="106"/>
        <v>0</v>
      </c>
    </row>
    <row r="810" spans="1:11" ht="18" customHeight="1" thickBot="1" x14ac:dyDescent="0.25">
      <c r="A810" s="190" t="s">
        <v>1455</v>
      </c>
      <c r="B810" s="1234" t="str">
        <f>IF('Phase Codes'!I50="","",'Phase Codes'!I50)</f>
        <v/>
      </c>
      <c r="C810" s="1234"/>
      <c r="D810" s="404">
        <f t="shared" si="109"/>
        <v>0</v>
      </c>
      <c r="E810" s="405">
        <f t="shared" si="108"/>
        <v>0</v>
      </c>
      <c r="F810" s="405">
        <f t="shared" si="102"/>
        <v>0</v>
      </c>
      <c r="H810" s="121" t="str">
        <f t="shared" si="103"/>
        <v/>
      </c>
      <c r="K810" s="810">
        <f t="shared" si="106"/>
        <v>0</v>
      </c>
    </row>
    <row r="811" spans="1:11" ht="18" customHeight="1" thickBot="1" x14ac:dyDescent="0.25">
      <c r="A811" s="190" t="s">
        <v>1456</v>
      </c>
      <c r="B811" s="1234" t="str">
        <f>IF('Phase Codes'!I51="","",'Phase Codes'!I51)</f>
        <v/>
      </c>
      <c r="C811" s="1234"/>
      <c r="D811" s="404">
        <f t="shared" si="109"/>
        <v>0</v>
      </c>
      <c r="E811" s="405">
        <f t="shared" si="108"/>
        <v>0</v>
      </c>
      <c r="F811" s="405">
        <f t="shared" si="102"/>
        <v>0</v>
      </c>
      <c r="H811" s="121" t="str">
        <f t="shared" si="103"/>
        <v/>
      </c>
      <c r="K811" s="810">
        <f t="shared" si="106"/>
        <v>0</v>
      </c>
    </row>
    <row r="812" spans="1:11" ht="18" customHeight="1" thickBot="1" x14ac:dyDescent="0.25">
      <c r="A812" s="190" t="s">
        <v>1457</v>
      </c>
      <c r="B812" s="1234" t="str">
        <f>IF('Phase Codes'!I52="","",'Phase Codes'!I52)</f>
        <v/>
      </c>
      <c r="C812" s="1234"/>
      <c r="D812" s="404">
        <f t="shared" si="109"/>
        <v>0</v>
      </c>
      <c r="E812" s="405">
        <f t="shared" si="108"/>
        <v>0</v>
      </c>
      <c r="F812" s="405">
        <f t="shared" si="102"/>
        <v>0</v>
      </c>
      <c r="H812" s="121" t="str">
        <f t="shared" si="103"/>
        <v/>
      </c>
      <c r="K812" s="810">
        <f t="shared" si="106"/>
        <v>0</v>
      </c>
    </row>
    <row r="813" spans="1:11" ht="18" customHeight="1" thickBot="1" x14ac:dyDescent="0.25">
      <c r="A813" s="190" t="s">
        <v>1458</v>
      </c>
      <c r="B813" s="1234" t="str">
        <f>IF('Phase Codes'!I53="","",'Phase Codes'!I53)</f>
        <v/>
      </c>
      <c r="C813" s="1234"/>
      <c r="D813" s="404">
        <f t="shared" si="109"/>
        <v>0</v>
      </c>
      <c r="E813" s="405">
        <f t="shared" si="108"/>
        <v>0</v>
      </c>
      <c r="F813" s="405">
        <f t="shared" si="102"/>
        <v>0</v>
      </c>
      <c r="H813" s="121" t="str">
        <f t="shared" si="103"/>
        <v/>
      </c>
      <c r="K813" s="810">
        <f t="shared" si="106"/>
        <v>0</v>
      </c>
    </row>
    <row r="814" spans="1:11" ht="18" customHeight="1" thickBot="1" x14ac:dyDescent="0.25">
      <c r="A814" s="190" t="s">
        <v>1459</v>
      </c>
      <c r="B814" s="1234" t="str">
        <f>IF('Phase Codes'!I54="","",'Phase Codes'!I54)</f>
        <v/>
      </c>
      <c r="C814" s="1234"/>
      <c r="D814" s="404">
        <f t="shared" si="109"/>
        <v>0</v>
      </c>
      <c r="E814" s="405">
        <f t="shared" si="108"/>
        <v>0</v>
      </c>
      <c r="F814" s="405">
        <f t="shared" si="102"/>
        <v>0</v>
      </c>
      <c r="H814" s="121" t="str">
        <f t="shared" si="103"/>
        <v/>
      </c>
      <c r="K814" s="810">
        <f t="shared" si="106"/>
        <v>0</v>
      </c>
    </row>
    <row r="815" spans="1:11" ht="18" customHeight="1" thickBot="1" x14ac:dyDescent="0.25">
      <c r="A815" s="190" t="s">
        <v>1460</v>
      </c>
      <c r="B815" s="1234" t="str">
        <f>IF('Phase Codes'!I55="","",'Phase Codes'!I55)</f>
        <v/>
      </c>
      <c r="C815" s="1234"/>
      <c r="D815" s="404">
        <f t="shared" si="109"/>
        <v>0</v>
      </c>
      <c r="E815" s="405">
        <f t="shared" ref="E815:E846" si="110">SUMIFS(Takeoff_Total_Field_Labor_Cost,PC_SM_Field,$A815)</f>
        <v>0</v>
      </c>
      <c r="F815" s="405">
        <f t="shared" si="102"/>
        <v>0</v>
      </c>
      <c r="H815" s="121" t="str">
        <f t="shared" si="103"/>
        <v/>
      </c>
      <c r="K815" s="810">
        <f t="shared" si="106"/>
        <v>0</v>
      </c>
    </row>
    <row r="816" spans="1:11" ht="18" customHeight="1" thickBot="1" x14ac:dyDescent="0.25">
      <c r="A816" s="190" t="s">
        <v>1461</v>
      </c>
      <c r="B816" s="1234" t="str">
        <f>IF('Phase Codes'!I56="","",'Phase Codes'!I56)</f>
        <v/>
      </c>
      <c r="C816" s="1234"/>
      <c r="D816" s="404">
        <f t="shared" si="109"/>
        <v>0</v>
      </c>
      <c r="E816" s="405">
        <f t="shared" si="110"/>
        <v>0</v>
      </c>
      <c r="F816" s="405">
        <f t="shared" si="102"/>
        <v>0</v>
      </c>
      <c r="H816" s="121" t="str">
        <f t="shared" si="103"/>
        <v/>
      </c>
      <c r="K816" s="810">
        <f t="shared" si="106"/>
        <v>0</v>
      </c>
    </row>
    <row r="817" spans="1:11" ht="18" customHeight="1" thickBot="1" x14ac:dyDescent="0.25">
      <c r="A817" s="190" t="s">
        <v>1462</v>
      </c>
      <c r="B817" s="1234" t="str">
        <f>IF('Phase Codes'!I57="","",'Phase Codes'!I57)</f>
        <v/>
      </c>
      <c r="C817" s="1234"/>
      <c r="D817" s="404">
        <f t="shared" si="109"/>
        <v>0</v>
      </c>
      <c r="E817" s="405">
        <f t="shared" si="110"/>
        <v>0</v>
      </c>
      <c r="F817" s="405">
        <f t="shared" si="102"/>
        <v>0</v>
      </c>
      <c r="H817" s="121" t="str">
        <f t="shared" si="103"/>
        <v/>
      </c>
      <c r="K817" s="810">
        <f t="shared" si="106"/>
        <v>0</v>
      </c>
    </row>
    <row r="818" spans="1:11" ht="18" customHeight="1" thickBot="1" x14ac:dyDescent="0.25">
      <c r="A818" s="190" t="s">
        <v>1463</v>
      </c>
      <c r="B818" s="1234" t="str">
        <f>IF('Phase Codes'!I58="","",'Phase Codes'!I58)</f>
        <v/>
      </c>
      <c r="C818" s="1234"/>
      <c r="D818" s="404">
        <f t="shared" si="109"/>
        <v>0</v>
      </c>
      <c r="E818" s="405">
        <f t="shared" si="110"/>
        <v>0</v>
      </c>
      <c r="F818" s="405">
        <f t="shared" si="102"/>
        <v>0</v>
      </c>
      <c r="H818" s="121" t="str">
        <f t="shared" si="103"/>
        <v/>
      </c>
      <c r="K818" s="810">
        <f t="shared" si="106"/>
        <v>0</v>
      </c>
    </row>
    <row r="819" spans="1:11" ht="18" customHeight="1" thickBot="1" x14ac:dyDescent="0.25">
      <c r="A819" s="190" t="s">
        <v>1464</v>
      </c>
      <c r="B819" s="1234" t="str">
        <f>IF('Phase Codes'!I59="","",'Phase Codes'!I59)</f>
        <v/>
      </c>
      <c r="C819" s="1234"/>
      <c r="D819" s="404">
        <f t="shared" ref="D819:D850" si="111">SUMIFS(SM_FieldLaborColumn,PC_SM_Field,$A819)</f>
        <v>0</v>
      </c>
      <c r="E819" s="405">
        <f t="shared" si="110"/>
        <v>0</v>
      </c>
      <c r="F819" s="405">
        <f t="shared" si="102"/>
        <v>0</v>
      </c>
      <c r="H819" s="121" t="str">
        <f t="shared" si="103"/>
        <v/>
      </c>
      <c r="K819" s="810">
        <f t="shared" si="106"/>
        <v>0</v>
      </c>
    </row>
    <row r="820" spans="1:11" ht="18" customHeight="1" thickBot="1" x14ac:dyDescent="0.25">
      <c r="A820" s="190" t="s">
        <v>1465</v>
      </c>
      <c r="B820" s="1234" t="str">
        <f>IF('Phase Codes'!I60="","",'Phase Codes'!I60)</f>
        <v/>
      </c>
      <c r="C820" s="1234"/>
      <c r="D820" s="404">
        <f t="shared" si="111"/>
        <v>0</v>
      </c>
      <c r="E820" s="405">
        <f t="shared" si="110"/>
        <v>0</v>
      </c>
      <c r="F820" s="405">
        <f t="shared" si="102"/>
        <v>0</v>
      </c>
      <c r="H820" s="121" t="str">
        <f t="shared" si="103"/>
        <v/>
      </c>
      <c r="K820" s="810">
        <f t="shared" si="106"/>
        <v>0</v>
      </c>
    </row>
    <row r="821" spans="1:11" ht="18" customHeight="1" thickBot="1" x14ac:dyDescent="0.25">
      <c r="A821" s="190" t="s">
        <v>1466</v>
      </c>
      <c r="B821" s="1234" t="str">
        <f>IF('Phase Codes'!I61="","",'Phase Codes'!I61)</f>
        <v/>
      </c>
      <c r="C821" s="1234"/>
      <c r="D821" s="404">
        <f t="shared" si="111"/>
        <v>0</v>
      </c>
      <c r="E821" s="405">
        <f t="shared" si="110"/>
        <v>0</v>
      </c>
      <c r="F821" s="405">
        <f t="shared" si="102"/>
        <v>0</v>
      </c>
      <c r="H821" s="121" t="str">
        <f t="shared" si="103"/>
        <v/>
      </c>
      <c r="K821" s="810">
        <f t="shared" si="106"/>
        <v>0</v>
      </c>
    </row>
    <row r="822" spans="1:11" ht="18" customHeight="1" thickBot="1" x14ac:dyDescent="0.25">
      <c r="A822" s="190" t="s">
        <v>1467</v>
      </c>
      <c r="B822" s="1234" t="str">
        <f>IF('Phase Codes'!I62="","",'Phase Codes'!I62)</f>
        <v/>
      </c>
      <c r="C822" s="1234"/>
      <c r="D822" s="404">
        <f t="shared" si="111"/>
        <v>0</v>
      </c>
      <c r="E822" s="405">
        <f t="shared" si="110"/>
        <v>0</v>
      </c>
      <c r="F822" s="405">
        <f t="shared" si="102"/>
        <v>0</v>
      </c>
      <c r="H822" s="121" t="str">
        <f t="shared" si="103"/>
        <v/>
      </c>
      <c r="K822" s="810">
        <f t="shared" si="106"/>
        <v>0</v>
      </c>
    </row>
    <row r="823" spans="1:11" ht="18" customHeight="1" thickBot="1" x14ac:dyDescent="0.25">
      <c r="A823" s="190" t="s">
        <v>1468</v>
      </c>
      <c r="B823" s="1234" t="str">
        <f>IF('Phase Codes'!I63="","",'Phase Codes'!I63)</f>
        <v/>
      </c>
      <c r="C823" s="1234"/>
      <c r="D823" s="404">
        <f t="shared" si="111"/>
        <v>0</v>
      </c>
      <c r="E823" s="405">
        <f t="shared" si="110"/>
        <v>0</v>
      </c>
      <c r="F823" s="405">
        <f t="shared" si="102"/>
        <v>0</v>
      </c>
      <c r="H823" s="121" t="str">
        <f t="shared" si="103"/>
        <v/>
      </c>
      <c r="K823" s="810">
        <f t="shared" si="106"/>
        <v>0</v>
      </c>
    </row>
    <row r="824" spans="1:11" ht="18" customHeight="1" thickBot="1" x14ac:dyDescent="0.25">
      <c r="A824" s="190" t="s">
        <v>1469</v>
      </c>
      <c r="B824" s="1234" t="str">
        <f>IF('Phase Codes'!I64="","",'Phase Codes'!I64)</f>
        <v/>
      </c>
      <c r="C824" s="1234"/>
      <c r="D824" s="404">
        <f t="shared" si="111"/>
        <v>0</v>
      </c>
      <c r="E824" s="405">
        <f t="shared" si="110"/>
        <v>0</v>
      </c>
      <c r="F824" s="405">
        <f t="shared" si="102"/>
        <v>0</v>
      </c>
      <c r="H824" s="121" t="str">
        <f t="shared" si="103"/>
        <v/>
      </c>
      <c r="K824" s="810">
        <f t="shared" si="106"/>
        <v>0</v>
      </c>
    </row>
    <row r="825" spans="1:11" ht="18" customHeight="1" thickBot="1" x14ac:dyDescent="0.25">
      <c r="A825" s="190" t="s">
        <v>1470</v>
      </c>
      <c r="B825" s="1234" t="str">
        <f>IF('Phase Codes'!I65="","",'Phase Codes'!I65)</f>
        <v/>
      </c>
      <c r="C825" s="1234"/>
      <c r="D825" s="404">
        <f t="shared" si="111"/>
        <v>0</v>
      </c>
      <c r="E825" s="405">
        <f t="shared" si="110"/>
        <v>0</v>
      </c>
      <c r="F825" s="405">
        <f t="shared" si="102"/>
        <v>0</v>
      </c>
      <c r="H825" s="121" t="str">
        <f t="shared" si="103"/>
        <v/>
      </c>
      <c r="K825" s="810">
        <f t="shared" si="106"/>
        <v>0</v>
      </c>
    </row>
    <row r="826" spans="1:11" ht="18" customHeight="1" thickBot="1" x14ac:dyDescent="0.25">
      <c r="A826" s="190" t="s">
        <v>1471</v>
      </c>
      <c r="B826" s="1234" t="str">
        <f>IF('Phase Codes'!I66="","",'Phase Codes'!I66)</f>
        <v/>
      </c>
      <c r="C826" s="1234"/>
      <c r="D826" s="404">
        <f t="shared" si="111"/>
        <v>0</v>
      </c>
      <c r="E826" s="405">
        <f t="shared" si="110"/>
        <v>0</v>
      </c>
      <c r="F826" s="405">
        <f t="shared" si="102"/>
        <v>0</v>
      </c>
      <c r="H826" s="121" t="str">
        <f t="shared" si="103"/>
        <v/>
      </c>
      <c r="K826" s="810">
        <f t="shared" si="106"/>
        <v>0</v>
      </c>
    </row>
    <row r="827" spans="1:11" ht="18" customHeight="1" thickBot="1" x14ac:dyDescent="0.25">
      <c r="A827" s="190" t="s">
        <v>1472</v>
      </c>
      <c r="B827" s="1234" t="str">
        <f>IF('Phase Codes'!I67="","",'Phase Codes'!I67)</f>
        <v/>
      </c>
      <c r="C827" s="1234"/>
      <c r="D827" s="404">
        <f t="shared" si="111"/>
        <v>0</v>
      </c>
      <c r="E827" s="405">
        <f t="shared" si="110"/>
        <v>0</v>
      </c>
      <c r="F827" s="405">
        <f t="shared" si="102"/>
        <v>0</v>
      </c>
      <c r="H827" s="121" t="str">
        <f t="shared" si="103"/>
        <v/>
      </c>
      <c r="K827" s="810">
        <f t="shared" si="106"/>
        <v>0</v>
      </c>
    </row>
    <row r="828" spans="1:11" ht="18" customHeight="1" thickBot="1" x14ac:dyDescent="0.25">
      <c r="A828" s="190" t="s">
        <v>1473</v>
      </c>
      <c r="B828" s="1234" t="str">
        <f>IF('Phase Codes'!I68="","",'Phase Codes'!I68)</f>
        <v/>
      </c>
      <c r="C828" s="1234"/>
      <c r="D828" s="404">
        <f t="shared" si="111"/>
        <v>0</v>
      </c>
      <c r="E828" s="405">
        <f t="shared" si="110"/>
        <v>0</v>
      </c>
      <c r="F828" s="405">
        <f t="shared" ref="F828:F862" si="112">SUMIFS(SM_MaterialColumn,PC_SM_Material,$A828)</f>
        <v>0</v>
      </c>
      <c r="H828" s="121" t="str">
        <f t="shared" ref="H828:H862" si="113">IF($G828="E",6,IF($G828="M",3,IF($G828="OH","?",IF($G828="OT",7,IF($G828="S",4,"")))))</f>
        <v/>
      </c>
      <c r="K828" s="810">
        <f t="shared" si="106"/>
        <v>0</v>
      </c>
    </row>
    <row r="829" spans="1:11" ht="18" customHeight="1" thickBot="1" x14ac:dyDescent="0.25">
      <c r="A829" s="190" t="s">
        <v>1474</v>
      </c>
      <c r="B829" s="1234" t="str">
        <f>IF('Phase Codes'!I69="","",'Phase Codes'!I69)</f>
        <v/>
      </c>
      <c r="C829" s="1234"/>
      <c r="D829" s="404">
        <f t="shared" si="111"/>
        <v>0</v>
      </c>
      <c r="E829" s="405">
        <f t="shared" si="110"/>
        <v>0</v>
      </c>
      <c r="F829" s="405">
        <f t="shared" si="112"/>
        <v>0</v>
      </c>
      <c r="H829" s="121" t="str">
        <f t="shared" si="113"/>
        <v/>
      </c>
      <c r="K829" s="810">
        <f t="shared" ref="K829:K863" si="114">SUM(D829:F829)</f>
        <v>0</v>
      </c>
    </row>
    <row r="830" spans="1:11" ht="18" customHeight="1" thickBot="1" x14ac:dyDescent="0.25">
      <c r="A830" s="190" t="s">
        <v>1475</v>
      </c>
      <c r="B830" s="1234" t="str">
        <f>IF('Phase Codes'!I70="","",'Phase Codes'!I70)</f>
        <v/>
      </c>
      <c r="C830" s="1234"/>
      <c r="D830" s="404">
        <f t="shared" si="111"/>
        <v>0</v>
      </c>
      <c r="E830" s="405">
        <f t="shared" si="110"/>
        <v>0</v>
      </c>
      <c r="F830" s="405">
        <f t="shared" si="112"/>
        <v>0</v>
      </c>
      <c r="H830" s="121" t="str">
        <f t="shared" si="113"/>
        <v/>
      </c>
      <c r="K830" s="810">
        <f t="shared" si="114"/>
        <v>0</v>
      </c>
    </row>
    <row r="831" spans="1:11" ht="18" customHeight="1" thickBot="1" x14ac:dyDescent="0.25">
      <c r="A831" s="190" t="s">
        <v>1476</v>
      </c>
      <c r="B831" s="1234" t="str">
        <f>IF('Phase Codes'!I71="","",'Phase Codes'!I71)</f>
        <v/>
      </c>
      <c r="C831" s="1234"/>
      <c r="D831" s="404">
        <f t="shared" si="111"/>
        <v>0</v>
      </c>
      <c r="E831" s="405">
        <f t="shared" si="110"/>
        <v>0</v>
      </c>
      <c r="F831" s="405">
        <f t="shared" si="112"/>
        <v>0</v>
      </c>
      <c r="H831" s="121" t="str">
        <f t="shared" si="113"/>
        <v/>
      </c>
      <c r="K831" s="810">
        <f t="shared" si="114"/>
        <v>0</v>
      </c>
    </row>
    <row r="832" spans="1:11" ht="18" customHeight="1" thickBot="1" x14ac:dyDescent="0.25">
      <c r="A832" s="190" t="s">
        <v>1477</v>
      </c>
      <c r="B832" s="1234" t="str">
        <f>IF('Phase Codes'!I72="","",'Phase Codes'!I72)</f>
        <v/>
      </c>
      <c r="C832" s="1234"/>
      <c r="D832" s="404">
        <f t="shared" si="111"/>
        <v>0</v>
      </c>
      <c r="E832" s="405">
        <f t="shared" si="110"/>
        <v>0</v>
      </c>
      <c r="F832" s="405">
        <f t="shared" si="112"/>
        <v>0</v>
      </c>
      <c r="H832" s="121" t="str">
        <f t="shared" si="113"/>
        <v/>
      </c>
      <c r="K832" s="810">
        <f t="shared" si="114"/>
        <v>0</v>
      </c>
    </row>
    <row r="833" spans="1:11" ht="18" customHeight="1" thickBot="1" x14ac:dyDescent="0.25">
      <c r="A833" s="190" t="s">
        <v>1478</v>
      </c>
      <c r="B833" s="1234" t="str">
        <f>IF('Phase Codes'!I73="","",'Phase Codes'!I73)</f>
        <v/>
      </c>
      <c r="C833" s="1234"/>
      <c r="D833" s="404">
        <f t="shared" si="111"/>
        <v>0</v>
      </c>
      <c r="E833" s="405">
        <f t="shared" si="110"/>
        <v>0</v>
      </c>
      <c r="F833" s="405">
        <f t="shared" si="112"/>
        <v>0</v>
      </c>
      <c r="H833" s="121" t="str">
        <f t="shared" si="113"/>
        <v/>
      </c>
      <c r="K833" s="810">
        <f t="shared" si="114"/>
        <v>0</v>
      </c>
    </row>
    <row r="834" spans="1:11" ht="18" customHeight="1" thickBot="1" x14ac:dyDescent="0.25">
      <c r="A834" s="190" t="s">
        <v>1479</v>
      </c>
      <c r="B834" s="1234" t="str">
        <f>IF('Phase Codes'!I74="","",'Phase Codes'!I74)</f>
        <v/>
      </c>
      <c r="C834" s="1234"/>
      <c r="D834" s="404">
        <f t="shared" si="111"/>
        <v>0</v>
      </c>
      <c r="E834" s="405">
        <f t="shared" si="110"/>
        <v>0</v>
      </c>
      <c r="F834" s="405">
        <f t="shared" si="112"/>
        <v>0</v>
      </c>
      <c r="H834" s="121" t="str">
        <f t="shared" si="113"/>
        <v/>
      </c>
      <c r="K834" s="810">
        <f t="shared" si="114"/>
        <v>0</v>
      </c>
    </row>
    <row r="835" spans="1:11" ht="18" customHeight="1" thickBot="1" x14ac:dyDescent="0.25">
      <c r="A835" s="190" t="s">
        <v>1480</v>
      </c>
      <c r="B835" s="1234" t="str">
        <f>IF('Phase Codes'!I75="","",'Phase Codes'!I75)</f>
        <v/>
      </c>
      <c r="C835" s="1234"/>
      <c r="D835" s="404">
        <f t="shared" si="111"/>
        <v>0</v>
      </c>
      <c r="E835" s="405">
        <f t="shared" si="110"/>
        <v>0</v>
      </c>
      <c r="F835" s="405">
        <f t="shared" si="112"/>
        <v>0</v>
      </c>
      <c r="H835" s="121" t="str">
        <f t="shared" si="113"/>
        <v/>
      </c>
      <c r="K835" s="810">
        <f t="shared" si="114"/>
        <v>0</v>
      </c>
    </row>
    <row r="836" spans="1:11" ht="18" customHeight="1" thickBot="1" x14ac:dyDescent="0.25">
      <c r="A836" s="190" t="s">
        <v>1481</v>
      </c>
      <c r="B836" s="1234" t="str">
        <f>IF('Phase Codes'!I76="","",'Phase Codes'!I76)</f>
        <v/>
      </c>
      <c r="C836" s="1234"/>
      <c r="D836" s="404">
        <f t="shared" si="111"/>
        <v>0</v>
      </c>
      <c r="E836" s="405">
        <f t="shared" si="110"/>
        <v>0</v>
      </c>
      <c r="F836" s="405">
        <f t="shared" si="112"/>
        <v>0</v>
      </c>
      <c r="H836" s="121" t="str">
        <f t="shared" si="113"/>
        <v/>
      </c>
      <c r="K836" s="810">
        <f t="shared" si="114"/>
        <v>0</v>
      </c>
    </row>
    <row r="837" spans="1:11" ht="18" customHeight="1" thickBot="1" x14ac:dyDescent="0.25">
      <c r="A837" s="190" t="s">
        <v>1482</v>
      </c>
      <c r="B837" s="1234" t="str">
        <f>IF('Phase Codes'!I77="","",'Phase Codes'!I77)</f>
        <v/>
      </c>
      <c r="C837" s="1234"/>
      <c r="D837" s="404">
        <f t="shared" si="111"/>
        <v>0</v>
      </c>
      <c r="E837" s="405">
        <f t="shared" si="110"/>
        <v>0</v>
      </c>
      <c r="F837" s="405">
        <f t="shared" si="112"/>
        <v>0</v>
      </c>
      <c r="H837" s="121" t="str">
        <f t="shared" si="113"/>
        <v/>
      </c>
      <c r="K837" s="810">
        <f t="shared" si="114"/>
        <v>0</v>
      </c>
    </row>
    <row r="838" spans="1:11" ht="18" customHeight="1" thickBot="1" x14ac:dyDescent="0.25">
      <c r="A838" s="190" t="s">
        <v>1483</v>
      </c>
      <c r="B838" s="1234" t="str">
        <f>IF('Phase Codes'!I78="","",'Phase Codes'!I78)</f>
        <v/>
      </c>
      <c r="C838" s="1234"/>
      <c r="D838" s="404">
        <f t="shared" si="111"/>
        <v>0</v>
      </c>
      <c r="E838" s="405">
        <f t="shared" si="110"/>
        <v>0</v>
      </c>
      <c r="F838" s="405">
        <f t="shared" si="112"/>
        <v>0</v>
      </c>
      <c r="H838" s="121" t="str">
        <f t="shared" si="113"/>
        <v/>
      </c>
      <c r="K838" s="810">
        <f t="shared" si="114"/>
        <v>0</v>
      </c>
    </row>
    <row r="839" spans="1:11" ht="18" customHeight="1" thickBot="1" x14ac:dyDescent="0.25">
      <c r="A839" s="190" t="s">
        <v>1484</v>
      </c>
      <c r="B839" s="1234" t="str">
        <f>IF('Phase Codes'!I79="","",'Phase Codes'!I79)</f>
        <v/>
      </c>
      <c r="C839" s="1234"/>
      <c r="D839" s="404">
        <f t="shared" si="111"/>
        <v>0</v>
      </c>
      <c r="E839" s="405">
        <f t="shared" si="110"/>
        <v>0</v>
      </c>
      <c r="F839" s="405">
        <f t="shared" si="112"/>
        <v>0</v>
      </c>
      <c r="H839" s="121" t="str">
        <f t="shared" si="113"/>
        <v/>
      </c>
      <c r="K839" s="810">
        <f t="shared" si="114"/>
        <v>0</v>
      </c>
    </row>
    <row r="840" spans="1:11" ht="18" customHeight="1" thickBot="1" x14ac:dyDescent="0.25">
      <c r="A840" s="190" t="s">
        <v>1485</v>
      </c>
      <c r="B840" s="1234" t="str">
        <f>IF('Phase Codes'!I80="","",'Phase Codes'!I80)</f>
        <v/>
      </c>
      <c r="C840" s="1234"/>
      <c r="D840" s="404">
        <f t="shared" si="111"/>
        <v>0</v>
      </c>
      <c r="E840" s="405">
        <f t="shared" si="110"/>
        <v>0</v>
      </c>
      <c r="F840" s="405">
        <f t="shared" si="112"/>
        <v>0</v>
      </c>
      <c r="H840" s="121" t="str">
        <f t="shared" si="113"/>
        <v/>
      </c>
      <c r="K840" s="810">
        <f t="shared" si="114"/>
        <v>0</v>
      </c>
    </row>
    <row r="841" spans="1:11" ht="18" customHeight="1" thickBot="1" x14ac:dyDescent="0.25">
      <c r="A841" s="190" t="s">
        <v>1486</v>
      </c>
      <c r="B841" s="1234" t="str">
        <f>IF('Phase Codes'!I81="","",'Phase Codes'!I81)</f>
        <v/>
      </c>
      <c r="C841" s="1234"/>
      <c r="D841" s="404">
        <f t="shared" si="111"/>
        <v>0</v>
      </c>
      <c r="E841" s="405">
        <f t="shared" si="110"/>
        <v>0</v>
      </c>
      <c r="F841" s="405">
        <f t="shared" si="112"/>
        <v>0</v>
      </c>
      <c r="H841" s="121" t="str">
        <f t="shared" si="113"/>
        <v/>
      </c>
      <c r="K841" s="810">
        <f t="shared" si="114"/>
        <v>0</v>
      </c>
    </row>
    <row r="842" spans="1:11" ht="18" customHeight="1" thickBot="1" x14ac:dyDescent="0.25">
      <c r="A842" s="190" t="s">
        <v>1487</v>
      </c>
      <c r="B842" s="1234" t="str">
        <f>IF('Phase Codes'!I82="","",'Phase Codes'!I82)</f>
        <v/>
      </c>
      <c r="C842" s="1234"/>
      <c r="D842" s="404">
        <f t="shared" si="111"/>
        <v>0</v>
      </c>
      <c r="E842" s="405">
        <f t="shared" si="110"/>
        <v>0</v>
      </c>
      <c r="F842" s="405">
        <f t="shared" si="112"/>
        <v>0</v>
      </c>
      <c r="H842" s="121" t="str">
        <f t="shared" si="113"/>
        <v/>
      </c>
      <c r="K842" s="810">
        <f t="shared" si="114"/>
        <v>0</v>
      </c>
    </row>
    <row r="843" spans="1:11" ht="18" customHeight="1" thickBot="1" x14ac:dyDescent="0.25">
      <c r="A843" s="190" t="s">
        <v>1488</v>
      </c>
      <c r="B843" s="1234" t="str">
        <f>IF('Phase Codes'!I83="","",'Phase Codes'!I83)</f>
        <v/>
      </c>
      <c r="C843" s="1234"/>
      <c r="D843" s="404">
        <f t="shared" si="111"/>
        <v>0</v>
      </c>
      <c r="E843" s="405">
        <f t="shared" si="110"/>
        <v>0</v>
      </c>
      <c r="F843" s="405">
        <f t="shared" si="112"/>
        <v>0</v>
      </c>
      <c r="H843" s="121" t="str">
        <f t="shared" si="113"/>
        <v/>
      </c>
      <c r="K843" s="810">
        <f t="shared" si="114"/>
        <v>0</v>
      </c>
    </row>
    <row r="844" spans="1:11" ht="18" customHeight="1" thickBot="1" x14ac:dyDescent="0.25">
      <c r="A844" s="190" t="s">
        <v>1489</v>
      </c>
      <c r="B844" s="1234" t="str">
        <f>IF('Phase Codes'!I84="","",'Phase Codes'!I84)</f>
        <v/>
      </c>
      <c r="C844" s="1234"/>
      <c r="D844" s="404">
        <f t="shared" si="111"/>
        <v>0</v>
      </c>
      <c r="E844" s="405">
        <f t="shared" si="110"/>
        <v>0</v>
      </c>
      <c r="F844" s="405">
        <f t="shared" si="112"/>
        <v>0</v>
      </c>
      <c r="H844" s="121" t="str">
        <f t="shared" si="113"/>
        <v/>
      </c>
      <c r="K844" s="810">
        <f t="shared" si="114"/>
        <v>0</v>
      </c>
    </row>
    <row r="845" spans="1:11" ht="18" customHeight="1" thickBot="1" x14ac:dyDescent="0.25">
      <c r="A845" s="190" t="s">
        <v>1490</v>
      </c>
      <c r="B845" s="1234" t="str">
        <f>IF('Phase Codes'!I85="","",'Phase Codes'!I85)</f>
        <v/>
      </c>
      <c r="C845" s="1234"/>
      <c r="D845" s="404">
        <f t="shared" si="111"/>
        <v>0</v>
      </c>
      <c r="E845" s="405">
        <f t="shared" si="110"/>
        <v>0</v>
      </c>
      <c r="F845" s="405">
        <f t="shared" si="112"/>
        <v>0</v>
      </c>
      <c r="H845" s="121" t="str">
        <f t="shared" si="113"/>
        <v/>
      </c>
      <c r="K845" s="810">
        <f t="shared" si="114"/>
        <v>0</v>
      </c>
    </row>
    <row r="846" spans="1:11" ht="18" customHeight="1" thickBot="1" x14ac:dyDescent="0.25">
      <c r="A846" s="190" t="s">
        <v>1491</v>
      </c>
      <c r="B846" s="1234" t="str">
        <f>IF('Phase Codes'!I86="","",'Phase Codes'!I86)</f>
        <v/>
      </c>
      <c r="C846" s="1234"/>
      <c r="D846" s="404">
        <f t="shared" si="111"/>
        <v>0</v>
      </c>
      <c r="E846" s="405">
        <f t="shared" si="110"/>
        <v>0</v>
      </c>
      <c r="F846" s="405">
        <f t="shared" si="112"/>
        <v>0</v>
      </c>
      <c r="H846" s="121" t="str">
        <f t="shared" si="113"/>
        <v/>
      </c>
      <c r="K846" s="810">
        <f t="shared" si="114"/>
        <v>0</v>
      </c>
    </row>
    <row r="847" spans="1:11" ht="18" customHeight="1" thickBot="1" x14ac:dyDescent="0.25">
      <c r="A847" s="190" t="s">
        <v>1492</v>
      </c>
      <c r="B847" s="1234" t="str">
        <f>IF('Phase Codes'!I87="","",'Phase Codes'!I87)</f>
        <v/>
      </c>
      <c r="C847" s="1234"/>
      <c r="D847" s="404">
        <f t="shared" si="111"/>
        <v>0</v>
      </c>
      <c r="E847" s="405">
        <f t="shared" ref="E847:E862" si="115">SUMIFS(Takeoff_Total_Field_Labor_Cost,PC_SM_Field,$A847)</f>
        <v>0</v>
      </c>
      <c r="F847" s="405">
        <f t="shared" si="112"/>
        <v>0</v>
      </c>
      <c r="H847" s="121" t="str">
        <f t="shared" si="113"/>
        <v/>
      </c>
      <c r="K847" s="810">
        <f t="shared" si="114"/>
        <v>0</v>
      </c>
    </row>
    <row r="848" spans="1:11" ht="18" customHeight="1" thickBot="1" x14ac:dyDescent="0.25">
      <c r="A848" s="190" t="s">
        <v>1493</v>
      </c>
      <c r="B848" s="1234" t="str">
        <f>IF('Phase Codes'!I88="","",'Phase Codes'!I88)</f>
        <v/>
      </c>
      <c r="C848" s="1234"/>
      <c r="D848" s="404">
        <f t="shared" si="111"/>
        <v>0</v>
      </c>
      <c r="E848" s="405">
        <f t="shared" si="115"/>
        <v>0</v>
      </c>
      <c r="F848" s="405">
        <f t="shared" si="112"/>
        <v>0</v>
      </c>
      <c r="H848" s="121" t="str">
        <f t="shared" si="113"/>
        <v/>
      </c>
      <c r="K848" s="810">
        <f t="shared" si="114"/>
        <v>0</v>
      </c>
    </row>
    <row r="849" spans="1:11" ht="18" customHeight="1" thickBot="1" x14ac:dyDescent="0.25">
      <c r="A849" s="190" t="s">
        <v>1494</v>
      </c>
      <c r="B849" s="1234" t="str">
        <f>IF('Phase Codes'!I89="","",'Phase Codes'!I89)</f>
        <v/>
      </c>
      <c r="C849" s="1234"/>
      <c r="D849" s="404">
        <f t="shared" si="111"/>
        <v>0</v>
      </c>
      <c r="E849" s="405">
        <f t="shared" si="115"/>
        <v>0</v>
      </c>
      <c r="F849" s="405">
        <f t="shared" si="112"/>
        <v>0</v>
      </c>
      <c r="H849" s="121" t="str">
        <f t="shared" si="113"/>
        <v/>
      </c>
      <c r="K849" s="810">
        <f t="shared" si="114"/>
        <v>0</v>
      </c>
    </row>
    <row r="850" spans="1:11" ht="18" customHeight="1" thickBot="1" x14ac:dyDescent="0.25">
      <c r="A850" s="190" t="s">
        <v>1495</v>
      </c>
      <c r="B850" s="1234" t="str">
        <f>IF('Phase Codes'!I90="","",'Phase Codes'!I90)</f>
        <v/>
      </c>
      <c r="C850" s="1234"/>
      <c r="D850" s="404">
        <f t="shared" si="111"/>
        <v>0</v>
      </c>
      <c r="E850" s="405">
        <f t="shared" si="115"/>
        <v>0</v>
      </c>
      <c r="F850" s="405">
        <f t="shared" si="112"/>
        <v>0</v>
      </c>
      <c r="H850" s="121" t="str">
        <f t="shared" si="113"/>
        <v/>
      </c>
      <c r="K850" s="810">
        <f t="shared" si="114"/>
        <v>0</v>
      </c>
    </row>
    <row r="851" spans="1:11" ht="18" customHeight="1" thickBot="1" x14ac:dyDescent="0.25">
      <c r="A851" s="190" t="s">
        <v>1496</v>
      </c>
      <c r="B851" s="1234" t="str">
        <f>IF('Phase Codes'!I91="","",'Phase Codes'!I91)</f>
        <v/>
      </c>
      <c r="C851" s="1234"/>
      <c r="D851" s="404">
        <f t="shared" ref="D851:D862" si="116">SUMIFS(SM_FieldLaborColumn,PC_SM_Field,$A851)</f>
        <v>0</v>
      </c>
      <c r="E851" s="405">
        <f t="shared" si="115"/>
        <v>0</v>
      </c>
      <c r="F851" s="405">
        <f t="shared" si="112"/>
        <v>0</v>
      </c>
      <c r="H851" s="121" t="str">
        <f t="shared" si="113"/>
        <v/>
      </c>
      <c r="K851" s="810">
        <f t="shared" si="114"/>
        <v>0</v>
      </c>
    </row>
    <row r="852" spans="1:11" ht="18" customHeight="1" thickBot="1" x14ac:dyDescent="0.25">
      <c r="A852" s="190" t="s">
        <v>1497</v>
      </c>
      <c r="B852" s="1234" t="str">
        <f>IF('Phase Codes'!I92="","",'Phase Codes'!I92)</f>
        <v/>
      </c>
      <c r="C852" s="1234"/>
      <c r="D852" s="404">
        <f t="shared" si="116"/>
        <v>0</v>
      </c>
      <c r="E852" s="405">
        <f t="shared" si="115"/>
        <v>0</v>
      </c>
      <c r="F852" s="405">
        <f t="shared" si="112"/>
        <v>0</v>
      </c>
      <c r="H852" s="121" t="str">
        <f t="shared" si="113"/>
        <v/>
      </c>
      <c r="K852" s="810">
        <f t="shared" si="114"/>
        <v>0</v>
      </c>
    </row>
    <row r="853" spans="1:11" ht="18" customHeight="1" thickBot="1" x14ac:dyDescent="0.25">
      <c r="A853" s="190" t="s">
        <v>1498</v>
      </c>
      <c r="B853" s="1234" t="str">
        <f>IF('Phase Codes'!I93="","",'Phase Codes'!I93)</f>
        <v/>
      </c>
      <c r="C853" s="1234"/>
      <c r="D853" s="404">
        <f t="shared" si="116"/>
        <v>0</v>
      </c>
      <c r="E853" s="405">
        <f t="shared" si="115"/>
        <v>0</v>
      </c>
      <c r="F853" s="405">
        <f t="shared" si="112"/>
        <v>0</v>
      </c>
      <c r="H853" s="121" t="str">
        <f t="shared" si="113"/>
        <v/>
      </c>
      <c r="K853" s="810">
        <f t="shared" si="114"/>
        <v>0</v>
      </c>
    </row>
    <row r="854" spans="1:11" ht="18" customHeight="1" thickBot="1" x14ac:dyDescent="0.25">
      <c r="A854" s="190" t="s">
        <v>1499</v>
      </c>
      <c r="B854" s="1234" t="str">
        <f>IF('Phase Codes'!I94="","",'Phase Codes'!I94)</f>
        <v/>
      </c>
      <c r="C854" s="1234"/>
      <c r="D854" s="404">
        <f t="shared" si="116"/>
        <v>0</v>
      </c>
      <c r="E854" s="405">
        <f t="shared" si="115"/>
        <v>0</v>
      </c>
      <c r="F854" s="405">
        <f t="shared" si="112"/>
        <v>0</v>
      </c>
      <c r="H854" s="121" t="str">
        <f t="shared" si="113"/>
        <v/>
      </c>
      <c r="K854" s="810">
        <f t="shared" si="114"/>
        <v>0</v>
      </c>
    </row>
    <row r="855" spans="1:11" ht="18" customHeight="1" thickBot="1" x14ac:dyDescent="0.25">
      <c r="A855" s="190" t="s">
        <v>1500</v>
      </c>
      <c r="B855" s="1234" t="str">
        <f>IF('Phase Codes'!I95="","",'Phase Codes'!I95)</f>
        <v/>
      </c>
      <c r="C855" s="1234"/>
      <c r="D855" s="404">
        <f t="shared" si="116"/>
        <v>0</v>
      </c>
      <c r="E855" s="405">
        <f t="shared" si="115"/>
        <v>0</v>
      </c>
      <c r="F855" s="405">
        <f t="shared" si="112"/>
        <v>0</v>
      </c>
      <c r="H855" s="121" t="str">
        <f t="shared" si="113"/>
        <v/>
      </c>
      <c r="K855" s="810">
        <f t="shared" si="114"/>
        <v>0</v>
      </c>
    </row>
    <row r="856" spans="1:11" ht="18" customHeight="1" thickBot="1" x14ac:dyDescent="0.25">
      <c r="A856" s="190" t="s">
        <v>1501</v>
      </c>
      <c r="B856" s="1234" t="str">
        <f>IF('Phase Codes'!I96="","",'Phase Codes'!I96)</f>
        <v/>
      </c>
      <c r="C856" s="1234"/>
      <c r="D856" s="404">
        <f t="shared" si="116"/>
        <v>0</v>
      </c>
      <c r="E856" s="405">
        <f t="shared" si="115"/>
        <v>0</v>
      </c>
      <c r="F856" s="405">
        <f t="shared" si="112"/>
        <v>0</v>
      </c>
      <c r="H856" s="121" t="str">
        <f t="shared" si="113"/>
        <v/>
      </c>
      <c r="K856" s="810">
        <f t="shared" si="114"/>
        <v>0</v>
      </c>
    </row>
    <row r="857" spans="1:11" ht="18" customHeight="1" thickBot="1" x14ac:dyDescent="0.25">
      <c r="A857" s="190" t="s">
        <v>1502</v>
      </c>
      <c r="B857" s="1234" t="str">
        <f>IF('Phase Codes'!I97="","",'Phase Codes'!I97)</f>
        <v/>
      </c>
      <c r="C857" s="1234"/>
      <c r="D857" s="404">
        <f t="shared" si="116"/>
        <v>0</v>
      </c>
      <c r="E857" s="405">
        <f t="shared" si="115"/>
        <v>0</v>
      </c>
      <c r="F857" s="405">
        <f t="shared" si="112"/>
        <v>0</v>
      </c>
      <c r="H857" s="121" t="str">
        <f t="shared" si="113"/>
        <v/>
      </c>
      <c r="K857" s="810">
        <f t="shared" si="114"/>
        <v>0</v>
      </c>
    </row>
    <row r="858" spans="1:11" ht="18" customHeight="1" thickBot="1" x14ac:dyDescent="0.25">
      <c r="A858" s="190" t="s">
        <v>1503</v>
      </c>
      <c r="B858" s="1234" t="str">
        <f>IF('Phase Codes'!I98="","",'Phase Codes'!I98)</f>
        <v/>
      </c>
      <c r="C858" s="1234"/>
      <c r="D858" s="404">
        <f t="shared" si="116"/>
        <v>0</v>
      </c>
      <c r="E858" s="405">
        <f t="shared" si="115"/>
        <v>0</v>
      </c>
      <c r="F858" s="405">
        <f t="shared" si="112"/>
        <v>0</v>
      </c>
      <c r="H858" s="121" t="str">
        <f t="shared" si="113"/>
        <v/>
      </c>
      <c r="K858" s="810">
        <f t="shared" si="114"/>
        <v>0</v>
      </c>
    </row>
    <row r="859" spans="1:11" ht="18" customHeight="1" thickBot="1" x14ac:dyDescent="0.25">
      <c r="A859" s="190" t="s">
        <v>1504</v>
      </c>
      <c r="B859" s="1234" t="str">
        <f>IF('Phase Codes'!I99="","",'Phase Codes'!I99)</f>
        <v/>
      </c>
      <c r="C859" s="1234"/>
      <c r="D859" s="404">
        <f t="shared" si="116"/>
        <v>0</v>
      </c>
      <c r="E859" s="405">
        <f t="shared" si="115"/>
        <v>0</v>
      </c>
      <c r="F859" s="405">
        <f t="shared" si="112"/>
        <v>0</v>
      </c>
      <c r="H859" s="121" t="str">
        <f t="shared" si="113"/>
        <v/>
      </c>
      <c r="K859" s="810">
        <f t="shared" si="114"/>
        <v>0</v>
      </c>
    </row>
    <row r="860" spans="1:11" ht="18" customHeight="1" thickBot="1" x14ac:dyDescent="0.25">
      <c r="A860" s="190" t="s">
        <v>1505</v>
      </c>
      <c r="B860" s="1234" t="str">
        <f>IF('Phase Codes'!I100="","",'Phase Codes'!I100)</f>
        <v/>
      </c>
      <c r="C860" s="1234"/>
      <c r="D860" s="404">
        <f t="shared" si="116"/>
        <v>0</v>
      </c>
      <c r="E860" s="405">
        <f t="shared" si="115"/>
        <v>0</v>
      </c>
      <c r="F860" s="405">
        <f t="shared" si="112"/>
        <v>0</v>
      </c>
      <c r="H860" s="121" t="str">
        <f t="shared" si="113"/>
        <v/>
      </c>
      <c r="K860" s="810">
        <f t="shared" si="114"/>
        <v>0</v>
      </c>
    </row>
    <row r="861" spans="1:11" ht="18" customHeight="1" thickBot="1" x14ac:dyDescent="0.25">
      <c r="A861" s="190" t="s">
        <v>1506</v>
      </c>
      <c r="B861" s="1234" t="str">
        <f>IF('Phase Codes'!I101="","",'Phase Codes'!I101)</f>
        <v/>
      </c>
      <c r="C861" s="1234"/>
      <c r="D861" s="404">
        <f t="shared" si="116"/>
        <v>0</v>
      </c>
      <c r="E861" s="405">
        <f t="shared" si="115"/>
        <v>0</v>
      </c>
      <c r="F861" s="405">
        <f t="shared" si="112"/>
        <v>0</v>
      </c>
      <c r="H861" s="121" t="str">
        <f t="shared" si="113"/>
        <v/>
      </c>
      <c r="K861" s="810">
        <f t="shared" si="114"/>
        <v>0</v>
      </c>
    </row>
    <row r="862" spans="1:11" ht="18" customHeight="1" thickBot="1" x14ac:dyDescent="0.25">
      <c r="A862" s="190" t="s">
        <v>1507</v>
      </c>
      <c r="B862" s="1234" t="str">
        <f>IF('Phase Codes'!I102="","",'Phase Codes'!I102)</f>
        <v/>
      </c>
      <c r="C862" s="1234"/>
      <c r="D862" s="404">
        <f t="shared" si="116"/>
        <v>0</v>
      </c>
      <c r="E862" s="405">
        <f t="shared" si="115"/>
        <v>0</v>
      </c>
      <c r="F862" s="405">
        <f t="shared" si="112"/>
        <v>0</v>
      </c>
      <c r="H862" s="121" t="str">
        <f t="shared" si="113"/>
        <v/>
      </c>
      <c r="K862" s="810">
        <f t="shared" si="114"/>
        <v>0</v>
      </c>
    </row>
    <row r="863" spans="1:11" ht="18" customHeight="1" thickBot="1" x14ac:dyDescent="0.25">
      <c r="A863" s="165" t="s">
        <v>8</v>
      </c>
      <c r="B863" s="1235" t="s">
        <v>1595</v>
      </c>
      <c r="C863" s="1236"/>
      <c r="D863" s="210">
        <f t="shared" ref="D863:F863" si="117">SUM(D764:D862)</f>
        <v>0</v>
      </c>
      <c r="E863" s="191">
        <f t="shared" si="117"/>
        <v>0</v>
      </c>
      <c r="F863" s="191">
        <f t="shared" si="117"/>
        <v>0</v>
      </c>
      <c r="K863" s="810">
        <f t="shared" si="114"/>
        <v>0</v>
      </c>
    </row>
    <row r="864" spans="1:11" ht="15" customHeight="1" x14ac:dyDescent="0.2">
      <c r="H864" s="121"/>
      <c r="K864" s="810">
        <f>K863</f>
        <v>0</v>
      </c>
    </row>
    <row r="865" spans="3:11" ht="15" customHeight="1" x14ac:dyDescent="0.2">
      <c r="C865" s="250" t="s">
        <v>1398</v>
      </c>
      <c r="D865" s="549">
        <f>D759+D863</f>
        <v>2367.91</v>
      </c>
      <c r="E865" s="550">
        <f>E759+E863</f>
        <v>247407.62160000001</v>
      </c>
      <c r="F865" s="550">
        <f>F759+F863</f>
        <v>15926.76</v>
      </c>
      <c r="H865" s="121"/>
      <c r="K865" s="810">
        <f>K863</f>
        <v>0</v>
      </c>
    </row>
  </sheetData>
  <sheetProtection algorithmName="SHA-512" hashValue="bxh3DOpSjljGI3sC2JpYc0XgCPGvlekTXOv6n0YFwNCDddA9s3scz9qv0j9EbxRTzGMPFdpDGBnGXuCPNBSv5Q==" saltValue="lTNLRu7FNOBLM05y83GLjw==" spinCount="100000" sheet="1" objects="1" scenarios="1" sort="0" autoFilter="0" pivotTables="0"/>
  <sortState xmlns:xlrd2="http://schemas.microsoft.com/office/spreadsheetml/2017/richdata2" ref="R1:R15">
    <sortCondition ref="R15"/>
  </sortState>
  <mergeCells count="841">
    <mergeCell ref="B843:C843"/>
    <mergeCell ref="B844:C844"/>
    <mergeCell ref="B845:C845"/>
    <mergeCell ref="B846:C846"/>
    <mergeCell ref="B847:C847"/>
    <mergeCell ref="B848:C848"/>
    <mergeCell ref="B849:C849"/>
    <mergeCell ref="B850:C850"/>
    <mergeCell ref="B851:C851"/>
    <mergeCell ref="B861:C861"/>
    <mergeCell ref="B862:C862"/>
    <mergeCell ref="B863:C863"/>
    <mergeCell ref="B852:C852"/>
    <mergeCell ref="B853:C853"/>
    <mergeCell ref="B854:C854"/>
    <mergeCell ref="B855:C855"/>
    <mergeCell ref="B856:C856"/>
    <mergeCell ref="B857:C857"/>
    <mergeCell ref="B858:C858"/>
    <mergeCell ref="B859:C859"/>
    <mergeCell ref="B860:C860"/>
    <mergeCell ref="B836:C836"/>
    <mergeCell ref="B837:C837"/>
    <mergeCell ref="B838:C838"/>
    <mergeCell ref="B839:C839"/>
    <mergeCell ref="B840:C840"/>
    <mergeCell ref="B841:C841"/>
    <mergeCell ref="B842:C842"/>
    <mergeCell ref="B825:C825"/>
    <mergeCell ref="B826:C826"/>
    <mergeCell ref="B827:C827"/>
    <mergeCell ref="B828:C828"/>
    <mergeCell ref="B829:C829"/>
    <mergeCell ref="B830:C830"/>
    <mergeCell ref="B831:C831"/>
    <mergeCell ref="B832:C832"/>
    <mergeCell ref="B833:C833"/>
    <mergeCell ref="B834:C834"/>
    <mergeCell ref="B835:C835"/>
    <mergeCell ref="B816:C816"/>
    <mergeCell ref="B817:C817"/>
    <mergeCell ref="B818:C818"/>
    <mergeCell ref="B819:C819"/>
    <mergeCell ref="B820:C820"/>
    <mergeCell ref="B821:C821"/>
    <mergeCell ref="B822:C822"/>
    <mergeCell ref="B823:C823"/>
    <mergeCell ref="B824:C824"/>
    <mergeCell ref="B807:C807"/>
    <mergeCell ref="B808:C808"/>
    <mergeCell ref="B809:C809"/>
    <mergeCell ref="B810:C810"/>
    <mergeCell ref="B811:C811"/>
    <mergeCell ref="B812:C812"/>
    <mergeCell ref="B813:C813"/>
    <mergeCell ref="B814:C814"/>
    <mergeCell ref="B815:C815"/>
    <mergeCell ref="B798:C798"/>
    <mergeCell ref="B799:C799"/>
    <mergeCell ref="B800:C800"/>
    <mergeCell ref="B801:C801"/>
    <mergeCell ref="B802:C802"/>
    <mergeCell ref="B803:C803"/>
    <mergeCell ref="B804:C804"/>
    <mergeCell ref="B805:C805"/>
    <mergeCell ref="B806:C806"/>
    <mergeCell ref="B789:C789"/>
    <mergeCell ref="B790:C790"/>
    <mergeCell ref="B791:C791"/>
    <mergeCell ref="B792:C792"/>
    <mergeCell ref="B793:C793"/>
    <mergeCell ref="B794:C794"/>
    <mergeCell ref="B795:C795"/>
    <mergeCell ref="B796:C796"/>
    <mergeCell ref="B797:C797"/>
    <mergeCell ref="B780:C780"/>
    <mergeCell ref="B781:C781"/>
    <mergeCell ref="B782:C782"/>
    <mergeCell ref="B783:C783"/>
    <mergeCell ref="B784:C784"/>
    <mergeCell ref="B785:C785"/>
    <mergeCell ref="B786:C786"/>
    <mergeCell ref="B787:C787"/>
    <mergeCell ref="B788:C788"/>
    <mergeCell ref="B771:C771"/>
    <mergeCell ref="B772:C772"/>
    <mergeCell ref="B773:C773"/>
    <mergeCell ref="B774:C774"/>
    <mergeCell ref="B775:C775"/>
    <mergeCell ref="B776:C776"/>
    <mergeCell ref="B777:C777"/>
    <mergeCell ref="B778:C778"/>
    <mergeCell ref="B779:C779"/>
    <mergeCell ref="B761:C761"/>
    <mergeCell ref="B762:C762"/>
    <mergeCell ref="B764:C764"/>
    <mergeCell ref="B765:C765"/>
    <mergeCell ref="B766:C766"/>
    <mergeCell ref="B767:C767"/>
    <mergeCell ref="B768:C768"/>
    <mergeCell ref="B769:C769"/>
    <mergeCell ref="B770:C770"/>
    <mergeCell ref="C4:D4"/>
    <mergeCell ref="A1:C1"/>
    <mergeCell ref="A3:B3"/>
    <mergeCell ref="A2:B2"/>
    <mergeCell ref="G15:I15"/>
    <mergeCell ref="E16:F16"/>
    <mergeCell ref="G16:I16"/>
    <mergeCell ref="G17:I17"/>
    <mergeCell ref="B15:C15"/>
    <mergeCell ref="A7:B7"/>
    <mergeCell ref="G8:I8"/>
    <mergeCell ref="E10:F10"/>
    <mergeCell ref="G10:I10"/>
    <mergeCell ref="G14:I14"/>
    <mergeCell ref="G13:I13"/>
    <mergeCell ref="C2:D2"/>
    <mergeCell ref="C3:D3"/>
    <mergeCell ref="C7:D7"/>
    <mergeCell ref="E11:F11"/>
    <mergeCell ref="G11:I11"/>
    <mergeCell ref="A4:B4"/>
    <mergeCell ref="C5:D5"/>
    <mergeCell ref="A12:B12"/>
    <mergeCell ref="A13:B13"/>
    <mergeCell ref="B121:C121"/>
    <mergeCell ref="B20:C20"/>
    <mergeCell ref="B22:C22"/>
    <mergeCell ref="B23:C23"/>
    <mergeCell ref="B24:C24"/>
    <mergeCell ref="B25:C25"/>
    <mergeCell ref="B26:C26"/>
    <mergeCell ref="B27:C27"/>
    <mergeCell ref="B28:C28"/>
    <mergeCell ref="B29:C29"/>
    <mergeCell ref="B30:C30"/>
    <mergeCell ref="B31:C31"/>
    <mergeCell ref="B32:C32"/>
    <mergeCell ref="B33:C33"/>
    <mergeCell ref="B34:C34"/>
    <mergeCell ref="B57:C57"/>
    <mergeCell ref="B58:C58"/>
    <mergeCell ref="B59:C59"/>
    <mergeCell ref="B60:C60"/>
    <mergeCell ref="B61:C61"/>
    <mergeCell ref="B62:C62"/>
    <mergeCell ref="B63:C63"/>
    <mergeCell ref="B64:C64"/>
    <mergeCell ref="B65:C65"/>
    <mergeCell ref="B19:C19"/>
    <mergeCell ref="B35:C35"/>
    <mergeCell ref="B36:C36"/>
    <mergeCell ref="B37:C37"/>
    <mergeCell ref="B38:C38"/>
    <mergeCell ref="B39:C39"/>
    <mergeCell ref="B40:C40"/>
    <mergeCell ref="B41:C41"/>
    <mergeCell ref="B132:C132"/>
    <mergeCell ref="B42:C42"/>
    <mergeCell ref="B43:C43"/>
    <mergeCell ref="B44:C44"/>
    <mergeCell ref="B45:C45"/>
    <mergeCell ref="B46:C46"/>
    <mergeCell ref="B47:C47"/>
    <mergeCell ref="B48:C48"/>
    <mergeCell ref="B49:C49"/>
    <mergeCell ref="B50:C50"/>
    <mergeCell ref="B51:C51"/>
    <mergeCell ref="B52:C52"/>
    <mergeCell ref="B53:C53"/>
    <mergeCell ref="B54:C54"/>
    <mergeCell ref="B55:C55"/>
    <mergeCell ref="B56:C56"/>
    <mergeCell ref="B133:C133"/>
    <mergeCell ref="B134:C134"/>
    <mergeCell ref="B135:C135"/>
    <mergeCell ref="B136:C136"/>
    <mergeCell ref="B137:C137"/>
    <mergeCell ref="B125:C125"/>
    <mergeCell ref="B126:C126"/>
    <mergeCell ref="B128:C128"/>
    <mergeCell ref="B129:C129"/>
    <mergeCell ref="B130:C130"/>
    <mergeCell ref="B131:C131"/>
    <mergeCell ref="B144:C144"/>
    <mergeCell ref="B145:C145"/>
    <mergeCell ref="B146:C146"/>
    <mergeCell ref="B147:C147"/>
    <mergeCell ref="B148:C148"/>
    <mergeCell ref="B149:C149"/>
    <mergeCell ref="B138:C138"/>
    <mergeCell ref="B139:C139"/>
    <mergeCell ref="B140:C140"/>
    <mergeCell ref="B141:C141"/>
    <mergeCell ref="B142:C142"/>
    <mergeCell ref="B143:C143"/>
    <mergeCell ref="B209:C209"/>
    <mergeCell ref="B210:C210"/>
    <mergeCell ref="B221:C221"/>
    <mergeCell ref="B222:C222"/>
    <mergeCell ref="B223:C223"/>
    <mergeCell ref="B224:C224"/>
    <mergeCell ref="B215:C215"/>
    <mergeCell ref="B216:C216"/>
    <mergeCell ref="B217:C217"/>
    <mergeCell ref="B218:C218"/>
    <mergeCell ref="B219:C219"/>
    <mergeCell ref="B220:C220"/>
    <mergeCell ref="B234:C234"/>
    <mergeCell ref="B235:C235"/>
    <mergeCell ref="B236:C236"/>
    <mergeCell ref="B237:C237"/>
    <mergeCell ref="B238:C238"/>
    <mergeCell ref="B239:C239"/>
    <mergeCell ref="B225:C225"/>
    <mergeCell ref="B227:C227"/>
    <mergeCell ref="B231:C231"/>
    <mergeCell ref="B232:C232"/>
    <mergeCell ref="B226:C226"/>
    <mergeCell ref="B246:C246"/>
    <mergeCell ref="B247:C247"/>
    <mergeCell ref="B248:C248"/>
    <mergeCell ref="B249:C249"/>
    <mergeCell ref="B250:C250"/>
    <mergeCell ref="B251:C251"/>
    <mergeCell ref="B240:C240"/>
    <mergeCell ref="B241:C241"/>
    <mergeCell ref="B242:C242"/>
    <mergeCell ref="B243:C243"/>
    <mergeCell ref="B244:C244"/>
    <mergeCell ref="B245:C245"/>
    <mergeCell ref="B258:C258"/>
    <mergeCell ref="B259:C259"/>
    <mergeCell ref="B260:C260"/>
    <mergeCell ref="B261:C261"/>
    <mergeCell ref="B262:C262"/>
    <mergeCell ref="B263:C263"/>
    <mergeCell ref="B252:C252"/>
    <mergeCell ref="B253:C253"/>
    <mergeCell ref="B254:C254"/>
    <mergeCell ref="B255:C255"/>
    <mergeCell ref="B256:C256"/>
    <mergeCell ref="B257:C257"/>
    <mergeCell ref="B276:C276"/>
    <mergeCell ref="B277:C277"/>
    <mergeCell ref="B291:C291"/>
    <mergeCell ref="B292:C292"/>
    <mergeCell ref="B293:C293"/>
    <mergeCell ref="B294:C294"/>
    <mergeCell ref="B264:C264"/>
    <mergeCell ref="B265:C265"/>
    <mergeCell ref="B266:C266"/>
    <mergeCell ref="B267:C267"/>
    <mergeCell ref="B268:C268"/>
    <mergeCell ref="B269:C269"/>
    <mergeCell ref="B449:C449"/>
    <mergeCell ref="B450:C450"/>
    <mergeCell ref="B451:C451"/>
    <mergeCell ref="B452:C452"/>
    <mergeCell ref="B453:C453"/>
    <mergeCell ref="B454:C454"/>
    <mergeCell ref="B270:C270"/>
    <mergeCell ref="B271:C271"/>
    <mergeCell ref="B272:C272"/>
    <mergeCell ref="B273:C273"/>
    <mergeCell ref="B333:C333"/>
    <mergeCell ref="B278:C278"/>
    <mergeCell ref="B279:C279"/>
    <mergeCell ref="B280:C280"/>
    <mergeCell ref="B281:C281"/>
    <mergeCell ref="B282:C282"/>
    <mergeCell ref="B283:C283"/>
    <mergeCell ref="B284:C284"/>
    <mergeCell ref="B285:C285"/>
    <mergeCell ref="B286:C286"/>
    <mergeCell ref="B287:C287"/>
    <mergeCell ref="B288:C288"/>
    <mergeCell ref="B289:C289"/>
    <mergeCell ref="B290:C290"/>
    <mergeCell ref="B461:C461"/>
    <mergeCell ref="B462:C462"/>
    <mergeCell ref="B463:C463"/>
    <mergeCell ref="B464:C464"/>
    <mergeCell ref="B465:C465"/>
    <mergeCell ref="B466:C466"/>
    <mergeCell ref="B455:C455"/>
    <mergeCell ref="B456:C456"/>
    <mergeCell ref="B457:C457"/>
    <mergeCell ref="B458:C458"/>
    <mergeCell ref="B459:C459"/>
    <mergeCell ref="B460:C460"/>
    <mergeCell ref="B485:C485"/>
    <mergeCell ref="B486:C486"/>
    <mergeCell ref="B487:C487"/>
    <mergeCell ref="B488:C488"/>
    <mergeCell ref="B489:C489"/>
    <mergeCell ref="B467:C467"/>
    <mergeCell ref="B468:C468"/>
    <mergeCell ref="B469:C469"/>
    <mergeCell ref="B470:C470"/>
    <mergeCell ref="B471:C471"/>
    <mergeCell ref="B472:C472"/>
    <mergeCell ref="B602:C602"/>
    <mergeCell ref="B603:C603"/>
    <mergeCell ref="B604:C604"/>
    <mergeCell ref="B577:C577"/>
    <mergeCell ref="B578:C578"/>
    <mergeCell ref="B579:C579"/>
    <mergeCell ref="B580:C580"/>
    <mergeCell ref="B581:C581"/>
    <mergeCell ref="B582:C582"/>
    <mergeCell ref="B593:C593"/>
    <mergeCell ref="B594:C594"/>
    <mergeCell ref="B595:C595"/>
    <mergeCell ref="B596:C596"/>
    <mergeCell ref="B597:C597"/>
    <mergeCell ref="B598:C598"/>
    <mergeCell ref="B599:C599"/>
    <mergeCell ref="B600:C600"/>
    <mergeCell ref="B601:C601"/>
    <mergeCell ref="B586:C586"/>
    <mergeCell ref="B587:C587"/>
    <mergeCell ref="B588:C588"/>
    <mergeCell ref="B589:C589"/>
    <mergeCell ref="B590:C590"/>
    <mergeCell ref="B591:C591"/>
    <mergeCell ref="B662:C662"/>
    <mergeCell ref="B677:C677"/>
    <mergeCell ref="B678:C678"/>
    <mergeCell ref="B679:C679"/>
    <mergeCell ref="B680:C680"/>
    <mergeCell ref="B671:C671"/>
    <mergeCell ref="B672:C672"/>
    <mergeCell ref="B673:C673"/>
    <mergeCell ref="B674:C674"/>
    <mergeCell ref="B675:C675"/>
    <mergeCell ref="B676:C676"/>
    <mergeCell ref="B150:C150"/>
    <mergeCell ref="B151:C151"/>
    <mergeCell ref="B152:C152"/>
    <mergeCell ref="B153:C153"/>
    <mergeCell ref="B154:C154"/>
    <mergeCell ref="B155:C155"/>
    <mergeCell ref="B156:C156"/>
    <mergeCell ref="B157:C157"/>
    <mergeCell ref="B158:C158"/>
    <mergeCell ref="B159:C159"/>
    <mergeCell ref="B160:C160"/>
    <mergeCell ref="B161:C161"/>
    <mergeCell ref="B162:C162"/>
    <mergeCell ref="B163:C163"/>
    <mergeCell ref="B164:C164"/>
    <mergeCell ref="B165:C165"/>
    <mergeCell ref="B166:C166"/>
    <mergeCell ref="B167:C167"/>
    <mergeCell ref="B168:C168"/>
    <mergeCell ref="B169:C169"/>
    <mergeCell ref="B170:C170"/>
    <mergeCell ref="B171:C171"/>
    <mergeCell ref="B172:C172"/>
    <mergeCell ref="B173:C173"/>
    <mergeCell ref="B174:C174"/>
    <mergeCell ref="B175:C175"/>
    <mergeCell ref="B176:C176"/>
    <mergeCell ref="B189:C189"/>
    <mergeCell ref="B190:C190"/>
    <mergeCell ref="B191:C191"/>
    <mergeCell ref="B192:C192"/>
    <mergeCell ref="B193:C193"/>
    <mergeCell ref="B194:C194"/>
    <mergeCell ref="B177:C177"/>
    <mergeCell ref="B178:C178"/>
    <mergeCell ref="B179:C179"/>
    <mergeCell ref="B180:C180"/>
    <mergeCell ref="B181:C181"/>
    <mergeCell ref="B182:C182"/>
    <mergeCell ref="B183:C183"/>
    <mergeCell ref="B184:C184"/>
    <mergeCell ref="B185:C185"/>
    <mergeCell ref="B66:C66"/>
    <mergeCell ref="B67:C67"/>
    <mergeCell ref="B68:C68"/>
    <mergeCell ref="B69:C69"/>
    <mergeCell ref="B70:C70"/>
    <mergeCell ref="B71:C71"/>
    <mergeCell ref="B72:C72"/>
    <mergeCell ref="B73:C73"/>
    <mergeCell ref="B74:C74"/>
    <mergeCell ref="B75:C75"/>
    <mergeCell ref="B76:C76"/>
    <mergeCell ref="B77:C77"/>
    <mergeCell ref="B78:C78"/>
    <mergeCell ref="B79:C79"/>
    <mergeCell ref="B80:C80"/>
    <mergeCell ref="B81:C81"/>
    <mergeCell ref="B82:C82"/>
    <mergeCell ref="B83:C83"/>
    <mergeCell ref="B84:C84"/>
    <mergeCell ref="B85:C85"/>
    <mergeCell ref="B86:C86"/>
    <mergeCell ref="B87:C87"/>
    <mergeCell ref="B88:C88"/>
    <mergeCell ref="B89:C89"/>
    <mergeCell ref="B90:C90"/>
    <mergeCell ref="B91:C91"/>
    <mergeCell ref="B92:C92"/>
    <mergeCell ref="B93:C93"/>
    <mergeCell ref="B94:C94"/>
    <mergeCell ref="B95:C95"/>
    <mergeCell ref="B96:C96"/>
    <mergeCell ref="B97:C97"/>
    <mergeCell ref="B98:C98"/>
    <mergeCell ref="B99:C99"/>
    <mergeCell ref="B100:C100"/>
    <mergeCell ref="B101:C101"/>
    <mergeCell ref="B102:C102"/>
    <mergeCell ref="B103:C103"/>
    <mergeCell ref="B104:C104"/>
    <mergeCell ref="B105:C105"/>
    <mergeCell ref="B106:C106"/>
    <mergeCell ref="B107:C107"/>
    <mergeCell ref="B108:C108"/>
    <mergeCell ref="B109:C109"/>
    <mergeCell ref="B110:C110"/>
    <mergeCell ref="B111:C111"/>
    <mergeCell ref="B112:C112"/>
    <mergeCell ref="B113:C113"/>
    <mergeCell ref="B114:C114"/>
    <mergeCell ref="B115:C115"/>
    <mergeCell ref="B116:C116"/>
    <mergeCell ref="B117:C117"/>
    <mergeCell ref="B118:C118"/>
    <mergeCell ref="B119:C119"/>
    <mergeCell ref="B120:C120"/>
    <mergeCell ref="B274:C274"/>
    <mergeCell ref="B275:C275"/>
    <mergeCell ref="B204:C204"/>
    <mergeCell ref="B205:C205"/>
    <mergeCell ref="B206:C206"/>
    <mergeCell ref="B207:C207"/>
    <mergeCell ref="B208:C208"/>
    <mergeCell ref="B211:C211"/>
    <mergeCell ref="B212:C212"/>
    <mergeCell ref="B213:C213"/>
    <mergeCell ref="B214:C214"/>
    <mergeCell ref="B195:C195"/>
    <mergeCell ref="B196:C196"/>
    <mergeCell ref="B197:C197"/>
    <mergeCell ref="B198:C198"/>
    <mergeCell ref="B199:C199"/>
    <mergeCell ref="B200:C200"/>
    <mergeCell ref="B201:C201"/>
    <mergeCell ref="B202:C202"/>
    <mergeCell ref="B203:C203"/>
    <mergeCell ref="B186:C186"/>
    <mergeCell ref="B187:C187"/>
    <mergeCell ref="B188:C188"/>
    <mergeCell ref="B295:C295"/>
    <mergeCell ref="B296:C296"/>
    <mergeCell ref="B297:C297"/>
    <mergeCell ref="B298:C298"/>
    <mergeCell ref="B299:C299"/>
    <mergeCell ref="B300:C300"/>
    <mergeCell ref="B301:C301"/>
    <mergeCell ref="B302:C302"/>
    <mergeCell ref="B303:C303"/>
    <mergeCell ref="B304:C304"/>
    <mergeCell ref="B305:C305"/>
    <mergeCell ref="B306:C306"/>
    <mergeCell ref="B307:C307"/>
    <mergeCell ref="B308:C308"/>
    <mergeCell ref="B309:C309"/>
    <mergeCell ref="B310:C310"/>
    <mergeCell ref="B311:C311"/>
    <mergeCell ref="B312:C312"/>
    <mergeCell ref="B313:C313"/>
    <mergeCell ref="B314:C314"/>
    <mergeCell ref="B315:C315"/>
    <mergeCell ref="B316:C316"/>
    <mergeCell ref="B317:C317"/>
    <mergeCell ref="B318:C318"/>
    <mergeCell ref="B319:C319"/>
    <mergeCell ref="B320:C320"/>
    <mergeCell ref="B321:C321"/>
    <mergeCell ref="B322:C322"/>
    <mergeCell ref="B323:C323"/>
    <mergeCell ref="B324:C324"/>
    <mergeCell ref="B325:C325"/>
    <mergeCell ref="B326:C326"/>
    <mergeCell ref="B327:C327"/>
    <mergeCell ref="B328:C328"/>
    <mergeCell ref="B329:C329"/>
    <mergeCell ref="B330:C330"/>
    <mergeCell ref="B331:C331"/>
    <mergeCell ref="B332:C332"/>
    <mergeCell ref="B340:C340"/>
    <mergeCell ref="B341:C341"/>
    <mergeCell ref="B342:C342"/>
    <mergeCell ref="B337:C337"/>
    <mergeCell ref="B338:C338"/>
    <mergeCell ref="B343:C343"/>
    <mergeCell ref="B344:C344"/>
    <mergeCell ref="B345:C345"/>
    <mergeCell ref="B346:C346"/>
    <mergeCell ref="B347:C347"/>
    <mergeCell ref="B348:C348"/>
    <mergeCell ref="B349:C349"/>
    <mergeCell ref="B350:C350"/>
    <mergeCell ref="B351:C351"/>
    <mergeCell ref="B352:C352"/>
    <mergeCell ref="B353:C353"/>
    <mergeCell ref="B354:C354"/>
    <mergeCell ref="B355:C355"/>
    <mergeCell ref="B356:C356"/>
    <mergeCell ref="B357:C357"/>
    <mergeCell ref="B358:C358"/>
    <mergeCell ref="B359:C359"/>
    <mergeCell ref="B360:C360"/>
    <mergeCell ref="B361:C361"/>
    <mergeCell ref="B362:C362"/>
    <mergeCell ref="B363:C363"/>
    <mergeCell ref="B364:C364"/>
    <mergeCell ref="B365:C365"/>
    <mergeCell ref="B366:C366"/>
    <mergeCell ref="B367:C367"/>
    <mergeCell ref="B368:C368"/>
    <mergeCell ref="B369:C369"/>
    <mergeCell ref="B370:C370"/>
    <mergeCell ref="B371:C371"/>
    <mergeCell ref="B372:C372"/>
    <mergeCell ref="B373:C373"/>
    <mergeCell ref="B374:C374"/>
    <mergeCell ref="B375:C375"/>
    <mergeCell ref="B376:C376"/>
    <mergeCell ref="B377:C377"/>
    <mergeCell ref="B378:C378"/>
    <mergeCell ref="B379:C379"/>
    <mergeCell ref="B380:C380"/>
    <mergeCell ref="B381:C381"/>
    <mergeCell ref="B382:C382"/>
    <mergeCell ref="B383:C383"/>
    <mergeCell ref="B384:C384"/>
    <mergeCell ref="B385:C385"/>
    <mergeCell ref="B386:C386"/>
    <mergeCell ref="B387:C387"/>
    <mergeCell ref="B388:C388"/>
    <mergeCell ref="B389:C389"/>
    <mergeCell ref="B390:C390"/>
    <mergeCell ref="B391:C391"/>
    <mergeCell ref="B392:C392"/>
    <mergeCell ref="B393:C393"/>
    <mergeCell ref="B394:C394"/>
    <mergeCell ref="B395:C395"/>
    <mergeCell ref="B396:C396"/>
    <mergeCell ref="B397:C397"/>
    <mergeCell ref="B398:C398"/>
    <mergeCell ref="B399:C399"/>
    <mergeCell ref="B400:C400"/>
    <mergeCell ref="B401:C401"/>
    <mergeCell ref="B402:C402"/>
    <mergeCell ref="B403:C403"/>
    <mergeCell ref="B404:C404"/>
    <mergeCell ref="B405:C405"/>
    <mergeCell ref="B406:C406"/>
    <mergeCell ref="B407:C407"/>
    <mergeCell ref="B408:C408"/>
    <mergeCell ref="B409:C409"/>
    <mergeCell ref="B410:C410"/>
    <mergeCell ref="B411:C411"/>
    <mergeCell ref="B412:C412"/>
    <mergeCell ref="B413:C413"/>
    <mergeCell ref="B414:C414"/>
    <mergeCell ref="B415:C415"/>
    <mergeCell ref="B416:C416"/>
    <mergeCell ref="B417:C417"/>
    <mergeCell ref="B418:C418"/>
    <mergeCell ref="B419:C419"/>
    <mergeCell ref="B420:C420"/>
    <mergeCell ref="B421:C421"/>
    <mergeCell ref="B422:C422"/>
    <mergeCell ref="B423:C423"/>
    <mergeCell ref="B424:C424"/>
    <mergeCell ref="B425:C425"/>
    <mergeCell ref="B426:C426"/>
    <mergeCell ref="B427:C427"/>
    <mergeCell ref="B428:C428"/>
    <mergeCell ref="B429:C429"/>
    <mergeCell ref="B430:C430"/>
    <mergeCell ref="B431:C431"/>
    <mergeCell ref="B432:C432"/>
    <mergeCell ref="B433:C433"/>
    <mergeCell ref="B434:C434"/>
    <mergeCell ref="B435:C435"/>
    <mergeCell ref="B436:C436"/>
    <mergeCell ref="B437:C437"/>
    <mergeCell ref="B438:C438"/>
    <mergeCell ref="B446:C446"/>
    <mergeCell ref="B447:C447"/>
    <mergeCell ref="B448:C448"/>
    <mergeCell ref="B490:C490"/>
    <mergeCell ref="B491:C491"/>
    <mergeCell ref="B443:C443"/>
    <mergeCell ref="B444:C444"/>
    <mergeCell ref="B473:C473"/>
    <mergeCell ref="B474:C474"/>
    <mergeCell ref="B475:C475"/>
    <mergeCell ref="B476:C476"/>
    <mergeCell ref="B477:C477"/>
    <mergeCell ref="B439:C439"/>
    <mergeCell ref="B478:C478"/>
    <mergeCell ref="B479:C479"/>
    <mergeCell ref="B480:C480"/>
    <mergeCell ref="B481:C481"/>
    <mergeCell ref="B482:C482"/>
    <mergeCell ref="B483:C483"/>
    <mergeCell ref="B484:C484"/>
    <mergeCell ref="B492:C492"/>
    <mergeCell ref="B493:C493"/>
    <mergeCell ref="B494:C494"/>
    <mergeCell ref="B495:C495"/>
    <mergeCell ref="B496:C496"/>
    <mergeCell ref="B497:C497"/>
    <mergeCell ref="B498:C498"/>
    <mergeCell ref="B499:C499"/>
    <mergeCell ref="B500:C500"/>
    <mergeCell ref="B501:C501"/>
    <mergeCell ref="B502:C502"/>
    <mergeCell ref="B503:C503"/>
    <mergeCell ref="B504:C504"/>
    <mergeCell ref="B505:C505"/>
    <mergeCell ref="B506:C506"/>
    <mergeCell ref="B507:C507"/>
    <mergeCell ref="B508:C508"/>
    <mergeCell ref="B509:C509"/>
    <mergeCell ref="B510:C510"/>
    <mergeCell ref="B511:C511"/>
    <mergeCell ref="B512:C512"/>
    <mergeCell ref="B513:C513"/>
    <mergeCell ref="B514:C514"/>
    <mergeCell ref="B515:C515"/>
    <mergeCell ref="B516:C516"/>
    <mergeCell ref="B517:C517"/>
    <mergeCell ref="B518:C518"/>
    <mergeCell ref="B519:C519"/>
    <mergeCell ref="B520:C520"/>
    <mergeCell ref="B521:C521"/>
    <mergeCell ref="B522:C522"/>
    <mergeCell ref="B523:C523"/>
    <mergeCell ref="B524:C524"/>
    <mergeCell ref="B525:C525"/>
    <mergeCell ref="B526:C526"/>
    <mergeCell ref="B527:C527"/>
    <mergeCell ref="B528:C528"/>
    <mergeCell ref="B529:C529"/>
    <mergeCell ref="B530:C530"/>
    <mergeCell ref="B531:C531"/>
    <mergeCell ref="B532:C532"/>
    <mergeCell ref="B533:C533"/>
    <mergeCell ref="B534:C534"/>
    <mergeCell ref="B535:C535"/>
    <mergeCell ref="B536:C536"/>
    <mergeCell ref="B537:C537"/>
    <mergeCell ref="B538:C538"/>
    <mergeCell ref="B539:C539"/>
    <mergeCell ref="B540:C540"/>
    <mergeCell ref="B541:C541"/>
    <mergeCell ref="B542:C542"/>
    <mergeCell ref="B543:C543"/>
    <mergeCell ref="B544:C544"/>
    <mergeCell ref="B585:C585"/>
    <mergeCell ref="B569:C569"/>
    <mergeCell ref="B570:C570"/>
    <mergeCell ref="B559:C559"/>
    <mergeCell ref="B560:C560"/>
    <mergeCell ref="B561:C561"/>
    <mergeCell ref="B562:C562"/>
    <mergeCell ref="B563:C563"/>
    <mergeCell ref="B564:C564"/>
    <mergeCell ref="B553:C553"/>
    <mergeCell ref="B554:C554"/>
    <mergeCell ref="B555:C555"/>
    <mergeCell ref="B556:C556"/>
    <mergeCell ref="B557:C557"/>
    <mergeCell ref="B558:C558"/>
    <mergeCell ref="B552:C552"/>
    <mergeCell ref="B592:C592"/>
    <mergeCell ref="B583:C583"/>
    <mergeCell ref="B584:C584"/>
    <mergeCell ref="B545:C545"/>
    <mergeCell ref="B549:C549"/>
    <mergeCell ref="B550:C550"/>
    <mergeCell ref="B571:C571"/>
    <mergeCell ref="B572:C572"/>
    <mergeCell ref="B573:C573"/>
    <mergeCell ref="B574:C574"/>
    <mergeCell ref="B575:C575"/>
    <mergeCell ref="B576:C576"/>
    <mergeCell ref="B565:C565"/>
    <mergeCell ref="B566:C566"/>
    <mergeCell ref="B567:C567"/>
    <mergeCell ref="B568:C568"/>
    <mergeCell ref="B605:C605"/>
    <mergeCell ref="B606:C606"/>
    <mergeCell ref="B607:C607"/>
    <mergeCell ref="B608:C608"/>
    <mergeCell ref="B609:C609"/>
    <mergeCell ref="B610:C610"/>
    <mergeCell ref="B611:C611"/>
    <mergeCell ref="B612:C612"/>
    <mergeCell ref="B613:C613"/>
    <mergeCell ref="B614:C614"/>
    <mergeCell ref="B615:C615"/>
    <mergeCell ref="B616:C616"/>
    <mergeCell ref="B617:C617"/>
    <mergeCell ref="B618:C618"/>
    <mergeCell ref="B619:C619"/>
    <mergeCell ref="B620:C620"/>
    <mergeCell ref="B621:C621"/>
    <mergeCell ref="B622:C622"/>
    <mergeCell ref="B623:C623"/>
    <mergeCell ref="B624:C624"/>
    <mergeCell ref="B625:C625"/>
    <mergeCell ref="B626:C626"/>
    <mergeCell ref="B627:C627"/>
    <mergeCell ref="B628:C628"/>
    <mergeCell ref="B629:C629"/>
    <mergeCell ref="B630:C630"/>
    <mergeCell ref="B631:C631"/>
    <mergeCell ref="B632:C632"/>
    <mergeCell ref="B633:C633"/>
    <mergeCell ref="B634:C634"/>
    <mergeCell ref="B635:C635"/>
    <mergeCell ref="B636:C636"/>
    <mergeCell ref="B637:C637"/>
    <mergeCell ref="B638:C638"/>
    <mergeCell ref="B639:C639"/>
    <mergeCell ref="B640:C640"/>
    <mergeCell ref="B641:C641"/>
    <mergeCell ref="B642:C642"/>
    <mergeCell ref="B643:C643"/>
    <mergeCell ref="B644:C644"/>
    <mergeCell ref="B645:C645"/>
    <mergeCell ref="B646:C646"/>
    <mergeCell ref="B647:C647"/>
    <mergeCell ref="B648:C648"/>
    <mergeCell ref="B649:C649"/>
    <mergeCell ref="B650:C650"/>
    <mergeCell ref="B681:C681"/>
    <mergeCell ref="B682:C682"/>
    <mergeCell ref="B683:C683"/>
    <mergeCell ref="B684:C684"/>
    <mergeCell ref="B685:C685"/>
    <mergeCell ref="B686:C686"/>
    <mergeCell ref="B687:C687"/>
    <mergeCell ref="B688:C688"/>
    <mergeCell ref="B663:C663"/>
    <mergeCell ref="B664:C664"/>
    <mergeCell ref="B651:C651"/>
    <mergeCell ref="B655:C655"/>
    <mergeCell ref="B656:C656"/>
    <mergeCell ref="B658:C658"/>
    <mergeCell ref="B665:C665"/>
    <mergeCell ref="B666:C666"/>
    <mergeCell ref="B667:C667"/>
    <mergeCell ref="B668:C668"/>
    <mergeCell ref="B669:C669"/>
    <mergeCell ref="B670:C670"/>
    <mergeCell ref="B659:C659"/>
    <mergeCell ref="B660:C660"/>
    <mergeCell ref="B661:C661"/>
    <mergeCell ref="B689:C689"/>
    <mergeCell ref="B690:C690"/>
    <mergeCell ref="B691:C691"/>
    <mergeCell ref="B692:C692"/>
    <mergeCell ref="B693:C693"/>
    <mergeCell ref="B694:C694"/>
    <mergeCell ref="B695:C695"/>
    <mergeCell ref="B696:C696"/>
    <mergeCell ref="B697:C697"/>
    <mergeCell ref="B698:C698"/>
    <mergeCell ref="B699:C699"/>
    <mergeCell ref="B700:C700"/>
    <mergeCell ref="B701:C701"/>
    <mergeCell ref="B702:C702"/>
    <mergeCell ref="B703:C703"/>
    <mergeCell ref="B704:C704"/>
    <mergeCell ref="B705:C705"/>
    <mergeCell ref="B706:C706"/>
    <mergeCell ref="B707:C707"/>
    <mergeCell ref="B708:C708"/>
    <mergeCell ref="B709:C709"/>
    <mergeCell ref="B710:C710"/>
    <mergeCell ref="B711:C711"/>
    <mergeCell ref="B712:C712"/>
    <mergeCell ref="B713:C713"/>
    <mergeCell ref="B714:C714"/>
    <mergeCell ref="B715:C715"/>
    <mergeCell ref="B716:C716"/>
    <mergeCell ref="B717:C717"/>
    <mergeCell ref="B718:C718"/>
    <mergeCell ref="B719:C719"/>
    <mergeCell ref="B720:C720"/>
    <mergeCell ref="B721:C721"/>
    <mergeCell ref="B722:C722"/>
    <mergeCell ref="B723:C723"/>
    <mergeCell ref="B724:C724"/>
    <mergeCell ref="B742:C742"/>
    <mergeCell ref="B725:C725"/>
    <mergeCell ref="B726:C726"/>
    <mergeCell ref="B727:C727"/>
    <mergeCell ref="B728:C728"/>
    <mergeCell ref="B729:C729"/>
    <mergeCell ref="B730:C730"/>
    <mergeCell ref="B731:C731"/>
    <mergeCell ref="B732:C732"/>
    <mergeCell ref="B733:C733"/>
    <mergeCell ref="M11:M12"/>
    <mergeCell ref="B752:C752"/>
    <mergeCell ref="B753:C753"/>
    <mergeCell ref="B754:C754"/>
    <mergeCell ref="B755:C755"/>
    <mergeCell ref="B756:C756"/>
    <mergeCell ref="B757:C757"/>
    <mergeCell ref="B743:C743"/>
    <mergeCell ref="B744:C744"/>
    <mergeCell ref="B745:C745"/>
    <mergeCell ref="B746:C746"/>
    <mergeCell ref="B747:C747"/>
    <mergeCell ref="B748:C748"/>
    <mergeCell ref="B749:C749"/>
    <mergeCell ref="B750:C750"/>
    <mergeCell ref="B751:C751"/>
    <mergeCell ref="B734:C734"/>
    <mergeCell ref="B735:C735"/>
    <mergeCell ref="B736:C736"/>
    <mergeCell ref="B737:C737"/>
    <mergeCell ref="B738:C738"/>
    <mergeCell ref="B739:C739"/>
    <mergeCell ref="B740:C740"/>
    <mergeCell ref="B741:C741"/>
  </mergeCells>
  <dataValidations count="2">
    <dataValidation type="list" allowBlank="1" showInputMessage="1" showErrorMessage="1" sqref="G552:G650 G234:G332 G764:G862 G658:G756 G340:G438 G446:G544 G128:G226 G22:G120" xr:uid="{00000000-0002-0000-1300-000000000000}">
      <formula1>"E,M,OH,OT,S"</formula1>
    </dataValidation>
    <dataValidation type="list" allowBlank="1" showInputMessage="1" showErrorMessage="1" sqref="G8:I8" xr:uid="{00000000-0002-0000-1300-000001000000}">
      <formula1>$K$2:$K$5</formula1>
    </dataValidation>
  </dataValidations>
  <printOptions horizontalCentered="1"/>
  <pageMargins left="0.2" right="0.2" top="0.5" bottom="0.5" header="0.3" footer="0.3"/>
  <pageSetup scale="83" fitToHeight="0" orientation="portrait" r:id="rId1"/>
  <headerFooter scaleWithDoc="0" alignWithMargins="0">
    <oddFooter>&amp;L&amp;D&amp;C&amp;F&amp;RPage &amp;P of &amp;N</oddFooter>
  </headerFooter>
  <cellWatches>
    <cellWatch r="M10"/>
  </cellWatches>
  <ignoredErrors>
    <ignoredError sqref="A764:A862" twoDigitTextYear="1"/>
  </ignoredErrors>
  <drawing r:id="rId2"/>
  <legacyDrawing r:id="rId3"/>
  <mc:AlternateContent xmlns:mc="http://schemas.openxmlformats.org/markup-compatibility/2006">
    <mc:Choice Requires="x14">
      <controls>
        <mc:AlternateContent xmlns:mc="http://schemas.openxmlformats.org/markup-compatibility/2006">
          <mc:Choice Requires="x14">
            <control shapeId="4099" r:id="rId4" name="Option Button 3">
              <controlPr defaultSize="0" autoFill="0" autoLine="0" autoPict="0">
                <anchor moveWithCells="1">
                  <from>
                    <xdr:col>1</xdr:col>
                    <xdr:colOff>0</xdr:colOff>
                    <xdr:row>9</xdr:row>
                    <xdr:rowOff>0</xdr:rowOff>
                  </from>
                  <to>
                    <xdr:col>1</xdr:col>
                    <xdr:colOff>819150</xdr:colOff>
                    <xdr:row>9</xdr:row>
                    <xdr:rowOff>266700</xdr:rowOff>
                  </to>
                </anchor>
              </controlPr>
            </control>
          </mc:Choice>
        </mc:AlternateContent>
        <mc:AlternateContent xmlns:mc="http://schemas.openxmlformats.org/markup-compatibility/2006">
          <mc:Choice Requires="x14">
            <control shapeId="4100" r:id="rId5" name="Option Button 4">
              <controlPr defaultSize="0" autoFill="0" autoLine="0" autoPict="0">
                <anchor moveWithCells="1">
                  <from>
                    <xdr:col>2</xdr:col>
                    <xdr:colOff>0</xdr:colOff>
                    <xdr:row>9</xdr:row>
                    <xdr:rowOff>0</xdr:rowOff>
                  </from>
                  <to>
                    <xdr:col>2</xdr:col>
                    <xdr:colOff>819150</xdr:colOff>
                    <xdr:row>9</xdr:row>
                    <xdr:rowOff>266700</xdr:rowOff>
                  </to>
                </anchor>
              </controlPr>
            </control>
          </mc:Choice>
        </mc:AlternateContent>
        <mc:AlternateContent xmlns:mc="http://schemas.openxmlformats.org/markup-compatibility/2006">
          <mc:Choice Requires="x14">
            <control shapeId="4101" r:id="rId6" name="Group Box 5">
              <controlPr defaultSize="0" autoFill="0" autoPict="0">
                <anchor moveWithCells="1">
                  <from>
                    <xdr:col>1</xdr:col>
                    <xdr:colOff>0</xdr:colOff>
                    <xdr:row>9</xdr:row>
                    <xdr:rowOff>0</xdr:rowOff>
                  </from>
                  <to>
                    <xdr:col>3</xdr:col>
                    <xdr:colOff>0</xdr:colOff>
                    <xdr:row>10</xdr:row>
                    <xdr:rowOff>0</xdr:rowOff>
                  </to>
                </anchor>
              </controlPr>
            </control>
          </mc:Choice>
        </mc:AlternateContent>
        <mc:AlternateContent xmlns:mc="http://schemas.openxmlformats.org/markup-compatibility/2006">
          <mc:Choice Requires="x14">
            <control shapeId="4102" r:id="rId7" name="Group Box 6">
              <controlPr defaultSize="0" autoFill="0" autoPict="0">
                <anchor moveWithCells="1">
                  <from>
                    <xdr:col>0</xdr:col>
                    <xdr:colOff>0</xdr:colOff>
                    <xdr:row>15</xdr:row>
                    <xdr:rowOff>0</xdr:rowOff>
                  </from>
                  <to>
                    <xdr:col>2</xdr:col>
                    <xdr:colOff>0</xdr:colOff>
                    <xdr:row>17</xdr:row>
                    <xdr:rowOff>0</xdr:rowOff>
                  </to>
                </anchor>
              </controlPr>
            </control>
          </mc:Choice>
        </mc:AlternateContent>
        <mc:AlternateContent xmlns:mc="http://schemas.openxmlformats.org/markup-compatibility/2006">
          <mc:Choice Requires="x14">
            <control shapeId="4104" r:id="rId8" name="Option Button 8">
              <controlPr defaultSize="0" autoFill="0" autoLine="0" autoPict="0">
                <anchor moveWithCells="1">
                  <from>
                    <xdr:col>0</xdr:col>
                    <xdr:colOff>619125</xdr:colOff>
                    <xdr:row>15</xdr:row>
                    <xdr:rowOff>47625</xdr:rowOff>
                  </from>
                  <to>
                    <xdr:col>1</xdr:col>
                    <xdr:colOff>76200</xdr:colOff>
                    <xdr:row>15</xdr:row>
                    <xdr:rowOff>266700</xdr:rowOff>
                  </to>
                </anchor>
              </controlPr>
            </control>
          </mc:Choice>
        </mc:AlternateContent>
        <mc:AlternateContent xmlns:mc="http://schemas.openxmlformats.org/markup-compatibility/2006">
          <mc:Choice Requires="x14">
            <control shapeId="4106" r:id="rId9" name="Option Button 10">
              <controlPr locked="0" defaultSize="0" autoFill="0" autoLine="0" autoPict="0">
                <anchor moveWithCells="1">
                  <from>
                    <xdr:col>0</xdr:col>
                    <xdr:colOff>619125</xdr:colOff>
                    <xdr:row>16</xdr:row>
                    <xdr:rowOff>47625</xdr:rowOff>
                  </from>
                  <to>
                    <xdr:col>1</xdr:col>
                    <xdr:colOff>76200</xdr:colOff>
                    <xdr:row>16</xdr:row>
                    <xdr:rowOff>266700</xdr:rowOff>
                  </to>
                </anchor>
              </controlPr>
            </control>
          </mc:Choice>
        </mc:AlternateContent>
        <mc:AlternateContent xmlns:mc="http://schemas.openxmlformats.org/markup-compatibility/2006">
          <mc:Choice Requires="x14">
            <control shapeId="4107" r:id="rId10" name="Button 11">
              <controlPr defaultSize="0" print="0" autoFill="0" autoPict="0" macro="[0]!HideBooking">
                <anchor moveWithCells="1" sizeWithCells="1">
                  <from>
                    <xdr:col>10</xdr:col>
                    <xdr:colOff>0</xdr:colOff>
                    <xdr:row>4</xdr:row>
                    <xdr:rowOff>0</xdr:rowOff>
                  </from>
                  <to>
                    <xdr:col>13</xdr:col>
                    <xdr:colOff>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A3"/>
  <sheetViews>
    <sheetView workbookViewId="0"/>
  </sheetViews>
  <sheetFormatPr defaultColWidth="9.140625" defaultRowHeight="12.75" x14ac:dyDescent="0.2"/>
  <cols>
    <col min="1" max="1" width="54.85546875" style="172" bestFit="1" customWidth="1"/>
    <col min="2" max="16384" width="9.140625" style="172"/>
  </cols>
  <sheetData>
    <row r="1" spans="1:1" ht="22.5" x14ac:dyDescent="0.3">
      <c r="A1" s="171" t="s">
        <v>340</v>
      </c>
    </row>
    <row r="3" spans="1:1" ht="22.5" x14ac:dyDescent="0.3">
      <c r="A3" s="171" t="s">
        <v>341</v>
      </c>
    </row>
  </sheetData>
  <sheetProtection algorithmName="SHA-512" hashValue="M8tf5nqdc2jXb7YYKA9fH+RAtMYkpru/v1ob1kVtYwDpiYEcPP96bMt+DLIi9xmWjB34XtTm7LjlTK60kc6/kA==" saltValue="EzSoFRpixODdJmZe+ZpJCw==" spinCount="100000" sheet="1" objects="1" scenarios="1" sort="0" autoFilter="0" pivotTable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365</vt:i4>
      </vt:variant>
    </vt:vector>
  </HeadingPairs>
  <TitlesOfParts>
    <vt:vector size="384" baseType="lpstr">
      <vt:lpstr>Booking CSV</vt:lpstr>
      <vt:lpstr>Pivot</vt:lpstr>
      <vt:lpstr>QP SM Audit Trail</vt:lpstr>
      <vt:lpstr>SM Audit Trail</vt:lpstr>
      <vt:lpstr>Phase Codes</vt:lpstr>
      <vt:lpstr>SM Schedule</vt:lpstr>
      <vt:lpstr>Work Recovery</vt:lpstr>
      <vt:lpstr>EMO</vt:lpstr>
      <vt:lpstr>Permits</vt:lpstr>
      <vt:lpstr>OCIP</vt:lpstr>
      <vt:lpstr>Bond</vt:lpstr>
      <vt:lpstr>Takeoff Notes</vt:lpstr>
      <vt:lpstr>SM Import</vt:lpstr>
      <vt:lpstr>Crew Mix</vt:lpstr>
      <vt:lpstr>TakeOff</vt:lpstr>
      <vt:lpstr>MCAA RECAP</vt:lpstr>
      <vt:lpstr>Proposal</vt:lpstr>
      <vt:lpstr>Price Breakdown</vt:lpstr>
      <vt:lpstr>Booking Report</vt:lpstr>
      <vt:lpstr>Bond</vt:lpstr>
      <vt:lpstr>Bond_Req</vt:lpstr>
      <vt:lpstr>Booking_Field_Codes</vt:lpstr>
      <vt:lpstr>Booking_Field_Codes_Arch</vt:lpstr>
      <vt:lpstr>Booking_Shop_Codes</vt:lpstr>
      <vt:lpstr>Booking_Status</vt:lpstr>
      <vt:lpstr>Booking_Status_Hours</vt:lpstr>
      <vt:lpstr>Booking_Type</vt:lpstr>
      <vt:lpstr>Breakdown_FieldLaborCost_1</vt:lpstr>
      <vt:lpstr>Breakdown_FieldLaborCost_10</vt:lpstr>
      <vt:lpstr>Breakdown_FieldLaborCost_11</vt:lpstr>
      <vt:lpstr>Breakdown_FieldLaborCost_12</vt:lpstr>
      <vt:lpstr>Breakdown_FieldLaborCost_13</vt:lpstr>
      <vt:lpstr>Breakdown_FieldLaborCost_14</vt:lpstr>
      <vt:lpstr>Breakdown_FieldLaborCost_15</vt:lpstr>
      <vt:lpstr>Breakdown_FieldLaborCost_16</vt:lpstr>
      <vt:lpstr>Breakdown_FieldLaborCost_17</vt:lpstr>
      <vt:lpstr>Breakdown_FieldLaborCost_18</vt:lpstr>
      <vt:lpstr>Breakdown_FieldLaborCost_19</vt:lpstr>
      <vt:lpstr>Breakdown_FieldLaborCost_2</vt:lpstr>
      <vt:lpstr>Breakdown_FieldLaborCost_20</vt:lpstr>
      <vt:lpstr>Breakdown_FieldLaborCost_21</vt:lpstr>
      <vt:lpstr>Breakdown_FieldLaborCost_22</vt:lpstr>
      <vt:lpstr>Breakdown_FieldLaborCost_23</vt:lpstr>
      <vt:lpstr>Breakdown_FieldLaborCost_24</vt:lpstr>
      <vt:lpstr>Breakdown_FieldLaborCost_25</vt:lpstr>
      <vt:lpstr>Breakdown_FieldLaborCost_26</vt:lpstr>
      <vt:lpstr>Breakdown_FieldLaborCost_27</vt:lpstr>
      <vt:lpstr>Breakdown_FieldLaborCost_28</vt:lpstr>
      <vt:lpstr>Breakdown_FieldLaborCost_29</vt:lpstr>
      <vt:lpstr>Breakdown_FieldLaborCost_3</vt:lpstr>
      <vt:lpstr>Breakdown_FieldLaborCost_30</vt:lpstr>
      <vt:lpstr>Breakdown_FieldLaborCost_31</vt:lpstr>
      <vt:lpstr>Breakdown_FieldLaborCost_4</vt:lpstr>
      <vt:lpstr>Breakdown_FieldLaborCost_5</vt:lpstr>
      <vt:lpstr>Breakdown_FieldLaborCost_6</vt:lpstr>
      <vt:lpstr>Breakdown_FieldLaborCost_7</vt:lpstr>
      <vt:lpstr>Breakdown_FieldLaborCost_8</vt:lpstr>
      <vt:lpstr>Breakdown_FieldLaborCost_9</vt:lpstr>
      <vt:lpstr>Breakdown_FieldLaborCost_CAE</vt:lpstr>
      <vt:lpstr>Breakdown_ShopLaborCost_1</vt:lpstr>
      <vt:lpstr>Breakdown_ShopLaborCost_10</vt:lpstr>
      <vt:lpstr>Breakdown_ShopLaborCost_11</vt:lpstr>
      <vt:lpstr>Breakdown_ShopLaborCost_12</vt:lpstr>
      <vt:lpstr>Breakdown_ShopLaborCost_13</vt:lpstr>
      <vt:lpstr>Breakdown_ShopLaborCost_14</vt:lpstr>
      <vt:lpstr>Breakdown_ShopLaborCost_15</vt:lpstr>
      <vt:lpstr>Breakdown_ShopLaborCost_16</vt:lpstr>
      <vt:lpstr>Breakdown_ShopLaborCost_17</vt:lpstr>
      <vt:lpstr>Breakdown_ShopLaborCost_18</vt:lpstr>
      <vt:lpstr>Breakdown_ShopLaborCost_19</vt:lpstr>
      <vt:lpstr>Breakdown_ShopLaborCost_2</vt:lpstr>
      <vt:lpstr>Breakdown_ShopLaborCost_20</vt:lpstr>
      <vt:lpstr>Breakdown_ShopLaborCost_21</vt:lpstr>
      <vt:lpstr>Breakdown_ShopLaborCost_22</vt:lpstr>
      <vt:lpstr>Breakdown_ShopLaborCost_23</vt:lpstr>
      <vt:lpstr>Breakdown_ShopLaborCost_24</vt:lpstr>
      <vt:lpstr>Breakdown_ShopLaborCost_25</vt:lpstr>
      <vt:lpstr>Breakdown_ShopLaborCost_26</vt:lpstr>
      <vt:lpstr>Breakdown_ShopLaborCost_27</vt:lpstr>
      <vt:lpstr>Breakdown_ShopLaborCost_28</vt:lpstr>
      <vt:lpstr>Breakdown_ShopLaborCost_29</vt:lpstr>
      <vt:lpstr>Breakdown_ShopLaborCost_3</vt:lpstr>
      <vt:lpstr>Breakdown_ShopLaborCost_30</vt:lpstr>
      <vt:lpstr>Breakdown_ShopLaborCost_31</vt:lpstr>
      <vt:lpstr>Breakdown_ShopLaborCost_4</vt:lpstr>
      <vt:lpstr>Breakdown_ShopLaborCost_5</vt:lpstr>
      <vt:lpstr>Breakdown_ShopLaborCost_6</vt:lpstr>
      <vt:lpstr>Breakdown_ShopLaborCost_7</vt:lpstr>
      <vt:lpstr>Breakdown_ShopLaborCost_8</vt:lpstr>
      <vt:lpstr>Breakdown_ShopLaborCost_9</vt:lpstr>
      <vt:lpstr>Breakdown_ShopLaborCost_CAE</vt:lpstr>
      <vt:lpstr>Breakdown_SM_Field_1</vt:lpstr>
      <vt:lpstr>Breakdown_SM_Field_10</vt:lpstr>
      <vt:lpstr>Breakdown_SM_Field_11</vt:lpstr>
      <vt:lpstr>Breakdown_SM_Field_12</vt:lpstr>
      <vt:lpstr>Breakdown_SM_Field_13</vt:lpstr>
      <vt:lpstr>Breakdown_SM_Field_14</vt:lpstr>
      <vt:lpstr>Breakdown_SM_Field_15</vt:lpstr>
      <vt:lpstr>Breakdown_SM_Field_16</vt:lpstr>
      <vt:lpstr>Breakdown_SM_Field_17</vt:lpstr>
      <vt:lpstr>Breakdown_SM_Field_18</vt:lpstr>
      <vt:lpstr>Breakdown_SM_Field_19</vt:lpstr>
      <vt:lpstr>Breakdown_SM_Field_2</vt:lpstr>
      <vt:lpstr>Breakdown_SM_Field_20</vt:lpstr>
      <vt:lpstr>Breakdown_SM_Field_21</vt:lpstr>
      <vt:lpstr>Breakdown_SM_Field_22</vt:lpstr>
      <vt:lpstr>Breakdown_SM_Field_23</vt:lpstr>
      <vt:lpstr>Breakdown_SM_Field_24</vt:lpstr>
      <vt:lpstr>Breakdown_SM_Field_25</vt:lpstr>
      <vt:lpstr>Breakdown_SM_Field_26</vt:lpstr>
      <vt:lpstr>Breakdown_SM_Field_27</vt:lpstr>
      <vt:lpstr>Breakdown_SM_Field_28</vt:lpstr>
      <vt:lpstr>Breakdown_SM_Field_29</vt:lpstr>
      <vt:lpstr>Breakdown_SM_Field_3</vt:lpstr>
      <vt:lpstr>Breakdown_SM_Field_30</vt:lpstr>
      <vt:lpstr>Breakdown_SM_Field_31</vt:lpstr>
      <vt:lpstr>Breakdown_SM_Field_4</vt:lpstr>
      <vt:lpstr>Breakdown_SM_Field_5</vt:lpstr>
      <vt:lpstr>Breakdown_SM_Field_6</vt:lpstr>
      <vt:lpstr>Breakdown_SM_Field_7</vt:lpstr>
      <vt:lpstr>Breakdown_SM_Field_8</vt:lpstr>
      <vt:lpstr>Breakdown_SM_Field_9</vt:lpstr>
      <vt:lpstr>Breakdown_SM_Field_CAE</vt:lpstr>
      <vt:lpstr>Breakdown_SM_Material_1</vt:lpstr>
      <vt:lpstr>Breakdown_SM_Material_10</vt:lpstr>
      <vt:lpstr>Breakdown_SM_Material_11</vt:lpstr>
      <vt:lpstr>Breakdown_SM_Material_12</vt:lpstr>
      <vt:lpstr>Breakdown_SM_Material_13</vt:lpstr>
      <vt:lpstr>Breakdown_SM_Material_14</vt:lpstr>
      <vt:lpstr>Breakdown_SM_Material_15</vt:lpstr>
      <vt:lpstr>Breakdown_SM_Material_16</vt:lpstr>
      <vt:lpstr>Breakdown_SM_Material_17</vt:lpstr>
      <vt:lpstr>Breakdown_SM_Material_18</vt:lpstr>
      <vt:lpstr>Breakdown_SM_Material_19</vt:lpstr>
      <vt:lpstr>Breakdown_SM_Material_2</vt:lpstr>
      <vt:lpstr>Breakdown_SM_Material_20</vt:lpstr>
      <vt:lpstr>Breakdown_SM_Material_21</vt:lpstr>
      <vt:lpstr>Breakdown_SM_Material_22</vt:lpstr>
      <vt:lpstr>Breakdown_SM_Material_23</vt:lpstr>
      <vt:lpstr>Breakdown_SM_Material_24</vt:lpstr>
      <vt:lpstr>Breakdown_SM_Material_25</vt:lpstr>
      <vt:lpstr>Breakdown_SM_Material_26</vt:lpstr>
      <vt:lpstr>Breakdown_SM_Material_27</vt:lpstr>
      <vt:lpstr>Breakdown_SM_Material_28</vt:lpstr>
      <vt:lpstr>Breakdown_SM_Material_29</vt:lpstr>
      <vt:lpstr>Breakdown_SM_Material_3</vt:lpstr>
      <vt:lpstr>Breakdown_SM_Material_30</vt:lpstr>
      <vt:lpstr>Breakdown_SM_Material_31</vt:lpstr>
      <vt:lpstr>Breakdown_SM_Material_4</vt:lpstr>
      <vt:lpstr>Breakdown_SM_Material_5</vt:lpstr>
      <vt:lpstr>Breakdown_SM_Material_6</vt:lpstr>
      <vt:lpstr>Breakdown_SM_Material_7</vt:lpstr>
      <vt:lpstr>Breakdown_SM_Material_8</vt:lpstr>
      <vt:lpstr>Breakdown_SM_Material_9</vt:lpstr>
      <vt:lpstr>Breakdown_SM_Material_CAE</vt:lpstr>
      <vt:lpstr>Breakdown_SM_Shop_1</vt:lpstr>
      <vt:lpstr>Breakdown_SM_Shop_10</vt:lpstr>
      <vt:lpstr>Breakdown_SM_Shop_11</vt:lpstr>
      <vt:lpstr>Breakdown_SM_Shop_12</vt:lpstr>
      <vt:lpstr>Breakdown_SM_Shop_13</vt:lpstr>
      <vt:lpstr>Breakdown_SM_Shop_14</vt:lpstr>
      <vt:lpstr>Breakdown_SM_Shop_15</vt:lpstr>
      <vt:lpstr>Breakdown_SM_Shop_16</vt:lpstr>
      <vt:lpstr>Breakdown_SM_Shop_17</vt:lpstr>
      <vt:lpstr>Breakdown_SM_Shop_18</vt:lpstr>
      <vt:lpstr>Breakdown_SM_Shop_19</vt:lpstr>
      <vt:lpstr>Breakdown_SM_Shop_2</vt:lpstr>
      <vt:lpstr>Breakdown_SM_Shop_20</vt:lpstr>
      <vt:lpstr>Breakdown_SM_Shop_21</vt:lpstr>
      <vt:lpstr>Breakdown_SM_Shop_22</vt:lpstr>
      <vt:lpstr>Breakdown_SM_Shop_23</vt:lpstr>
      <vt:lpstr>Breakdown_SM_Shop_24</vt:lpstr>
      <vt:lpstr>Breakdown_SM_Shop_25</vt:lpstr>
      <vt:lpstr>Breakdown_SM_Shop_26</vt:lpstr>
      <vt:lpstr>Breakdown_SM_Shop_27</vt:lpstr>
      <vt:lpstr>Breakdown_SM_Shop_28</vt:lpstr>
      <vt:lpstr>Breakdown_SM_Shop_29</vt:lpstr>
      <vt:lpstr>Breakdown_SM_Shop_3</vt:lpstr>
      <vt:lpstr>Breakdown_SM_Shop_30</vt:lpstr>
      <vt:lpstr>Breakdown_SM_Shop_31</vt:lpstr>
      <vt:lpstr>Breakdown_SM_Shop_4</vt:lpstr>
      <vt:lpstr>Breakdown_SM_Shop_5</vt:lpstr>
      <vt:lpstr>Breakdown_SM_Shop_6</vt:lpstr>
      <vt:lpstr>Breakdown_SM_Shop_7</vt:lpstr>
      <vt:lpstr>Breakdown_SM_Shop_8</vt:lpstr>
      <vt:lpstr>Breakdown_SM_Shop_9</vt:lpstr>
      <vt:lpstr>Breakdown_SM_Shop_CAE</vt:lpstr>
      <vt:lpstr>Breakdown_SM1</vt:lpstr>
      <vt:lpstr>Breakdown_SM10</vt:lpstr>
      <vt:lpstr>Breakdown_SM11</vt:lpstr>
      <vt:lpstr>Breakdown_SM12</vt:lpstr>
      <vt:lpstr>Breakdown_SM13</vt:lpstr>
      <vt:lpstr>Breakdown_SM14</vt:lpstr>
      <vt:lpstr>Breakdown_SM15</vt:lpstr>
      <vt:lpstr>Breakdown_SM16</vt:lpstr>
      <vt:lpstr>Breakdown_SM17</vt:lpstr>
      <vt:lpstr>Breakdown_SM18</vt:lpstr>
      <vt:lpstr>Breakdown_SM19</vt:lpstr>
      <vt:lpstr>Breakdown_SM2</vt:lpstr>
      <vt:lpstr>Breakdown_SM20</vt:lpstr>
      <vt:lpstr>Breakdown_SM21</vt:lpstr>
      <vt:lpstr>Breakdown_SM22</vt:lpstr>
      <vt:lpstr>Breakdown_SM23</vt:lpstr>
      <vt:lpstr>Breakdown_SM24</vt:lpstr>
      <vt:lpstr>Breakdown_SM25</vt:lpstr>
      <vt:lpstr>Breakdown_SM26</vt:lpstr>
      <vt:lpstr>Breakdown_SM27</vt:lpstr>
      <vt:lpstr>Breakdown_SM28</vt:lpstr>
      <vt:lpstr>Breakdown_SM29</vt:lpstr>
      <vt:lpstr>Breakdown_SM3</vt:lpstr>
      <vt:lpstr>Breakdown_SM30</vt:lpstr>
      <vt:lpstr>Breakdown_SM31</vt:lpstr>
      <vt:lpstr>Breakdown_SM4</vt:lpstr>
      <vt:lpstr>Breakdown_SM5</vt:lpstr>
      <vt:lpstr>Breakdown_SM6</vt:lpstr>
      <vt:lpstr>Breakdown_SM7</vt:lpstr>
      <vt:lpstr>Breakdown_SM8</vt:lpstr>
      <vt:lpstr>Breakdown_SM9</vt:lpstr>
      <vt:lpstr>Breakdown_SMCAE</vt:lpstr>
      <vt:lpstr>CAE_Field_Hours_Total</vt:lpstr>
      <vt:lpstr>CAE_Material_Cost_Total</vt:lpstr>
      <vt:lpstr>CAE_Shop_Hours_Total</vt:lpstr>
      <vt:lpstr>CAT_TAX</vt:lpstr>
      <vt:lpstr>Certified_Payrole</vt:lpstr>
      <vt:lpstr>Codes_GC</vt:lpstr>
      <vt:lpstr>Codes_Subcontractor</vt:lpstr>
      <vt:lpstr>ComputerName</vt:lpstr>
      <vt:lpstr>CrewRate_Pipe</vt:lpstr>
      <vt:lpstr>CrewRate_Plumb</vt:lpstr>
      <vt:lpstr>CrewRate_PlumbFitter_DoubleTime</vt:lpstr>
      <vt:lpstr>CrewRate_PlumbFitter_GraveLOP</vt:lpstr>
      <vt:lpstr>CrewRate_PlumbFitter_Overtime</vt:lpstr>
      <vt:lpstr>CrewRate_PlumbFitter_Straight</vt:lpstr>
      <vt:lpstr>CrewRate_PlumbFitter_Swing</vt:lpstr>
      <vt:lpstr>CrewRate_PlumbFitter_SwingLOP</vt:lpstr>
      <vt:lpstr>CrewRate_SMField</vt:lpstr>
      <vt:lpstr>CrewRate_SMField_DoubleTime</vt:lpstr>
      <vt:lpstr>CrewRate_SMField_Grave</vt:lpstr>
      <vt:lpstr>CrewRate_SMField_Overtime</vt:lpstr>
      <vt:lpstr>CrewRate_SMField_Special</vt:lpstr>
      <vt:lpstr>CrewRate_SMField_Straight</vt:lpstr>
      <vt:lpstr>CrewRate_SMField_Swing</vt:lpstr>
      <vt:lpstr>CrewRate_SMShop</vt:lpstr>
      <vt:lpstr>CrewRate_SMShop_DoubleTime</vt:lpstr>
      <vt:lpstr>CrewRate_SMShop_Grave</vt:lpstr>
      <vt:lpstr>CrewRate_SMShop_Overtime</vt:lpstr>
      <vt:lpstr>CrewRate_SMShop_Special</vt:lpstr>
      <vt:lpstr>CrewRate_SMShop_Straight</vt:lpstr>
      <vt:lpstr>CrewRate_SMShop_Swing</vt:lpstr>
      <vt:lpstr>Driver_Rate</vt:lpstr>
      <vt:lpstr>Ext_Insul</vt:lpstr>
      <vt:lpstr>Ext_Insul_Cost</vt:lpstr>
      <vt:lpstr>Info_Address</vt:lpstr>
      <vt:lpstr>Info_Bid_Date</vt:lpstr>
      <vt:lpstr>Info_Bid_Time</vt:lpstr>
      <vt:lpstr>Info_City</vt:lpstr>
      <vt:lpstr>Info_Est_No</vt:lpstr>
      <vt:lpstr>Info_Job_Name</vt:lpstr>
      <vt:lpstr>Info_Job_Number</vt:lpstr>
      <vt:lpstr>Info_Location</vt:lpstr>
      <vt:lpstr>Info_Market_Recovery</vt:lpstr>
      <vt:lpstr>Info_Schedule_End_Date</vt:lpstr>
      <vt:lpstr>Info_Schedule_Start_Date</vt:lpstr>
      <vt:lpstr>Info_State</vt:lpstr>
      <vt:lpstr>Info_Total_Bid</vt:lpstr>
      <vt:lpstr>Info_Total_Bid_Stored</vt:lpstr>
      <vt:lpstr>Info_Total_Bid_Stored_Difference</vt:lpstr>
      <vt:lpstr>Info_Total_Bid_Stored_Time</vt:lpstr>
      <vt:lpstr>Info_Zip</vt:lpstr>
      <vt:lpstr>Labor_Cost_Field_Double</vt:lpstr>
      <vt:lpstr>Labor_Cost_Field_OT</vt:lpstr>
      <vt:lpstr>Labor_Cost_Field_Straight</vt:lpstr>
      <vt:lpstr>Labor_Cost_Shop_Double</vt:lpstr>
      <vt:lpstr>Labor_Cost_Shop_OT</vt:lpstr>
      <vt:lpstr>Labor_Cost_Shop_Straight</vt:lpstr>
      <vt:lpstr>OCIP_Deduct</vt:lpstr>
      <vt:lpstr>OCIP_Deduct_Total</vt:lpstr>
      <vt:lpstr>OCIP_GL_Toggle</vt:lpstr>
      <vt:lpstr>OCIP_Req</vt:lpstr>
      <vt:lpstr>PC_SM_Field</vt:lpstr>
      <vt:lpstr>PC_SM_Material</vt:lpstr>
      <vt:lpstr>PC_SM_Shop</vt:lpstr>
      <vt:lpstr>Phase_Code_List_Field</vt:lpstr>
      <vt:lpstr>Phase_Code_List_Material</vt:lpstr>
      <vt:lpstr>Phase_Code_List_Shop</vt:lpstr>
      <vt:lpstr>Bond!Print_Area</vt:lpstr>
      <vt:lpstr>'Booking Report'!Print_Area</vt:lpstr>
      <vt:lpstr>Breakdown!Print_Area</vt:lpstr>
      <vt:lpstr>'Crew Mix'!Print_Area</vt:lpstr>
      <vt:lpstr>'MCAA RECAP'!Print_Area</vt:lpstr>
      <vt:lpstr>OCIP!Print_Area</vt:lpstr>
      <vt:lpstr>Permits!Print_Area</vt:lpstr>
      <vt:lpstr>'Phase Codes'!Print_Area</vt:lpstr>
      <vt:lpstr>Proposal!Print_Area</vt:lpstr>
      <vt:lpstr>'SM Import'!Print_Area</vt:lpstr>
      <vt:lpstr>'SM Schedule'!Print_Area</vt:lpstr>
      <vt:lpstr>TakeOff!Print_Area</vt:lpstr>
      <vt:lpstr>'Takeoff Notes'!Print_Area</vt:lpstr>
      <vt:lpstr>'Work Recovery'!Print_Area</vt:lpstr>
      <vt:lpstr>Breakdown!Print_Titles</vt:lpstr>
      <vt:lpstr>'Crew Mix'!Print_Titles</vt:lpstr>
      <vt:lpstr>'MCAA RECAP'!Print_Titles</vt:lpstr>
      <vt:lpstr>'Price Breakdown'!Print_Titles</vt:lpstr>
      <vt:lpstr>'SM Import'!Print_Titles</vt:lpstr>
      <vt:lpstr>'SM Schedule'!Print_Titles</vt:lpstr>
      <vt:lpstr>TakeOff!Print_Titles</vt:lpstr>
      <vt:lpstr>Schedule_Type</vt:lpstr>
      <vt:lpstr>SM_ExludeGroup1</vt:lpstr>
      <vt:lpstr>SM_ExludeGroup10</vt:lpstr>
      <vt:lpstr>SM_ExludeGroup11</vt:lpstr>
      <vt:lpstr>SM_ExludeGroup12</vt:lpstr>
      <vt:lpstr>SM_ExludeGroup13</vt:lpstr>
      <vt:lpstr>SM_ExludeGroup14</vt:lpstr>
      <vt:lpstr>SM_ExludeGroup15</vt:lpstr>
      <vt:lpstr>SM_ExludeGroup16</vt:lpstr>
      <vt:lpstr>SM_ExludeGroup17</vt:lpstr>
      <vt:lpstr>SM_ExludeGroup18</vt:lpstr>
      <vt:lpstr>SM_ExludeGroup19</vt:lpstr>
      <vt:lpstr>SM_ExludeGroup2</vt:lpstr>
      <vt:lpstr>SM_ExludeGroup20</vt:lpstr>
      <vt:lpstr>SM_ExludeGroup21</vt:lpstr>
      <vt:lpstr>SM_ExludeGroup22</vt:lpstr>
      <vt:lpstr>SM_ExludeGroup23</vt:lpstr>
      <vt:lpstr>SM_ExludeGroup24</vt:lpstr>
      <vt:lpstr>SM_ExludeGroup25</vt:lpstr>
      <vt:lpstr>SM_ExludeGroup26</vt:lpstr>
      <vt:lpstr>SM_ExludeGroup27</vt:lpstr>
      <vt:lpstr>SM_ExludeGroup28</vt:lpstr>
      <vt:lpstr>SM_ExludeGroup29</vt:lpstr>
      <vt:lpstr>SM_ExludeGroup3</vt:lpstr>
      <vt:lpstr>SM_ExludeGroup30</vt:lpstr>
      <vt:lpstr>SM_ExludeGroup31</vt:lpstr>
      <vt:lpstr>SM_ExludeGroup4</vt:lpstr>
      <vt:lpstr>SM_ExludeGroup5</vt:lpstr>
      <vt:lpstr>SM_ExludeGroup6</vt:lpstr>
      <vt:lpstr>SM_ExludeGroup7</vt:lpstr>
      <vt:lpstr>SM_ExludeGroup8</vt:lpstr>
      <vt:lpstr>SM_ExludeGroup9</vt:lpstr>
      <vt:lpstr>SM_Field_Labor</vt:lpstr>
      <vt:lpstr>SM_FieldLaborColumn</vt:lpstr>
      <vt:lpstr>SM_Material</vt:lpstr>
      <vt:lpstr>SM_MaterialColumn</vt:lpstr>
      <vt:lpstr>SM_OvertimeColumn</vt:lpstr>
      <vt:lpstr>SM_Shop_Labor</vt:lpstr>
      <vt:lpstr>SM_ShopLaborColumn</vt:lpstr>
      <vt:lpstr>SMImport_CalcFieldHours</vt:lpstr>
      <vt:lpstr>SMImport_CalcShopHours</vt:lpstr>
      <vt:lpstr>SMImport_CutType</vt:lpstr>
      <vt:lpstr>SMImport_Material</vt:lpstr>
      <vt:lpstr>SMImport_MaterialCost</vt:lpstr>
      <vt:lpstr>SMImport_Qty</vt:lpstr>
      <vt:lpstr>SMImport_Type</vt:lpstr>
      <vt:lpstr>Subsistence</vt:lpstr>
      <vt:lpstr>Takeoff_PayType</vt:lpstr>
      <vt:lpstr>Takeoff_Total_Field_Labor_Cost</vt:lpstr>
      <vt:lpstr>Takeoff_Total_Labor_Cost</vt:lpstr>
      <vt:lpstr>Takeoff_Total_Shop_Labor_Cost</vt:lpstr>
      <vt:lpstr>Takeoff_Total_Straight_Field_Labor_Cost</vt:lpstr>
      <vt:lpstr>Takeoff_Type</vt:lpstr>
      <vt:lpstr>Total_PipeField_DoubleTime</vt:lpstr>
      <vt:lpstr>Total_PipeField_Hours</vt:lpstr>
      <vt:lpstr>Total_PipeField_OverTime</vt:lpstr>
      <vt:lpstr>Total_PlumbField_DoubleTime</vt:lpstr>
      <vt:lpstr>Total_PlumbField_Hours</vt:lpstr>
      <vt:lpstr>Total_PlumbField_OverTime</vt:lpstr>
      <vt:lpstr>Total_PlumbField_StraightTime</vt:lpstr>
      <vt:lpstr>Total_SMField_DoubleTime</vt:lpstr>
      <vt:lpstr>Total_SMField_Hours</vt:lpstr>
      <vt:lpstr>Total_SMField_OverTime</vt:lpstr>
      <vt:lpstr>Total_SMField_StraightTime</vt:lpstr>
      <vt:lpstr>Total_SMShop_DoubleTime</vt:lpstr>
      <vt:lpstr>Total_SMShop_Hours</vt:lpstr>
      <vt:lpstr>Total_SMShop_OverTime</vt:lpstr>
      <vt:lpstr>Total_SMShop_StraightTime</vt:lpstr>
      <vt:lpstr>Trucking_Hrs</vt:lpstr>
      <vt:lpstr>Trucking_Loads</vt:lpstr>
      <vt:lpstr>Trucking_Rate</vt:lpstr>
      <vt:lpstr>Trucking_Total</vt:lpstr>
      <vt:lpstr>Type_Of_Work</vt:lpstr>
      <vt:lpstr>Username</vt:lpstr>
      <vt:lpstr>Version</vt:lpstr>
      <vt:lpstr>WorkRecovery_Arch</vt:lpstr>
      <vt:lpstr>WorkRecovery_Pipe</vt:lpstr>
      <vt:lpstr>WorkRecovery_SM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Final Estimate Summary &amp; Tracking Report</dc:title>
  <dc:creator>Aaron VanRheen</dc:creator>
  <cp:keywords>FESTR</cp:keywords>
  <cp:lastModifiedBy>Eric Elliott</cp:lastModifiedBy>
  <cp:revision>160</cp:revision>
  <cp:lastPrinted>2025-02-28T17:48:27Z</cp:lastPrinted>
  <dcterms:created xsi:type="dcterms:W3CDTF">2011-03-18T16:25:54Z</dcterms:created>
  <dcterms:modified xsi:type="dcterms:W3CDTF">2025-11-21T18:56:36Z</dcterms:modified>
  <cp:category>Estimation</cp:category>
</cp:coreProperties>
</file>